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omments8.xml" ContentType="application/vnd.openxmlformats-officedocument.spreadsheetml.comments+xml"/>
  <Override PartName="/xl/drawings/drawing4.xml" ContentType="application/vnd.openxmlformats-officedocument.drawing+xml"/>
  <Override PartName="/xl/comments9.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DC6E" lockStructure="1"/>
  <bookViews>
    <workbookView xWindow="-15" yWindow="-15" windowWidth="20730" windowHeight="10140" tabRatio="576" activeTab="3"/>
  </bookViews>
  <sheets>
    <sheet name="INDEX" sheetId="15" r:id="rId1"/>
    <sheet name="SCHOOL" sheetId="3" r:id="rId2"/>
    <sheet name="STUDENTS" sheetId="2" r:id="rId3"/>
    <sheet name="A-RACHNATMAK" sheetId="16" r:id="rId4"/>
    <sheet name="A-CALC" sheetId="18" state="hidden" r:id="rId5"/>
    <sheet name="B-VV STD-3-4" sheetId="19" r:id="rId6"/>
    <sheet name="B-VV STD-5" sheetId="4" r:id="rId7"/>
    <sheet name="C-TITLE" sheetId="7" r:id="rId8"/>
    <sheet name="C-PARINAM STD-3" sheetId="20" r:id="rId9"/>
    <sheet name="C-PARINAM STD-4" sheetId="21" r:id="rId10"/>
    <sheet name="C-PARINAM STD-5" sheetId="8" r:id="rId11"/>
    <sheet name="PARINAM STD-1 TITLE" sheetId="22" r:id="rId12"/>
    <sheet name="PARINAM STD-1" sheetId="23" r:id="rId13"/>
    <sheet name="D PRAGATIPATRAK STD-1" sheetId="24" r:id="rId14"/>
    <sheet name="PARINAM STD-2 TITLE" sheetId="28" r:id="rId15"/>
    <sheet name="PARINAM STD-2" sheetId="26" r:id="rId16"/>
    <sheet name="D PRAGATIPATRAK STD-2" sheetId="27" r:id="rId17"/>
    <sheet name="E-PRAGATIPATRAK" sheetId="9" r:id="rId18"/>
    <sheet name="MARKSHEET STD-6-7" sheetId="12" state="hidden" r:id="rId19"/>
    <sheet name="MARKSHEET STD-8" sheetId="13" state="hidden" r:id="rId20"/>
  </sheets>
  <externalReferences>
    <externalReference r:id="rId21"/>
  </externalReferences>
  <definedNames>
    <definedName name="_Fill" localSheetId="3" hidden="1">#REF!</definedName>
    <definedName name="_Fill" localSheetId="5" hidden="1">#REF!</definedName>
    <definedName name="_Fill" localSheetId="8" hidden="1">#REF!</definedName>
    <definedName name="_Fill" localSheetId="9" hidden="1">#REF!</definedName>
    <definedName name="_Fill" localSheetId="13" hidden="1">#REF!</definedName>
    <definedName name="_Fill" localSheetId="16" hidden="1">#REF!</definedName>
    <definedName name="_Fill" localSheetId="19" hidden="1">#REF!</definedName>
    <definedName name="_Fill" localSheetId="11" hidden="1">#REF!</definedName>
    <definedName name="_Fill" localSheetId="15" hidden="1">#REF!</definedName>
    <definedName name="_Fill" localSheetId="14" hidden="1">#REF!</definedName>
    <definedName name="_Fill" hidden="1">#REF!</definedName>
    <definedName name="AENG" localSheetId="3">'A-RACHNATMAK'!$A$270:$BA$311</definedName>
    <definedName name="AENG" localSheetId="5">#REF!</definedName>
    <definedName name="AENG" localSheetId="8">#REF!</definedName>
    <definedName name="AENG" localSheetId="9">#REF!</definedName>
    <definedName name="AENG" localSheetId="13">#REF!</definedName>
    <definedName name="AENG" localSheetId="16">#REF!</definedName>
    <definedName name="AENG" localSheetId="11">#REF!</definedName>
    <definedName name="AENG" localSheetId="15">#REF!</definedName>
    <definedName name="AENG" localSheetId="14">#REF!</definedName>
    <definedName name="AENG">#REF!</definedName>
    <definedName name="AGUJ" localSheetId="3">'A-RACHNATMAK'!$A$4:$BA$115</definedName>
    <definedName name="AGUJ" localSheetId="5">#REF!</definedName>
    <definedName name="AGUJ" localSheetId="8">#REF!</definedName>
    <definedName name="AGUJ" localSheetId="9">#REF!</definedName>
    <definedName name="AGUJ" localSheetId="13">#REF!</definedName>
    <definedName name="AGUJ" localSheetId="16">#REF!</definedName>
    <definedName name="AGUJ" localSheetId="11">#REF!</definedName>
    <definedName name="AGUJ" localSheetId="15">#REF!</definedName>
    <definedName name="AGUJ" localSheetId="14">#REF!</definedName>
    <definedName name="AGUJ">#REF!</definedName>
    <definedName name="AHIN" localSheetId="3">'A-RACHNATMAK'!$A$200:$BA$227</definedName>
    <definedName name="AHIN" localSheetId="5">#REF!</definedName>
    <definedName name="AHIN" localSheetId="8">#REF!</definedName>
    <definedName name="AHIN" localSheetId="9">#REF!</definedName>
    <definedName name="AHIN" localSheetId="13">#REF!</definedName>
    <definedName name="AHIN" localSheetId="16">#REF!</definedName>
    <definedName name="AHIN" localSheetId="11">#REF!</definedName>
    <definedName name="AHIN" localSheetId="15">#REF!</definedName>
    <definedName name="AHIN" localSheetId="14">#REF!</definedName>
    <definedName name="AHIN">#REF!</definedName>
    <definedName name="AINDEX" localSheetId="3">'A-RACHNATMAK'!$B$2:$V$3</definedName>
    <definedName name="AINDEX" localSheetId="5">#REF!</definedName>
    <definedName name="AINDEX" localSheetId="8">#REF!</definedName>
    <definedName name="AINDEX" localSheetId="9">#REF!</definedName>
    <definedName name="AINDEX" localSheetId="13">#REF!</definedName>
    <definedName name="AINDEX" localSheetId="16">#REF!</definedName>
    <definedName name="AINDEX" localSheetId="11">#REF!</definedName>
    <definedName name="AINDEX" localSheetId="15">#REF!</definedName>
    <definedName name="AINDEX" localSheetId="14">#REF!</definedName>
    <definedName name="AINDEX">#REF!</definedName>
    <definedName name="AMATH" localSheetId="3">'A-RACHNATMAK'!$A$116:$BA$157</definedName>
    <definedName name="AMATH" localSheetId="5">#REF!</definedName>
    <definedName name="AMATH" localSheetId="8">#REF!</definedName>
    <definedName name="AMATH" localSheetId="9">#REF!</definedName>
    <definedName name="AMATH" localSheetId="13">#REF!</definedName>
    <definedName name="AMATH" localSheetId="16">#REF!</definedName>
    <definedName name="AMATH" localSheetId="11">#REF!</definedName>
    <definedName name="AMATH" localSheetId="15">#REF!</definedName>
    <definedName name="AMATH" localSheetId="14">#REF!</definedName>
    <definedName name="AMATH">#REF!</definedName>
    <definedName name="ASAN" localSheetId="3">'A-RACHNATMAK'!$A$312:$BA$353</definedName>
    <definedName name="ASAN" localSheetId="5">#REF!</definedName>
    <definedName name="ASAN" localSheetId="8">#REF!</definedName>
    <definedName name="ASAN" localSheetId="9">#REF!</definedName>
    <definedName name="ASAN" localSheetId="13">#REF!</definedName>
    <definedName name="ASAN" localSheetId="16">#REF!</definedName>
    <definedName name="ASAN" localSheetId="11">#REF!</definedName>
    <definedName name="ASAN" localSheetId="15">#REF!</definedName>
    <definedName name="ASAN" localSheetId="14">#REF!</definedName>
    <definedName name="ASAN">#REF!</definedName>
    <definedName name="ASCI" localSheetId="3">'A-RACHNATMAK'!$A$158:$BA$199</definedName>
    <definedName name="ASCI" localSheetId="5">#REF!</definedName>
    <definedName name="ASCI" localSheetId="8">#REF!</definedName>
    <definedName name="ASCI" localSheetId="9">#REF!</definedName>
    <definedName name="ASCI" localSheetId="13">#REF!</definedName>
    <definedName name="ASCI" localSheetId="16">#REF!</definedName>
    <definedName name="ASCI" localSheetId="11">#REF!</definedName>
    <definedName name="ASCI" localSheetId="15">#REF!</definedName>
    <definedName name="ASCI" localSheetId="14">#REF!</definedName>
    <definedName name="ASCI">#REF!</definedName>
    <definedName name="ASS" localSheetId="3">'A-RACHNATMAK'!$A$228:$BA$269</definedName>
    <definedName name="ASS" localSheetId="5">#REF!</definedName>
    <definedName name="ASS" localSheetId="8">#REF!</definedName>
    <definedName name="ASS" localSheetId="9">#REF!</definedName>
    <definedName name="ASS" localSheetId="13">#REF!</definedName>
    <definedName name="ASS" localSheetId="16">#REF!</definedName>
    <definedName name="ASS" localSheetId="11">#REF!</definedName>
    <definedName name="ASS" localSheetId="15">#REF!</definedName>
    <definedName name="ASS" localSheetId="14">#REF!</definedName>
    <definedName name="ASS">#REF!</definedName>
    <definedName name="BPAGE1" localSheetId="5">'B-VV STD-3-4'!$A$1:$AS$43</definedName>
    <definedName name="BPAGE1">'B-VV STD-5'!$A$1:$AS$43</definedName>
    <definedName name="BPAGE2" localSheetId="5">'B-VV STD-3-4'!$A$44:$AS$77</definedName>
    <definedName name="BPAGE2">'B-VV STD-5'!$A$44:$AS$77</definedName>
    <definedName name="DATA" localSheetId="8">'C-PARINAM STD-3'!$A$6:$D$10</definedName>
    <definedName name="DATA" localSheetId="9">'C-PARINAM STD-4'!$A$6:$D$10</definedName>
    <definedName name="DATA">'C-PARINAM STD-5'!$A$6:$D$10</definedName>
    <definedName name="DATA1">STUDENTS!$A$4:$AX$14</definedName>
    <definedName name="HTML_CodePage" hidden="1">1252</definedName>
    <definedName name="HTML_Control" localSheetId="3" hidden="1">{"'Sheet1'!$A$4386:$N$4591"}</definedName>
    <definedName name="HTML_Control" hidden="1">{"'Sheet1'!$A$4386:$N$4591"}</definedName>
    <definedName name="HTML_Description" hidden="1">""</definedName>
    <definedName name="HTML_Email" hidden="1">""</definedName>
    <definedName name="HTML_Header" hidden="1">"Sheet1"</definedName>
    <definedName name="HTML_LastUpdate" hidden="1">"7/1/03"</definedName>
    <definedName name="HTML_LineAfter" hidden="1">FALSE</definedName>
    <definedName name="HTML_LineBefore" hidden="1">FALSE</definedName>
    <definedName name="HTML_Name" hidden="1">"m.p.raval"</definedName>
    <definedName name="HTML_OBDlg2" hidden="1">TRUE</definedName>
    <definedName name="HTML_OBDlg4" hidden="1">TRUE</definedName>
    <definedName name="HTML_OS" hidden="1">0</definedName>
    <definedName name="HTML_PathFile" hidden="1">"A:\MyHTML.htm"</definedName>
    <definedName name="HTML_Title" hidden="1">"SGSDaily Progress Report Piyaj toDharoi Pipeline"</definedName>
    <definedName name="_xlnm.Print_Area" localSheetId="3">'A-RACHNATMAK'!$A$5:$Z$115,'A-RACHNATMAK'!$A$117:$Z$227,'A-RACHNATMAK'!$A$229:$Z$339,'A-RACHNATMAK'!$A$341:$Z$451,'A-RACHNATMAK'!$A$453:$Z$563,'A-RACHNATMAK'!$A$565:$Z$675,'A-RACHNATMAK'!$A$677:$Z$787,'A-RACHNATMAK'!$AB$5:$BA$115,'A-RACHNATMAK'!$AB$117:$BA$227,'A-RACHNATMAK'!$AB$229:$BA$339,'A-RACHNATMAK'!$AB$341:$BA$451,'A-RACHNATMAK'!$AB$453:$BA$563,'A-RACHNATMAK'!$AB$565:$BA$675,'A-RACHNATMAK'!$AB$677:$BA$787</definedName>
    <definedName name="_xlnm.Print_Area" localSheetId="5">'B-VV STD-3-4'!$A$1:$AS$81</definedName>
    <definedName name="_xlnm.Print_Area" localSheetId="8">'C-PARINAM STD-3'!$A$1:$AO$40</definedName>
    <definedName name="_xlnm.Print_Area" localSheetId="9">'C-PARINAM STD-4'!$A$1:$AT$40</definedName>
    <definedName name="_xlnm.Print_Area" localSheetId="10">'C-PARINAM STD-5'!$A$1:$BW$40</definedName>
    <definedName name="_xlnm.Print_Area" localSheetId="7">'C-TITLE'!$A$2:$X$36</definedName>
    <definedName name="_xlnm.Print_Area" localSheetId="13">'D PRAGATIPATRAK STD-1'!$A$3:$AV$47</definedName>
    <definedName name="_xlnm.Print_Area" localSheetId="16">'D PRAGATIPATRAK STD-2'!$A$3:$AV$47</definedName>
    <definedName name="_xlnm.Print_Area" localSheetId="17">'E-PRAGATIPATRAK'!$A$3:$AV$139,'E-PRAGATIPATRAK'!$A$140:$X$184</definedName>
    <definedName name="_xlnm.Print_Area" localSheetId="0">INDEX!$A$1:$C$33</definedName>
    <definedName name="_xlnm.Print_Area" localSheetId="12">'PARINAM STD-1'!$A$1:$AE$38</definedName>
    <definedName name="_xlnm.Print_Area" localSheetId="11">'PARINAM STD-1 TITLE'!$A$2:$X$46</definedName>
    <definedName name="_xlnm.Print_Area" localSheetId="15">'PARINAM STD-2'!$A$1:$AJ$38</definedName>
    <definedName name="_xlnm.Print_Area" localSheetId="14">'PARINAM STD-2 TITLE'!$A$2:$X$46</definedName>
    <definedName name="_xlnm.Print_Area" localSheetId="1">SCHOOL!$A$1:$D$10</definedName>
    <definedName name="_xlnm.Print_Titles" localSheetId="5">'B-VV STD-3-4'!$3:$7</definedName>
    <definedName name="_xlnm.Print_Titles" localSheetId="6">'B-VV STD-5'!$3:$7</definedName>
    <definedName name="ROLLNO" localSheetId="3">'[1]C-PARINAM'!$A$6:$A$40</definedName>
    <definedName name="ROLLNO" localSheetId="8">'C-PARINAM STD-3'!$A$6:$A$40</definedName>
    <definedName name="ROLLNO" localSheetId="9">'C-PARINAM STD-4'!$A$6:$A$40</definedName>
    <definedName name="ROLLNO">'C-PARINAM STD-5'!$A$6:$A$40</definedName>
    <definedName name="seng" localSheetId="3">'A-RACHNATMAK'!$A$565:$BA$675</definedName>
    <definedName name="seng" localSheetId="5">#REF!</definedName>
    <definedName name="seng" localSheetId="8">#REF!</definedName>
    <definedName name="seng" localSheetId="9">#REF!</definedName>
    <definedName name="seng" localSheetId="13">#REF!</definedName>
    <definedName name="seng" localSheetId="16">#REF!</definedName>
    <definedName name="seng" localSheetId="11">#REF!</definedName>
    <definedName name="seng" localSheetId="15">#REF!</definedName>
    <definedName name="seng" localSheetId="14">#REF!</definedName>
    <definedName name="seng">#REF!</definedName>
    <definedName name="sganit" localSheetId="3">'A-RACHNATMAK'!$A$117:$Z$227</definedName>
    <definedName name="sganit" localSheetId="5">#REF!</definedName>
    <definedName name="sganit" localSheetId="8">#REF!</definedName>
    <definedName name="sganit" localSheetId="9">#REF!</definedName>
    <definedName name="sganit" localSheetId="13">#REF!</definedName>
    <definedName name="sganit" localSheetId="16">#REF!</definedName>
    <definedName name="sganit" localSheetId="11">#REF!</definedName>
    <definedName name="sganit" localSheetId="15">#REF!</definedName>
    <definedName name="sganit" localSheetId="14">#REF!</definedName>
    <definedName name="sganit">#REF!</definedName>
    <definedName name="sganit2" localSheetId="3">'A-RACHNATMAK'!$A$117:$BA$227</definedName>
    <definedName name="sganit2" localSheetId="5">#REF!</definedName>
    <definedName name="sganit2" localSheetId="8">#REF!</definedName>
    <definedName name="sganit2" localSheetId="9">#REF!</definedName>
    <definedName name="sganit2" localSheetId="13">#REF!</definedName>
    <definedName name="sganit2" localSheetId="16">#REF!</definedName>
    <definedName name="sganit2" localSheetId="11">#REF!</definedName>
    <definedName name="sganit2" localSheetId="15">#REF!</definedName>
    <definedName name="sganit2" localSheetId="14">#REF!</definedName>
    <definedName name="sganit2">#REF!</definedName>
    <definedName name="shindi" localSheetId="3">'A-RACHNATMAK'!$A$341:$BA$451</definedName>
    <definedName name="shindi" localSheetId="5">#REF!</definedName>
    <definedName name="shindi" localSheetId="8">#REF!</definedName>
    <definedName name="shindi" localSheetId="9">#REF!</definedName>
    <definedName name="shindi" localSheetId="13">#REF!</definedName>
    <definedName name="shindi" localSheetId="16">#REF!</definedName>
    <definedName name="shindi" localSheetId="11">#REF!</definedName>
    <definedName name="shindi" localSheetId="15">#REF!</definedName>
    <definedName name="shindi" localSheetId="14">#REF!</definedName>
    <definedName name="shindi">#REF!</definedName>
    <definedName name="ssanskut" localSheetId="3">'A-RACHNATMAK'!$A$677:$BA$787</definedName>
    <definedName name="ssanskut" localSheetId="5">#REF!</definedName>
    <definedName name="ssanskut" localSheetId="8">#REF!</definedName>
    <definedName name="ssanskut" localSheetId="9">#REF!</definedName>
    <definedName name="ssanskut" localSheetId="13">#REF!</definedName>
    <definedName name="ssanskut" localSheetId="16">#REF!</definedName>
    <definedName name="ssanskut" localSheetId="11">#REF!</definedName>
    <definedName name="ssanskut" localSheetId="15">#REF!</definedName>
    <definedName name="ssanskut" localSheetId="14">#REF!</definedName>
    <definedName name="ssanskut">#REF!</definedName>
    <definedName name="sss" localSheetId="3">'A-RACHNATMAK'!$A$453:$BA$563</definedName>
    <definedName name="sss" localSheetId="5">#REF!</definedName>
    <definedName name="sss" localSheetId="8">#REF!</definedName>
    <definedName name="sss" localSheetId="9">#REF!</definedName>
    <definedName name="sss" localSheetId="13">#REF!</definedName>
    <definedName name="sss" localSheetId="16">#REF!</definedName>
    <definedName name="sss" localSheetId="11">#REF!</definedName>
    <definedName name="sss" localSheetId="15">#REF!</definedName>
    <definedName name="sss" localSheetId="14">#REF!</definedName>
    <definedName name="sss">#REF!</definedName>
    <definedName name="svigyan" localSheetId="3">'A-RACHNATMAK'!$A$229:$BA$339</definedName>
    <definedName name="svigyan" localSheetId="5">#REF!</definedName>
    <definedName name="svigyan" localSheetId="8">#REF!</definedName>
    <definedName name="svigyan" localSheetId="9">#REF!</definedName>
    <definedName name="svigyan" localSheetId="13">#REF!</definedName>
    <definedName name="svigyan" localSheetId="16">#REF!</definedName>
    <definedName name="svigyan" localSheetId="11">#REF!</definedName>
    <definedName name="svigyan" localSheetId="15">#REF!</definedName>
    <definedName name="svigyan" localSheetId="14">#REF!</definedName>
    <definedName name="svigyan">#REF!</definedName>
    <definedName name="TaxTV">10%</definedName>
    <definedName name="TaxXL">5%</definedName>
  </definedNames>
  <calcPr calcId="144525"/>
</workbook>
</file>

<file path=xl/calcChain.xml><?xml version="1.0" encoding="utf-8"?>
<calcChain xmlns="http://schemas.openxmlformats.org/spreadsheetml/2006/main">
  <c r="Q23" i="28" l="1"/>
  <c r="P23" i="28"/>
  <c r="R23" i="28" s="1"/>
  <c r="O23" i="28"/>
  <c r="L23" i="28"/>
  <c r="I23" i="28"/>
  <c r="F23" i="28"/>
  <c r="R18" i="28"/>
  <c r="H18" i="28"/>
  <c r="R17" i="28"/>
  <c r="H17" i="28"/>
  <c r="R16" i="28"/>
  <c r="H16" i="28"/>
  <c r="R15" i="28"/>
  <c r="R14" i="28"/>
  <c r="H14" i="28"/>
  <c r="C3" i="28"/>
  <c r="C131" i="9"/>
  <c r="C128" i="9"/>
  <c r="C125" i="9"/>
  <c r="C122" i="9"/>
  <c r="C118" i="9"/>
  <c r="C114" i="9"/>
  <c r="C110" i="9"/>
  <c r="C106" i="9"/>
  <c r="C102" i="9"/>
  <c r="C98" i="9"/>
  <c r="AA85" i="9"/>
  <c r="AA80" i="9"/>
  <c r="AA75" i="9"/>
  <c r="AA70" i="9"/>
  <c r="AA63" i="9"/>
  <c r="AA58" i="9"/>
  <c r="AA53" i="9"/>
  <c r="C69" i="9"/>
  <c r="C67" i="9"/>
  <c r="C65" i="9"/>
  <c r="C63" i="9"/>
  <c r="C61" i="9"/>
  <c r="C59" i="9"/>
  <c r="C57" i="9"/>
  <c r="C55" i="9"/>
  <c r="C53" i="9"/>
  <c r="AB23" i="27"/>
  <c r="AB22" i="27"/>
  <c r="AB21" i="27"/>
  <c r="AB20" i="27"/>
  <c r="AB19" i="27"/>
  <c r="AB18" i="27"/>
  <c r="AB17" i="27"/>
  <c r="AB16" i="27"/>
  <c r="AB15" i="27"/>
  <c r="AB14" i="27"/>
  <c r="AB13" i="27"/>
  <c r="AB14" i="24"/>
  <c r="AB17" i="24"/>
  <c r="AB16" i="24"/>
  <c r="AB15" i="24"/>
  <c r="AB13" i="24"/>
  <c r="AB12" i="24"/>
  <c r="AB11" i="24"/>
  <c r="AB10" i="24"/>
  <c r="AB9" i="24"/>
  <c r="AB8" i="24"/>
  <c r="AB7" i="24"/>
  <c r="AB10" i="27"/>
  <c r="AB9" i="27"/>
  <c r="AB8" i="27"/>
  <c r="AB7" i="27"/>
  <c r="AB6" i="27"/>
  <c r="AB5" i="27"/>
  <c r="D45" i="27"/>
  <c r="D44" i="27"/>
  <c r="D43" i="27"/>
  <c r="D42" i="27"/>
  <c r="D41" i="27"/>
  <c r="D40" i="27"/>
  <c r="D39" i="27"/>
  <c r="D37" i="27"/>
  <c r="D36" i="27"/>
  <c r="D35" i="27"/>
  <c r="D34" i="27"/>
  <c r="D33" i="27"/>
  <c r="D32" i="27"/>
  <c r="D31" i="27"/>
  <c r="D30" i="27"/>
  <c r="D29" i="27"/>
  <c r="D28" i="27"/>
  <c r="D27" i="27"/>
  <c r="D26" i="27"/>
  <c r="D25" i="27"/>
  <c r="D24" i="27"/>
  <c r="D23" i="27"/>
  <c r="D22" i="27"/>
  <c r="D21" i="27"/>
  <c r="D20" i="27"/>
  <c r="D19" i="27"/>
  <c r="D18" i="27"/>
  <c r="I13" i="27"/>
  <c r="R11" i="27"/>
  <c r="K11" i="27"/>
  <c r="E11" i="27"/>
  <c r="C9" i="27"/>
  <c r="C5" i="27"/>
  <c r="I13" i="24"/>
  <c r="K29" i="24"/>
  <c r="R11" i="24"/>
  <c r="K11" i="24"/>
  <c r="E11" i="24"/>
  <c r="C9" i="24"/>
  <c r="C5" i="24"/>
  <c r="Q23" i="22" l="1"/>
  <c r="P23" i="22"/>
  <c r="C3" i="22"/>
  <c r="O23" i="22"/>
  <c r="L23" i="22"/>
  <c r="I23" i="22"/>
  <c r="F23" i="22"/>
  <c r="R18" i="22"/>
  <c r="H18" i="22"/>
  <c r="R17" i="22"/>
  <c r="H17" i="22"/>
  <c r="R16" i="22"/>
  <c r="H16" i="22"/>
  <c r="R15" i="22"/>
  <c r="R14" i="22"/>
  <c r="H14" i="22"/>
  <c r="AC7" i="16"/>
  <c r="B7" i="16"/>
  <c r="AC119" i="16"/>
  <c r="B119" i="16"/>
  <c r="AC231" i="16"/>
  <c r="B231" i="16"/>
  <c r="B343" i="16"/>
  <c r="AC343" i="16"/>
  <c r="B455" i="16"/>
  <c r="AC455" i="16"/>
  <c r="AC567" i="16"/>
  <c r="B567" i="16"/>
  <c r="AC679" i="16"/>
  <c r="B679" i="16"/>
  <c r="R23" i="22" l="1"/>
  <c r="D40" i="21"/>
  <c r="C40" i="21"/>
  <c r="D39" i="21" l="1"/>
  <c r="C39" i="21"/>
  <c r="D38" i="21" l="1"/>
  <c r="C38" i="21"/>
  <c r="D37" i="21" l="1"/>
  <c r="C37" i="21"/>
  <c r="D36" i="21" l="1"/>
  <c r="C36" i="21"/>
  <c r="D35" i="21" l="1"/>
  <c r="C35" i="21"/>
  <c r="D34" i="21" l="1"/>
  <c r="C34" i="21"/>
  <c r="D33" i="21" l="1"/>
  <c r="C33" i="21"/>
  <c r="D32" i="21" l="1"/>
  <c r="C32" i="21"/>
  <c r="D31" i="21" l="1"/>
  <c r="C31" i="21"/>
  <c r="H161" i="9"/>
  <c r="B15" i="23"/>
  <c r="T174" i="9"/>
  <c r="N39" i="24"/>
  <c r="Q42" i="27"/>
  <c r="Q43" i="24"/>
  <c r="AL14" i="27"/>
  <c r="AO7" i="24"/>
  <c r="AC37" i="9"/>
  <c r="AO8" i="24"/>
  <c r="AO44" i="9"/>
  <c r="B33" i="26"/>
  <c r="G61" i="9"/>
  <c r="C13" i="23"/>
  <c r="F77" i="9"/>
  <c r="C16" i="26"/>
  <c r="U118" i="9"/>
  <c r="C14" i="23"/>
  <c r="P128" i="9"/>
  <c r="C17" i="26"/>
  <c r="O106" i="9"/>
  <c r="N34" i="27"/>
  <c r="AC105" i="9"/>
  <c r="AL107" i="9"/>
  <c r="AF113" i="9"/>
  <c r="AO115" i="9"/>
  <c r="H147" i="9"/>
  <c r="L102" i="9"/>
  <c r="AL10" i="27"/>
  <c r="N110" i="9"/>
  <c r="AC45" i="9"/>
  <c r="I122" i="9"/>
  <c r="F75" i="9"/>
  <c r="K128" i="9"/>
  <c r="AH53" i="9"/>
  <c r="G125" i="9"/>
  <c r="AQ58" i="9"/>
  <c r="T102" i="9"/>
  <c r="AF80" i="9"/>
  <c r="V110" i="9"/>
  <c r="AT75" i="9"/>
  <c r="Q122" i="9"/>
  <c r="L98" i="9"/>
  <c r="AH58" i="9"/>
  <c r="J118" i="9"/>
  <c r="AS63" i="9"/>
  <c r="N131" i="9"/>
  <c r="AQ53" i="9"/>
  <c r="P110" i="9"/>
  <c r="AK70" i="9"/>
  <c r="T125" i="9"/>
  <c r="AF85" i="9"/>
  <c r="AA107" i="9"/>
  <c r="AO85" i="9"/>
  <c r="AC117" i="9"/>
  <c r="AT70" i="9"/>
  <c r="AI134" i="9"/>
  <c r="F118" i="9"/>
  <c r="H176" i="9"/>
  <c r="AL115" i="9"/>
  <c r="T157" i="9"/>
  <c r="AL22" i="27"/>
  <c r="O175" i="9"/>
  <c r="B24" i="23"/>
  <c r="Q40" i="27"/>
  <c r="N30" i="24"/>
  <c r="AO13" i="27"/>
  <c r="Q34" i="24"/>
  <c r="AR23" i="27"/>
  <c r="T38" i="24"/>
  <c r="AI45" i="9"/>
  <c r="AR10" i="24"/>
  <c r="G63" i="9"/>
  <c r="B26" i="26"/>
  <c r="F79" i="9"/>
  <c r="C20" i="23"/>
  <c r="T118" i="9"/>
  <c r="AL15" i="24"/>
  <c r="V125" i="9"/>
  <c r="B13" i="26"/>
  <c r="O102" i="9"/>
  <c r="C33" i="23"/>
  <c r="AC103" i="9"/>
  <c r="C36" i="26"/>
  <c r="Q18" i="27"/>
  <c r="AE70" i="9"/>
  <c r="N45" i="27"/>
  <c r="AM70" i="9"/>
  <c r="T39" i="27"/>
  <c r="L106" i="9"/>
  <c r="AO15" i="27"/>
  <c r="I125" i="9"/>
  <c r="AI37" i="9"/>
  <c r="R98" i="9"/>
  <c r="F53" i="9"/>
  <c r="V114" i="9"/>
  <c r="G65" i="9"/>
  <c r="S131" i="9"/>
  <c r="F81" i="9"/>
  <c r="R128" i="9"/>
  <c r="N114" i="9"/>
  <c r="O114" i="9"/>
  <c r="K131" i="9"/>
  <c r="AF99" i="9"/>
  <c r="T106" i="9"/>
  <c r="AO101" i="9"/>
  <c r="Q125" i="9"/>
  <c r="AF117" i="9"/>
  <c r="AA101" i="9"/>
  <c r="AO119" i="9"/>
  <c r="AA121" i="9"/>
  <c r="H149" i="9"/>
  <c r="AI128" i="9"/>
  <c r="H165" i="9"/>
  <c r="H172" i="9"/>
  <c r="N102" i="9"/>
  <c r="T34" i="27"/>
  <c r="I114" i="9"/>
  <c r="AR19" i="27"/>
  <c r="K122" i="9"/>
  <c r="F69" i="9"/>
  <c r="M128" i="9"/>
  <c r="G81" i="9"/>
  <c r="G131" i="9"/>
  <c r="AF63" i="9"/>
  <c r="V102" i="9"/>
  <c r="AM58" i="9"/>
  <c r="Q114" i="9"/>
  <c r="AK85" i="9"/>
  <c r="S122" i="9"/>
  <c r="AO70" i="9"/>
  <c r="AJ58" i="9"/>
  <c r="K106" i="9"/>
  <c r="AQ63" i="9"/>
  <c r="H125" i="9"/>
  <c r="AO53" i="9"/>
  <c r="Q98" i="9"/>
  <c r="AF75" i="9"/>
  <c r="U114" i="9"/>
  <c r="AH85" i="9"/>
  <c r="R131" i="9"/>
  <c r="AT80" i="9"/>
  <c r="AI103" i="9"/>
  <c r="AR70" i="9"/>
  <c r="AI121" i="9"/>
  <c r="F125" i="9"/>
  <c r="H156" i="9"/>
  <c r="AA115" i="9"/>
  <c r="H163" i="9"/>
  <c r="B6" i="26"/>
  <c r="T175" i="9"/>
  <c r="B38" i="26"/>
  <c r="Q44" i="27"/>
  <c r="C8" i="23"/>
  <c r="AR14" i="27"/>
  <c r="C11" i="26"/>
  <c r="AC38" i="9"/>
  <c r="Q20" i="27"/>
  <c r="AO45" i="9"/>
  <c r="B29" i="23"/>
  <c r="G67" i="9"/>
  <c r="N25" i="24"/>
  <c r="F83" i="9"/>
  <c r="Q29" i="24"/>
  <c r="V118" i="9"/>
  <c r="T40" i="24"/>
  <c r="Q128" i="9"/>
  <c r="AL10" i="24"/>
  <c r="O110" i="9"/>
  <c r="B28" i="26"/>
  <c r="AC107" i="9"/>
  <c r="T24" i="27"/>
  <c r="AR10" i="27"/>
  <c r="T43" i="27"/>
  <c r="AI44" i="9"/>
  <c r="AR16" i="27"/>
  <c r="F73" i="9"/>
  <c r="AO37" i="9"/>
  <c r="AI53" i="9"/>
  <c r="F55" i="9"/>
  <c r="AP58" i="9"/>
  <c r="G69" i="9"/>
  <c r="AG80" i="9"/>
  <c r="F85" i="9"/>
  <c r="AS75" i="9"/>
  <c r="O81" i="9"/>
  <c r="M98" i="9"/>
  <c r="T128" i="9"/>
  <c r="H106" i="9"/>
  <c r="O122" i="9"/>
  <c r="L122" i="9"/>
  <c r="AF103" i="9"/>
  <c r="G98" i="9"/>
  <c r="AO105" i="9"/>
  <c r="R114" i="9"/>
  <c r="AF121" i="9"/>
  <c r="V128" i="9"/>
  <c r="AC126" i="9"/>
  <c r="AF107" i="9"/>
  <c r="O148" i="9"/>
  <c r="AI115" i="9"/>
  <c r="H167" i="9"/>
  <c r="T148" i="9"/>
  <c r="F102" i="9"/>
  <c r="H102" i="9"/>
  <c r="J110" i="9"/>
  <c r="L118" i="9"/>
  <c r="N125" i="9"/>
  <c r="B37" i="23"/>
  <c r="G110" i="9"/>
  <c r="N19" i="24"/>
  <c r="P102" i="9"/>
  <c r="Q23" i="24"/>
  <c r="R110" i="9"/>
  <c r="T27" i="24"/>
  <c r="O73" i="9"/>
  <c r="N35" i="27"/>
  <c r="AK53" i="9"/>
  <c r="T27" i="27"/>
  <c r="AE53" i="9"/>
  <c r="AL5" i="27"/>
  <c r="AN58" i="9"/>
  <c r="AL18" i="27"/>
  <c r="AG70" i="9"/>
  <c r="B36" i="23"/>
  <c r="AI80" i="9"/>
  <c r="N18" i="24"/>
  <c r="AS85" i="9"/>
  <c r="Q22" i="24"/>
  <c r="AQ75" i="9"/>
  <c r="T26" i="24"/>
  <c r="T22" i="27"/>
  <c r="AO9" i="27"/>
  <c r="T41" i="27"/>
  <c r="AC44" i="9"/>
  <c r="AL16" i="27"/>
  <c r="O67" i="9"/>
  <c r="AI38" i="9"/>
  <c r="AG53" i="9"/>
  <c r="F57" i="9"/>
  <c r="AR58" i="9"/>
  <c r="O53" i="9"/>
  <c r="AL75" i="9"/>
  <c r="F87" i="9"/>
  <c r="AN80" i="9"/>
  <c r="O83" i="9"/>
  <c r="K98" i="9"/>
  <c r="S128" i="9"/>
  <c r="I118" i="9"/>
  <c r="O118" i="9"/>
  <c r="M131" i="9"/>
  <c r="AF101" i="9"/>
  <c r="V106" i="9"/>
  <c r="AO103" i="9"/>
  <c r="S125" i="9"/>
  <c r="AF119" i="9"/>
  <c r="AA105" i="9"/>
  <c r="AO121" i="9"/>
  <c r="AC115" i="9"/>
  <c r="O147" i="9"/>
  <c r="AI132" i="9"/>
  <c r="H166" i="9"/>
  <c r="H175" i="9"/>
  <c r="F98" i="9"/>
  <c r="C4" i="23"/>
  <c r="N98" i="9"/>
  <c r="C7" i="23"/>
  <c r="I110" i="9"/>
  <c r="C10" i="26"/>
  <c r="K118" i="9"/>
  <c r="Q21" i="27"/>
  <c r="M125" i="9"/>
  <c r="T33" i="27"/>
  <c r="G106" i="9"/>
  <c r="AL7" i="27"/>
  <c r="V98" i="9"/>
  <c r="AL20" i="27"/>
  <c r="Q110" i="9"/>
  <c r="B30" i="23"/>
  <c r="O75" i="9"/>
  <c r="C23" i="26"/>
  <c r="AJ53" i="9"/>
  <c r="N28" i="27"/>
  <c r="AL63" i="9"/>
  <c r="T20" i="27"/>
  <c r="AO58" i="9"/>
  <c r="B9" i="23"/>
  <c r="AF70" i="9"/>
  <c r="N45" i="24"/>
  <c r="AH80" i="9"/>
  <c r="T21" i="24"/>
  <c r="AT85" i="9"/>
  <c r="AL17" i="24"/>
  <c r="AR75" i="9"/>
  <c r="T156" i="9"/>
  <c r="AR17" i="27"/>
  <c r="F59" i="9"/>
  <c r="F89" i="9"/>
  <c r="S118" i="9"/>
  <c r="O98" i="9"/>
  <c r="AL103" i="9"/>
  <c r="AL121" i="9"/>
  <c r="F110" i="9"/>
  <c r="L110" i="9"/>
  <c r="I128" i="9"/>
  <c r="R102" i="9"/>
  <c r="O77" i="9"/>
  <c r="AE63" i="9"/>
  <c r="AI70" i="9"/>
  <c r="AQ85" i="9"/>
  <c r="T26" i="27"/>
  <c r="AL17" i="27"/>
  <c r="F61" i="9"/>
  <c r="G73" i="9"/>
  <c r="U128" i="9"/>
  <c r="AF105" i="9"/>
  <c r="C18" i="23"/>
  <c r="Q131" i="9"/>
  <c r="AC121" i="9"/>
  <c r="N30" i="27"/>
  <c r="AI119" i="9"/>
  <c r="H145" i="9"/>
  <c r="M102" i="9"/>
  <c r="AL13" i="27"/>
  <c r="AO42" i="9"/>
  <c r="J122" i="9"/>
  <c r="B18" i="23"/>
  <c r="AF53" i="9"/>
  <c r="G128" i="9"/>
  <c r="Q40" i="24"/>
  <c r="AK75" i="9"/>
  <c r="P114" i="9"/>
  <c r="AR8" i="24"/>
  <c r="J98" i="9"/>
  <c r="AI58" i="9"/>
  <c r="T33" i="24"/>
  <c r="L131" i="9"/>
  <c r="AP53" i="9"/>
  <c r="B19" i="26"/>
  <c r="R125" i="9"/>
  <c r="AG85" i="9"/>
  <c r="C30" i="26"/>
  <c r="AC113" i="9"/>
  <c r="AS70" i="9"/>
  <c r="Q33" i="27"/>
  <c r="H174" i="9"/>
  <c r="B11" i="23"/>
  <c r="N25" i="27"/>
  <c r="I32" i="24"/>
  <c r="AL7" i="24"/>
  <c r="AL8" i="27"/>
  <c r="S98" i="9"/>
  <c r="AR11" i="24"/>
  <c r="C32" i="23"/>
  <c r="AO6" i="27"/>
  <c r="B36" i="26"/>
  <c r="AE85" i="9"/>
  <c r="C6" i="26"/>
  <c r="AO10" i="27"/>
  <c r="AJ63" i="9"/>
  <c r="T18" i="27"/>
  <c r="AR9" i="24"/>
  <c r="G57" i="9"/>
  <c r="B4" i="23"/>
  <c r="C32" i="26"/>
  <c r="N43" i="27"/>
  <c r="B24" i="26"/>
  <c r="B19" i="23"/>
  <c r="T23" i="27"/>
  <c r="G83" i="9"/>
  <c r="Q45" i="27"/>
  <c r="N29" i="24"/>
  <c r="AL21" i="27"/>
  <c r="AR17" i="24"/>
  <c r="B29" i="26"/>
  <c r="O156" i="9"/>
  <c r="C21" i="23"/>
  <c r="C4" i="26"/>
  <c r="AI107" i="9"/>
  <c r="AL11" i="24"/>
  <c r="AL14" i="24"/>
  <c r="P106" i="9"/>
  <c r="AL8" i="24"/>
  <c r="AR13" i="24"/>
  <c r="L125" i="9"/>
  <c r="AO8" i="27"/>
  <c r="B34" i="23"/>
  <c r="AS80" i="9"/>
  <c r="AR13" i="27"/>
  <c r="B31" i="23"/>
  <c r="AD85" i="9"/>
  <c r="C38" i="26"/>
  <c r="N34" i="24"/>
  <c r="G89" i="9"/>
  <c r="N26" i="27"/>
  <c r="C20" i="26"/>
  <c r="AR21" i="27"/>
  <c r="N27" i="27"/>
  <c r="N44" i="27"/>
  <c r="O157" i="9"/>
  <c r="AO11" i="24"/>
  <c r="T43" i="24"/>
  <c r="AL99" i="9"/>
  <c r="N36" i="27"/>
  <c r="B13" i="23"/>
  <c r="Q106" i="9"/>
  <c r="Q24" i="24"/>
  <c r="J114" i="9"/>
  <c r="B16" i="23"/>
  <c r="C24" i="23"/>
  <c r="AR80" i="9"/>
  <c r="T34" i="24"/>
  <c r="AR5" i="27"/>
  <c r="AP63" i="9"/>
  <c r="Q35" i="27"/>
  <c r="AA113" i="9"/>
  <c r="N21" i="24"/>
  <c r="T36" i="27"/>
  <c r="F67" i="9"/>
  <c r="AG63" i="9"/>
  <c r="AL85" i="9"/>
  <c r="N24" i="24"/>
  <c r="T32" i="24"/>
  <c r="B20" i="26"/>
  <c r="C29" i="26"/>
  <c r="N13" i="27"/>
  <c r="N42" i="27"/>
  <c r="AR22" i="27"/>
  <c r="N32" i="24"/>
  <c r="AL113" i="9"/>
  <c r="Q25" i="24"/>
  <c r="AO14" i="24"/>
  <c r="C31" i="23"/>
  <c r="T32" i="27"/>
  <c r="F63" i="9"/>
  <c r="AL58" i="9"/>
  <c r="AJ85" i="9"/>
  <c r="J106" i="9"/>
  <c r="P98" i="9"/>
  <c r="AI113" i="9"/>
  <c r="R12" i="27"/>
  <c r="AF115" i="9"/>
  <c r="T147" i="9"/>
  <c r="N40" i="27"/>
  <c r="H148" i="9"/>
  <c r="F106" i="9"/>
  <c r="M110" i="9"/>
  <c r="AO18" i="27"/>
  <c r="K110" i="9"/>
  <c r="J128" i="9"/>
  <c r="G77" i="9"/>
  <c r="H128" i="9"/>
  <c r="S102" i="9"/>
  <c r="AN53" i="9"/>
  <c r="Q102" i="9"/>
  <c r="P122" i="9"/>
  <c r="AQ70" i="9"/>
  <c r="O79" i="9"/>
  <c r="AT63" i="9"/>
  <c r="M122" i="9"/>
  <c r="AE58" i="9"/>
  <c r="AJ70" i="9"/>
  <c r="S114" i="9"/>
  <c r="AH70" i="9"/>
  <c r="AP85" i="9"/>
  <c r="AI99" i="9"/>
  <c r="AR85" i="9"/>
  <c r="F114" i="9"/>
  <c r="H152" i="9"/>
  <c r="AL119" i="9"/>
  <c r="Q31" i="24"/>
  <c r="N20" i="24"/>
  <c r="T122" i="9"/>
  <c r="C12" i="23"/>
  <c r="N23" i="24"/>
  <c r="H131" i="9"/>
  <c r="T29" i="27"/>
  <c r="F128" i="9"/>
  <c r="R12" i="24"/>
  <c r="AJ75" i="9"/>
  <c r="T21" i="27"/>
  <c r="Q41" i="24"/>
  <c r="AD58" i="9"/>
  <c r="AO15" i="24"/>
  <c r="AO43" i="9"/>
  <c r="B27" i="26"/>
  <c r="N20" i="27"/>
  <c r="H170" i="9"/>
  <c r="C6" i="23"/>
  <c r="B38" i="23"/>
  <c r="AL9" i="27"/>
  <c r="Q26" i="27"/>
  <c r="O59" i="9"/>
  <c r="AR20" i="27"/>
  <c r="C11" i="23"/>
  <c r="AL6" i="27"/>
  <c r="B21" i="26"/>
  <c r="B12" i="26"/>
  <c r="AC134" i="9"/>
  <c r="C8" i="26"/>
  <c r="Q45" i="24"/>
  <c r="O131" i="9"/>
  <c r="AI105" i="9"/>
  <c r="Q19" i="27"/>
  <c r="AR7" i="24"/>
  <c r="G12" i="27"/>
  <c r="B18" i="26"/>
  <c r="M114" i="9"/>
  <c r="G55" i="9"/>
  <c r="B5" i="26"/>
  <c r="B5" i="23"/>
  <c r="AR14" i="24"/>
  <c r="N22" i="24"/>
  <c r="AT58" i="9"/>
  <c r="N29" i="27"/>
  <c r="B31" i="26"/>
  <c r="O65" i="9"/>
  <c r="C37" i="26"/>
  <c r="AR6" i="27"/>
  <c r="Q19" i="24"/>
  <c r="N37" i="24"/>
  <c r="AI126" i="9"/>
  <c r="C38" i="23"/>
  <c r="T24" i="24"/>
  <c r="AA99" i="9"/>
  <c r="AE75" i="9"/>
  <c r="B12" i="23"/>
  <c r="B25" i="23"/>
  <c r="AH63" i="9"/>
  <c r="C9" i="23"/>
  <c r="N40" i="24"/>
  <c r="G53" i="9"/>
  <c r="T19" i="27"/>
  <c r="C36" i="23"/>
  <c r="N39" i="27"/>
  <c r="T19" i="24"/>
  <c r="Q43" i="27"/>
  <c r="B30" i="26"/>
  <c r="C10" i="23"/>
  <c r="N33" i="24"/>
  <c r="O174" i="9"/>
  <c r="AC43" i="9"/>
  <c r="O55" i="9"/>
  <c r="O85" i="9"/>
  <c r="U125" i="9"/>
  <c r="AC101" i="9"/>
  <c r="AC119" i="9"/>
  <c r="H143" i="9"/>
  <c r="J102" i="9"/>
  <c r="N118" i="9"/>
  <c r="G118" i="9"/>
  <c r="T110" i="9"/>
  <c r="AF58" i="9"/>
  <c r="AS53" i="9"/>
  <c r="AK80" i="9"/>
  <c r="AO75" i="9"/>
  <c r="T45" i="27"/>
  <c r="AO38" i="9"/>
  <c r="O57" i="9"/>
  <c r="O87" i="9"/>
  <c r="O125" i="9"/>
  <c r="AO107" i="9"/>
  <c r="AL105" i="9"/>
  <c r="C21" i="26"/>
  <c r="AI101" i="9"/>
  <c r="AO113" i="9"/>
  <c r="T28" i="27"/>
  <c r="H154" i="9"/>
  <c r="AR8" i="27"/>
  <c r="H114" i="9"/>
  <c r="AA41" i="27"/>
  <c r="O69" i="9"/>
  <c r="L128" i="9"/>
  <c r="N36" i="24"/>
  <c r="AS58" i="9"/>
  <c r="U102" i="9"/>
  <c r="T44" i="24"/>
  <c r="AO80" i="9"/>
  <c r="R122" i="9"/>
  <c r="B32" i="26"/>
  <c r="H118" i="9"/>
  <c r="AR63" i="9"/>
  <c r="AL13" i="24"/>
  <c r="U106" i="9"/>
  <c r="AL70" i="9"/>
  <c r="C27" i="23"/>
  <c r="AA103" i="9"/>
  <c r="AN85" i="9"/>
  <c r="N21" i="27"/>
  <c r="AI130" i="9"/>
  <c r="F122" i="9"/>
  <c r="B7" i="26"/>
  <c r="T37" i="24"/>
  <c r="G85" i="9"/>
  <c r="B37" i="26"/>
  <c r="B4" i="26"/>
  <c r="Q28" i="27"/>
  <c r="Q26" i="24"/>
  <c r="Q24" i="27"/>
  <c r="H158" i="9"/>
  <c r="N43" i="24"/>
  <c r="B14" i="23"/>
  <c r="B14" i="26"/>
  <c r="B34" i="26"/>
  <c r="C29" i="23"/>
  <c r="R118" i="9"/>
  <c r="B26" i="23"/>
  <c r="K125" i="9"/>
  <c r="B23" i="23"/>
  <c r="Q27" i="24"/>
  <c r="AM85" i="9"/>
  <c r="Q25" i="27"/>
  <c r="T42" i="24"/>
  <c r="AD80" i="9"/>
  <c r="AL117" i="9"/>
  <c r="B25" i="26"/>
  <c r="Q18" i="24"/>
  <c r="T131" i="9"/>
  <c r="C23" i="23"/>
  <c r="T98" i="9"/>
  <c r="N31" i="24"/>
  <c r="T42" i="27"/>
  <c r="M106" i="9"/>
  <c r="T18" i="24"/>
  <c r="Q33" i="24"/>
  <c r="AG75" i="9"/>
  <c r="Q41" i="27"/>
  <c r="Q30" i="27"/>
  <c r="AK63" i="9"/>
  <c r="B11" i="26"/>
  <c r="Q31" i="27"/>
  <c r="AC42" i="9"/>
  <c r="C25" i="23"/>
  <c r="B16" i="26"/>
  <c r="O166" i="9"/>
  <c r="C16" i="23"/>
  <c r="B17" i="26"/>
  <c r="AO10" i="24"/>
  <c r="T36" i="24"/>
  <c r="U131" i="9"/>
  <c r="T39" i="24"/>
  <c r="I34" i="24"/>
  <c r="U98" i="9"/>
  <c r="AO21" i="27"/>
  <c r="Q38" i="24"/>
  <c r="N106" i="9"/>
  <c r="N31" i="27"/>
  <c r="AH75" i="9"/>
  <c r="Q30" i="24"/>
  <c r="B35" i="26"/>
  <c r="AD53" i="9"/>
  <c r="N23" i="27"/>
  <c r="C33" i="26"/>
  <c r="AI43" i="9"/>
  <c r="AR7" i="27"/>
  <c r="N41" i="24"/>
  <c r="T165" i="9"/>
  <c r="AO12" i="24"/>
  <c r="T28" i="24"/>
  <c r="B21" i="23"/>
  <c r="G87" i="9"/>
  <c r="T25" i="24"/>
  <c r="AO23" i="27"/>
  <c r="AO22" i="27"/>
  <c r="C22" i="23"/>
  <c r="N18" i="27"/>
  <c r="AC130" i="9"/>
  <c r="AO9" i="24"/>
  <c r="N19" i="27"/>
  <c r="AL101" i="9"/>
  <c r="C37" i="23"/>
  <c r="B6" i="23"/>
  <c r="R106" i="9"/>
  <c r="AO16" i="24"/>
  <c r="N24" i="27"/>
  <c r="K114" i="9"/>
  <c r="T25" i="27"/>
  <c r="AQ80" i="9"/>
  <c r="AL12" i="24"/>
  <c r="AO63" i="9"/>
  <c r="N26" i="24"/>
  <c r="Q32" i="24"/>
  <c r="AO20" i="27"/>
  <c r="G79" i="9"/>
  <c r="AM63" i="9"/>
  <c r="AN70" i="9"/>
  <c r="Q28" i="24"/>
  <c r="AR12" i="24"/>
  <c r="C26" i="23"/>
  <c r="N22" i="27"/>
  <c r="Q29" i="27"/>
  <c r="AR9" i="27"/>
  <c r="B22" i="23"/>
  <c r="Q36" i="24"/>
  <c r="H157" i="9"/>
  <c r="T29" i="24"/>
  <c r="B15" i="26"/>
  <c r="C34" i="26"/>
  <c r="AL19" i="27"/>
  <c r="G75" i="9"/>
  <c r="AM53" i="9"/>
  <c r="AP70" i="9"/>
  <c r="N122" i="9"/>
  <c r="T114" i="9"/>
  <c r="AO99" i="9"/>
  <c r="AC128" i="9"/>
  <c r="Q27" i="27"/>
  <c r="AO117" i="9"/>
  <c r="O165" i="9"/>
  <c r="K102" i="9"/>
  <c r="T30" i="27"/>
  <c r="I102" i="9"/>
  <c r="H122" i="9"/>
  <c r="F65" i="9"/>
  <c r="M118" i="9"/>
  <c r="G122" i="9"/>
  <c r="AK58" i="9"/>
  <c r="G114" i="9"/>
  <c r="U110" i="9"/>
  <c r="AI85" i="9"/>
  <c r="AL53" i="9"/>
  <c r="AL80" i="9"/>
  <c r="AI117" i="9"/>
  <c r="O61" i="9"/>
  <c r="N32" i="27"/>
  <c r="C30" i="23"/>
  <c r="S106" i="9"/>
  <c r="G12" i="24"/>
  <c r="C18" i="26"/>
  <c r="C5" i="23"/>
  <c r="AR18" i="27"/>
  <c r="F131" i="9"/>
  <c r="C35" i="23"/>
  <c r="B17" i="23"/>
  <c r="Q34" i="27"/>
  <c r="B8" i="26"/>
  <c r="B22" i="26"/>
  <c r="H98" i="9"/>
  <c r="P118" i="9"/>
  <c r="AO19" i="27"/>
  <c r="B23" i="26"/>
  <c r="C15" i="26"/>
  <c r="C19" i="23"/>
  <c r="N28" i="24"/>
  <c r="N33" i="27"/>
  <c r="B32" i="23"/>
  <c r="I98" i="9"/>
  <c r="AC99" i="9"/>
  <c r="AI75" i="9"/>
  <c r="Q118" i="9"/>
  <c r="AI63" i="9"/>
  <c r="B28" i="23"/>
  <c r="C25" i="26"/>
  <c r="Q20" i="24"/>
  <c r="AO16" i="27"/>
  <c r="AL16" i="24"/>
  <c r="AR16" i="24"/>
  <c r="AR15" i="27"/>
  <c r="Q35" i="24"/>
  <c r="Q39" i="24"/>
  <c r="C9" i="26"/>
  <c r="S110" i="9"/>
  <c r="AR53" i="9"/>
  <c r="P131" i="9"/>
  <c r="AP75" i="9"/>
  <c r="C28" i="26"/>
  <c r="AA37" i="24"/>
  <c r="O128" i="9"/>
  <c r="N44" i="24"/>
  <c r="T30" i="24"/>
  <c r="AN63" i="9"/>
  <c r="C27" i="26"/>
  <c r="I131" i="9"/>
  <c r="N38" i="24"/>
  <c r="C26" i="26"/>
  <c r="T41" i="24"/>
  <c r="T44" i="27"/>
  <c r="J131" i="9"/>
  <c r="B7" i="23"/>
  <c r="B8" i="23"/>
  <c r="AD70" i="9"/>
  <c r="O63" i="9"/>
  <c r="V131" i="9"/>
  <c r="T20" i="24"/>
  <c r="AR15" i="24"/>
  <c r="Q42" i="24"/>
  <c r="B35" i="23"/>
  <c r="Q32" i="27"/>
  <c r="B20" i="23"/>
  <c r="N35" i="24"/>
  <c r="C17" i="23"/>
  <c r="O89" i="9"/>
  <c r="J125" i="9"/>
  <c r="G59" i="9"/>
  <c r="Q22" i="27"/>
  <c r="C24" i="26"/>
  <c r="Q36" i="27"/>
  <c r="N27" i="24"/>
  <c r="N13" i="24"/>
  <c r="T166" i="9"/>
  <c r="AG58" i="9"/>
  <c r="G102" i="9"/>
  <c r="AJ80" i="9"/>
  <c r="Q39" i="27"/>
  <c r="AC132" i="9"/>
  <c r="T35" i="27"/>
  <c r="AO17" i="27"/>
  <c r="AP80" i="9"/>
  <c r="U122" i="9"/>
  <c r="T23" i="24"/>
  <c r="C14" i="26"/>
  <c r="AD63" i="9"/>
  <c r="C19" i="26"/>
  <c r="C28" i="23"/>
  <c r="V122" i="9"/>
  <c r="B10" i="23"/>
  <c r="C5" i="26"/>
  <c r="Q37" i="27"/>
  <c r="AM75" i="9"/>
  <c r="C12" i="26"/>
  <c r="T31" i="24"/>
  <c r="P125" i="9"/>
  <c r="AO7" i="27"/>
  <c r="N128" i="9"/>
  <c r="C35" i="26"/>
  <c r="Q37" i="24"/>
  <c r="T37" i="27"/>
  <c r="AL9" i="24"/>
  <c r="C34" i="23"/>
  <c r="T22" i="24"/>
  <c r="C7" i="26"/>
  <c r="AI42" i="9"/>
  <c r="AM80" i="9"/>
  <c r="N41" i="27"/>
  <c r="Q23" i="27"/>
  <c r="B33" i="23"/>
  <c r="I106" i="9"/>
  <c r="AT53" i="9"/>
  <c r="AN75" i="9"/>
  <c r="N37" i="27"/>
  <c r="AL23" i="27"/>
  <c r="T35" i="24"/>
  <c r="C31" i="26"/>
  <c r="L114" i="9"/>
  <c r="T40" i="27"/>
  <c r="AA117" i="9"/>
  <c r="B27" i="23"/>
  <c r="AO5" i="27"/>
  <c r="AO14" i="27"/>
  <c r="C22" i="26"/>
  <c r="T31" i="27"/>
  <c r="AA119" i="9"/>
  <c r="B9" i="26"/>
  <c r="C15" i="23"/>
  <c r="B10" i="26"/>
  <c r="Q21" i="24"/>
  <c r="N42" i="24"/>
  <c r="AO17" i="24"/>
  <c r="AO13" i="24"/>
  <c r="T45" i="24"/>
  <c r="Q44" i="24"/>
  <c r="C13" i="26"/>
  <c r="H110" i="9"/>
  <c r="AE80" i="9"/>
  <c r="AL15" i="27"/>
  <c r="AD75" i="9"/>
  <c r="D30" i="21" l="1"/>
  <c r="C30" i="21"/>
  <c r="D29" i="21" l="1"/>
  <c r="C29" i="21"/>
  <c r="D28" i="21" l="1"/>
  <c r="C28" i="21"/>
  <c r="D27" i="21" l="1"/>
  <c r="C27" i="21"/>
  <c r="D26" i="21" l="1"/>
  <c r="C26" i="21"/>
  <c r="D25" i="21" l="1"/>
  <c r="C25" i="21"/>
  <c r="D24" i="21" l="1"/>
  <c r="C24" i="21"/>
  <c r="D23" i="21" l="1"/>
  <c r="C23" i="21"/>
  <c r="D22" i="21" l="1"/>
  <c r="C22" i="21"/>
  <c r="D21" i="21" l="1"/>
  <c r="C21" i="21"/>
  <c r="D20" i="21" l="1"/>
  <c r="C20" i="21"/>
  <c r="D19" i="21" l="1"/>
  <c r="C19" i="21"/>
  <c r="D18" i="21" l="1"/>
  <c r="C18" i="21"/>
  <c r="D17" i="21" l="1"/>
  <c r="C17" i="21"/>
  <c r="D16" i="21" l="1"/>
  <c r="C16" i="21"/>
  <c r="D15" i="21" l="1"/>
  <c r="C15" i="21"/>
  <c r="D14" i="21" l="1"/>
  <c r="C14" i="21"/>
  <c r="D13" i="21" l="1"/>
  <c r="C13" i="21"/>
  <c r="D12" i="21" l="1"/>
  <c r="C12" i="21"/>
  <c r="D11" i="21" l="1"/>
  <c r="C11" i="21"/>
  <c r="D10" i="21" l="1"/>
  <c r="C10" i="21"/>
  <c r="D9" i="21" l="1"/>
  <c r="C9" i="21"/>
  <c r="D8" i="21" l="1"/>
  <c r="C8" i="21"/>
  <c r="D7" i="21" l="1"/>
  <c r="C7" i="21"/>
  <c r="D6" i="21" l="1"/>
  <c r="C6" i="21"/>
  <c r="D40" i="20" l="1"/>
  <c r="C40" i="20"/>
  <c r="D39" i="20" l="1"/>
  <c r="C39" i="20"/>
  <c r="D38" i="20" l="1"/>
  <c r="C38" i="20"/>
  <c r="D37" i="20" l="1"/>
  <c r="C37" i="20"/>
  <c r="D36" i="20" l="1"/>
  <c r="C36" i="20"/>
  <c r="D35" i="20" l="1"/>
  <c r="C35" i="20"/>
  <c r="D34" i="20" l="1"/>
  <c r="C34" i="20"/>
  <c r="D33" i="20" l="1"/>
  <c r="C33" i="20"/>
  <c r="D32" i="20" l="1"/>
  <c r="C32" i="20"/>
  <c r="D31" i="20" l="1"/>
  <c r="C31" i="20"/>
  <c r="D30" i="20" l="1"/>
  <c r="C30" i="20"/>
  <c r="D29" i="20" l="1"/>
  <c r="C29" i="20"/>
  <c r="D28" i="20" l="1"/>
  <c r="C28" i="20"/>
  <c r="D27" i="20" l="1"/>
  <c r="C27" i="20"/>
  <c r="D26" i="20" l="1"/>
  <c r="C26" i="20"/>
  <c r="D25" i="20" l="1"/>
  <c r="C25" i="20"/>
  <c r="D24" i="20" l="1"/>
  <c r="C24" i="20"/>
  <c r="D23" i="20" l="1"/>
  <c r="C23" i="20"/>
  <c r="D22" i="20" l="1"/>
  <c r="C22" i="20"/>
  <c r="D21" i="20" l="1"/>
  <c r="C21" i="20"/>
  <c r="D20" i="20" l="1"/>
  <c r="C20" i="20"/>
  <c r="D19" i="20" l="1"/>
  <c r="C19" i="20"/>
  <c r="D18" i="20" l="1"/>
  <c r="C18" i="20"/>
  <c r="D17" i="20" l="1"/>
  <c r="C17" i="20"/>
  <c r="D16" i="20" l="1"/>
  <c r="C16" i="20"/>
  <c r="D15" i="20" l="1"/>
  <c r="C15" i="20"/>
  <c r="D14" i="20" l="1"/>
  <c r="C14" i="20"/>
  <c r="D13" i="20" l="1"/>
  <c r="C13" i="20"/>
  <c r="D12" i="20" l="1"/>
  <c r="C12" i="20"/>
  <c r="D11" i="20" l="1"/>
  <c r="C11" i="20"/>
  <c r="D10" i="20" l="1"/>
  <c r="C10" i="20"/>
  <c r="D9" i="20" l="1"/>
  <c r="C9" i="20"/>
  <c r="D8" i="20" l="1"/>
  <c r="C8" i="20"/>
  <c r="D7" i="20" l="1"/>
  <c r="C7" i="20"/>
  <c r="D6" i="20" l="1"/>
  <c r="C6" i="20"/>
  <c r="AR77" i="19" l="1"/>
  <c r="AR76" i="19"/>
  <c r="AS76" i="19" s="1"/>
  <c r="AH40" i="21"/>
  <c r="AC40" i="20"/>
  <c r="AI40" i="21" l="1"/>
  <c r="AD40" i="20"/>
  <c r="AR75" i="19"/>
  <c r="AR74" i="19"/>
  <c r="AS74" i="19" l="1"/>
  <c r="AR73" i="19"/>
  <c r="AR72" i="19"/>
  <c r="AC39" i="20"/>
  <c r="AH39" i="21"/>
  <c r="AI39" i="21" l="1"/>
  <c r="AD39" i="20"/>
  <c r="AS72" i="19"/>
  <c r="AR71" i="19"/>
  <c r="AR70" i="19"/>
  <c r="AH38" i="21"/>
  <c r="AC38" i="20"/>
  <c r="AI38" i="21" l="1"/>
  <c r="AD38" i="20"/>
  <c r="AS70" i="19"/>
  <c r="AR69" i="19"/>
  <c r="AR68" i="19"/>
  <c r="AR67" i="19"/>
  <c r="AR66" i="19"/>
  <c r="AR65" i="19"/>
  <c r="AR64" i="19"/>
  <c r="AR63" i="19"/>
  <c r="AR62" i="19"/>
  <c r="AS62" i="19" s="1"/>
  <c r="AR61" i="19"/>
  <c r="AR60" i="19"/>
  <c r="AR59" i="19"/>
  <c r="AS58" i="19"/>
  <c r="AR58" i="19"/>
  <c r="AR57" i="19"/>
  <c r="AR56" i="19"/>
  <c r="AR55" i="19"/>
  <c r="AR54" i="19"/>
  <c r="AS54" i="19" s="1"/>
  <c r="AR53" i="19"/>
  <c r="AR52" i="19"/>
  <c r="AS52" i="19" s="1"/>
  <c r="AR51" i="19"/>
  <c r="AR50" i="19"/>
  <c r="AS50" i="19" s="1"/>
  <c r="AR49" i="19"/>
  <c r="AR48" i="19"/>
  <c r="AS48" i="19" s="1"/>
  <c r="AR47" i="19"/>
  <c r="AR46" i="19"/>
  <c r="AS46" i="19" s="1"/>
  <c r="AR45" i="19"/>
  <c r="AR44" i="19"/>
  <c r="AS44" i="19" s="1"/>
  <c r="AR43" i="19"/>
  <c r="AR42" i="19"/>
  <c r="AS42" i="19" s="1"/>
  <c r="AR41" i="19"/>
  <c r="AR40" i="19"/>
  <c r="AS40" i="19" s="1"/>
  <c r="AR39" i="19"/>
  <c r="AS38" i="19"/>
  <c r="AR38" i="19"/>
  <c r="AR37" i="19"/>
  <c r="AR36" i="19"/>
  <c r="AR35" i="19"/>
  <c r="AR34" i="19"/>
  <c r="AS34" i="19" s="1"/>
  <c r="AR33" i="19"/>
  <c r="AR32" i="19"/>
  <c r="AS32" i="19" s="1"/>
  <c r="AR31" i="19"/>
  <c r="AS30" i="19"/>
  <c r="AR30" i="19"/>
  <c r="AR29" i="19"/>
  <c r="AR28" i="19"/>
  <c r="AR27" i="19"/>
  <c r="AR26" i="19"/>
  <c r="AS26" i="19" s="1"/>
  <c r="AR25" i="19"/>
  <c r="AR24" i="19"/>
  <c r="AR23" i="19"/>
  <c r="AR22" i="19"/>
  <c r="AR21" i="19"/>
  <c r="AR20" i="19"/>
  <c r="AR19" i="19"/>
  <c r="AR18" i="19"/>
  <c r="AS18" i="19" s="1"/>
  <c r="AR17" i="19"/>
  <c r="AS16" i="19"/>
  <c r="AR16" i="19"/>
  <c r="AR15" i="19"/>
  <c r="AR14" i="19"/>
  <c r="AR13" i="19"/>
  <c r="AR12" i="19"/>
  <c r="AS12" i="19" s="1"/>
  <c r="AR11" i="19"/>
  <c r="AR10" i="19"/>
  <c r="AS10" i="19" s="1"/>
  <c r="AR9" i="19"/>
  <c r="AS8" i="19"/>
  <c r="AR8" i="19"/>
  <c r="AL3" i="19"/>
  <c r="H3" i="19"/>
  <c r="C3" i="19"/>
  <c r="AA647" i="18"/>
  <c r="AB647" i="18"/>
  <c r="AC647" i="18"/>
  <c r="AD647" i="18"/>
  <c r="AE647" i="18"/>
  <c r="AF647" i="18"/>
  <c r="AG647" i="18"/>
  <c r="AH647" i="18"/>
  <c r="AI647" i="18"/>
  <c r="AJ647" i="18"/>
  <c r="AK647" i="18"/>
  <c r="AL647" i="18"/>
  <c r="AM647" i="18"/>
  <c r="AN647" i="18"/>
  <c r="AO647" i="18"/>
  <c r="AP647" i="18"/>
  <c r="AQ647" i="18"/>
  <c r="AR647" i="18"/>
  <c r="AS647" i="18"/>
  <c r="AT647" i="18"/>
  <c r="AA650" i="18"/>
  <c r="AB650" i="18"/>
  <c r="AC650" i="18"/>
  <c r="AD650" i="18"/>
  <c r="AE650" i="18"/>
  <c r="AF650" i="18"/>
  <c r="AG650" i="18"/>
  <c r="AH650" i="18"/>
  <c r="AI650" i="18"/>
  <c r="AJ650" i="18"/>
  <c r="AK650" i="18"/>
  <c r="AL650" i="18"/>
  <c r="AM650" i="18"/>
  <c r="AN650" i="18"/>
  <c r="AO650" i="18"/>
  <c r="AP650" i="18"/>
  <c r="AQ650" i="18"/>
  <c r="AR650" i="18"/>
  <c r="AS650" i="18"/>
  <c r="AT650" i="18"/>
  <c r="AA653" i="18"/>
  <c r="AB653" i="18"/>
  <c r="AV653" i="18" s="1"/>
  <c r="AY692" i="16" s="1"/>
  <c r="AC653" i="18"/>
  <c r="AD653" i="18"/>
  <c r="AE653" i="18"/>
  <c r="AF653" i="18"/>
  <c r="AG653" i="18"/>
  <c r="AH653" i="18"/>
  <c r="AI653" i="18"/>
  <c r="AJ653" i="18"/>
  <c r="AK653" i="18"/>
  <c r="AL653" i="18"/>
  <c r="AM653" i="18"/>
  <c r="AN653" i="18"/>
  <c r="AO653" i="18"/>
  <c r="AP653" i="18"/>
  <c r="AQ653" i="18"/>
  <c r="AR653" i="18"/>
  <c r="AS653" i="18"/>
  <c r="AT653" i="18"/>
  <c r="AA656" i="18"/>
  <c r="AB656" i="18"/>
  <c r="AC656" i="18"/>
  <c r="AD656" i="18"/>
  <c r="AE656" i="18"/>
  <c r="AF656" i="18"/>
  <c r="AG656" i="18"/>
  <c r="AH656" i="18"/>
  <c r="AI656" i="18"/>
  <c r="AJ656" i="18"/>
  <c r="AK656" i="18"/>
  <c r="AL656" i="18"/>
  <c r="AM656" i="18"/>
  <c r="AN656" i="18"/>
  <c r="AO656" i="18"/>
  <c r="AP656" i="18"/>
  <c r="AQ656" i="18"/>
  <c r="AR656" i="18"/>
  <c r="AS656" i="18"/>
  <c r="AT656" i="18"/>
  <c r="AA659" i="18"/>
  <c r="AB659" i="18"/>
  <c r="AV659" i="18" s="1"/>
  <c r="AY698" i="16" s="1"/>
  <c r="AC659" i="18"/>
  <c r="AD659" i="18"/>
  <c r="AE659" i="18"/>
  <c r="AF659" i="18"/>
  <c r="AG659" i="18"/>
  <c r="AH659" i="18"/>
  <c r="AI659" i="18"/>
  <c r="AJ659" i="18"/>
  <c r="AK659" i="18"/>
  <c r="AL659" i="18"/>
  <c r="AM659" i="18"/>
  <c r="AN659" i="18"/>
  <c r="AO659" i="18"/>
  <c r="AP659" i="18"/>
  <c r="AQ659" i="18"/>
  <c r="AR659" i="18"/>
  <c r="AS659" i="18"/>
  <c r="AT659" i="18"/>
  <c r="AA662" i="18"/>
  <c r="AB662" i="18"/>
  <c r="AC662" i="18"/>
  <c r="AD662" i="18"/>
  <c r="AE662" i="18"/>
  <c r="AF662" i="18"/>
  <c r="AG662" i="18"/>
  <c r="AH662" i="18"/>
  <c r="AI662" i="18"/>
  <c r="AJ662" i="18"/>
  <c r="AK662" i="18"/>
  <c r="AL662" i="18"/>
  <c r="AM662" i="18"/>
  <c r="AN662" i="18"/>
  <c r="AO662" i="18"/>
  <c r="AP662" i="18"/>
  <c r="AQ662" i="18"/>
  <c r="AR662" i="18"/>
  <c r="AS662" i="18"/>
  <c r="AT662" i="18"/>
  <c r="AA665" i="18"/>
  <c r="AB665" i="18"/>
  <c r="AV665" i="18" s="1"/>
  <c r="AY704" i="16" s="1"/>
  <c r="AC665" i="18"/>
  <c r="AD665" i="18"/>
  <c r="AE665" i="18"/>
  <c r="AF665" i="18"/>
  <c r="AG665" i="18"/>
  <c r="AH665" i="18"/>
  <c r="AI665" i="18"/>
  <c r="AJ665" i="18"/>
  <c r="AK665" i="18"/>
  <c r="AL665" i="18"/>
  <c r="AM665" i="18"/>
  <c r="AN665" i="18"/>
  <c r="AO665" i="18"/>
  <c r="AP665" i="18"/>
  <c r="AQ665" i="18"/>
  <c r="AR665" i="18"/>
  <c r="AS665" i="18"/>
  <c r="AT665" i="18"/>
  <c r="AA668" i="18"/>
  <c r="AB668" i="18"/>
  <c r="AC668" i="18"/>
  <c r="AD668" i="18"/>
  <c r="AE668" i="18"/>
  <c r="AF668" i="18"/>
  <c r="AG668" i="18"/>
  <c r="AH668" i="18"/>
  <c r="AI668" i="18"/>
  <c r="AJ668" i="18"/>
  <c r="AK668" i="18"/>
  <c r="AL668" i="18"/>
  <c r="AM668" i="18"/>
  <c r="AN668" i="18"/>
  <c r="AO668" i="18"/>
  <c r="AP668" i="18"/>
  <c r="AQ668" i="18"/>
  <c r="AR668" i="18"/>
  <c r="AS668" i="18"/>
  <c r="AT668" i="18"/>
  <c r="AA671" i="18"/>
  <c r="AB671" i="18"/>
  <c r="AC671" i="18"/>
  <c r="AD671" i="18"/>
  <c r="AE671" i="18"/>
  <c r="AF671" i="18"/>
  <c r="AG671" i="18"/>
  <c r="AH671" i="18"/>
  <c r="AI671" i="18"/>
  <c r="AJ671" i="18"/>
  <c r="AK671" i="18"/>
  <c r="AL671" i="18"/>
  <c r="AM671" i="18"/>
  <c r="AN671" i="18"/>
  <c r="AO671" i="18"/>
  <c r="AP671" i="18"/>
  <c r="AQ671" i="18"/>
  <c r="AR671" i="18"/>
  <c r="AS671" i="18"/>
  <c r="AT671" i="18"/>
  <c r="AA674" i="18"/>
  <c r="AB674" i="18"/>
  <c r="AC674" i="18"/>
  <c r="AD674" i="18"/>
  <c r="AE674" i="18"/>
  <c r="AF674" i="18"/>
  <c r="AG674" i="18"/>
  <c r="AH674" i="18"/>
  <c r="AI674" i="18"/>
  <c r="AJ674" i="18"/>
  <c r="AK674" i="18"/>
  <c r="AL674" i="18"/>
  <c r="AM674" i="18"/>
  <c r="AN674" i="18"/>
  <c r="AO674" i="18"/>
  <c r="AP674" i="18"/>
  <c r="AQ674" i="18"/>
  <c r="AR674" i="18"/>
  <c r="AS674" i="18"/>
  <c r="AT674" i="18"/>
  <c r="AA677" i="18"/>
  <c r="AB677" i="18"/>
  <c r="AV677" i="18" s="1"/>
  <c r="AY716" i="16" s="1"/>
  <c r="AC677" i="18"/>
  <c r="AD677" i="18"/>
  <c r="AE677" i="18"/>
  <c r="AF677" i="18"/>
  <c r="AG677" i="18"/>
  <c r="AH677" i="18"/>
  <c r="AI677" i="18"/>
  <c r="AJ677" i="18"/>
  <c r="AK677" i="18"/>
  <c r="AL677" i="18"/>
  <c r="AM677" i="18"/>
  <c r="AN677" i="18"/>
  <c r="AO677" i="18"/>
  <c r="AP677" i="18"/>
  <c r="AQ677" i="18"/>
  <c r="AR677" i="18"/>
  <c r="AS677" i="18"/>
  <c r="AT677" i="18"/>
  <c r="AA680" i="18"/>
  <c r="AB680" i="18"/>
  <c r="AC680" i="18"/>
  <c r="AD680" i="18"/>
  <c r="AE680" i="18"/>
  <c r="AF680" i="18"/>
  <c r="AG680" i="18"/>
  <c r="AH680" i="18"/>
  <c r="AI680" i="18"/>
  <c r="AJ680" i="18"/>
  <c r="AK680" i="18"/>
  <c r="AL680" i="18"/>
  <c r="AM680" i="18"/>
  <c r="AN680" i="18"/>
  <c r="AO680" i="18"/>
  <c r="AP680" i="18"/>
  <c r="AQ680" i="18"/>
  <c r="AR680" i="18"/>
  <c r="AS680" i="18"/>
  <c r="AT680" i="18"/>
  <c r="AA683" i="18"/>
  <c r="AB683" i="18"/>
  <c r="AV683" i="18" s="1"/>
  <c r="AY722" i="16" s="1"/>
  <c r="AC683" i="18"/>
  <c r="AD683" i="18"/>
  <c r="AE683" i="18"/>
  <c r="AF683" i="18"/>
  <c r="AG683" i="18"/>
  <c r="AH683" i="18"/>
  <c r="AI683" i="18"/>
  <c r="AJ683" i="18"/>
  <c r="AK683" i="18"/>
  <c r="AL683" i="18"/>
  <c r="AM683" i="18"/>
  <c r="AN683" i="18"/>
  <c r="AO683" i="18"/>
  <c r="AP683" i="18"/>
  <c r="AQ683" i="18"/>
  <c r="AR683" i="18"/>
  <c r="AS683" i="18"/>
  <c r="AT683" i="18"/>
  <c r="AA686" i="18"/>
  <c r="AB686" i="18"/>
  <c r="AC686" i="18"/>
  <c r="AD686" i="18"/>
  <c r="AE686" i="18"/>
  <c r="AF686" i="18"/>
  <c r="AG686" i="18"/>
  <c r="AH686" i="18"/>
  <c r="AI686" i="18"/>
  <c r="AJ686" i="18"/>
  <c r="AK686" i="18"/>
  <c r="AL686" i="18"/>
  <c r="AM686" i="18"/>
  <c r="AN686" i="18"/>
  <c r="AO686" i="18"/>
  <c r="AP686" i="18"/>
  <c r="AQ686" i="18"/>
  <c r="AR686" i="18"/>
  <c r="AS686" i="18"/>
  <c r="AT686" i="18"/>
  <c r="AA689" i="18"/>
  <c r="AB689" i="18"/>
  <c r="AV689" i="18" s="1"/>
  <c r="AY728" i="16" s="1"/>
  <c r="AC689" i="18"/>
  <c r="AD689" i="18"/>
  <c r="AE689" i="18"/>
  <c r="AF689" i="18"/>
  <c r="AG689" i="18"/>
  <c r="AH689" i="18"/>
  <c r="AI689" i="18"/>
  <c r="AJ689" i="18"/>
  <c r="AK689" i="18"/>
  <c r="AL689" i="18"/>
  <c r="AM689" i="18"/>
  <c r="AN689" i="18"/>
  <c r="AO689" i="18"/>
  <c r="AP689" i="18"/>
  <c r="AQ689" i="18"/>
  <c r="AR689" i="18"/>
  <c r="AS689" i="18"/>
  <c r="AT689" i="18"/>
  <c r="AA692" i="18"/>
  <c r="AB692" i="18"/>
  <c r="AC692" i="18"/>
  <c r="AD692" i="18"/>
  <c r="AE692" i="18"/>
  <c r="AF692" i="18"/>
  <c r="AG692" i="18"/>
  <c r="AH692" i="18"/>
  <c r="AI692" i="18"/>
  <c r="AJ692" i="18"/>
  <c r="AK692" i="18"/>
  <c r="AL692" i="18"/>
  <c r="AM692" i="18"/>
  <c r="AN692" i="18"/>
  <c r="AO692" i="18"/>
  <c r="AP692" i="18"/>
  <c r="AQ692" i="18"/>
  <c r="AR692" i="18"/>
  <c r="AS692" i="18"/>
  <c r="AT692" i="18"/>
  <c r="AA695" i="18"/>
  <c r="AB695" i="18"/>
  <c r="AC695" i="18"/>
  <c r="AD695" i="18"/>
  <c r="AE695" i="18"/>
  <c r="AF695" i="18"/>
  <c r="AG695" i="18"/>
  <c r="AH695" i="18"/>
  <c r="AI695" i="18"/>
  <c r="AJ695" i="18"/>
  <c r="AK695" i="18"/>
  <c r="AL695" i="18"/>
  <c r="AM695" i="18"/>
  <c r="AN695" i="18"/>
  <c r="AO695" i="18"/>
  <c r="AP695" i="18"/>
  <c r="AQ695" i="18"/>
  <c r="AR695" i="18"/>
  <c r="AS695" i="18"/>
  <c r="AT695" i="18"/>
  <c r="AA698" i="18"/>
  <c r="AB698" i="18"/>
  <c r="AC698" i="18"/>
  <c r="AD698" i="18"/>
  <c r="AE698" i="18"/>
  <c r="AF698" i="18"/>
  <c r="AG698" i="18"/>
  <c r="AH698" i="18"/>
  <c r="AI698" i="18"/>
  <c r="AJ698" i="18"/>
  <c r="AK698" i="18"/>
  <c r="AL698" i="18"/>
  <c r="AM698" i="18"/>
  <c r="AN698" i="18"/>
  <c r="AO698" i="18"/>
  <c r="AP698" i="18"/>
  <c r="AQ698" i="18"/>
  <c r="AR698" i="18"/>
  <c r="AS698" i="18"/>
  <c r="AT698" i="18"/>
  <c r="AA701" i="18"/>
  <c r="AB701" i="18"/>
  <c r="AV701" i="18" s="1"/>
  <c r="AY740" i="16" s="1"/>
  <c r="AC701" i="18"/>
  <c r="AD701" i="18"/>
  <c r="AE701" i="18"/>
  <c r="AF701" i="18"/>
  <c r="AG701" i="18"/>
  <c r="AH701" i="18"/>
  <c r="AI701" i="18"/>
  <c r="AJ701" i="18"/>
  <c r="AK701" i="18"/>
  <c r="AL701" i="18"/>
  <c r="AM701" i="18"/>
  <c r="AN701" i="18"/>
  <c r="AO701" i="18"/>
  <c r="AP701" i="18"/>
  <c r="AQ701" i="18"/>
  <c r="AR701" i="18"/>
  <c r="AS701" i="18"/>
  <c r="AT701" i="18"/>
  <c r="AA704" i="18"/>
  <c r="AB704" i="18"/>
  <c r="AC704" i="18"/>
  <c r="AD704" i="18"/>
  <c r="AE704" i="18"/>
  <c r="AF704" i="18"/>
  <c r="AG704" i="18"/>
  <c r="AH704" i="18"/>
  <c r="AI704" i="18"/>
  <c r="AJ704" i="18"/>
  <c r="AK704" i="18"/>
  <c r="AL704" i="18"/>
  <c r="AM704" i="18"/>
  <c r="AN704" i="18"/>
  <c r="AO704" i="18"/>
  <c r="AP704" i="18"/>
  <c r="AQ704" i="18"/>
  <c r="AR704" i="18"/>
  <c r="AS704" i="18"/>
  <c r="AT704" i="18"/>
  <c r="AA707" i="18"/>
  <c r="AB707" i="18"/>
  <c r="AV707" i="18" s="1"/>
  <c r="AY746" i="16" s="1"/>
  <c r="AC707" i="18"/>
  <c r="AD707" i="18"/>
  <c r="AE707" i="18"/>
  <c r="AF707" i="18"/>
  <c r="AG707" i="18"/>
  <c r="AH707" i="18"/>
  <c r="AI707" i="18"/>
  <c r="AJ707" i="18"/>
  <c r="AK707" i="18"/>
  <c r="AL707" i="18"/>
  <c r="AM707" i="18"/>
  <c r="AN707" i="18"/>
  <c r="AO707" i="18"/>
  <c r="AP707" i="18"/>
  <c r="AQ707" i="18"/>
  <c r="AR707" i="18"/>
  <c r="AS707" i="18"/>
  <c r="AT707" i="18"/>
  <c r="AA710" i="18"/>
  <c r="AB710" i="18"/>
  <c r="AC710" i="18"/>
  <c r="AD710" i="18"/>
  <c r="AE710" i="18"/>
  <c r="AF710" i="18"/>
  <c r="AG710" i="18"/>
  <c r="AH710" i="18"/>
  <c r="AI710" i="18"/>
  <c r="AJ710" i="18"/>
  <c r="AK710" i="18"/>
  <c r="AL710" i="18"/>
  <c r="AM710" i="18"/>
  <c r="AN710" i="18"/>
  <c r="AO710" i="18"/>
  <c r="AP710" i="18"/>
  <c r="AQ710" i="18"/>
  <c r="AR710" i="18"/>
  <c r="AS710" i="18"/>
  <c r="AT710" i="18"/>
  <c r="AA713" i="18"/>
  <c r="AB713" i="18"/>
  <c r="AC713" i="18"/>
  <c r="AD713" i="18"/>
  <c r="AE713" i="18"/>
  <c r="AF713" i="18"/>
  <c r="AG713" i="18"/>
  <c r="AH713" i="18"/>
  <c r="AI713" i="18"/>
  <c r="AJ713" i="18"/>
  <c r="AK713" i="18"/>
  <c r="AL713" i="18"/>
  <c r="AM713" i="18"/>
  <c r="AN713" i="18"/>
  <c r="AO713" i="18"/>
  <c r="AP713" i="18"/>
  <c r="AQ713" i="18"/>
  <c r="AR713" i="18"/>
  <c r="AS713" i="18"/>
  <c r="AT713" i="18"/>
  <c r="AA716" i="18"/>
  <c r="AB716" i="18"/>
  <c r="AC716" i="18"/>
  <c r="AD716" i="18"/>
  <c r="AE716" i="18"/>
  <c r="AF716" i="18"/>
  <c r="AG716" i="18"/>
  <c r="AH716" i="18"/>
  <c r="AI716" i="18"/>
  <c r="AJ716" i="18"/>
  <c r="AK716" i="18"/>
  <c r="AL716" i="18"/>
  <c r="AM716" i="18"/>
  <c r="AN716" i="18"/>
  <c r="AO716" i="18"/>
  <c r="AP716" i="18"/>
  <c r="AQ716" i="18"/>
  <c r="AR716" i="18"/>
  <c r="AS716" i="18"/>
  <c r="AT716" i="18"/>
  <c r="AA719" i="18"/>
  <c r="AB719" i="18"/>
  <c r="AV719" i="18" s="1"/>
  <c r="AY758" i="16" s="1"/>
  <c r="AC719" i="18"/>
  <c r="AD719" i="18"/>
  <c r="AE719" i="18"/>
  <c r="AF719" i="18"/>
  <c r="AG719" i="18"/>
  <c r="AH719" i="18"/>
  <c r="AI719" i="18"/>
  <c r="AJ719" i="18"/>
  <c r="AK719" i="18"/>
  <c r="AL719" i="18"/>
  <c r="AM719" i="18"/>
  <c r="AN719" i="18"/>
  <c r="AO719" i="18"/>
  <c r="AP719" i="18"/>
  <c r="AQ719" i="18"/>
  <c r="AR719" i="18"/>
  <c r="AS719" i="18"/>
  <c r="AT719" i="18"/>
  <c r="AA722" i="18"/>
  <c r="AB722" i="18"/>
  <c r="AC722" i="18"/>
  <c r="AD722" i="18"/>
  <c r="AE722" i="18"/>
  <c r="AF722" i="18"/>
  <c r="AG722" i="18"/>
  <c r="AH722" i="18"/>
  <c r="AI722" i="18"/>
  <c r="AJ722" i="18"/>
  <c r="AK722" i="18"/>
  <c r="AL722" i="18"/>
  <c r="AM722" i="18"/>
  <c r="AN722" i="18"/>
  <c r="AO722" i="18"/>
  <c r="AP722" i="18"/>
  <c r="AQ722" i="18"/>
  <c r="AR722" i="18"/>
  <c r="AS722" i="18"/>
  <c r="AT722" i="18"/>
  <c r="AA725" i="18"/>
  <c r="AB725" i="18"/>
  <c r="AC725" i="18"/>
  <c r="AD725" i="18"/>
  <c r="AE725" i="18"/>
  <c r="AF725" i="18"/>
  <c r="AG725" i="18"/>
  <c r="AH725" i="18"/>
  <c r="AI725" i="18"/>
  <c r="AJ725" i="18"/>
  <c r="AK725" i="18"/>
  <c r="AL725" i="18"/>
  <c r="AM725" i="18"/>
  <c r="AN725" i="18"/>
  <c r="AO725" i="18"/>
  <c r="AP725" i="18"/>
  <c r="AQ725" i="18"/>
  <c r="AR725" i="18"/>
  <c r="AS725" i="18"/>
  <c r="AT725" i="18"/>
  <c r="AA728" i="18"/>
  <c r="AB728" i="18"/>
  <c r="AC728" i="18"/>
  <c r="AD728" i="18"/>
  <c r="AE728" i="18"/>
  <c r="AF728" i="18"/>
  <c r="AG728" i="18"/>
  <c r="AH728" i="18"/>
  <c r="AI728" i="18"/>
  <c r="AJ728" i="18"/>
  <c r="AK728" i="18"/>
  <c r="AL728" i="18"/>
  <c r="AM728" i="18"/>
  <c r="AN728" i="18"/>
  <c r="AO728" i="18"/>
  <c r="AP728" i="18"/>
  <c r="AQ728" i="18"/>
  <c r="AR728" i="18"/>
  <c r="AS728" i="18"/>
  <c r="AT728" i="18"/>
  <c r="AA731" i="18"/>
  <c r="AB731" i="18"/>
  <c r="AC731" i="18"/>
  <c r="AD731" i="18"/>
  <c r="AE731" i="18"/>
  <c r="AF731" i="18"/>
  <c r="AG731" i="18"/>
  <c r="AH731" i="18"/>
  <c r="AI731" i="18"/>
  <c r="AJ731" i="18"/>
  <c r="AK731" i="18"/>
  <c r="AL731" i="18"/>
  <c r="AM731" i="18"/>
  <c r="AN731" i="18"/>
  <c r="AO731" i="18"/>
  <c r="AP731" i="18"/>
  <c r="AQ731" i="18"/>
  <c r="AR731" i="18"/>
  <c r="AS731" i="18"/>
  <c r="AT731" i="18"/>
  <c r="AA734" i="18"/>
  <c r="AB734" i="18"/>
  <c r="AC734" i="18"/>
  <c r="AD734" i="18"/>
  <c r="AE734" i="18"/>
  <c r="AF734" i="18"/>
  <c r="AG734" i="18"/>
  <c r="AH734" i="18"/>
  <c r="AI734" i="18"/>
  <c r="AJ734" i="18"/>
  <c r="AK734" i="18"/>
  <c r="AL734" i="18"/>
  <c r="AM734" i="18"/>
  <c r="AN734" i="18"/>
  <c r="AO734" i="18"/>
  <c r="AP734" i="18"/>
  <c r="AQ734" i="18"/>
  <c r="AR734" i="18"/>
  <c r="AS734" i="18"/>
  <c r="AT734" i="18"/>
  <c r="AA737" i="18"/>
  <c r="AB737" i="18"/>
  <c r="AC737" i="18"/>
  <c r="AD737" i="18"/>
  <c r="AE737" i="18"/>
  <c r="AF737" i="18"/>
  <c r="AG737" i="18"/>
  <c r="AH737" i="18"/>
  <c r="AI737" i="18"/>
  <c r="AJ737" i="18"/>
  <c r="AK737" i="18"/>
  <c r="AL737" i="18"/>
  <c r="AM737" i="18"/>
  <c r="AN737" i="18"/>
  <c r="AO737" i="18"/>
  <c r="AP737" i="18"/>
  <c r="AQ737" i="18"/>
  <c r="AR737" i="18"/>
  <c r="AS737" i="18"/>
  <c r="AT737" i="18"/>
  <c r="AA740" i="18"/>
  <c r="AB740" i="18"/>
  <c r="AC740" i="18"/>
  <c r="AD740" i="18"/>
  <c r="AE740" i="18"/>
  <c r="AF740" i="18"/>
  <c r="AG740" i="18"/>
  <c r="AH740" i="18"/>
  <c r="AI740" i="18"/>
  <c r="AJ740" i="18"/>
  <c r="AK740" i="18"/>
  <c r="AL740" i="18"/>
  <c r="AM740" i="18"/>
  <c r="AN740" i="18"/>
  <c r="AO740" i="18"/>
  <c r="AP740" i="18"/>
  <c r="AQ740" i="18"/>
  <c r="AR740" i="18"/>
  <c r="AS740" i="18"/>
  <c r="AT740" i="18"/>
  <c r="AA743" i="18"/>
  <c r="AB743" i="18"/>
  <c r="AV743" i="18" s="1"/>
  <c r="AY782" i="16" s="1"/>
  <c r="AC743" i="18"/>
  <c r="AD743" i="18"/>
  <c r="AE743" i="18"/>
  <c r="AF743" i="18"/>
  <c r="AG743" i="18"/>
  <c r="AH743" i="18"/>
  <c r="AI743" i="18"/>
  <c r="AJ743" i="18"/>
  <c r="AK743" i="18"/>
  <c r="AL743" i="18"/>
  <c r="AM743" i="18"/>
  <c r="AN743" i="18"/>
  <c r="AO743" i="18"/>
  <c r="AP743" i="18"/>
  <c r="AQ743" i="18"/>
  <c r="AR743" i="18"/>
  <c r="AS743" i="18"/>
  <c r="AT743" i="18"/>
  <c r="AA746" i="18"/>
  <c r="AB746" i="18"/>
  <c r="AC746" i="18"/>
  <c r="AD746" i="18"/>
  <c r="AE746" i="18"/>
  <c r="AF746" i="18"/>
  <c r="AG746" i="18"/>
  <c r="AH746" i="18"/>
  <c r="AI746" i="18"/>
  <c r="AJ746" i="18"/>
  <c r="AK746" i="18"/>
  <c r="AL746" i="18"/>
  <c r="AM746" i="18"/>
  <c r="AN746" i="18"/>
  <c r="AO746" i="18"/>
  <c r="AP746" i="18"/>
  <c r="AQ746" i="18"/>
  <c r="AR746" i="18"/>
  <c r="AS746" i="18"/>
  <c r="AT746" i="18"/>
  <c r="AB644" i="18"/>
  <c r="AC644" i="18"/>
  <c r="AD644" i="18"/>
  <c r="AE644" i="18"/>
  <c r="AF644" i="18"/>
  <c r="AG644" i="18"/>
  <c r="AH644" i="18"/>
  <c r="AI644" i="18"/>
  <c r="AJ644" i="18"/>
  <c r="AK644" i="18"/>
  <c r="AL644" i="18"/>
  <c r="AM644" i="18"/>
  <c r="AN644" i="18"/>
  <c r="AO644" i="18"/>
  <c r="AP644" i="18"/>
  <c r="AQ644" i="18"/>
  <c r="AR644" i="18"/>
  <c r="AS644" i="18"/>
  <c r="AT644" i="18"/>
  <c r="AA644" i="18"/>
  <c r="B647" i="18"/>
  <c r="C647" i="18"/>
  <c r="D647" i="18"/>
  <c r="E647" i="18"/>
  <c r="F647" i="18"/>
  <c r="G647" i="18"/>
  <c r="H647" i="18"/>
  <c r="I647" i="18"/>
  <c r="J647" i="18"/>
  <c r="K647" i="18"/>
  <c r="L647" i="18"/>
  <c r="M647" i="18"/>
  <c r="N647" i="18"/>
  <c r="O647" i="18"/>
  <c r="P647" i="18"/>
  <c r="Q647" i="18"/>
  <c r="R647" i="18"/>
  <c r="S647" i="18"/>
  <c r="T647" i="18"/>
  <c r="U647" i="18"/>
  <c r="B650" i="18"/>
  <c r="C650" i="18"/>
  <c r="D650" i="18"/>
  <c r="E650" i="18"/>
  <c r="F650" i="18"/>
  <c r="G650" i="18"/>
  <c r="H650" i="18"/>
  <c r="I650" i="18"/>
  <c r="J650" i="18"/>
  <c r="K650" i="18"/>
  <c r="L650" i="18"/>
  <c r="M650" i="18"/>
  <c r="N650" i="18"/>
  <c r="O650" i="18"/>
  <c r="P650" i="18"/>
  <c r="Q650" i="18"/>
  <c r="R650" i="18"/>
  <c r="S650" i="18"/>
  <c r="T650" i="18"/>
  <c r="U650" i="18"/>
  <c r="B653" i="18"/>
  <c r="C653" i="18"/>
  <c r="D653" i="18"/>
  <c r="E653" i="18"/>
  <c r="F653" i="18"/>
  <c r="G653" i="18"/>
  <c r="H653" i="18"/>
  <c r="I653" i="18"/>
  <c r="J653" i="18"/>
  <c r="K653" i="18"/>
  <c r="L653" i="18"/>
  <c r="M653" i="18"/>
  <c r="N653" i="18"/>
  <c r="O653" i="18"/>
  <c r="P653" i="18"/>
  <c r="Q653" i="18"/>
  <c r="R653" i="18"/>
  <c r="S653" i="18"/>
  <c r="T653" i="18"/>
  <c r="U653" i="18"/>
  <c r="B656" i="18"/>
  <c r="C656" i="18"/>
  <c r="D656" i="18"/>
  <c r="E656" i="18"/>
  <c r="F656" i="18"/>
  <c r="G656" i="18"/>
  <c r="H656" i="18"/>
  <c r="I656" i="18"/>
  <c r="J656" i="18"/>
  <c r="K656" i="18"/>
  <c r="L656" i="18"/>
  <c r="M656" i="18"/>
  <c r="N656" i="18"/>
  <c r="O656" i="18"/>
  <c r="P656" i="18"/>
  <c r="Q656" i="18"/>
  <c r="R656" i="18"/>
  <c r="S656" i="18"/>
  <c r="T656" i="18"/>
  <c r="U656" i="18"/>
  <c r="B659" i="18"/>
  <c r="C659" i="18"/>
  <c r="D659" i="18"/>
  <c r="E659" i="18"/>
  <c r="F659" i="18"/>
  <c r="G659" i="18"/>
  <c r="H659" i="18"/>
  <c r="I659" i="18"/>
  <c r="J659" i="18"/>
  <c r="K659" i="18"/>
  <c r="L659" i="18"/>
  <c r="M659" i="18"/>
  <c r="N659" i="18"/>
  <c r="O659" i="18"/>
  <c r="P659" i="18"/>
  <c r="Q659" i="18"/>
  <c r="R659" i="18"/>
  <c r="S659" i="18"/>
  <c r="T659" i="18"/>
  <c r="U659" i="18"/>
  <c r="B662" i="18"/>
  <c r="C662" i="18"/>
  <c r="D662" i="18"/>
  <c r="E662" i="18"/>
  <c r="F662" i="18"/>
  <c r="G662" i="18"/>
  <c r="H662" i="18"/>
  <c r="I662" i="18"/>
  <c r="J662" i="18"/>
  <c r="K662" i="18"/>
  <c r="L662" i="18"/>
  <c r="M662" i="18"/>
  <c r="N662" i="18"/>
  <c r="O662" i="18"/>
  <c r="P662" i="18"/>
  <c r="Q662" i="18"/>
  <c r="R662" i="18"/>
  <c r="S662" i="18"/>
  <c r="T662" i="18"/>
  <c r="U662" i="18"/>
  <c r="B665" i="18"/>
  <c r="C665" i="18"/>
  <c r="D665" i="18"/>
  <c r="E665" i="18"/>
  <c r="F665" i="18"/>
  <c r="G665" i="18"/>
  <c r="H665" i="18"/>
  <c r="I665" i="18"/>
  <c r="J665" i="18"/>
  <c r="K665" i="18"/>
  <c r="L665" i="18"/>
  <c r="M665" i="18"/>
  <c r="N665" i="18"/>
  <c r="O665" i="18"/>
  <c r="P665" i="18"/>
  <c r="Q665" i="18"/>
  <c r="R665" i="18"/>
  <c r="S665" i="18"/>
  <c r="T665" i="18"/>
  <c r="U665" i="18"/>
  <c r="B668" i="18"/>
  <c r="C668" i="18"/>
  <c r="D668" i="18"/>
  <c r="E668" i="18"/>
  <c r="F668" i="18"/>
  <c r="G668" i="18"/>
  <c r="H668" i="18"/>
  <c r="I668" i="18"/>
  <c r="J668" i="18"/>
  <c r="K668" i="18"/>
  <c r="L668" i="18"/>
  <c r="M668" i="18"/>
  <c r="N668" i="18"/>
  <c r="O668" i="18"/>
  <c r="P668" i="18"/>
  <c r="Q668" i="18"/>
  <c r="R668" i="18"/>
  <c r="S668" i="18"/>
  <c r="T668" i="18"/>
  <c r="U668" i="18"/>
  <c r="B671" i="18"/>
  <c r="C671" i="18"/>
  <c r="D671" i="18"/>
  <c r="E671" i="18"/>
  <c r="F671" i="18"/>
  <c r="G671" i="18"/>
  <c r="H671" i="18"/>
  <c r="I671" i="18"/>
  <c r="J671" i="18"/>
  <c r="K671" i="18"/>
  <c r="L671" i="18"/>
  <c r="M671" i="18"/>
  <c r="N671" i="18"/>
  <c r="O671" i="18"/>
  <c r="P671" i="18"/>
  <c r="Q671" i="18"/>
  <c r="R671" i="18"/>
  <c r="S671" i="18"/>
  <c r="T671" i="18"/>
  <c r="U671" i="18"/>
  <c r="B674" i="18"/>
  <c r="C674" i="18"/>
  <c r="D674" i="18"/>
  <c r="E674" i="18"/>
  <c r="F674" i="18"/>
  <c r="G674" i="18"/>
  <c r="H674" i="18"/>
  <c r="I674" i="18"/>
  <c r="J674" i="18"/>
  <c r="K674" i="18"/>
  <c r="L674" i="18"/>
  <c r="M674" i="18"/>
  <c r="N674" i="18"/>
  <c r="O674" i="18"/>
  <c r="P674" i="18"/>
  <c r="Q674" i="18"/>
  <c r="R674" i="18"/>
  <c r="S674" i="18"/>
  <c r="T674" i="18"/>
  <c r="U674" i="18"/>
  <c r="B677" i="18"/>
  <c r="C677" i="18"/>
  <c r="D677" i="18"/>
  <c r="E677" i="18"/>
  <c r="F677" i="18"/>
  <c r="G677" i="18"/>
  <c r="H677" i="18"/>
  <c r="I677" i="18"/>
  <c r="J677" i="18"/>
  <c r="K677" i="18"/>
  <c r="L677" i="18"/>
  <c r="M677" i="18"/>
  <c r="N677" i="18"/>
  <c r="O677" i="18"/>
  <c r="P677" i="18"/>
  <c r="Q677" i="18"/>
  <c r="R677" i="18"/>
  <c r="S677" i="18"/>
  <c r="T677" i="18"/>
  <c r="U677" i="18"/>
  <c r="B680" i="18"/>
  <c r="C680" i="18"/>
  <c r="D680" i="18"/>
  <c r="E680" i="18"/>
  <c r="F680" i="18"/>
  <c r="G680" i="18"/>
  <c r="H680" i="18"/>
  <c r="I680" i="18"/>
  <c r="J680" i="18"/>
  <c r="K680" i="18"/>
  <c r="L680" i="18"/>
  <c r="M680" i="18"/>
  <c r="N680" i="18"/>
  <c r="O680" i="18"/>
  <c r="P680" i="18"/>
  <c r="Q680" i="18"/>
  <c r="R680" i="18"/>
  <c r="S680" i="18"/>
  <c r="T680" i="18"/>
  <c r="U680" i="18"/>
  <c r="B683" i="18"/>
  <c r="C683" i="18"/>
  <c r="D683" i="18"/>
  <c r="E683" i="18"/>
  <c r="F683" i="18"/>
  <c r="G683" i="18"/>
  <c r="H683" i="18"/>
  <c r="I683" i="18"/>
  <c r="J683" i="18"/>
  <c r="K683" i="18"/>
  <c r="L683" i="18"/>
  <c r="M683" i="18"/>
  <c r="N683" i="18"/>
  <c r="O683" i="18"/>
  <c r="P683" i="18"/>
  <c r="Q683" i="18"/>
  <c r="R683" i="18"/>
  <c r="S683" i="18"/>
  <c r="T683" i="18"/>
  <c r="U683" i="18"/>
  <c r="B686" i="18"/>
  <c r="C686" i="18"/>
  <c r="D686" i="18"/>
  <c r="E686" i="18"/>
  <c r="F686" i="18"/>
  <c r="G686" i="18"/>
  <c r="H686" i="18"/>
  <c r="I686" i="18"/>
  <c r="J686" i="18"/>
  <c r="K686" i="18"/>
  <c r="L686" i="18"/>
  <c r="M686" i="18"/>
  <c r="N686" i="18"/>
  <c r="O686" i="18"/>
  <c r="P686" i="18"/>
  <c r="Q686" i="18"/>
  <c r="R686" i="18"/>
  <c r="S686" i="18"/>
  <c r="T686" i="18"/>
  <c r="U686" i="18"/>
  <c r="B689" i="18"/>
  <c r="C689" i="18"/>
  <c r="D689" i="18"/>
  <c r="E689" i="18"/>
  <c r="F689" i="18"/>
  <c r="G689" i="18"/>
  <c r="H689" i="18"/>
  <c r="I689" i="18"/>
  <c r="J689" i="18"/>
  <c r="K689" i="18"/>
  <c r="L689" i="18"/>
  <c r="M689" i="18"/>
  <c r="N689" i="18"/>
  <c r="O689" i="18"/>
  <c r="P689" i="18"/>
  <c r="Q689" i="18"/>
  <c r="R689" i="18"/>
  <c r="S689" i="18"/>
  <c r="T689" i="18"/>
  <c r="U689" i="18"/>
  <c r="B692" i="18"/>
  <c r="C692" i="18"/>
  <c r="D692" i="18"/>
  <c r="E692" i="18"/>
  <c r="F692" i="18"/>
  <c r="G692" i="18"/>
  <c r="H692" i="18"/>
  <c r="I692" i="18"/>
  <c r="J692" i="18"/>
  <c r="K692" i="18"/>
  <c r="L692" i="18"/>
  <c r="M692" i="18"/>
  <c r="N692" i="18"/>
  <c r="O692" i="18"/>
  <c r="P692" i="18"/>
  <c r="Q692" i="18"/>
  <c r="R692" i="18"/>
  <c r="S692" i="18"/>
  <c r="T692" i="18"/>
  <c r="U692" i="18"/>
  <c r="B695" i="18"/>
  <c r="C695" i="18"/>
  <c r="D695" i="18"/>
  <c r="E695" i="18"/>
  <c r="F695" i="18"/>
  <c r="G695" i="18"/>
  <c r="H695" i="18"/>
  <c r="I695" i="18"/>
  <c r="J695" i="18"/>
  <c r="K695" i="18"/>
  <c r="L695" i="18"/>
  <c r="M695" i="18"/>
  <c r="N695" i="18"/>
  <c r="O695" i="18"/>
  <c r="P695" i="18"/>
  <c r="Q695" i="18"/>
  <c r="R695" i="18"/>
  <c r="S695" i="18"/>
  <c r="T695" i="18"/>
  <c r="U695" i="18"/>
  <c r="B698" i="18"/>
  <c r="C698" i="18"/>
  <c r="D698" i="18"/>
  <c r="E698" i="18"/>
  <c r="F698" i="18"/>
  <c r="G698" i="18"/>
  <c r="H698" i="18"/>
  <c r="I698" i="18"/>
  <c r="J698" i="18"/>
  <c r="K698" i="18"/>
  <c r="L698" i="18"/>
  <c r="M698" i="18"/>
  <c r="N698" i="18"/>
  <c r="O698" i="18"/>
  <c r="P698" i="18"/>
  <c r="Q698" i="18"/>
  <c r="R698" i="18"/>
  <c r="S698" i="18"/>
  <c r="T698" i="18"/>
  <c r="U698" i="18"/>
  <c r="B701" i="18"/>
  <c r="C701" i="18"/>
  <c r="D701" i="18"/>
  <c r="E701" i="18"/>
  <c r="F701" i="18"/>
  <c r="G701" i="18"/>
  <c r="H701" i="18"/>
  <c r="I701" i="18"/>
  <c r="J701" i="18"/>
  <c r="K701" i="18"/>
  <c r="L701" i="18"/>
  <c r="M701" i="18"/>
  <c r="N701" i="18"/>
  <c r="O701" i="18"/>
  <c r="P701" i="18"/>
  <c r="Q701" i="18"/>
  <c r="R701" i="18"/>
  <c r="S701" i="18"/>
  <c r="T701" i="18"/>
  <c r="U701" i="18"/>
  <c r="B704" i="18"/>
  <c r="C704" i="18"/>
  <c r="D704" i="18"/>
  <c r="E704" i="18"/>
  <c r="F704" i="18"/>
  <c r="G704" i="18"/>
  <c r="H704" i="18"/>
  <c r="I704" i="18"/>
  <c r="J704" i="18"/>
  <c r="K704" i="18"/>
  <c r="L704" i="18"/>
  <c r="M704" i="18"/>
  <c r="N704" i="18"/>
  <c r="O704" i="18"/>
  <c r="P704" i="18"/>
  <c r="Q704" i="18"/>
  <c r="R704" i="18"/>
  <c r="S704" i="18"/>
  <c r="T704" i="18"/>
  <c r="U704" i="18"/>
  <c r="B707" i="18"/>
  <c r="C707" i="18"/>
  <c r="D707" i="18"/>
  <c r="E707" i="18"/>
  <c r="F707" i="18"/>
  <c r="G707" i="18"/>
  <c r="H707" i="18"/>
  <c r="I707" i="18"/>
  <c r="J707" i="18"/>
  <c r="K707" i="18"/>
  <c r="L707" i="18"/>
  <c r="M707" i="18"/>
  <c r="N707" i="18"/>
  <c r="O707" i="18"/>
  <c r="P707" i="18"/>
  <c r="Q707" i="18"/>
  <c r="R707" i="18"/>
  <c r="S707" i="18"/>
  <c r="T707" i="18"/>
  <c r="U707" i="18"/>
  <c r="B710" i="18"/>
  <c r="C710" i="18"/>
  <c r="D710" i="18"/>
  <c r="E710" i="18"/>
  <c r="F710" i="18"/>
  <c r="G710" i="18"/>
  <c r="H710" i="18"/>
  <c r="I710" i="18"/>
  <c r="J710" i="18"/>
  <c r="K710" i="18"/>
  <c r="L710" i="18"/>
  <c r="M710" i="18"/>
  <c r="N710" i="18"/>
  <c r="O710" i="18"/>
  <c r="P710" i="18"/>
  <c r="Q710" i="18"/>
  <c r="R710" i="18"/>
  <c r="S710" i="18"/>
  <c r="T710" i="18"/>
  <c r="U710" i="18"/>
  <c r="B713" i="18"/>
  <c r="C713" i="18"/>
  <c r="D713" i="18"/>
  <c r="E713" i="18"/>
  <c r="F713" i="18"/>
  <c r="G713" i="18"/>
  <c r="H713" i="18"/>
  <c r="I713" i="18"/>
  <c r="J713" i="18"/>
  <c r="K713" i="18"/>
  <c r="L713" i="18"/>
  <c r="M713" i="18"/>
  <c r="N713" i="18"/>
  <c r="O713" i="18"/>
  <c r="P713" i="18"/>
  <c r="Q713" i="18"/>
  <c r="R713" i="18"/>
  <c r="S713" i="18"/>
  <c r="T713" i="18"/>
  <c r="U713" i="18"/>
  <c r="B716" i="18"/>
  <c r="C716" i="18"/>
  <c r="D716" i="18"/>
  <c r="E716" i="18"/>
  <c r="F716" i="18"/>
  <c r="G716" i="18"/>
  <c r="H716" i="18"/>
  <c r="I716" i="18"/>
  <c r="J716" i="18"/>
  <c r="K716" i="18"/>
  <c r="L716" i="18"/>
  <c r="M716" i="18"/>
  <c r="N716" i="18"/>
  <c r="O716" i="18"/>
  <c r="P716" i="18"/>
  <c r="Q716" i="18"/>
  <c r="R716" i="18"/>
  <c r="S716" i="18"/>
  <c r="T716" i="18"/>
  <c r="U716" i="18"/>
  <c r="B719" i="18"/>
  <c r="C719" i="18"/>
  <c r="D719" i="18"/>
  <c r="E719" i="18"/>
  <c r="F719" i="18"/>
  <c r="G719" i="18"/>
  <c r="H719" i="18"/>
  <c r="I719" i="18"/>
  <c r="J719" i="18"/>
  <c r="K719" i="18"/>
  <c r="L719" i="18"/>
  <c r="M719" i="18"/>
  <c r="N719" i="18"/>
  <c r="O719" i="18"/>
  <c r="P719" i="18"/>
  <c r="Q719" i="18"/>
  <c r="R719" i="18"/>
  <c r="S719" i="18"/>
  <c r="T719" i="18"/>
  <c r="U719" i="18"/>
  <c r="B722" i="18"/>
  <c r="C722" i="18"/>
  <c r="D722" i="18"/>
  <c r="E722" i="18"/>
  <c r="F722" i="18"/>
  <c r="G722" i="18"/>
  <c r="H722" i="18"/>
  <c r="I722" i="18"/>
  <c r="J722" i="18"/>
  <c r="K722" i="18"/>
  <c r="L722" i="18"/>
  <c r="M722" i="18"/>
  <c r="N722" i="18"/>
  <c r="O722" i="18"/>
  <c r="P722" i="18"/>
  <c r="Q722" i="18"/>
  <c r="R722" i="18"/>
  <c r="S722" i="18"/>
  <c r="T722" i="18"/>
  <c r="U722" i="18"/>
  <c r="B725" i="18"/>
  <c r="C725" i="18"/>
  <c r="D725" i="18"/>
  <c r="E725" i="18"/>
  <c r="F725" i="18"/>
  <c r="G725" i="18"/>
  <c r="H725" i="18"/>
  <c r="I725" i="18"/>
  <c r="J725" i="18"/>
  <c r="K725" i="18"/>
  <c r="L725" i="18"/>
  <c r="M725" i="18"/>
  <c r="N725" i="18"/>
  <c r="O725" i="18"/>
  <c r="P725" i="18"/>
  <c r="Q725" i="18"/>
  <c r="R725" i="18"/>
  <c r="S725" i="18"/>
  <c r="T725" i="18"/>
  <c r="U725" i="18"/>
  <c r="B728" i="18"/>
  <c r="C728" i="18"/>
  <c r="D728" i="18"/>
  <c r="E728" i="18"/>
  <c r="F728" i="18"/>
  <c r="G728" i="18"/>
  <c r="H728" i="18"/>
  <c r="I728" i="18"/>
  <c r="J728" i="18"/>
  <c r="K728" i="18"/>
  <c r="L728" i="18"/>
  <c r="M728" i="18"/>
  <c r="N728" i="18"/>
  <c r="O728" i="18"/>
  <c r="P728" i="18"/>
  <c r="Q728" i="18"/>
  <c r="R728" i="18"/>
  <c r="S728" i="18"/>
  <c r="T728" i="18"/>
  <c r="U728" i="18"/>
  <c r="B731" i="18"/>
  <c r="C731" i="18"/>
  <c r="D731" i="18"/>
  <c r="E731" i="18"/>
  <c r="F731" i="18"/>
  <c r="G731" i="18"/>
  <c r="H731" i="18"/>
  <c r="I731" i="18"/>
  <c r="J731" i="18"/>
  <c r="K731" i="18"/>
  <c r="L731" i="18"/>
  <c r="M731" i="18"/>
  <c r="N731" i="18"/>
  <c r="O731" i="18"/>
  <c r="P731" i="18"/>
  <c r="Q731" i="18"/>
  <c r="R731" i="18"/>
  <c r="S731" i="18"/>
  <c r="T731" i="18"/>
  <c r="U731" i="18"/>
  <c r="B734" i="18"/>
  <c r="C734" i="18"/>
  <c r="D734" i="18"/>
  <c r="E734" i="18"/>
  <c r="F734" i="18"/>
  <c r="G734" i="18"/>
  <c r="H734" i="18"/>
  <c r="I734" i="18"/>
  <c r="J734" i="18"/>
  <c r="K734" i="18"/>
  <c r="L734" i="18"/>
  <c r="M734" i="18"/>
  <c r="N734" i="18"/>
  <c r="O734" i="18"/>
  <c r="P734" i="18"/>
  <c r="Q734" i="18"/>
  <c r="R734" i="18"/>
  <c r="S734" i="18"/>
  <c r="T734" i="18"/>
  <c r="U734" i="18"/>
  <c r="B737" i="18"/>
  <c r="C737" i="18"/>
  <c r="D737" i="18"/>
  <c r="E737" i="18"/>
  <c r="F737" i="18"/>
  <c r="G737" i="18"/>
  <c r="H737" i="18"/>
  <c r="I737" i="18"/>
  <c r="J737" i="18"/>
  <c r="K737" i="18"/>
  <c r="L737" i="18"/>
  <c r="M737" i="18"/>
  <c r="N737" i="18"/>
  <c r="O737" i="18"/>
  <c r="P737" i="18"/>
  <c r="Q737" i="18"/>
  <c r="R737" i="18"/>
  <c r="S737" i="18"/>
  <c r="T737" i="18"/>
  <c r="U737" i="18"/>
  <c r="B740" i="18"/>
  <c r="C740" i="18"/>
  <c r="D740" i="18"/>
  <c r="E740" i="18"/>
  <c r="F740" i="18"/>
  <c r="G740" i="18"/>
  <c r="H740" i="18"/>
  <c r="I740" i="18"/>
  <c r="J740" i="18"/>
  <c r="K740" i="18"/>
  <c r="L740" i="18"/>
  <c r="M740" i="18"/>
  <c r="N740" i="18"/>
  <c r="O740" i="18"/>
  <c r="P740" i="18"/>
  <c r="Q740" i="18"/>
  <c r="R740" i="18"/>
  <c r="S740" i="18"/>
  <c r="T740" i="18"/>
  <c r="U740" i="18"/>
  <c r="B743" i="18"/>
  <c r="C743" i="18"/>
  <c r="D743" i="18"/>
  <c r="E743" i="18"/>
  <c r="F743" i="18"/>
  <c r="G743" i="18"/>
  <c r="H743" i="18"/>
  <c r="I743" i="18"/>
  <c r="J743" i="18"/>
  <c r="K743" i="18"/>
  <c r="L743" i="18"/>
  <c r="M743" i="18"/>
  <c r="N743" i="18"/>
  <c r="O743" i="18"/>
  <c r="P743" i="18"/>
  <c r="Q743" i="18"/>
  <c r="R743" i="18"/>
  <c r="S743" i="18"/>
  <c r="T743" i="18"/>
  <c r="U743" i="18"/>
  <c r="B746" i="18"/>
  <c r="C746" i="18"/>
  <c r="D746" i="18"/>
  <c r="E746" i="18"/>
  <c r="F746" i="18"/>
  <c r="G746" i="18"/>
  <c r="H746" i="18"/>
  <c r="I746" i="18"/>
  <c r="J746" i="18"/>
  <c r="K746" i="18"/>
  <c r="L746" i="18"/>
  <c r="M746" i="18"/>
  <c r="N746" i="18"/>
  <c r="O746" i="18"/>
  <c r="P746" i="18"/>
  <c r="Q746" i="18"/>
  <c r="R746" i="18"/>
  <c r="S746" i="18"/>
  <c r="T746" i="18"/>
  <c r="U746" i="18"/>
  <c r="C644" i="18"/>
  <c r="D644" i="18"/>
  <c r="E644" i="18"/>
  <c r="F644" i="18"/>
  <c r="G644" i="18"/>
  <c r="H644" i="18"/>
  <c r="I644" i="18"/>
  <c r="J644" i="18"/>
  <c r="K644" i="18"/>
  <c r="L644" i="18"/>
  <c r="M644" i="18"/>
  <c r="N644" i="18"/>
  <c r="O644" i="18"/>
  <c r="P644" i="18"/>
  <c r="Q644" i="18"/>
  <c r="R644" i="18"/>
  <c r="S644" i="18"/>
  <c r="T644" i="18"/>
  <c r="U644" i="18"/>
  <c r="B644" i="18"/>
  <c r="AV731" i="18"/>
  <c r="AY770" i="16" s="1"/>
  <c r="AV695" i="18"/>
  <c r="AY734" i="16" s="1"/>
  <c r="AV671" i="18"/>
  <c r="AY710" i="16" s="1"/>
  <c r="AV647" i="18"/>
  <c r="AY686" i="16" s="1"/>
  <c r="AA540" i="18"/>
  <c r="AB540" i="18"/>
  <c r="AC540" i="18"/>
  <c r="AD540" i="18"/>
  <c r="AE540" i="18"/>
  <c r="AF540" i="18"/>
  <c r="AG540" i="18"/>
  <c r="AH540" i="18"/>
  <c r="AI540" i="18"/>
  <c r="AJ540" i="18"/>
  <c r="AK540" i="18"/>
  <c r="AL540" i="18"/>
  <c r="AM540" i="18"/>
  <c r="AN540" i="18"/>
  <c r="AO540" i="18"/>
  <c r="AP540" i="18"/>
  <c r="AQ540" i="18"/>
  <c r="AR540" i="18"/>
  <c r="AS540" i="18"/>
  <c r="AT540" i="18"/>
  <c r="AA543" i="18"/>
  <c r="AB543" i="18"/>
  <c r="AC543" i="18"/>
  <c r="AD543" i="18"/>
  <c r="AE543" i="18"/>
  <c r="AF543" i="18"/>
  <c r="AG543" i="18"/>
  <c r="AH543" i="18"/>
  <c r="AI543" i="18"/>
  <c r="AJ543" i="18"/>
  <c r="AK543" i="18"/>
  <c r="AL543" i="18"/>
  <c r="AM543" i="18"/>
  <c r="AN543" i="18"/>
  <c r="AO543" i="18"/>
  <c r="AP543" i="18"/>
  <c r="AQ543" i="18"/>
  <c r="AR543" i="18"/>
  <c r="AS543" i="18"/>
  <c r="AT543" i="18"/>
  <c r="AA546" i="18"/>
  <c r="AB546" i="18"/>
  <c r="AC546" i="18"/>
  <c r="AD546" i="18"/>
  <c r="AV546" i="18" s="1"/>
  <c r="AY580" i="16" s="1"/>
  <c r="AE546" i="18"/>
  <c r="AF546" i="18"/>
  <c r="AG546" i="18"/>
  <c r="AH546" i="18"/>
  <c r="AI546" i="18"/>
  <c r="AJ546" i="18"/>
  <c r="AK546" i="18"/>
  <c r="AL546" i="18"/>
  <c r="AM546" i="18"/>
  <c r="AN546" i="18"/>
  <c r="AO546" i="18"/>
  <c r="AP546" i="18"/>
  <c r="AQ546" i="18"/>
  <c r="AR546" i="18"/>
  <c r="AS546" i="18"/>
  <c r="AT546" i="18"/>
  <c r="AA549" i="18"/>
  <c r="AB549" i="18"/>
  <c r="AC549" i="18"/>
  <c r="AD549" i="18"/>
  <c r="AE549" i="18"/>
  <c r="AF549" i="18"/>
  <c r="AG549" i="18"/>
  <c r="AH549" i="18"/>
  <c r="AI549" i="18"/>
  <c r="AJ549" i="18"/>
  <c r="AK549" i="18"/>
  <c r="AL549" i="18"/>
  <c r="AM549" i="18"/>
  <c r="AN549" i="18"/>
  <c r="AO549" i="18"/>
  <c r="AP549" i="18"/>
  <c r="AQ549" i="18"/>
  <c r="AR549" i="18"/>
  <c r="AS549" i="18"/>
  <c r="AT549" i="18"/>
  <c r="AA552" i="18"/>
  <c r="AB552" i="18"/>
  <c r="AC552" i="18"/>
  <c r="AD552" i="18"/>
  <c r="AE552" i="18"/>
  <c r="AF552" i="18"/>
  <c r="AG552" i="18"/>
  <c r="AH552" i="18"/>
  <c r="AI552" i="18"/>
  <c r="AJ552" i="18"/>
  <c r="AK552" i="18"/>
  <c r="AL552" i="18"/>
  <c r="AM552" i="18"/>
  <c r="AN552" i="18"/>
  <c r="AO552" i="18"/>
  <c r="AP552" i="18"/>
  <c r="AQ552" i="18"/>
  <c r="AR552" i="18"/>
  <c r="AS552" i="18"/>
  <c r="AT552" i="18"/>
  <c r="AA555" i="18"/>
  <c r="AB555" i="18"/>
  <c r="AC555" i="18"/>
  <c r="AD555" i="18"/>
  <c r="AE555" i="18"/>
  <c r="AF555" i="18"/>
  <c r="AG555" i="18"/>
  <c r="AH555" i="18"/>
  <c r="AI555" i="18"/>
  <c r="AJ555" i="18"/>
  <c r="AK555" i="18"/>
  <c r="AL555" i="18"/>
  <c r="AM555" i="18"/>
  <c r="AN555" i="18"/>
  <c r="AO555" i="18"/>
  <c r="AP555" i="18"/>
  <c r="AQ555" i="18"/>
  <c r="AR555" i="18"/>
  <c r="AS555" i="18"/>
  <c r="AT555" i="18"/>
  <c r="AA558" i="18"/>
  <c r="AB558" i="18"/>
  <c r="AC558" i="18"/>
  <c r="AD558" i="18"/>
  <c r="AE558" i="18"/>
  <c r="AF558" i="18"/>
  <c r="AG558" i="18"/>
  <c r="AH558" i="18"/>
  <c r="AI558" i="18"/>
  <c r="AJ558" i="18"/>
  <c r="AK558" i="18"/>
  <c r="AL558" i="18"/>
  <c r="AM558" i="18"/>
  <c r="AN558" i="18"/>
  <c r="AO558" i="18"/>
  <c r="AP558" i="18"/>
  <c r="AQ558" i="18"/>
  <c r="AR558" i="18"/>
  <c r="AS558" i="18"/>
  <c r="AT558" i="18"/>
  <c r="AA561" i="18"/>
  <c r="AB561" i="18"/>
  <c r="AC561" i="18"/>
  <c r="AD561" i="18"/>
  <c r="AE561" i="18"/>
  <c r="AF561" i="18"/>
  <c r="AG561" i="18"/>
  <c r="AH561" i="18"/>
  <c r="AI561" i="18"/>
  <c r="AJ561" i="18"/>
  <c r="AK561" i="18"/>
  <c r="AL561" i="18"/>
  <c r="AM561" i="18"/>
  <c r="AN561" i="18"/>
  <c r="AO561" i="18"/>
  <c r="AP561" i="18"/>
  <c r="AQ561" i="18"/>
  <c r="AR561" i="18"/>
  <c r="AS561" i="18"/>
  <c r="AT561" i="18"/>
  <c r="AA564" i="18"/>
  <c r="AB564" i="18"/>
  <c r="AC564" i="18"/>
  <c r="AD564" i="18"/>
  <c r="AE564" i="18"/>
  <c r="AF564" i="18"/>
  <c r="AG564" i="18"/>
  <c r="AH564" i="18"/>
  <c r="AI564" i="18"/>
  <c r="AJ564" i="18"/>
  <c r="AK564" i="18"/>
  <c r="AL564" i="18"/>
  <c r="AM564" i="18"/>
  <c r="AN564" i="18"/>
  <c r="AO564" i="18"/>
  <c r="AP564" i="18"/>
  <c r="AQ564" i="18"/>
  <c r="AR564" i="18"/>
  <c r="AS564" i="18"/>
  <c r="AT564" i="18"/>
  <c r="AA567" i="18"/>
  <c r="AB567" i="18"/>
  <c r="AC567" i="18"/>
  <c r="AD567" i="18"/>
  <c r="AE567" i="18"/>
  <c r="AF567" i="18"/>
  <c r="AG567" i="18"/>
  <c r="AH567" i="18"/>
  <c r="AI567" i="18"/>
  <c r="AJ567" i="18"/>
  <c r="AK567" i="18"/>
  <c r="AL567" i="18"/>
  <c r="AM567" i="18"/>
  <c r="AN567" i="18"/>
  <c r="AO567" i="18"/>
  <c r="AP567" i="18"/>
  <c r="AQ567" i="18"/>
  <c r="AR567" i="18"/>
  <c r="AS567" i="18"/>
  <c r="AT567" i="18"/>
  <c r="AA570" i="18"/>
  <c r="AB570" i="18"/>
  <c r="AC570" i="18"/>
  <c r="AD570" i="18"/>
  <c r="AE570" i="18"/>
  <c r="AF570" i="18"/>
  <c r="AG570" i="18"/>
  <c r="AH570" i="18"/>
  <c r="AI570" i="18"/>
  <c r="AJ570" i="18"/>
  <c r="AK570" i="18"/>
  <c r="AL570" i="18"/>
  <c r="AM570" i="18"/>
  <c r="AN570" i="18"/>
  <c r="AO570" i="18"/>
  <c r="AP570" i="18"/>
  <c r="AQ570" i="18"/>
  <c r="AR570" i="18"/>
  <c r="AS570" i="18"/>
  <c r="AT570" i="18"/>
  <c r="AA573" i="18"/>
  <c r="AB573" i="18"/>
  <c r="AC573" i="18"/>
  <c r="AD573" i="18"/>
  <c r="AE573" i="18"/>
  <c r="AF573" i="18"/>
  <c r="AG573" i="18"/>
  <c r="AH573" i="18"/>
  <c r="AI573" i="18"/>
  <c r="AJ573" i="18"/>
  <c r="AK573" i="18"/>
  <c r="AL573" i="18"/>
  <c r="AM573" i="18"/>
  <c r="AN573" i="18"/>
  <c r="AO573" i="18"/>
  <c r="AP573" i="18"/>
  <c r="AQ573" i="18"/>
  <c r="AR573" i="18"/>
  <c r="AS573" i="18"/>
  <c r="AT573" i="18"/>
  <c r="AA576" i="18"/>
  <c r="AB576" i="18"/>
  <c r="AC576" i="18"/>
  <c r="AD576" i="18"/>
  <c r="AE576" i="18"/>
  <c r="AF576" i="18"/>
  <c r="AG576" i="18"/>
  <c r="AH576" i="18"/>
  <c r="AI576" i="18"/>
  <c r="AJ576" i="18"/>
  <c r="AK576" i="18"/>
  <c r="AL576" i="18"/>
  <c r="AM576" i="18"/>
  <c r="AN576" i="18"/>
  <c r="AO576" i="18"/>
  <c r="AP576" i="18"/>
  <c r="AQ576" i="18"/>
  <c r="AR576" i="18"/>
  <c r="AS576" i="18"/>
  <c r="AT576" i="18"/>
  <c r="AA579" i="18"/>
  <c r="AB579" i="18"/>
  <c r="AC579" i="18"/>
  <c r="AD579" i="18"/>
  <c r="AE579" i="18"/>
  <c r="AF579" i="18"/>
  <c r="AG579" i="18"/>
  <c r="AH579" i="18"/>
  <c r="AI579" i="18"/>
  <c r="AJ579" i="18"/>
  <c r="AK579" i="18"/>
  <c r="AL579" i="18"/>
  <c r="AM579" i="18"/>
  <c r="AN579" i="18"/>
  <c r="AO579" i="18"/>
  <c r="AP579" i="18"/>
  <c r="AQ579" i="18"/>
  <c r="AR579" i="18"/>
  <c r="AS579" i="18"/>
  <c r="AT579" i="18"/>
  <c r="AA582" i="18"/>
  <c r="AB582" i="18"/>
  <c r="AC582" i="18"/>
  <c r="AD582" i="18"/>
  <c r="AV582" i="18" s="1"/>
  <c r="AY616" i="16" s="1"/>
  <c r="AE582" i="18"/>
  <c r="AF582" i="18"/>
  <c r="AG582" i="18"/>
  <c r="AH582" i="18"/>
  <c r="AI582" i="18"/>
  <c r="AJ582" i="18"/>
  <c r="AK582" i="18"/>
  <c r="AL582" i="18"/>
  <c r="AM582" i="18"/>
  <c r="AN582" i="18"/>
  <c r="AO582" i="18"/>
  <c r="AP582" i="18"/>
  <c r="AQ582" i="18"/>
  <c r="AR582" i="18"/>
  <c r="AS582" i="18"/>
  <c r="AT582" i="18"/>
  <c r="AA585" i="18"/>
  <c r="AB585" i="18"/>
  <c r="AC585" i="18"/>
  <c r="AD585" i="18"/>
  <c r="AE585" i="18"/>
  <c r="AF585" i="18"/>
  <c r="AG585" i="18"/>
  <c r="AH585" i="18"/>
  <c r="AI585" i="18"/>
  <c r="AJ585" i="18"/>
  <c r="AK585" i="18"/>
  <c r="AL585" i="18"/>
  <c r="AM585" i="18"/>
  <c r="AN585" i="18"/>
  <c r="AO585" i="18"/>
  <c r="AP585" i="18"/>
  <c r="AQ585" i="18"/>
  <c r="AR585" i="18"/>
  <c r="AS585" i="18"/>
  <c r="AT585" i="18"/>
  <c r="AA588" i="18"/>
  <c r="AB588" i="18"/>
  <c r="AC588" i="18"/>
  <c r="AD588" i="18"/>
  <c r="AE588" i="18"/>
  <c r="AF588" i="18"/>
  <c r="AG588" i="18"/>
  <c r="AH588" i="18"/>
  <c r="AI588" i="18"/>
  <c r="AJ588" i="18"/>
  <c r="AK588" i="18"/>
  <c r="AL588" i="18"/>
  <c r="AM588" i="18"/>
  <c r="AN588" i="18"/>
  <c r="AO588" i="18"/>
  <c r="AP588" i="18"/>
  <c r="AQ588" i="18"/>
  <c r="AR588" i="18"/>
  <c r="AS588" i="18"/>
  <c r="AT588" i="18"/>
  <c r="AA591" i="18"/>
  <c r="AB591" i="18"/>
  <c r="AC591" i="18"/>
  <c r="AD591" i="18"/>
  <c r="AE591" i="18"/>
  <c r="AF591" i="18"/>
  <c r="AG591" i="18"/>
  <c r="AH591" i="18"/>
  <c r="AI591" i="18"/>
  <c r="AJ591" i="18"/>
  <c r="AK591" i="18"/>
  <c r="AL591" i="18"/>
  <c r="AM591" i="18"/>
  <c r="AN591" i="18"/>
  <c r="AO591" i="18"/>
  <c r="AP591" i="18"/>
  <c r="AQ591" i="18"/>
  <c r="AR591" i="18"/>
  <c r="AS591" i="18"/>
  <c r="AT591" i="18"/>
  <c r="AA594" i="18"/>
  <c r="AB594" i="18"/>
  <c r="AC594" i="18"/>
  <c r="AD594" i="18"/>
  <c r="AE594" i="18"/>
  <c r="AF594" i="18"/>
  <c r="AG594" i="18"/>
  <c r="AH594" i="18"/>
  <c r="AI594" i="18"/>
  <c r="AJ594" i="18"/>
  <c r="AK594" i="18"/>
  <c r="AL594" i="18"/>
  <c r="AM594" i="18"/>
  <c r="AN594" i="18"/>
  <c r="AO594" i="18"/>
  <c r="AP594" i="18"/>
  <c r="AQ594" i="18"/>
  <c r="AR594" i="18"/>
  <c r="AS594" i="18"/>
  <c r="AT594" i="18"/>
  <c r="AA597" i="18"/>
  <c r="AB597" i="18"/>
  <c r="AC597" i="18"/>
  <c r="AD597" i="18"/>
  <c r="AE597" i="18"/>
  <c r="AF597" i="18"/>
  <c r="AG597" i="18"/>
  <c r="AH597" i="18"/>
  <c r="AI597" i="18"/>
  <c r="AJ597" i="18"/>
  <c r="AK597" i="18"/>
  <c r="AL597" i="18"/>
  <c r="AM597" i="18"/>
  <c r="AN597" i="18"/>
  <c r="AO597" i="18"/>
  <c r="AP597" i="18"/>
  <c r="AQ597" i="18"/>
  <c r="AR597" i="18"/>
  <c r="AS597" i="18"/>
  <c r="AT597" i="18"/>
  <c r="AA600" i="18"/>
  <c r="AB600" i="18"/>
  <c r="AC600" i="18"/>
  <c r="AD600" i="18"/>
  <c r="AV600" i="18" s="1"/>
  <c r="AY634" i="16" s="1"/>
  <c r="AE600" i="18"/>
  <c r="AF600" i="18"/>
  <c r="AG600" i="18"/>
  <c r="AH600" i="18"/>
  <c r="AI600" i="18"/>
  <c r="AJ600" i="18"/>
  <c r="AK600" i="18"/>
  <c r="AL600" i="18"/>
  <c r="AM600" i="18"/>
  <c r="AN600" i="18"/>
  <c r="AO600" i="18"/>
  <c r="AP600" i="18"/>
  <c r="AQ600" i="18"/>
  <c r="AR600" i="18"/>
  <c r="AS600" i="18"/>
  <c r="AT600" i="18"/>
  <c r="AA603" i="18"/>
  <c r="AB603" i="18"/>
  <c r="AC603" i="18"/>
  <c r="AD603" i="18"/>
  <c r="AE603" i="18"/>
  <c r="AF603" i="18"/>
  <c r="AG603" i="18"/>
  <c r="AH603" i="18"/>
  <c r="AI603" i="18"/>
  <c r="AJ603" i="18"/>
  <c r="AK603" i="18"/>
  <c r="AL603" i="18"/>
  <c r="AM603" i="18"/>
  <c r="AN603" i="18"/>
  <c r="AO603" i="18"/>
  <c r="AP603" i="18"/>
  <c r="AQ603" i="18"/>
  <c r="AR603" i="18"/>
  <c r="AS603" i="18"/>
  <c r="AT603" i="18"/>
  <c r="AA606" i="18"/>
  <c r="AB606" i="18"/>
  <c r="AC606" i="18"/>
  <c r="AD606" i="18"/>
  <c r="AE606" i="18"/>
  <c r="AF606" i="18"/>
  <c r="AG606" i="18"/>
  <c r="AH606" i="18"/>
  <c r="AI606" i="18"/>
  <c r="AJ606" i="18"/>
  <c r="AK606" i="18"/>
  <c r="AL606" i="18"/>
  <c r="AM606" i="18"/>
  <c r="AN606" i="18"/>
  <c r="AO606" i="18"/>
  <c r="AP606" i="18"/>
  <c r="AQ606" i="18"/>
  <c r="AR606" i="18"/>
  <c r="AS606" i="18"/>
  <c r="AT606" i="18"/>
  <c r="AA609" i="18"/>
  <c r="AB609" i="18"/>
  <c r="AC609" i="18"/>
  <c r="AD609" i="18"/>
  <c r="AE609" i="18"/>
  <c r="AF609" i="18"/>
  <c r="AG609" i="18"/>
  <c r="AH609" i="18"/>
  <c r="AI609" i="18"/>
  <c r="AJ609" i="18"/>
  <c r="AK609" i="18"/>
  <c r="AL609" i="18"/>
  <c r="AM609" i="18"/>
  <c r="AN609" i="18"/>
  <c r="AO609" i="18"/>
  <c r="AP609" i="18"/>
  <c r="AQ609" i="18"/>
  <c r="AR609" i="18"/>
  <c r="AS609" i="18"/>
  <c r="AT609" i="18"/>
  <c r="AA612" i="18"/>
  <c r="AB612" i="18"/>
  <c r="AC612" i="18"/>
  <c r="AD612" i="18"/>
  <c r="AE612" i="18"/>
  <c r="AF612" i="18"/>
  <c r="AG612" i="18"/>
  <c r="AH612" i="18"/>
  <c r="AI612" i="18"/>
  <c r="AJ612" i="18"/>
  <c r="AK612" i="18"/>
  <c r="AL612" i="18"/>
  <c r="AM612" i="18"/>
  <c r="AN612" i="18"/>
  <c r="AO612" i="18"/>
  <c r="AP612" i="18"/>
  <c r="AQ612" i="18"/>
  <c r="AR612" i="18"/>
  <c r="AS612" i="18"/>
  <c r="AT612" i="18"/>
  <c r="AA615" i="18"/>
  <c r="AB615" i="18"/>
  <c r="AC615" i="18"/>
  <c r="AD615" i="18"/>
  <c r="AE615" i="18"/>
  <c r="AF615" i="18"/>
  <c r="AG615" i="18"/>
  <c r="AH615" i="18"/>
  <c r="AI615" i="18"/>
  <c r="AJ615" i="18"/>
  <c r="AK615" i="18"/>
  <c r="AL615" i="18"/>
  <c r="AM615" i="18"/>
  <c r="AN615" i="18"/>
  <c r="AO615" i="18"/>
  <c r="AP615" i="18"/>
  <c r="AQ615" i="18"/>
  <c r="AR615" i="18"/>
  <c r="AS615" i="18"/>
  <c r="AT615" i="18"/>
  <c r="AA618" i="18"/>
  <c r="AB618" i="18"/>
  <c r="AC618" i="18"/>
  <c r="AD618" i="18"/>
  <c r="AE618" i="18"/>
  <c r="AF618" i="18"/>
  <c r="AG618" i="18"/>
  <c r="AH618" i="18"/>
  <c r="AI618" i="18"/>
  <c r="AJ618" i="18"/>
  <c r="AK618" i="18"/>
  <c r="AL618" i="18"/>
  <c r="AM618" i="18"/>
  <c r="AN618" i="18"/>
  <c r="AO618" i="18"/>
  <c r="AP618" i="18"/>
  <c r="AQ618" i="18"/>
  <c r="AR618" i="18"/>
  <c r="AS618" i="18"/>
  <c r="AT618" i="18"/>
  <c r="AA621" i="18"/>
  <c r="AB621" i="18"/>
  <c r="AC621" i="18"/>
  <c r="AD621" i="18"/>
  <c r="AE621" i="18"/>
  <c r="AF621" i="18"/>
  <c r="AG621" i="18"/>
  <c r="AH621" i="18"/>
  <c r="AI621" i="18"/>
  <c r="AJ621" i="18"/>
  <c r="AK621" i="18"/>
  <c r="AL621" i="18"/>
  <c r="AM621" i="18"/>
  <c r="AN621" i="18"/>
  <c r="AO621" i="18"/>
  <c r="AP621" i="18"/>
  <c r="AQ621" i="18"/>
  <c r="AR621" i="18"/>
  <c r="AS621" i="18"/>
  <c r="AT621" i="18"/>
  <c r="AA624" i="18"/>
  <c r="AB624" i="18"/>
  <c r="AC624" i="18"/>
  <c r="AD624" i="18"/>
  <c r="AE624" i="18"/>
  <c r="AF624" i="18"/>
  <c r="AG624" i="18"/>
  <c r="AH624" i="18"/>
  <c r="AI624" i="18"/>
  <c r="AJ624" i="18"/>
  <c r="AK624" i="18"/>
  <c r="AL624" i="18"/>
  <c r="AM624" i="18"/>
  <c r="AN624" i="18"/>
  <c r="AO624" i="18"/>
  <c r="AP624" i="18"/>
  <c r="AQ624" i="18"/>
  <c r="AR624" i="18"/>
  <c r="AS624" i="18"/>
  <c r="AT624" i="18"/>
  <c r="AA627" i="18"/>
  <c r="AB627" i="18"/>
  <c r="AC627" i="18"/>
  <c r="AD627" i="18"/>
  <c r="AE627" i="18"/>
  <c r="AF627" i="18"/>
  <c r="AG627" i="18"/>
  <c r="AH627" i="18"/>
  <c r="AI627" i="18"/>
  <c r="AJ627" i="18"/>
  <c r="AK627" i="18"/>
  <c r="AL627" i="18"/>
  <c r="AM627" i="18"/>
  <c r="AN627" i="18"/>
  <c r="AO627" i="18"/>
  <c r="AP627" i="18"/>
  <c r="AQ627" i="18"/>
  <c r="AR627" i="18"/>
  <c r="AS627" i="18"/>
  <c r="AT627" i="18"/>
  <c r="AA630" i="18"/>
  <c r="AB630" i="18"/>
  <c r="AC630" i="18"/>
  <c r="AD630" i="18"/>
  <c r="AV630" i="18" s="1"/>
  <c r="AY664" i="16" s="1"/>
  <c r="AE630" i="18"/>
  <c r="AF630" i="18"/>
  <c r="AG630" i="18"/>
  <c r="AH630" i="18"/>
  <c r="AI630" i="18"/>
  <c r="AJ630" i="18"/>
  <c r="AK630" i="18"/>
  <c r="AL630" i="18"/>
  <c r="AM630" i="18"/>
  <c r="AN630" i="18"/>
  <c r="AO630" i="18"/>
  <c r="AP630" i="18"/>
  <c r="AQ630" i="18"/>
  <c r="AR630" i="18"/>
  <c r="AS630" i="18"/>
  <c r="AT630" i="18"/>
  <c r="AA633" i="18"/>
  <c r="AB633" i="18"/>
  <c r="AC633" i="18"/>
  <c r="AD633" i="18"/>
  <c r="AE633" i="18"/>
  <c r="AF633" i="18"/>
  <c r="AG633" i="18"/>
  <c r="AH633" i="18"/>
  <c r="AI633" i="18"/>
  <c r="AJ633" i="18"/>
  <c r="AK633" i="18"/>
  <c r="AL633" i="18"/>
  <c r="AM633" i="18"/>
  <c r="AN633" i="18"/>
  <c r="AO633" i="18"/>
  <c r="AP633" i="18"/>
  <c r="AQ633" i="18"/>
  <c r="AR633" i="18"/>
  <c r="AS633" i="18"/>
  <c r="AT633" i="18"/>
  <c r="AA636" i="18"/>
  <c r="AB636" i="18"/>
  <c r="AC636" i="18"/>
  <c r="AD636" i="18"/>
  <c r="AE636" i="18"/>
  <c r="AF636" i="18"/>
  <c r="AG636" i="18"/>
  <c r="AH636" i="18"/>
  <c r="AI636" i="18"/>
  <c r="AJ636" i="18"/>
  <c r="AK636" i="18"/>
  <c r="AL636" i="18"/>
  <c r="AM636" i="18"/>
  <c r="AN636" i="18"/>
  <c r="AO636" i="18"/>
  <c r="AP636" i="18"/>
  <c r="AQ636" i="18"/>
  <c r="AR636" i="18"/>
  <c r="AS636" i="18"/>
  <c r="AT636" i="18"/>
  <c r="AA639" i="18"/>
  <c r="AB639" i="18"/>
  <c r="AC639" i="18"/>
  <c r="AD639" i="18"/>
  <c r="AE639" i="18"/>
  <c r="AF639" i="18"/>
  <c r="AG639" i="18"/>
  <c r="AH639" i="18"/>
  <c r="AI639" i="18"/>
  <c r="AJ639" i="18"/>
  <c r="AK639" i="18"/>
  <c r="AL639" i="18"/>
  <c r="AM639" i="18"/>
  <c r="AN639" i="18"/>
  <c r="AO639" i="18"/>
  <c r="AP639" i="18"/>
  <c r="AQ639" i="18"/>
  <c r="AR639" i="18"/>
  <c r="AS639" i="18"/>
  <c r="AT639" i="18"/>
  <c r="AB537" i="18"/>
  <c r="AC537" i="18"/>
  <c r="AD537" i="18"/>
  <c r="AE537" i="18"/>
  <c r="AF537" i="18"/>
  <c r="AG537" i="18"/>
  <c r="AH537" i="18"/>
  <c r="AI537" i="18"/>
  <c r="AJ537" i="18"/>
  <c r="AK537" i="18"/>
  <c r="AL537" i="18"/>
  <c r="AM537" i="18"/>
  <c r="AN537" i="18"/>
  <c r="AO537" i="18"/>
  <c r="AP537" i="18"/>
  <c r="AQ537" i="18"/>
  <c r="AR537" i="18"/>
  <c r="AS537" i="18"/>
  <c r="AT537" i="18"/>
  <c r="AA537" i="18"/>
  <c r="B540" i="18"/>
  <c r="C540" i="18"/>
  <c r="D540" i="18"/>
  <c r="E540" i="18"/>
  <c r="F540" i="18"/>
  <c r="G540" i="18"/>
  <c r="H540" i="18"/>
  <c r="I540" i="18"/>
  <c r="J540" i="18"/>
  <c r="K540" i="18"/>
  <c r="L540" i="18"/>
  <c r="M540" i="18"/>
  <c r="N540" i="18"/>
  <c r="O540" i="18"/>
  <c r="P540" i="18"/>
  <c r="Q540" i="18"/>
  <c r="R540" i="18"/>
  <c r="S540" i="18"/>
  <c r="T540" i="18"/>
  <c r="U540" i="18"/>
  <c r="B543" i="18"/>
  <c r="C543" i="18"/>
  <c r="D543" i="18"/>
  <c r="E543" i="18"/>
  <c r="F543" i="18"/>
  <c r="G543" i="18"/>
  <c r="H543" i="18"/>
  <c r="I543" i="18"/>
  <c r="J543" i="18"/>
  <c r="K543" i="18"/>
  <c r="L543" i="18"/>
  <c r="M543" i="18"/>
  <c r="N543" i="18"/>
  <c r="O543" i="18"/>
  <c r="P543" i="18"/>
  <c r="Q543" i="18"/>
  <c r="R543" i="18"/>
  <c r="S543" i="18"/>
  <c r="T543" i="18"/>
  <c r="U543" i="18"/>
  <c r="B546" i="18"/>
  <c r="C546" i="18"/>
  <c r="D546" i="18"/>
  <c r="E546" i="18"/>
  <c r="F546" i="18"/>
  <c r="G546" i="18"/>
  <c r="H546" i="18"/>
  <c r="I546" i="18"/>
  <c r="J546" i="18"/>
  <c r="K546" i="18"/>
  <c r="L546" i="18"/>
  <c r="M546" i="18"/>
  <c r="N546" i="18"/>
  <c r="O546" i="18"/>
  <c r="P546" i="18"/>
  <c r="Q546" i="18"/>
  <c r="R546" i="18"/>
  <c r="S546" i="18"/>
  <c r="T546" i="18"/>
  <c r="U546" i="18"/>
  <c r="B549" i="18"/>
  <c r="C549" i="18"/>
  <c r="D549" i="18"/>
  <c r="E549" i="18"/>
  <c r="F549" i="18"/>
  <c r="G549" i="18"/>
  <c r="H549" i="18"/>
  <c r="I549" i="18"/>
  <c r="J549" i="18"/>
  <c r="K549" i="18"/>
  <c r="L549" i="18"/>
  <c r="M549" i="18"/>
  <c r="N549" i="18"/>
  <c r="O549" i="18"/>
  <c r="P549" i="18"/>
  <c r="Q549" i="18"/>
  <c r="R549" i="18"/>
  <c r="S549" i="18"/>
  <c r="T549" i="18"/>
  <c r="U549" i="18"/>
  <c r="B552" i="18"/>
  <c r="C552" i="18"/>
  <c r="D552" i="18"/>
  <c r="E552" i="18"/>
  <c r="F552" i="18"/>
  <c r="G552" i="18"/>
  <c r="H552" i="18"/>
  <c r="I552" i="18"/>
  <c r="J552" i="18"/>
  <c r="K552" i="18"/>
  <c r="L552" i="18"/>
  <c r="M552" i="18"/>
  <c r="N552" i="18"/>
  <c r="O552" i="18"/>
  <c r="P552" i="18"/>
  <c r="Q552" i="18"/>
  <c r="R552" i="18"/>
  <c r="S552" i="18"/>
  <c r="T552" i="18"/>
  <c r="U552" i="18"/>
  <c r="B555" i="18"/>
  <c r="C555" i="18"/>
  <c r="D555" i="18"/>
  <c r="E555" i="18"/>
  <c r="F555" i="18"/>
  <c r="G555" i="18"/>
  <c r="H555" i="18"/>
  <c r="I555" i="18"/>
  <c r="J555" i="18"/>
  <c r="K555" i="18"/>
  <c r="L555" i="18"/>
  <c r="M555" i="18"/>
  <c r="N555" i="18"/>
  <c r="O555" i="18"/>
  <c r="P555" i="18"/>
  <c r="Q555" i="18"/>
  <c r="R555" i="18"/>
  <c r="S555" i="18"/>
  <c r="T555" i="18"/>
  <c r="U555" i="18"/>
  <c r="B558" i="18"/>
  <c r="C558" i="18"/>
  <c r="D558" i="18"/>
  <c r="E558" i="18"/>
  <c r="F558" i="18"/>
  <c r="G558" i="18"/>
  <c r="H558" i="18"/>
  <c r="I558" i="18"/>
  <c r="J558" i="18"/>
  <c r="K558" i="18"/>
  <c r="L558" i="18"/>
  <c r="M558" i="18"/>
  <c r="N558" i="18"/>
  <c r="O558" i="18"/>
  <c r="P558" i="18"/>
  <c r="Q558" i="18"/>
  <c r="R558" i="18"/>
  <c r="S558" i="18"/>
  <c r="T558" i="18"/>
  <c r="U558" i="18"/>
  <c r="B561" i="18"/>
  <c r="C561" i="18"/>
  <c r="D561" i="18"/>
  <c r="E561" i="18"/>
  <c r="F561" i="18"/>
  <c r="G561" i="18"/>
  <c r="H561" i="18"/>
  <c r="I561" i="18"/>
  <c r="J561" i="18"/>
  <c r="K561" i="18"/>
  <c r="L561" i="18"/>
  <c r="M561" i="18"/>
  <c r="N561" i="18"/>
  <c r="O561" i="18"/>
  <c r="P561" i="18"/>
  <c r="Q561" i="18"/>
  <c r="R561" i="18"/>
  <c r="S561" i="18"/>
  <c r="T561" i="18"/>
  <c r="U561" i="18"/>
  <c r="B564" i="18"/>
  <c r="C564" i="18"/>
  <c r="D564" i="18"/>
  <c r="E564" i="18"/>
  <c r="F564" i="18"/>
  <c r="G564" i="18"/>
  <c r="H564" i="18"/>
  <c r="I564" i="18"/>
  <c r="J564" i="18"/>
  <c r="K564" i="18"/>
  <c r="L564" i="18"/>
  <c r="M564" i="18"/>
  <c r="N564" i="18"/>
  <c r="O564" i="18"/>
  <c r="P564" i="18"/>
  <c r="Q564" i="18"/>
  <c r="R564" i="18"/>
  <c r="S564" i="18"/>
  <c r="T564" i="18"/>
  <c r="U564" i="18"/>
  <c r="B567" i="18"/>
  <c r="C567" i="18"/>
  <c r="D567" i="18"/>
  <c r="E567" i="18"/>
  <c r="F567" i="18"/>
  <c r="G567" i="18"/>
  <c r="H567" i="18"/>
  <c r="I567" i="18"/>
  <c r="J567" i="18"/>
  <c r="K567" i="18"/>
  <c r="L567" i="18"/>
  <c r="M567" i="18"/>
  <c r="N567" i="18"/>
  <c r="O567" i="18"/>
  <c r="P567" i="18"/>
  <c r="Q567" i="18"/>
  <c r="R567" i="18"/>
  <c r="S567" i="18"/>
  <c r="T567" i="18"/>
  <c r="U567" i="18"/>
  <c r="B570" i="18"/>
  <c r="C570" i="18"/>
  <c r="D570" i="18"/>
  <c r="E570" i="18"/>
  <c r="F570" i="18"/>
  <c r="G570" i="18"/>
  <c r="H570" i="18"/>
  <c r="I570" i="18"/>
  <c r="J570" i="18"/>
  <c r="K570" i="18"/>
  <c r="L570" i="18"/>
  <c r="M570" i="18"/>
  <c r="N570" i="18"/>
  <c r="O570" i="18"/>
  <c r="P570" i="18"/>
  <c r="Q570" i="18"/>
  <c r="R570" i="18"/>
  <c r="S570" i="18"/>
  <c r="T570" i="18"/>
  <c r="U570" i="18"/>
  <c r="B573" i="18"/>
  <c r="C573" i="18"/>
  <c r="D573" i="18"/>
  <c r="E573" i="18"/>
  <c r="F573" i="18"/>
  <c r="G573" i="18"/>
  <c r="H573" i="18"/>
  <c r="I573" i="18"/>
  <c r="J573" i="18"/>
  <c r="K573" i="18"/>
  <c r="L573" i="18"/>
  <c r="M573" i="18"/>
  <c r="N573" i="18"/>
  <c r="O573" i="18"/>
  <c r="P573" i="18"/>
  <c r="Q573" i="18"/>
  <c r="R573" i="18"/>
  <c r="S573" i="18"/>
  <c r="T573" i="18"/>
  <c r="U573" i="18"/>
  <c r="B576" i="18"/>
  <c r="C576" i="18"/>
  <c r="D576" i="18"/>
  <c r="E576" i="18"/>
  <c r="F576" i="18"/>
  <c r="G576" i="18"/>
  <c r="H576" i="18"/>
  <c r="I576" i="18"/>
  <c r="J576" i="18"/>
  <c r="K576" i="18"/>
  <c r="L576" i="18"/>
  <c r="M576" i="18"/>
  <c r="N576" i="18"/>
  <c r="O576" i="18"/>
  <c r="P576" i="18"/>
  <c r="Q576" i="18"/>
  <c r="R576" i="18"/>
  <c r="S576" i="18"/>
  <c r="T576" i="18"/>
  <c r="U576" i="18"/>
  <c r="B579" i="18"/>
  <c r="C579" i="18"/>
  <c r="D579" i="18"/>
  <c r="E579" i="18"/>
  <c r="F579" i="18"/>
  <c r="G579" i="18"/>
  <c r="H579" i="18"/>
  <c r="I579" i="18"/>
  <c r="J579" i="18"/>
  <c r="K579" i="18"/>
  <c r="L579" i="18"/>
  <c r="M579" i="18"/>
  <c r="N579" i="18"/>
  <c r="O579" i="18"/>
  <c r="P579" i="18"/>
  <c r="Q579" i="18"/>
  <c r="R579" i="18"/>
  <c r="S579" i="18"/>
  <c r="T579" i="18"/>
  <c r="U579" i="18"/>
  <c r="B582" i="18"/>
  <c r="C582" i="18"/>
  <c r="D582" i="18"/>
  <c r="E582" i="18"/>
  <c r="F582" i="18"/>
  <c r="G582" i="18"/>
  <c r="H582" i="18"/>
  <c r="I582" i="18"/>
  <c r="J582" i="18"/>
  <c r="K582" i="18"/>
  <c r="L582" i="18"/>
  <c r="M582" i="18"/>
  <c r="N582" i="18"/>
  <c r="O582" i="18"/>
  <c r="P582" i="18"/>
  <c r="Q582" i="18"/>
  <c r="R582" i="18"/>
  <c r="S582" i="18"/>
  <c r="T582" i="18"/>
  <c r="U582" i="18"/>
  <c r="B585" i="18"/>
  <c r="C585" i="18"/>
  <c r="D585" i="18"/>
  <c r="E585" i="18"/>
  <c r="F585" i="18"/>
  <c r="G585" i="18"/>
  <c r="H585" i="18"/>
  <c r="I585" i="18"/>
  <c r="J585" i="18"/>
  <c r="K585" i="18"/>
  <c r="L585" i="18"/>
  <c r="M585" i="18"/>
  <c r="N585" i="18"/>
  <c r="O585" i="18"/>
  <c r="P585" i="18"/>
  <c r="Q585" i="18"/>
  <c r="R585" i="18"/>
  <c r="S585" i="18"/>
  <c r="T585" i="18"/>
  <c r="U585" i="18"/>
  <c r="B588" i="18"/>
  <c r="C588" i="18"/>
  <c r="D588" i="18"/>
  <c r="E588" i="18"/>
  <c r="F588" i="18"/>
  <c r="G588" i="18"/>
  <c r="H588" i="18"/>
  <c r="I588" i="18"/>
  <c r="J588" i="18"/>
  <c r="K588" i="18"/>
  <c r="L588" i="18"/>
  <c r="M588" i="18"/>
  <c r="N588" i="18"/>
  <c r="O588" i="18"/>
  <c r="P588" i="18"/>
  <c r="Q588" i="18"/>
  <c r="R588" i="18"/>
  <c r="S588" i="18"/>
  <c r="T588" i="18"/>
  <c r="U588" i="18"/>
  <c r="B591" i="18"/>
  <c r="C591" i="18"/>
  <c r="D591" i="18"/>
  <c r="E591" i="18"/>
  <c r="F591" i="18"/>
  <c r="G591" i="18"/>
  <c r="H591" i="18"/>
  <c r="I591" i="18"/>
  <c r="J591" i="18"/>
  <c r="K591" i="18"/>
  <c r="L591" i="18"/>
  <c r="M591" i="18"/>
  <c r="N591" i="18"/>
  <c r="O591" i="18"/>
  <c r="P591" i="18"/>
  <c r="Q591" i="18"/>
  <c r="R591" i="18"/>
  <c r="S591" i="18"/>
  <c r="T591" i="18"/>
  <c r="U591" i="18"/>
  <c r="B594" i="18"/>
  <c r="C594" i="18"/>
  <c r="D594" i="18"/>
  <c r="E594" i="18"/>
  <c r="F594" i="18"/>
  <c r="G594" i="18"/>
  <c r="H594" i="18"/>
  <c r="I594" i="18"/>
  <c r="J594" i="18"/>
  <c r="K594" i="18"/>
  <c r="L594" i="18"/>
  <c r="M594" i="18"/>
  <c r="N594" i="18"/>
  <c r="O594" i="18"/>
  <c r="P594" i="18"/>
  <c r="Q594" i="18"/>
  <c r="R594" i="18"/>
  <c r="S594" i="18"/>
  <c r="T594" i="18"/>
  <c r="U594" i="18"/>
  <c r="B597" i="18"/>
  <c r="C597" i="18"/>
  <c r="D597" i="18"/>
  <c r="E597" i="18"/>
  <c r="F597" i="18"/>
  <c r="G597" i="18"/>
  <c r="H597" i="18"/>
  <c r="I597" i="18"/>
  <c r="J597" i="18"/>
  <c r="K597" i="18"/>
  <c r="L597" i="18"/>
  <c r="M597" i="18"/>
  <c r="N597" i="18"/>
  <c r="O597" i="18"/>
  <c r="P597" i="18"/>
  <c r="Q597" i="18"/>
  <c r="R597" i="18"/>
  <c r="S597" i="18"/>
  <c r="T597" i="18"/>
  <c r="U597" i="18"/>
  <c r="B600" i="18"/>
  <c r="C600" i="18"/>
  <c r="D600" i="18"/>
  <c r="E600" i="18"/>
  <c r="F600" i="18"/>
  <c r="G600" i="18"/>
  <c r="H600" i="18"/>
  <c r="I600" i="18"/>
  <c r="J600" i="18"/>
  <c r="K600" i="18"/>
  <c r="L600" i="18"/>
  <c r="M600" i="18"/>
  <c r="N600" i="18"/>
  <c r="O600" i="18"/>
  <c r="P600" i="18"/>
  <c r="Q600" i="18"/>
  <c r="R600" i="18"/>
  <c r="S600" i="18"/>
  <c r="T600" i="18"/>
  <c r="U600" i="18"/>
  <c r="B603" i="18"/>
  <c r="C603" i="18"/>
  <c r="D603" i="18"/>
  <c r="E603" i="18"/>
  <c r="F603" i="18"/>
  <c r="G603" i="18"/>
  <c r="H603" i="18"/>
  <c r="I603" i="18"/>
  <c r="J603" i="18"/>
  <c r="K603" i="18"/>
  <c r="L603" i="18"/>
  <c r="M603" i="18"/>
  <c r="N603" i="18"/>
  <c r="O603" i="18"/>
  <c r="P603" i="18"/>
  <c r="Q603" i="18"/>
  <c r="R603" i="18"/>
  <c r="S603" i="18"/>
  <c r="T603" i="18"/>
  <c r="U603" i="18"/>
  <c r="B606" i="18"/>
  <c r="C606" i="18"/>
  <c r="D606" i="18"/>
  <c r="E606" i="18"/>
  <c r="F606" i="18"/>
  <c r="G606" i="18"/>
  <c r="H606" i="18"/>
  <c r="I606" i="18"/>
  <c r="J606" i="18"/>
  <c r="K606" i="18"/>
  <c r="L606" i="18"/>
  <c r="M606" i="18"/>
  <c r="N606" i="18"/>
  <c r="O606" i="18"/>
  <c r="P606" i="18"/>
  <c r="Q606" i="18"/>
  <c r="R606" i="18"/>
  <c r="S606" i="18"/>
  <c r="T606" i="18"/>
  <c r="U606" i="18"/>
  <c r="B609" i="18"/>
  <c r="C609" i="18"/>
  <c r="D609" i="18"/>
  <c r="E609" i="18"/>
  <c r="F609" i="18"/>
  <c r="G609" i="18"/>
  <c r="H609" i="18"/>
  <c r="I609" i="18"/>
  <c r="J609" i="18"/>
  <c r="K609" i="18"/>
  <c r="L609" i="18"/>
  <c r="M609" i="18"/>
  <c r="N609" i="18"/>
  <c r="O609" i="18"/>
  <c r="P609" i="18"/>
  <c r="Q609" i="18"/>
  <c r="R609" i="18"/>
  <c r="S609" i="18"/>
  <c r="T609" i="18"/>
  <c r="U609" i="18"/>
  <c r="B612" i="18"/>
  <c r="C612" i="18"/>
  <c r="D612" i="18"/>
  <c r="E612" i="18"/>
  <c r="F612" i="18"/>
  <c r="G612" i="18"/>
  <c r="H612" i="18"/>
  <c r="I612" i="18"/>
  <c r="J612" i="18"/>
  <c r="K612" i="18"/>
  <c r="L612" i="18"/>
  <c r="M612" i="18"/>
  <c r="N612" i="18"/>
  <c r="O612" i="18"/>
  <c r="P612" i="18"/>
  <c r="Q612" i="18"/>
  <c r="R612" i="18"/>
  <c r="S612" i="18"/>
  <c r="T612" i="18"/>
  <c r="U612" i="18"/>
  <c r="B615" i="18"/>
  <c r="C615" i="18"/>
  <c r="D615" i="18"/>
  <c r="E615" i="18"/>
  <c r="F615" i="18"/>
  <c r="G615" i="18"/>
  <c r="H615" i="18"/>
  <c r="I615" i="18"/>
  <c r="J615" i="18"/>
  <c r="K615" i="18"/>
  <c r="L615" i="18"/>
  <c r="M615" i="18"/>
  <c r="N615" i="18"/>
  <c r="O615" i="18"/>
  <c r="P615" i="18"/>
  <c r="Q615" i="18"/>
  <c r="R615" i="18"/>
  <c r="S615" i="18"/>
  <c r="T615" i="18"/>
  <c r="U615" i="18"/>
  <c r="B618" i="18"/>
  <c r="C618" i="18"/>
  <c r="D618" i="18"/>
  <c r="E618" i="18"/>
  <c r="F618" i="18"/>
  <c r="G618" i="18"/>
  <c r="H618" i="18"/>
  <c r="I618" i="18"/>
  <c r="J618" i="18"/>
  <c r="K618" i="18"/>
  <c r="L618" i="18"/>
  <c r="M618" i="18"/>
  <c r="N618" i="18"/>
  <c r="O618" i="18"/>
  <c r="P618" i="18"/>
  <c r="Q618" i="18"/>
  <c r="R618" i="18"/>
  <c r="S618" i="18"/>
  <c r="T618" i="18"/>
  <c r="U618" i="18"/>
  <c r="B621" i="18"/>
  <c r="C621" i="18"/>
  <c r="D621" i="18"/>
  <c r="E621" i="18"/>
  <c r="F621" i="18"/>
  <c r="G621" i="18"/>
  <c r="H621" i="18"/>
  <c r="I621" i="18"/>
  <c r="J621" i="18"/>
  <c r="K621" i="18"/>
  <c r="L621" i="18"/>
  <c r="M621" i="18"/>
  <c r="N621" i="18"/>
  <c r="O621" i="18"/>
  <c r="P621" i="18"/>
  <c r="Q621" i="18"/>
  <c r="R621" i="18"/>
  <c r="S621" i="18"/>
  <c r="T621" i="18"/>
  <c r="U621" i="18"/>
  <c r="B624" i="18"/>
  <c r="C624" i="18"/>
  <c r="D624" i="18"/>
  <c r="E624" i="18"/>
  <c r="F624" i="18"/>
  <c r="G624" i="18"/>
  <c r="H624" i="18"/>
  <c r="I624" i="18"/>
  <c r="J624" i="18"/>
  <c r="K624" i="18"/>
  <c r="L624" i="18"/>
  <c r="M624" i="18"/>
  <c r="N624" i="18"/>
  <c r="O624" i="18"/>
  <c r="P624" i="18"/>
  <c r="Q624" i="18"/>
  <c r="R624" i="18"/>
  <c r="S624" i="18"/>
  <c r="T624" i="18"/>
  <c r="U624" i="18"/>
  <c r="B627" i="18"/>
  <c r="C627" i="18"/>
  <c r="D627" i="18"/>
  <c r="E627" i="18"/>
  <c r="F627" i="18"/>
  <c r="G627" i="18"/>
  <c r="H627" i="18"/>
  <c r="I627" i="18"/>
  <c r="J627" i="18"/>
  <c r="K627" i="18"/>
  <c r="L627" i="18"/>
  <c r="M627" i="18"/>
  <c r="N627" i="18"/>
  <c r="O627" i="18"/>
  <c r="P627" i="18"/>
  <c r="Q627" i="18"/>
  <c r="R627" i="18"/>
  <c r="S627" i="18"/>
  <c r="T627" i="18"/>
  <c r="U627" i="18"/>
  <c r="B630" i="18"/>
  <c r="C630" i="18"/>
  <c r="D630" i="18"/>
  <c r="E630" i="18"/>
  <c r="F630" i="18"/>
  <c r="G630" i="18"/>
  <c r="H630" i="18"/>
  <c r="I630" i="18"/>
  <c r="J630" i="18"/>
  <c r="K630" i="18"/>
  <c r="L630" i="18"/>
  <c r="M630" i="18"/>
  <c r="N630" i="18"/>
  <c r="O630" i="18"/>
  <c r="P630" i="18"/>
  <c r="Q630" i="18"/>
  <c r="R630" i="18"/>
  <c r="S630" i="18"/>
  <c r="T630" i="18"/>
  <c r="U630" i="18"/>
  <c r="B633" i="18"/>
  <c r="C633" i="18"/>
  <c r="D633" i="18"/>
  <c r="E633" i="18"/>
  <c r="F633" i="18"/>
  <c r="G633" i="18"/>
  <c r="H633" i="18"/>
  <c r="I633" i="18"/>
  <c r="J633" i="18"/>
  <c r="K633" i="18"/>
  <c r="L633" i="18"/>
  <c r="M633" i="18"/>
  <c r="N633" i="18"/>
  <c r="O633" i="18"/>
  <c r="P633" i="18"/>
  <c r="Q633" i="18"/>
  <c r="R633" i="18"/>
  <c r="S633" i="18"/>
  <c r="T633" i="18"/>
  <c r="U633" i="18"/>
  <c r="B636" i="18"/>
  <c r="C636" i="18"/>
  <c r="D636" i="18"/>
  <c r="E636" i="18"/>
  <c r="F636" i="18"/>
  <c r="G636" i="18"/>
  <c r="H636" i="18"/>
  <c r="I636" i="18"/>
  <c r="J636" i="18"/>
  <c r="K636" i="18"/>
  <c r="L636" i="18"/>
  <c r="M636" i="18"/>
  <c r="N636" i="18"/>
  <c r="O636" i="18"/>
  <c r="P636" i="18"/>
  <c r="Q636" i="18"/>
  <c r="R636" i="18"/>
  <c r="S636" i="18"/>
  <c r="T636" i="18"/>
  <c r="U636" i="18"/>
  <c r="B639" i="18"/>
  <c r="C639" i="18"/>
  <c r="D639" i="18"/>
  <c r="E639" i="18"/>
  <c r="F639" i="18"/>
  <c r="G639" i="18"/>
  <c r="H639" i="18"/>
  <c r="I639" i="18"/>
  <c r="J639" i="18"/>
  <c r="K639" i="18"/>
  <c r="L639" i="18"/>
  <c r="M639" i="18"/>
  <c r="N639" i="18"/>
  <c r="O639" i="18"/>
  <c r="P639" i="18"/>
  <c r="Q639" i="18"/>
  <c r="R639" i="18"/>
  <c r="S639" i="18"/>
  <c r="T639" i="18"/>
  <c r="U639" i="18"/>
  <c r="C537" i="18"/>
  <c r="D537" i="18"/>
  <c r="E537" i="18"/>
  <c r="F537" i="18"/>
  <c r="G537" i="18"/>
  <c r="H537" i="18"/>
  <c r="I537" i="18"/>
  <c r="J537" i="18"/>
  <c r="K537" i="18"/>
  <c r="L537" i="18"/>
  <c r="M537" i="18"/>
  <c r="N537" i="18"/>
  <c r="O537" i="18"/>
  <c r="P537" i="18"/>
  <c r="Q537" i="18"/>
  <c r="R537" i="18"/>
  <c r="S537" i="18"/>
  <c r="T537" i="18"/>
  <c r="U537" i="18"/>
  <c r="B537" i="18"/>
  <c r="AV564" i="18"/>
  <c r="AY598" i="16" s="1"/>
  <c r="AA433" i="18"/>
  <c r="AB433" i="18"/>
  <c r="AC433" i="18"/>
  <c r="AD433" i="18"/>
  <c r="AE433" i="18"/>
  <c r="AF433" i="18"/>
  <c r="AG433" i="18"/>
  <c r="AH433" i="18"/>
  <c r="AI433" i="18"/>
  <c r="AJ433" i="18"/>
  <c r="AK433" i="18"/>
  <c r="AL433" i="18"/>
  <c r="AM433" i="18"/>
  <c r="AN433" i="18"/>
  <c r="AO433" i="18"/>
  <c r="AP433" i="18"/>
  <c r="AQ433" i="18"/>
  <c r="AR433" i="18"/>
  <c r="AS433" i="18"/>
  <c r="AT433" i="18"/>
  <c r="AA436" i="18"/>
  <c r="AB436" i="18"/>
  <c r="AC436" i="18"/>
  <c r="AD436" i="18"/>
  <c r="AE436" i="18"/>
  <c r="AF436" i="18"/>
  <c r="AG436" i="18"/>
  <c r="AH436" i="18"/>
  <c r="AI436" i="18"/>
  <c r="AJ436" i="18"/>
  <c r="AK436" i="18"/>
  <c r="AL436" i="18"/>
  <c r="AM436" i="18"/>
  <c r="AN436" i="18"/>
  <c r="AO436" i="18"/>
  <c r="AP436" i="18"/>
  <c r="AQ436" i="18"/>
  <c r="AR436" i="18"/>
  <c r="AS436" i="18"/>
  <c r="AT436" i="18"/>
  <c r="AA439" i="18"/>
  <c r="AB439" i="18"/>
  <c r="AC439" i="18"/>
  <c r="AD439" i="18"/>
  <c r="AE439" i="18"/>
  <c r="AF439" i="18"/>
  <c r="AG439" i="18"/>
  <c r="AH439" i="18"/>
  <c r="AI439" i="18"/>
  <c r="AJ439" i="18"/>
  <c r="AK439" i="18"/>
  <c r="AL439" i="18"/>
  <c r="AM439" i="18"/>
  <c r="AN439" i="18"/>
  <c r="AO439" i="18"/>
  <c r="AP439" i="18"/>
  <c r="AQ439" i="18"/>
  <c r="AR439" i="18"/>
  <c r="AS439" i="18"/>
  <c r="AT439" i="18"/>
  <c r="AA442" i="18"/>
  <c r="AB442" i="18"/>
  <c r="AC442" i="18"/>
  <c r="AD442" i="18"/>
  <c r="AE442" i="18"/>
  <c r="AF442" i="18"/>
  <c r="AG442" i="18"/>
  <c r="AH442" i="18"/>
  <c r="AI442" i="18"/>
  <c r="AJ442" i="18"/>
  <c r="AK442" i="18"/>
  <c r="AL442" i="18"/>
  <c r="AM442" i="18"/>
  <c r="AN442" i="18"/>
  <c r="AO442" i="18"/>
  <c r="AP442" i="18"/>
  <c r="AQ442" i="18"/>
  <c r="AR442" i="18"/>
  <c r="AS442" i="18"/>
  <c r="AT442" i="18"/>
  <c r="AA445" i="18"/>
  <c r="AB445" i="18"/>
  <c r="AC445" i="18"/>
  <c r="AD445" i="18"/>
  <c r="AE445" i="18"/>
  <c r="AF445" i="18"/>
  <c r="AG445" i="18"/>
  <c r="AH445" i="18"/>
  <c r="AI445" i="18"/>
  <c r="AJ445" i="18"/>
  <c r="AK445" i="18"/>
  <c r="AL445" i="18"/>
  <c r="AM445" i="18"/>
  <c r="AN445" i="18"/>
  <c r="AO445" i="18"/>
  <c r="AP445" i="18"/>
  <c r="AQ445" i="18"/>
  <c r="AR445" i="18"/>
  <c r="AS445" i="18"/>
  <c r="AT445" i="18"/>
  <c r="AA448" i="18"/>
  <c r="AB448" i="18"/>
  <c r="AC448" i="18"/>
  <c r="AD448" i="18"/>
  <c r="AE448" i="18"/>
  <c r="AF448" i="18"/>
  <c r="AG448" i="18"/>
  <c r="AH448" i="18"/>
  <c r="AI448" i="18"/>
  <c r="AJ448" i="18"/>
  <c r="AK448" i="18"/>
  <c r="AL448" i="18"/>
  <c r="AM448" i="18"/>
  <c r="AN448" i="18"/>
  <c r="AO448" i="18"/>
  <c r="AP448" i="18"/>
  <c r="AQ448" i="18"/>
  <c r="AR448" i="18"/>
  <c r="AS448" i="18"/>
  <c r="AT448" i="18"/>
  <c r="AA451" i="18"/>
  <c r="AB451" i="18"/>
  <c r="AC451" i="18"/>
  <c r="AD451" i="18"/>
  <c r="AE451" i="18"/>
  <c r="AF451" i="18"/>
  <c r="AG451" i="18"/>
  <c r="AH451" i="18"/>
  <c r="AI451" i="18"/>
  <c r="AJ451" i="18"/>
  <c r="AK451" i="18"/>
  <c r="AL451" i="18"/>
  <c r="AM451" i="18"/>
  <c r="AN451" i="18"/>
  <c r="AO451" i="18"/>
  <c r="AP451" i="18"/>
  <c r="AQ451" i="18"/>
  <c r="AR451" i="18"/>
  <c r="AS451" i="18"/>
  <c r="AT451" i="18"/>
  <c r="AA454" i="18"/>
  <c r="AB454" i="18"/>
  <c r="AC454" i="18"/>
  <c r="AD454" i="18"/>
  <c r="AE454" i="18"/>
  <c r="AF454" i="18"/>
  <c r="AG454" i="18"/>
  <c r="AH454" i="18"/>
  <c r="AI454" i="18"/>
  <c r="AJ454" i="18"/>
  <c r="AK454" i="18"/>
  <c r="AL454" i="18"/>
  <c r="AM454" i="18"/>
  <c r="AN454" i="18"/>
  <c r="AO454" i="18"/>
  <c r="AP454" i="18"/>
  <c r="AQ454" i="18"/>
  <c r="AR454" i="18"/>
  <c r="AS454" i="18"/>
  <c r="AT454" i="18"/>
  <c r="AA457" i="18"/>
  <c r="AB457" i="18"/>
  <c r="AC457" i="18"/>
  <c r="AV457" i="18" s="1"/>
  <c r="AY486" i="16" s="1"/>
  <c r="AD457" i="18"/>
  <c r="AE457" i="18"/>
  <c r="AF457" i="18"/>
  <c r="AG457" i="18"/>
  <c r="AH457" i="18"/>
  <c r="AI457" i="18"/>
  <c r="AJ457" i="18"/>
  <c r="AK457" i="18"/>
  <c r="AL457" i="18"/>
  <c r="AM457" i="18"/>
  <c r="AN457" i="18"/>
  <c r="AO457" i="18"/>
  <c r="AP457" i="18"/>
  <c r="AQ457" i="18"/>
  <c r="AR457" i="18"/>
  <c r="AS457" i="18"/>
  <c r="AT457" i="18"/>
  <c r="AA460" i="18"/>
  <c r="AB460" i="18"/>
  <c r="AC460" i="18"/>
  <c r="AD460" i="18"/>
  <c r="AE460" i="18"/>
  <c r="AF460" i="18"/>
  <c r="AG460" i="18"/>
  <c r="AH460" i="18"/>
  <c r="AI460" i="18"/>
  <c r="AJ460" i="18"/>
  <c r="AK460" i="18"/>
  <c r="AL460" i="18"/>
  <c r="AM460" i="18"/>
  <c r="AN460" i="18"/>
  <c r="AO460" i="18"/>
  <c r="AP460" i="18"/>
  <c r="AQ460" i="18"/>
  <c r="AR460" i="18"/>
  <c r="AS460" i="18"/>
  <c r="AT460" i="18"/>
  <c r="AA463" i="18"/>
  <c r="AB463" i="18"/>
  <c r="AC463" i="18"/>
  <c r="AD463" i="18"/>
  <c r="AE463" i="18"/>
  <c r="AF463" i="18"/>
  <c r="AG463" i="18"/>
  <c r="AH463" i="18"/>
  <c r="AI463" i="18"/>
  <c r="AJ463" i="18"/>
  <c r="AK463" i="18"/>
  <c r="AL463" i="18"/>
  <c r="AM463" i="18"/>
  <c r="AN463" i="18"/>
  <c r="AO463" i="18"/>
  <c r="AP463" i="18"/>
  <c r="AQ463" i="18"/>
  <c r="AR463" i="18"/>
  <c r="AS463" i="18"/>
  <c r="AT463" i="18"/>
  <c r="AA466" i="18"/>
  <c r="AB466" i="18"/>
  <c r="AC466" i="18"/>
  <c r="AD466" i="18"/>
  <c r="AE466" i="18"/>
  <c r="AF466" i="18"/>
  <c r="AG466" i="18"/>
  <c r="AH466" i="18"/>
  <c r="AI466" i="18"/>
  <c r="AJ466" i="18"/>
  <c r="AK466" i="18"/>
  <c r="AL466" i="18"/>
  <c r="AM466" i="18"/>
  <c r="AN466" i="18"/>
  <c r="AO466" i="18"/>
  <c r="AP466" i="18"/>
  <c r="AQ466" i="18"/>
  <c r="AR466" i="18"/>
  <c r="AS466" i="18"/>
  <c r="AT466" i="18"/>
  <c r="AA469" i="18"/>
  <c r="AB469" i="18"/>
  <c r="AC469" i="18"/>
  <c r="AD469" i="18"/>
  <c r="AE469" i="18"/>
  <c r="AF469" i="18"/>
  <c r="AG469" i="18"/>
  <c r="AH469" i="18"/>
  <c r="AI469" i="18"/>
  <c r="AJ469" i="18"/>
  <c r="AK469" i="18"/>
  <c r="AL469" i="18"/>
  <c r="AM469" i="18"/>
  <c r="AN469" i="18"/>
  <c r="AO469" i="18"/>
  <c r="AP469" i="18"/>
  <c r="AQ469" i="18"/>
  <c r="AR469" i="18"/>
  <c r="AS469" i="18"/>
  <c r="AT469" i="18"/>
  <c r="AA472" i="18"/>
  <c r="AB472" i="18"/>
  <c r="AC472" i="18"/>
  <c r="AD472" i="18"/>
  <c r="AE472" i="18"/>
  <c r="AF472" i="18"/>
  <c r="AG472" i="18"/>
  <c r="AH472" i="18"/>
  <c r="AI472" i="18"/>
  <c r="AJ472" i="18"/>
  <c r="AK472" i="18"/>
  <c r="AL472" i="18"/>
  <c r="AM472" i="18"/>
  <c r="AN472" i="18"/>
  <c r="AO472" i="18"/>
  <c r="AP472" i="18"/>
  <c r="AQ472" i="18"/>
  <c r="AR472" i="18"/>
  <c r="AS472" i="18"/>
  <c r="AT472" i="18"/>
  <c r="AA475" i="18"/>
  <c r="AB475" i="18"/>
  <c r="AC475" i="18"/>
  <c r="AV475" i="18" s="1"/>
  <c r="AY504" i="16" s="1"/>
  <c r="AD475" i="18"/>
  <c r="AE475" i="18"/>
  <c r="AF475" i="18"/>
  <c r="AG475" i="18"/>
  <c r="AH475" i="18"/>
  <c r="AI475" i="18"/>
  <c r="AJ475" i="18"/>
  <c r="AK475" i="18"/>
  <c r="AL475" i="18"/>
  <c r="AM475" i="18"/>
  <c r="AN475" i="18"/>
  <c r="AO475" i="18"/>
  <c r="AP475" i="18"/>
  <c r="AQ475" i="18"/>
  <c r="AR475" i="18"/>
  <c r="AS475" i="18"/>
  <c r="AT475" i="18"/>
  <c r="AA478" i="18"/>
  <c r="AB478" i="18"/>
  <c r="AC478" i="18"/>
  <c r="AD478" i="18"/>
  <c r="AE478" i="18"/>
  <c r="AF478" i="18"/>
  <c r="AG478" i="18"/>
  <c r="AH478" i="18"/>
  <c r="AI478" i="18"/>
  <c r="AJ478" i="18"/>
  <c r="AK478" i="18"/>
  <c r="AL478" i="18"/>
  <c r="AM478" i="18"/>
  <c r="AN478" i="18"/>
  <c r="AO478" i="18"/>
  <c r="AP478" i="18"/>
  <c r="AQ478" i="18"/>
  <c r="AR478" i="18"/>
  <c r="AS478" i="18"/>
  <c r="AT478" i="18"/>
  <c r="AA481" i="18"/>
  <c r="AB481" i="18"/>
  <c r="AC481" i="18"/>
  <c r="AD481" i="18"/>
  <c r="AE481" i="18"/>
  <c r="AF481" i="18"/>
  <c r="AG481" i="18"/>
  <c r="AH481" i="18"/>
  <c r="AI481" i="18"/>
  <c r="AJ481" i="18"/>
  <c r="AK481" i="18"/>
  <c r="AL481" i="18"/>
  <c r="AM481" i="18"/>
  <c r="AN481" i="18"/>
  <c r="AO481" i="18"/>
  <c r="AP481" i="18"/>
  <c r="AQ481" i="18"/>
  <c r="AR481" i="18"/>
  <c r="AS481" i="18"/>
  <c r="AT481" i="18"/>
  <c r="AA484" i="18"/>
  <c r="AB484" i="18"/>
  <c r="AC484" i="18"/>
  <c r="AD484" i="18"/>
  <c r="AE484" i="18"/>
  <c r="AF484" i="18"/>
  <c r="AG484" i="18"/>
  <c r="AH484" i="18"/>
  <c r="AI484" i="18"/>
  <c r="AJ484" i="18"/>
  <c r="AK484" i="18"/>
  <c r="AL484" i="18"/>
  <c r="AM484" i="18"/>
  <c r="AN484" i="18"/>
  <c r="AO484" i="18"/>
  <c r="AP484" i="18"/>
  <c r="AQ484" i="18"/>
  <c r="AR484" i="18"/>
  <c r="AS484" i="18"/>
  <c r="AT484" i="18"/>
  <c r="AA487" i="18"/>
  <c r="AB487" i="18"/>
  <c r="AC487" i="18"/>
  <c r="AD487" i="18"/>
  <c r="AE487" i="18"/>
  <c r="AF487" i="18"/>
  <c r="AG487" i="18"/>
  <c r="AH487" i="18"/>
  <c r="AI487" i="18"/>
  <c r="AJ487" i="18"/>
  <c r="AK487" i="18"/>
  <c r="AL487" i="18"/>
  <c r="AM487" i="18"/>
  <c r="AN487" i="18"/>
  <c r="AO487" i="18"/>
  <c r="AP487" i="18"/>
  <c r="AQ487" i="18"/>
  <c r="AR487" i="18"/>
  <c r="AS487" i="18"/>
  <c r="AT487" i="18"/>
  <c r="AA490" i="18"/>
  <c r="AB490" i="18"/>
  <c r="AC490" i="18"/>
  <c r="AD490" i="18"/>
  <c r="AE490" i="18"/>
  <c r="AF490" i="18"/>
  <c r="AG490" i="18"/>
  <c r="AH490" i="18"/>
  <c r="AI490" i="18"/>
  <c r="AJ490" i="18"/>
  <c r="AK490" i="18"/>
  <c r="AL490" i="18"/>
  <c r="AM490" i="18"/>
  <c r="AN490" i="18"/>
  <c r="AO490" i="18"/>
  <c r="AP490" i="18"/>
  <c r="AQ490" i="18"/>
  <c r="AR490" i="18"/>
  <c r="AS490" i="18"/>
  <c r="AT490" i="18"/>
  <c r="AA493" i="18"/>
  <c r="AB493" i="18"/>
  <c r="AC493" i="18"/>
  <c r="AD493" i="18"/>
  <c r="AE493" i="18"/>
  <c r="AF493" i="18"/>
  <c r="AG493" i="18"/>
  <c r="AH493" i="18"/>
  <c r="AI493" i="18"/>
  <c r="AJ493" i="18"/>
  <c r="AK493" i="18"/>
  <c r="AL493" i="18"/>
  <c r="AM493" i="18"/>
  <c r="AN493" i="18"/>
  <c r="AO493" i="18"/>
  <c r="AP493" i="18"/>
  <c r="AQ493" i="18"/>
  <c r="AR493" i="18"/>
  <c r="AS493" i="18"/>
  <c r="AT493" i="18"/>
  <c r="AA496" i="18"/>
  <c r="AB496" i="18"/>
  <c r="AC496" i="18"/>
  <c r="AD496" i="18"/>
  <c r="AE496" i="18"/>
  <c r="AF496" i="18"/>
  <c r="AG496" i="18"/>
  <c r="AH496" i="18"/>
  <c r="AI496" i="18"/>
  <c r="AJ496" i="18"/>
  <c r="AK496" i="18"/>
  <c r="AL496" i="18"/>
  <c r="AM496" i="18"/>
  <c r="AN496" i="18"/>
  <c r="AO496" i="18"/>
  <c r="AP496" i="18"/>
  <c r="AQ496" i="18"/>
  <c r="AR496" i="18"/>
  <c r="AS496" i="18"/>
  <c r="AT496" i="18"/>
  <c r="AA499" i="18"/>
  <c r="AB499" i="18"/>
  <c r="AC499" i="18"/>
  <c r="AD499" i="18"/>
  <c r="AE499" i="18"/>
  <c r="AF499" i="18"/>
  <c r="AG499" i="18"/>
  <c r="AH499" i="18"/>
  <c r="AI499" i="18"/>
  <c r="AJ499" i="18"/>
  <c r="AK499" i="18"/>
  <c r="AL499" i="18"/>
  <c r="AM499" i="18"/>
  <c r="AN499" i="18"/>
  <c r="AO499" i="18"/>
  <c r="AP499" i="18"/>
  <c r="AQ499" i="18"/>
  <c r="AR499" i="18"/>
  <c r="AS499" i="18"/>
  <c r="AT499" i="18"/>
  <c r="AA502" i="18"/>
  <c r="AB502" i="18"/>
  <c r="AC502" i="18"/>
  <c r="AD502" i="18"/>
  <c r="AE502" i="18"/>
  <c r="AF502" i="18"/>
  <c r="AG502" i="18"/>
  <c r="AH502" i="18"/>
  <c r="AI502" i="18"/>
  <c r="AJ502" i="18"/>
  <c r="AK502" i="18"/>
  <c r="AL502" i="18"/>
  <c r="AM502" i="18"/>
  <c r="AN502" i="18"/>
  <c r="AO502" i="18"/>
  <c r="AP502" i="18"/>
  <c r="AQ502" i="18"/>
  <c r="AR502" i="18"/>
  <c r="AS502" i="18"/>
  <c r="AT502" i="18"/>
  <c r="AA505" i="18"/>
  <c r="AV505" i="18" s="1"/>
  <c r="AY534" i="16" s="1"/>
  <c r="AB505" i="18"/>
  <c r="AC505" i="18"/>
  <c r="AD505" i="18"/>
  <c r="AE505" i="18"/>
  <c r="AF505" i="18"/>
  <c r="AG505" i="18"/>
  <c r="AH505" i="18"/>
  <c r="AI505" i="18"/>
  <c r="AJ505" i="18"/>
  <c r="AK505" i="18"/>
  <c r="AL505" i="18"/>
  <c r="AM505" i="18"/>
  <c r="AN505" i="18"/>
  <c r="AO505" i="18"/>
  <c r="AP505" i="18"/>
  <c r="AQ505" i="18"/>
  <c r="AR505" i="18"/>
  <c r="AS505" i="18"/>
  <c r="AT505" i="18"/>
  <c r="AA508" i="18"/>
  <c r="AB508" i="18"/>
  <c r="AC508" i="18"/>
  <c r="AD508" i="18"/>
  <c r="AE508" i="18"/>
  <c r="AF508" i="18"/>
  <c r="AG508" i="18"/>
  <c r="AH508" i="18"/>
  <c r="AI508" i="18"/>
  <c r="AJ508" i="18"/>
  <c r="AK508" i="18"/>
  <c r="AL508" i="18"/>
  <c r="AM508" i="18"/>
  <c r="AN508" i="18"/>
  <c r="AO508" i="18"/>
  <c r="AP508" i="18"/>
  <c r="AQ508" i="18"/>
  <c r="AR508" i="18"/>
  <c r="AS508" i="18"/>
  <c r="AT508" i="18"/>
  <c r="AA511" i="18"/>
  <c r="AB511" i="18"/>
  <c r="AC511" i="18"/>
  <c r="AD511" i="18"/>
  <c r="AE511" i="18"/>
  <c r="AF511" i="18"/>
  <c r="AG511" i="18"/>
  <c r="AH511" i="18"/>
  <c r="AI511" i="18"/>
  <c r="AJ511" i="18"/>
  <c r="AK511" i="18"/>
  <c r="AL511" i="18"/>
  <c r="AM511" i="18"/>
  <c r="AN511" i="18"/>
  <c r="AO511" i="18"/>
  <c r="AP511" i="18"/>
  <c r="AQ511" i="18"/>
  <c r="AR511" i="18"/>
  <c r="AS511" i="18"/>
  <c r="AT511" i="18"/>
  <c r="AA514" i="18"/>
  <c r="AB514" i="18"/>
  <c r="AC514" i="18"/>
  <c r="AD514" i="18"/>
  <c r="AE514" i="18"/>
  <c r="AF514" i="18"/>
  <c r="AG514" i="18"/>
  <c r="AH514" i="18"/>
  <c r="AI514" i="18"/>
  <c r="AJ514" i="18"/>
  <c r="AK514" i="18"/>
  <c r="AL514" i="18"/>
  <c r="AM514" i="18"/>
  <c r="AN514" i="18"/>
  <c r="AO514" i="18"/>
  <c r="AP514" i="18"/>
  <c r="AQ514" i="18"/>
  <c r="AR514" i="18"/>
  <c r="AS514" i="18"/>
  <c r="AT514" i="18"/>
  <c r="AA517" i="18"/>
  <c r="AB517" i="18"/>
  <c r="AC517" i="18"/>
  <c r="AD517" i="18"/>
  <c r="AE517" i="18"/>
  <c r="AF517" i="18"/>
  <c r="AG517" i="18"/>
  <c r="AH517" i="18"/>
  <c r="AI517" i="18"/>
  <c r="AJ517" i="18"/>
  <c r="AK517" i="18"/>
  <c r="AL517" i="18"/>
  <c r="AM517" i="18"/>
  <c r="AN517" i="18"/>
  <c r="AO517" i="18"/>
  <c r="AP517" i="18"/>
  <c r="AQ517" i="18"/>
  <c r="AR517" i="18"/>
  <c r="AS517" i="18"/>
  <c r="AT517" i="18"/>
  <c r="AA520" i="18"/>
  <c r="AB520" i="18"/>
  <c r="AC520" i="18"/>
  <c r="AD520" i="18"/>
  <c r="AE520" i="18"/>
  <c r="AF520" i="18"/>
  <c r="AG520" i="18"/>
  <c r="AH520" i="18"/>
  <c r="AI520" i="18"/>
  <c r="AJ520" i="18"/>
  <c r="AK520" i="18"/>
  <c r="AL520" i="18"/>
  <c r="AM520" i="18"/>
  <c r="AN520" i="18"/>
  <c r="AO520" i="18"/>
  <c r="AP520" i="18"/>
  <c r="AQ520" i="18"/>
  <c r="AR520" i="18"/>
  <c r="AS520" i="18"/>
  <c r="AT520" i="18"/>
  <c r="AA523" i="18"/>
  <c r="AB523" i="18"/>
  <c r="AC523" i="18"/>
  <c r="AD523" i="18"/>
  <c r="AE523" i="18"/>
  <c r="AF523" i="18"/>
  <c r="AG523" i="18"/>
  <c r="AH523" i="18"/>
  <c r="AI523" i="18"/>
  <c r="AJ523" i="18"/>
  <c r="AK523" i="18"/>
  <c r="AL523" i="18"/>
  <c r="AM523" i="18"/>
  <c r="AN523" i="18"/>
  <c r="AO523" i="18"/>
  <c r="AP523" i="18"/>
  <c r="AQ523" i="18"/>
  <c r="AR523" i="18"/>
  <c r="AS523" i="18"/>
  <c r="AT523" i="18"/>
  <c r="AA526" i="18"/>
  <c r="AB526" i="18"/>
  <c r="AC526" i="18"/>
  <c r="AD526" i="18"/>
  <c r="AE526" i="18"/>
  <c r="AF526" i="18"/>
  <c r="AG526" i="18"/>
  <c r="AH526" i="18"/>
  <c r="AI526" i="18"/>
  <c r="AJ526" i="18"/>
  <c r="AK526" i="18"/>
  <c r="AL526" i="18"/>
  <c r="AM526" i="18"/>
  <c r="AN526" i="18"/>
  <c r="AO526" i="18"/>
  <c r="AP526" i="18"/>
  <c r="AQ526" i="18"/>
  <c r="AR526" i="18"/>
  <c r="AS526" i="18"/>
  <c r="AT526" i="18"/>
  <c r="AA529" i="18"/>
  <c r="AB529" i="18"/>
  <c r="AC529" i="18"/>
  <c r="AD529" i="18"/>
  <c r="AE529" i="18"/>
  <c r="AF529" i="18"/>
  <c r="AG529" i="18"/>
  <c r="AH529" i="18"/>
  <c r="AI529" i="18"/>
  <c r="AJ529" i="18"/>
  <c r="AK529" i="18"/>
  <c r="AL529" i="18"/>
  <c r="AM529" i="18"/>
  <c r="AN529" i="18"/>
  <c r="AO529" i="18"/>
  <c r="AP529" i="18"/>
  <c r="AQ529" i="18"/>
  <c r="AR529" i="18"/>
  <c r="AS529" i="18"/>
  <c r="AT529" i="18"/>
  <c r="AA532" i="18"/>
  <c r="AB532" i="18"/>
  <c r="AC532" i="18"/>
  <c r="AD532" i="18"/>
  <c r="AE532" i="18"/>
  <c r="AF532" i="18"/>
  <c r="AG532" i="18"/>
  <c r="AH532" i="18"/>
  <c r="AI532" i="18"/>
  <c r="AJ532" i="18"/>
  <c r="AK532" i="18"/>
  <c r="AL532" i="18"/>
  <c r="AM532" i="18"/>
  <c r="AN532" i="18"/>
  <c r="AO532" i="18"/>
  <c r="AP532" i="18"/>
  <c r="AQ532" i="18"/>
  <c r="AR532" i="18"/>
  <c r="AS532" i="18"/>
  <c r="AT532" i="18"/>
  <c r="AB430" i="18"/>
  <c r="AC430" i="18"/>
  <c r="AD430" i="18"/>
  <c r="AE430" i="18"/>
  <c r="AF430" i="18"/>
  <c r="AG430" i="18"/>
  <c r="AH430" i="18"/>
  <c r="AI430" i="18"/>
  <c r="AJ430" i="18"/>
  <c r="AK430" i="18"/>
  <c r="AL430" i="18"/>
  <c r="AM430" i="18"/>
  <c r="AN430" i="18"/>
  <c r="AO430" i="18"/>
  <c r="AP430" i="18"/>
  <c r="AQ430" i="18"/>
  <c r="AR430" i="18"/>
  <c r="AS430" i="18"/>
  <c r="AT430" i="18"/>
  <c r="AA430" i="18"/>
  <c r="B433" i="18"/>
  <c r="C433" i="18"/>
  <c r="D433" i="18"/>
  <c r="E433" i="18"/>
  <c r="F433" i="18"/>
  <c r="G433" i="18"/>
  <c r="H433" i="18"/>
  <c r="I433" i="18"/>
  <c r="J433" i="18"/>
  <c r="K433" i="18"/>
  <c r="L433" i="18"/>
  <c r="M433" i="18"/>
  <c r="N433" i="18"/>
  <c r="O433" i="18"/>
  <c r="P433" i="18"/>
  <c r="Q433" i="18"/>
  <c r="R433" i="18"/>
  <c r="S433" i="18"/>
  <c r="T433" i="18"/>
  <c r="U433" i="18"/>
  <c r="B436" i="18"/>
  <c r="C436" i="18"/>
  <c r="D436" i="18"/>
  <c r="E436" i="18"/>
  <c r="F436" i="18"/>
  <c r="G436" i="18"/>
  <c r="H436" i="18"/>
  <c r="I436" i="18"/>
  <c r="J436" i="18"/>
  <c r="K436" i="18"/>
  <c r="L436" i="18"/>
  <c r="M436" i="18"/>
  <c r="N436" i="18"/>
  <c r="O436" i="18"/>
  <c r="P436" i="18"/>
  <c r="Q436" i="18"/>
  <c r="R436" i="18"/>
  <c r="S436" i="18"/>
  <c r="T436" i="18"/>
  <c r="U436" i="18"/>
  <c r="B439" i="18"/>
  <c r="C439" i="18"/>
  <c r="D439" i="18"/>
  <c r="E439" i="18"/>
  <c r="F439" i="18"/>
  <c r="G439" i="18"/>
  <c r="H439" i="18"/>
  <c r="I439" i="18"/>
  <c r="J439" i="18"/>
  <c r="K439" i="18"/>
  <c r="L439" i="18"/>
  <c r="M439" i="18"/>
  <c r="N439" i="18"/>
  <c r="O439" i="18"/>
  <c r="P439" i="18"/>
  <c r="Q439" i="18"/>
  <c r="R439" i="18"/>
  <c r="S439" i="18"/>
  <c r="T439" i="18"/>
  <c r="U439" i="18"/>
  <c r="B442" i="18"/>
  <c r="C442" i="18"/>
  <c r="D442" i="18"/>
  <c r="E442" i="18"/>
  <c r="F442" i="18"/>
  <c r="G442" i="18"/>
  <c r="H442" i="18"/>
  <c r="I442" i="18"/>
  <c r="J442" i="18"/>
  <c r="K442" i="18"/>
  <c r="L442" i="18"/>
  <c r="M442" i="18"/>
  <c r="N442" i="18"/>
  <c r="O442" i="18"/>
  <c r="P442" i="18"/>
  <c r="Q442" i="18"/>
  <c r="R442" i="18"/>
  <c r="S442" i="18"/>
  <c r="T442" i="18"/>
  <c r="U442" i="18"/>
  <c r="B445" i="18"/>
  <c r="X445" i="18" s="1"/>
  <c r="Y474" i="16" s="1"/>
  <c r="C445" i="18"/>
  <c r="D445" i="18"/>
  <c r="E445" i="18"/>
  <c r="F445" i="18"/>
  <c r="G445" i="18"/>
  <c r="H445" i="18"/>
  <c r="I445" i="18"/>
  <c r="J445" i="18"/>
  <c r="K445" i="18"/>
  <c r="L445" i="18"/>
  <c r="M445" i="18"/>
  <c r="N445" i="18"/>
  <c r="O445" i="18"/>
  <c r="P445" i="18"/>
  <c r="Q445" i="18"/>
  <c r="R445" i="18"/>
  <c r="S445" i="18"/>
  <c r="T445" i="18"/>
  <c r="U445" i="18"/>
  <c r="B448" i="18"/>
  <c r="C448" i="18"/>
  <c r="D448" i="18"/>
  <c r="E448" i="18"/>
  <c r="F448" i="18"/>
  <c r="G448" i="18"/>
  <c r="H448" i="18"/>
  <c r="I448" i="18"/>
  <c r="J448" i="18"/>
  <c r="K448" i="18"/>
  <c r="L448" i="18"/>
  <c r="M448" i="18"/>
  <c r="N448" i="18"/>
  <c r="O448" i="18"/>
  <c r="P448" i="18"/>
  <c r="Q448" i="18"/>
  <c r="R448" i="18"/>
  <c r="S448" i="18"/>
  <c r="T448" i="18"/>
  <c r="U448" i="18"/>
  <c r="B451" i="18"/>
  <c r="C451" i="18"/>
  <c r="D451" i="18"/>
  <c r="E451" i="18"/>
  <c r="F451" i="18"/>
  <c r="G451" i="18"/>
  <c r="H451" i="18"/>
  <c r="I451" i="18"/>
  <c r="J451" i="18"/>
  <c r="K451" i="18"/>
  <c r="L451" i="18"/>
  <c r="M451" i="18"/>
  <c r="N451" i="18"/>
  <c r="O451" i="18"/>
  <c r="P451" i="18"/>
  <c r="Q451" i="18"/>
  <c r="R451" i="18"/>
  <c r="S451" i="18"/>
  <c r="T451" i="18"/>
  <c r="U451" i="18"/>
  <c r="B454" i="18"/>
  <c r="C454" i="18"/>
  <c r="D454" i="18"/>
  <c r="E454" i="18"/>
  <c r="F454" i="18"/>
  <c r="G454" i="18"/>
  <c r="H454" i="18"/>
  <c r="I454" i="18"/>
  <c r="J454" i="18"/>
  <c r="K454" i="18"/>
  <c r="L454" i="18"/>
  <c r="M454" i="18"/>
  <c r="N454" i="18"/>
  <c r="O454" i="18"/>
  <c r="P454" i="18"/>
  <c r="Q454" i="18"/>
  <c r="R454" i="18"/>
  <c r="S454" i="18"/>
  <c r="T454" i="18"/>
  <c r="U454" i="18"/>
  <c r="B457" i="18"/>
  <c r="C457" i="18"/>
  <c r="D457" i="18"/>
  <c r="E457" i="18"/>
  <c r="F457" i="18"/>
  <c r="G457" i="18"/>
  <c r="H457" i="18"/>
  <c r="I457" i="18"/>
  <c r="J457" i="18"/>
  <c r="K457" i="18"/>
  <c r="L457" i="18"/>
  <c r="M457" i="18"/>
  <c r="N457" i="18"/>
  <c r="O457" i="18"/>
  <c r="P457" i="18"/>
  <c r="Q457" i="18"/>
  <c r="R457" i="18"/>
  <c r="S457" i="18"/>
  <c r="T457" i="18"/>
  <c r="U457" i="18"/>
  <c r="B460" i="18"/>
  <c r="C460" i="18"/>
  <c r="D460" i="18"/>
  <c r="E460" i="18"/>
  <c r="F460" i="18"/>
  <c r="G460" i="18"/>
  <c r="H460" i="18"/>
  <c r="I460" i="18"/>
  <c r="J460" i="18"/>
  <c r="K460" i="18"/>
  <c r="L460" i="18"/>
  <c r="M460" i="18"/>
  <c r="N460" i="18"/>
  <c r="O460" i="18"/>
  <c r="P460" i="18"/>
  <c r="Q460" i="18"/>
  <c r="R460" i="18"/>
  <c r="S460" i="18"/>
  <c r="T460" i="18"/>
  <c r="U460" i="18"/>
  <c r="B463" i="18"/>
  <c r="C463" i="18"/>
  <c r="D463" i="18"/>
  <c r="E463" i="18"/>
  <c r="F463" i="18"/>
  <c r="G463" i="18"/>
  <c r="H463" i="18"/>
  <c r="I463" i="18"/>
  <c r="J463" i="18"/>
  <c r="K463" i="18"/>
  <c r="L463" i="18"/>
  <c r="M463" i="18"/>
  <c r="N463" i="18"/>
  <c r="O463" i="18"/>
  <c r="P463" i="18"/>
  <c r="Q463" i="18"/>
  <c r="R463" i="18"/>
  <c r="S463" i="18"/>
  <c r="T463" i="18"/>
  <c r="U463" i="18"/>
  <c r="B466" i="18"/>
  <c r="C466" i="18"/>
  <c r="D466" i="18"/>
  <c r="E466" i="18"/>
  <c r="F466" i="18"/>
  <c r="G466" i="18"/>
  <c r="H466" i="18"/>
  <c r="I466" i="18"/>
  <c r="J466" i="18"/>
  <c r="K466" i="18"/>
  <c r="L466" i="18"/>
  <c r="M466" i="18"/>
  <c r="N466" i="18"/>
  <c r="O466" i="18"/>
  <c r="P466" i="18"/>
  <c r="Q466" i="18"/>
  <c r="R466" i="18"/>
  <c r="S466" i="18"/>
  <c r="T466" i="18"/>
  <c r="U466" i="18"/>
  <c r="B469" i="18"/>
  <c r="C469" i="18"/>
  <c r="D469" i="18"/>
  <c r="E469" i="18"/>
  <c r="F469" i="18"/>
  <c r="G469" i="18"/>
  <c r="H469" i="18"/>
  <c r="I469" i="18"/>
  <c r="J469" i="18"/>
  <c r="K469" i="18"/>
  <c r="L469" i="18"/>
  <c r="M469" i="18"/>
  <c r="N469" i="18"/>
  <c r="O469" i="18"/>
  <c r="P469" i="18"/>
  <c r="Q469" i="18"/>
  <c r="R469" i="18"/>
  <c r="S469" i="18"/>
  <c r="T469" i="18"/>
  <c r="U469" i="18"/>
  <c r="B472" i="18"/>
  <c r="C472" i="18"/>
  <c r="D472" i="18"/>
  <c r="E472" i="18"/>
  <c r="F472" i="18"/>
  <c r="G472" i="18"/>
  <c r="H472" i="18"/>
  <c r="I472" i="18"/>
  <c r="J472" i="18"/>
  <c r="K472" i="18"/>
  <c r="L472" i="18"/>
  <c r="M472" i="18"/>
  <c r="N472" i="18"/>
  <c r="O472" i="18"/>
  <c r="P472" i="18"/>
  <c r="Q472" i="18"/>
  <c r="R472" i="18"/>
  <c r="S472" i="18"/>
  <c r="T472" i="18"/>
  <c r="U472" i="18"/>
  <c r="B475" i="18"/>
  <c r="C475" i="18"/>
  <c r="D475" i="18"/>
  <c r="E475" i="18"/>
  <c r="F475" i="18"/>
  <c r="G475" i="18"/>
  <c r="H475" i="18"/>
  <c r="I475" i="18"/>
  <c r="J475" i="18"/>
  <c r="K475" i="18"/>
  <c r="L475" i="18"/>
  <c r="M475" i="18"/>
  <c r="N475" i="18"/>
  <c r="O475" i="18"/>
  <c r="P475" i="18"/>
  <c r="Q475" i="18"/>
  <c r="R475" i="18"/>
  <c r="S475" i="18"/>
  <c r="T475" i="18"/>
  <c r="U475" i="18"/>
  <c r="B478" i="18"/>
  <c r="C478" i="18"/>
  <c r="D478" i="18"/>
  <c r="E478" i="18"/>
  <c r="F478" i="18"/>
  <c r="G478" i="18"/>
  <c r="H478" i="18"/>
  <c r="I478" i="18"/>
  <c r="J478" i="18"/>
  <c r="K478" i="18"/>
  <c r="L478" i="18"/>
  <c r="M478" i="18"/>
  <c r="N478" i="18"/>
  <c r="O478" i="18"/>
  <c r="P478" i="18"/>
  <c r="Q478" i="18"/>
  <c r="R478" i="18"/>
  <c r="S478" i="18"/>
  <c r="T478" i="18"/>
  <c r="U478" i="18"/>
  <c r="B481" i="18"/>
  <c r="C481" i="18"/>
  <c r="D481" i="18"/>
  <c r="E481" i="18"/>
  <c r="F481" i="18"/>
  <c r="G481" i="18"/>
  <c r="H481" i="18"/>
  <c r="I481" i="18"/>
  <c r="J481" i="18"/>
  <c r="K481" i="18"/>
  <c r="L481" i="18"/>
  <c r="M481" i="18"/>
  <c r="N481" i="18"/>
  <c r="O481" i="18"/>
  <c r="P481" i="18"/>
  <c r="Q481" i="18"/>
  <c r="R481" i="18"/>
  <c r="S481" i="18"/>
  <c r="T481" i="18"/>
  <c r="U481" i="18"/>
  <c r="B484" i="18"/>
  <c r="C484" i="18"/>
  <c r="D484" i="18"/>
  <c r="E484" i="18"/>
  <c r="F484" i="18"/>
  <c r="G484" i="18"/>
  <c r="H484" i="18"/>
  <c r="I484" i="18"/>
  <c r="J484" i="18"/>
  <c r="K484" i="18"/>
  <c r="L484" i="18"/>
  <c r="M484" i="18"/>
  <c r="N484" i="18"/>
  <c r="O484" i="18"/>
  <c r="P484" i="18"/>
  <c r="Q484" i="18"/>
  <c r="R484" i="18"/>
  <c r="S484" i="18"/>
  <c r="T484" i="18"/>
  <c r="U484" i="18"/>
  <c r="B487" i="18"/>
  <c r="C487" i="18"/>
  <c r="D487" i="18"/>
  <c r="E487" i="18"/>
  <c r="F487" i="18"/>
  <c r="G487" i="18"/>
  <c r="H487" i="18"/>
  <c r="I487" i="18"/>
  <c r="J487" i="18"/>
  <c r="K487" i="18"/>
  <c r="L487" i="18"/>
  <c r="M487" i="18"/>
  <c r="N487" i="18"/>
  <c r="O487" i="18"/>
  <c r="P487" i="18"/>
  <c r="Q487" i="18"/>
  <c r="R487" i="18"/>
  <c r="S487" i="18"/>
  <c r="T487" i="18"/>
  <c r="U487" i="18"/>
  <c r="B490" i="18"/>
  <c r="C490" i="18"/>
  <c r="D490" i="18"/>
  <c r="E490" i="18"/>
  <c r="F490" i="18"/>
  <c r="G490" i="18"/>
  <c r="H490" i="18"/>
  <c r="I490" i="18"/>
  <c r="J490" i="18"/>
  <c r="K490" i="18"/>
  <c r="L490" i="18"/>
  <c r="M490" i="18"/>
  <c r="N490" i="18"/>
  <c r="O490" i="18"/>
  <c r="P490" i="18"/>
  <c r="Q490" i="18"/>
  <c r="R490" i="18"/>
  <c r="S490" i="18"/>
  <c r="T490" i="18"/>
  <c r="U490" i="18"/>
  <c r="B493" i="18"/>
  <c r="C493" i="18"/>
  <c r="D493" i="18"/>
  <c r="E493" i="18"/>
  <c r="F493" i="18"/>
  <c r="G493" i="18"/>
  <c r="H493" i="18"/>
  <c r="I493" i="18"/>
  <c r="J493" i="18"/>
  <c r="K493" i="18"/>
  <c r="L493" i="18"/>
  <c r="M493" i="18"/>
  <c r="N493" i="18"/>
  <c r="O493" i="18"/>
  <c r="P493" i="18"/>
  <c r="Q493" i="18"/>
  <c r="R493" i="18"/>
  <c r="S493" i="18"/>
  <c r="T493" i="18"/>
  <c r="U493" i="18"/>
  <c r="B496" i="18"/>
  <c r="C496" i="18"/>
  <c r="D496" i="18"/>
  <c r="E496" i="18"/>
  <c r="F496" i="18"/>
  <c r="G496" i="18"/>
  <c r="H496" i="18"/>
  <c r="I496" i="18"/>
  <c r="J496" i="18"/>
  <c r="K496" i="18"/>
  <c r="L496" i="18"/>
  <c r="M496" i="18"/>
  <c r="N496" i="18"/>
  <c r="O496" i="18"/>
  <c r="P496" i="18"/>
  <c r="Q496" i="18"/>
  <c r="R496" i="18"/>
  <c r="S496" i="18"/>
  <c r="T496" i="18"/>
  <c r="U496" i="18"/>
  <c r="B499" i="18"/>
  <c r="C499" i="18"/>
  <c r="D499" i="18"/>
  <c r="E499" i="18"/>
  <c r="F499" i="18"/>
  <c r="G499" i="18"/>
  <c r="H499" i="18"/>
  <c r="I499" i="18"/>
  <c r="J499" i="18"/>
  <c r="K499" i="18"/>
  <c r="L499" i="18"/>
  <c r="M499" i="18"/>
  <c r="N499" i="18"/>
  <c r="O499" i="18"/>
  <c r="P499" i="18"/>
  <c r="Q499" i="18"/>
  <c r="R499" i="18"/>
  <c r="S499" i="18"/>
  <c r="T499" i="18"/>
  <c r="U499" i="18"/>
  <c r="B502" i="18"/>
  <c r="C502" i="18"/>
  <c r="D502" i="18"/>
  <c r="E502" i="18"/>
  <c r="F502" i="18"/>
  <c r="G502" i="18"/>
  <c r="H502" i="18"/>
  <c r="I502" i="18"/>
  <c r="J502" i="18"/>
  <c r="K502" i="18"/>
  <c r="L502" i="18"/>
  <c r="M502" i="18"/>
  <c r="N502" i="18"/>
  <c r="O502" i="18"/>
  <c r="P502" i="18"/>
  <c r="Q502" i="18"/>
  <c r="R502" i="18"/>
  <c r="S502" i="18"/>
  <c r="T502" i="18"/>
  <c r="U502" i="18"/>
  <c r="B505" i="18"/>
  <c r="C505" i="18"/>
  <c r="D505" i="18"/>
  <c r="E505" i="18"/>
  <c r="F505" i="18"/>
  <c r="G505" i="18"/>
  <c r="H505" i="18"/>
  <c r="I505" i="18"/>
  <c r="J505" i="18"/>
  <c r="K505" i="18"/>
  <c r="L505" i="18"/>
  <c r="M505" i="18"/>
  <c r="N505" i="18"/>
  <c r="O505" i="18"/>
  <c r="P505" i="18"/>
  <c r="Q505" i="18"/>
  <c r="R505" i="18"/>
  <c r="S505" i="18"/>
  <c r="T505" i="18"/>
  <c r="U505" i="18"/>
  <c r="B508" i="18"/>
  <c r="C508" i="18"/>
  <c r="D508" i="18"/>
  <c r="E508" i="18"/>
  <c r="F508" i="18"/>
  <c r="G508" i="18"/>
  <c r="H508" i="18"/>
  <c r="I508" i="18"/>
  <c r="J508" i="18"/>
  <c r="K508" i="18"/>
  <c r="L508" i="18"/>
  <c r="M508" i="18"/>
  <c r="N508" i="18"/>
  <c r="O508" i="18"/>
  <c r="P508" i="18"/>
  <c r="Q508" i="18"/>
  <c r="R508" i="18"/>
  <c r="S508" i="18"/>
  <c r="T508" i="18"/>
  <c r="U508" i="18"/>
  <c r="B511" i="18"/>
  <c r="C511" i="18"/>
  <c r="D511" i="18"/>
  <c r="E511" i="18"/>
  <c r="F511" i="18"/>
  <c r="G511" i="18"/>
  <c r="H511" i="18"/>
  <c r="I511" i="18"/>
  <c r="J511" i="18"/>
  <c r="K511" i="18"/>
  <c r="L511" i="18"/>
  <c r="M511" i="18"/>
  <c r="N511" i="18"/>
  <c r="O511" i="18"/>
  <c r="P511" i="18"/>
  <c r="Q511" i="18"/>
  <c r="R511" i="18"/>
  <c r="S511" i="18"/>
  <c r="T511" i="18"/>
  <c r="U511" i="18"/>
  <c r="B514" i="18"/>
  <c r="C514" i="18"/>
  <c r="D514" i="18"/>
  <c r="E514" i="18"/>
  <c r="F514" i="18"/>
  <c r="G514" i="18"/>
  <c r="H514" i="18"/>
  <c r="I514" i="18"/>
  <c r="J514" i="18"/>
  <c r="K514" i="18"/>
  <c r="L514" i="18"/>
  <c r="M514" i="18"/>
  <c r="N514" i="18"/>
  <c r="O514" i="18"/>
  <c r="P514" i="18"/>
  <c r="Q514" i="18"/>
  <c r="R514" i="18"/>
  <c r="S514" i="18"/>
  <c r="T514" i="18"/>
  <c r="U514" i="18"/>
  <c r="B517" i="18"/>
  <c r="C517" i="18"/>
  <c r="D517" i="18"/>
  <c r="E517" i="18"/>
  <c r="F517" i="18"/>
  <c r="G517" i="18"/>
  <c r="H517" i="18"/>
  <c r="I517" i="18"/>
  <c r="J517" i="18"/>
  <c r="K517" i="18"/>
  <c r="L517" i="18"/>
  <c r="M517" i="18"/>
  <c r="N517" i="18"/>
  <c r="O517" i="18"/>
  <c r="P517" i="18"/>
  <c r="Q517" i="18"/>
  <c r="R517" i="18"/>
  <c r="S517" i="18"/>
  <c r="T517" i="18"/>
  <c r="U517" i="18"/>
  <c r="B520" i="18"/>
  <c r="C520" i="18"/>
  <c r="D520" i="18"/>
  <c r="E520" i="18"/>
  <c r="F520" i="18"/>
  <c r="G520" i="18"/>
  <c r="H520" i="18"/>
  <c r="I520" i="18"/>
  <c r="J520" i="18"/>
  <c r="K520" i="18"/>
  <c r="L520" i="18"/>
  <c r="M520" i="18"/>
  <c r="N520" i="18"/>
  <c r="O520" i="18"/>
  <c r="P520" i="18"/>
  <c r="Q520" i="18"/>
  <c r="R520" i="18"/>
  <c r="S520" i="18"/>
  <c r="T520" i="18"/>
  <c r="U520" i="18"/>
  <c r="B523" i="18"/>
  <c r="C523" i="18"/>
  <c r="D523" i="18"/>
  <c r="E523" i="18"/>
  <c r="F523" i="18"/>
  <c r="G523" i="18"/>
  <c r="H523" i="18"/>
  <c r="I523" i="18"/>
  <c r="J523" i="18"/>
  <c r="K523" i="18"/>
  <c r="L523" i="18"/>
  <c r="M523" i="18"/>
  <c r="N523" i="18"/>
  <c r="O523" i="18"/>
  <c r="P523" i="18"/>
  <c r="Q523" i="18"/>
  <c r="R523" i="18"/>
  <c r="S523" i="18"/>
  <c r="T523" i="18"/>
  <c r="U523" i="18"/>
  <c r="B526" i="18"/>
  <c r="C526" i="18"/>
  <c r="D526" i="18"/>
  <c r="E526" i="18"/>
  <c r="F526" i="18"/>
  <c r="G526" i="18"/>
  <c r="H526" i="18"/>
  <c r="I526" i="18"/>
  <c r="J526" i="18"/>
  <c r="K526" i="18"/>
  <c r="L526" i="18"/>
  <c r="M526" i="18"/>
  <c r="N526" i="18"/>
  <c r="O526" i="18"/>
  <c r="P526" i="18"/>
  <c r="Q526" i="18"/>
  <c r="R526" i="18"/>
  <c r="S526" i="18"/>
  <c r="T526" i="18"/>
  <c r="U526" i="18"/>
  <c r="B529" i="18"/>
  <c r="C529" i="18"/>
  <c r="D529" i="18"/>
  <c r="X529" i="18" s="1"/>
  <c r="Y558" i="16" s="1"/>
  <c r="E529" i="18"/>
  <c r="F529" i="18"/>
  <c r="G529" i="18"/>
  <c r="H529" i="18"/>
  <c r="I529" i="18"/>
  <c r="J529" i="18"/>
  <c r="K529" i="18"/>
  <c r="L529" i="18"/>
  <c r="M529" i="18"/>
  <c r="N529" i="18"/>
  <c r="O529" i="18"/>
  <c r="P529" i="18"/>
  <c r="Q529" i="18"/>
  <c r="R529" i="18"/>
  <c r="S529" i="18"/>
  <c r="T529" i="18"/>
  <c r="U529" i="18"/>
  <c r="B532" i="18"/>
  <c r="C532" i="18"/>
  <c r="D532" i="18"/>
  <c r="E532" i="18"/>
  <c r="F532" i="18"/>
  <c r="G532" i="18"/>
  <c r="H532" i="18"/>
  <c r="I532" i="18"/>
  <c r="J532" i="18"/>
  <c r="K532" i="18"/>
  <c r="L532" i="18"/>
  <c r="M532" i="18"/>
  <c r="N532" i="18"/>
  <c r="O532" i="18"/>
  <c r="P532" i="18"/>
  <c r="Q532" i="18"/>
  <c r="R532" i="18"/>
  <c r="S532" i="18"/>
  <c r="T532" i="18"/>
  <c r="U532" i="18"/>
  <c r="C430" i="18"/>
  <c r="D430" i="18"/>
  <c r="E430" i="18"/>
  <c r="F430" i="18"/>
  <c r="G430" i="18"/>
  <c r="H430" i="18"/>
  <c r="I430" i="18"/>
  <c r="J430" i="18"/>
  <c r="K430" i="18"/>
  <c r="L430" i="18"/>
  <c r="M430" i="18"/>
  <c r="N430" i="18"/>
  <c r="O430" i="18"/>
  <c r="P430" i="18"/>
  <c r="Q430" i="18"/>
  <c r="R430" i="18"/>
  <c r="S430" i="18"/>
  <c r="T430" i="18"/>
  <c r="U430" i="18"/>
  <c r="B430" i="18"/>
  <c r="X493" i="18"/>
  <c r="Y522" i="16" s="1"/>
  <c r="AA326" i="18"/>
  <c r="AB326" i="18"/>
  <c r="AC326" i="18"/>
  <c r="AD326" i="18"/>
  <c r="AE326" i="18"/>
  <c r="AF326" i="18"/>
  <c r="AG326" i="18"/>
  <c r="AH326" i="18"/>
  <c r="AI326" i="18"/>
  <c r="AJ326" i="18"/>
  <c r="AK326" i="18"/>
  <c r="AL326" i="18"/>
  <c r="AM326" i="18"/>
  <c r="AN326" i="18"/>
  <c r="AO326" i="18"/>
  <c r="AP326" i="18"/>
  <c r="AQ326" i="18"/>
  <c r="AR326" i="18"/>
  <c r="AS326" i="18"/>
  <c r="AT326" i="18"/>
  <c r="AA329" i="18"/>
  <c r="AB329" i="18"/>
  <c r="AC329" i="18"/>
  <c r="AD329" i="18"/>
  <c r="AE329" i="18"/>
  <c r="AF329" i="18"/>
  <c r="AG329" i="18"/>
  <c r="AH329" i="18"/>
  <c r="AI329" i="18"/>
  <c r="AJ329" i="18"/>
  <c r="AK329" i="18"/>
  <c r="AL329" i="18"/>
  <c r="AM329" i="18"/>
  <c r="AN329" i="18"/>
  <c r="AO329" i="18"/>
  <c r="AP329" i="18"/>
  <c r="AQ329" i="18"/>
  <c r="AR329" i="18"/>
  <c r="AS329" i="18"/>
  <c r="AT329" i="18"/>
  <c r="AA332" i="18"/>
  <c r="AB332" i="18"/>
  <c r="AC332" i="18"/>
  <c r="AD332" i="18"/>
  <c r="AE332" i="18"/>
  <c r="AF332" i="18"/>
  <c r="AG332" i="18"/>
  <c r="AH332" i="18"/>
  <c r="AI332" i="18"/>
  <c r="AJ332" i="18"/>
  <c r="AK332" i="18"/>
  <c r="AL332" i="18"/>
  <c r="AM332" i="18"/>
  <c r="AN332" i="18"/>
  <c r="AO332" i="18"/>
  <c r="AP332" i="18"/>
  <c r="AQ332" i="18"/>
  <c r="AR332" i="18"/>
  <c r="AS332" i="18"/>
  <c r="AT332" i="18"/>
  <c r="AA335" i="18"/>
  <c r="AB335" i="18"/>
  <c r="AC335" i="18"/>
  <c r="AD335" i="18"/>
  <c r="AE335" i="18"/>
  <c r="AF335" i="18"/>
  <c r="AG335" i="18"/>
  <c r="AH335" i="18"/>
  <c r="AI335" i="18"/>
  <c r="AJ335" i="18"/>
  <c r="AK335" i="18"/>
  <c r="AL335" i="18"/>
  <c r="AM335" i="18"/>
  <c r="AN335" i="18"/>
  <c r="AO335" i="18"/>
  <c r="AP335" i="18"/>
  <c r="AQ335" i="18"/>
  <c r="AR335" i="18"/>
  <c r="AS335" i="18"/>
  <c r="AT335" i="18"/>
  <c r="AA338" i="18"/>
  <c r="AB338" i="18"/>
  <c r="AC338" i="18"/>
  <c r="AD338" i="18"/>
  <c r="AE338" i="18"/>
  <c r="AF338" i="18"/>
  <c r="AG338" i="18"/>
  <c r="AH338" i="18"/>
  <c r="AI338" i="18"/>
  <c r="AJ338" i="18"/>
  <c r="AK338" i="18"/>
  <c r="AL338" i="18"/>
  <c r="AM338" i="18"/>
  <c r="AN338" i="18"/>
  <c r="AO338" i="18"/>
  <c r="AP338" i="18"/>
  <c r="AQ338" i="18"/>
  <c r="AR338" i="18"/>
  <c r="AS338" i="18"/>
  <c r="AT338" i="18"/>
  <c r="AA341" i="18"/>
  <c r="AB341" i="18"/>
  <c r="AC341" i="18"/>
  <c r="AD341" i="18"/>
  <c r="AE341" i="18"/>
  <c r="AF341" i="18"/>
  <c r="AG341" i="18"/>
  <c r="AH341" i="18"/>
  <c r="AI341" i="18"/>
  <c r="AJ341" i="18"/>
  <c r="AK341" i="18"/>
  <c r="AL341" i="18"/>
  <c r="AM341" i="18"/>
  <c r="AN341" i="18"/>
  <c r="AO341" i="18"/>
  <c r="AP341" i="18"/>
  <c r="AQ341" i="18"/>
  <c r="AR341" i="18"/>
  <c r="AS341" i="18"/>
  <c r="AT341" i="18"/>
  <c r="AA344" i="18"/>
  <c r="AB344" i="18"/>
  <c r="AC344" i="18"/>
  <c r="AD344" i="18"/>
  <c r="AE344" i="18"/>
  <c r="AF344" i="18"/>
  <c r="AG344" i="18"/>
  <c r="AH344" i="18"/>
  <c r="AI344" i="18"/>
  <c r="AJ344" i="18"/>
  <c r="AK344" i="18"/>
  <c r="AL344" i="18"/>
  <c r="AM344" i="18"/>
  <c r="AN344" i="18"/>
  <c r="AO344" i="18"/>
  <c r="AP344" i="18"/>
  <c r="AQ344" i="18"/>
  <c r="AR344" i="18"/>
  <c r="AS344" i="18"/>
  <c r="AT344" i="18"/>
  <c r="AA347" i="18"/>
  <c r="AB347" i="18"/>
  <c r="AC347" i="18"/>
  <c r="AD347" i="18"/>
  <c r="AE347" i="18"/>
  <c r="AF347" i="18"/>
  <c r="AG347" i="18"/>
  <c r="AH347" i="18"/>
  <c r="AI347" i="18"/>
  <c r="AJ347" i="18"/>
  <c r="AK347" i="18"/>
  <c r="AL347" i="18"/>
  <c r="AM347" i="18"/>
  <c r="AN347" i="18"/>
  <c r="AO347" i="18"/>
  <c r="AP347" i="18"/>
  <c r="AQ347" i="18"/>
  <c r="AR347" i="18"/>
  <c r="AS347" i="18"/>
  <c r="AT347" i="18"/>
  <c r="AA350" i="18"/>
  <c r="AB350" i="18"/>
  <c r="AC350" i="18"/>
  <c r="AD350" i="18"/>
  <c r="AE350" i="18"/>
  <c r="AF350" i="18"/>
  <c r="AG350" i="18"/>
  <c r="AH350" i="18"/>
  <c r="AI350" i="18"/>
  <c r="AJ350" i="18"/>
  <c r="AK350" i="18"/>
  <c r="AL350" i="18"/>
  <c r="AM350" i="18"/>
  <c r="AN350" i="18"/>
  <c r="AO350" i="18"/>
  <c r="AP350" i="18"/>
  <c r="AQ350" i="18"/>
  <c r="AR350" i="18"/>
  <c r="AS350" i="18"/>
  <c r="AT350" i="18"/>
  <c r="AA353" i="18"/>
  <c r="AB353" i="18"/>
  <c r="AC353" i="18"/>
  <c r="AD353" i="18"/>
  <c r="AE353" i="18"/>
  <c r="AF353" i="18"/>
  <c r="AG353" i="18"/>
  <c r="AH353" i="18"/>
  <c r="AI353" i="18"/>
  <c r="AJ353" i="18"/>
  <c r="AK353" i="18"/>
  <c r="AL353" i="18"/>
  <c r="AM353" i="18"/>
  <c r="AN353" i="18"/>
  <c r="AO353" i="18"/>
  <c r="AP353" i="18"/>
  <c r="AQ353" i="18"/>
  <c r="AR353" i="18"/>
  <c r="AS353" i="18"/>
  <c r="AT353" i="18"/>
  <c r="AA356" i="18"/>
  <c r="AB356" i="18"/>
  <c r="AC356" i="18"/>
  <c r="AD356" i="18"/>
  <c r="AE356" i="18"/>
  <c r="AF356" i="18"/>
  <c r="AG356" i="18"/>
  <c r="AH356" i="18"/>
  <c r="AI356" i="18"/>
  <c r="AJ356" i="18"/>
  <c r="AK356" i="18"/>
  <c r="AL356" i="18"/>
  <c r="AM356" i="18"/>
  <c r="AN356" i="18"/>
  <c r="AO356" i="18"/>
  <c r="AP356" i="18"/>
  <c r="AQ356" i="18"/>
  <c r="AR356" i="18"/>
  <c r="AS356" i="18"/>
  <c r="AT356" i="18"/>
  <c r="AA359" i="18"/>
  <c r="AB359" i="18"/>
  <c r="AC359" i="18"/>
  <c r="AD359" i="18"/>
  <c r="AE359" i="18"/>
  <c r="AF359" i="18"/>
  <c r="AG359" i="18"/>
  <c r="AH359" i="18"/>
  <c r="AI359" i="18"/>
  <c r="AJ359" i="18"/>
  <c r="AK359" i="18"/>
  <c r="AL359" i="18"/>
  <c r="AM359" i="18"/>
  <c r="AN359" i="18"/>
  <c r="AO359" i="18"/>
  <c r="AP359" i="18"/>
  <c r="AQ359" i="18"/>
  <c r="AR359" i="18"/>
  <c r="AS359" i="18"/>
  <c r="AT359" i="18"/>
  <c r="AA362" i="18"/>
  <c r="AB362" i="18"/>
  <c r="AC362" i="18"/>
  <c r="AD362" i="18"/>
  <c r="AE362" i="18"/>
  <c r="AF362" i="18"/>
  <c r="AG362" i="18"/>
  <c r="AH362" i="18"/>
  <c r="AI362" i="18"/>
  <c r="AJ362" i="18"/>
  <c r="AK362" i="18"/>
  <c r="AL362" i="18"/>
  <c r="AM362" i="18"/>
  <c r="AN362" i="18"/>
  <c r="AO362" i="18"/>
  <c r="AP362" i="18"/>
  <c r="AQ362" i="18"/>
  <c r="AR362" i="18"/>
  <c r="AS362" i="18"/>
  <c r="AT362" i="18"/>
  <c r="AA365" i="18"/>
  <c r="AB365" i="18"/>
  <c r="AC365" i="18"/>
  <c r="AD365" i="18"/>
  <c r="AE365" i="18"/>
  <c r="AF365" i="18"/>
  <c r="AG365" i="18"/>
  <c r="AH365" i="18"/>
  <c r="AI365" i="18"/>
  <c r="AJ365" i="18"/>
  <c r="AK365" i="18"/>
  <c r="AL365" i="18"/>
  <c r="AM365" i="18"/>
  <c r="AN365" i="18"/>
  <c r="AO365" i="18"/>
  <c r="AP365" i="18"/>
  <c r="AQ365" i="18"/>
  <c r="AR365" i="18"/>
  <c r="AS365" i="18"/>
  <c r="AT365" i="18"/>
  <c r="AA368" i="18"/>
  <c r="AB368" i="18"/>
  <c r="AC368" i="18"/>
  <c r="AD368" i="18"/>
  <c r="AE368" i="18"/>
  <c r="AF368" i="18"/>
  <c r="AG368" i="18"/>
  <c r="AH368" i="18"/>
  <c r="AI368" i="18"/>
  <c r="AJ368" i="18"/>
  <c r="AK368" i="18"/>
  <c r="AL368" i="18"/>
  <c r="AM368" i="18"/>
  <c r="AN368" i="18"/>
  <c r="AO368" i="18"/>
  <c r="AP368" i="18"/>
  <c r="AQ368" i="18"/>
  <c r="AR368" i="18"/>
  <c r="AS368" i="18"/>
  <c r="AT368" i="18"/>
  <c r="AA371" i="18"/>
  <c r="AB371" i="18"/>
  <c r="AC371" i="18"/>
  <c r="AD371" i="18"/>
  <c r="AE371" i="18"/>
  <c r="AF371" i="18"/>
  <c r="AG371" i="18"/>
  <c r="AH371" i="18"/>
  <c r="AI371" i="18"/>
  <c r="AJ371" i="18"/>
  <c r="AK371" i="18"/>
  <c r="AL371" i="18"/>
  <c r="AM371" i="18"/>
  <c r="AN371" i="18"/>
  <c r="AO371" i="18"/>
  <c r="AP371" i="18"/>
  <c r="AQ371" i="18"/>
  <c r="AR371" i="18"/>
  <c r="AS371" i="18"/>
  <c r="AT371" i="18"/>
  <c r="AA374" i="18"/>
  <c r="AB374" i="18"/>
  <c r="AC374" i="18"/>
  <c r="AD374" i="18"/>
  <c r="AE374" i="18"/>
  <c r="AF374" i="18"/>
  <c r="AG374" i="18"/>
  <c r="AH374" i="18"/>
  <c r="AI374" i="18"/>
  <c r="AJ374" i="18"/>
  <c r="AK374" i="18"/>
  <c r="AL374" i="18"/>
  <c r="AM374" i="18"/>
  <c r="AN374" i="18"/>
  <c r="AO374" i="18"/>
  <c r="AP374" i="18"/>
  <c r="AQ374" i="18"/>
  <c r="AR374" i="18"/>
  <c r="AS374" i="18"/>
  <c r="AT374" i="18"/>
  <c r="AA377" i="18"/>
  <c r="AB377" i="18"/>
  <c r="AC377" i="18"/>
  <c r="AD377" i="18"/>
  <c r="AE377" i="18"/>
  <c r="AF377" i="18"/>
  <c r="AG377" i="18"/>
  <c r="AH377" i="18"/>
  <c r="AI377" i="18"/>
  <c r="AJ377" i="18"/>
  <c r="AK377" i="18"/>
  <c r="AL377" i="18"/>
  <c r="AM377" i="18"/>
  <c r="AN377" i="18"/>
  <c r="AO377" i="18"/>
  <c r="AP377" i="18"/>
  <c r="AQ377" i="18"/>
  <c r="AR377" i="18"/>
  <c r="AS377" i="18"/>
  <c r="AT377" i="18"/>
  <c r="AA380" i="18"/>
  <c r="AB380" i="18"/>
  <c r="AC380" i="18"/>
  <c r="AD380" i="18"/>
  <c r="AE380" i="18"/>
  <c r="AF380" i="18"/>
  <c r="AG380" i="18"/>
  <c r="AH380" i="18"/>
  <c r="AI380" i="18"/>
  <c r="AJ380" i="18"/>
  <c r="AK380" i="18"/>
  <c r="AL380" i="18"/>
  <c r="AM380" i="18"/>
  <c r="AN380" i="18"/>
  <c r="AO380" i="18"/>
  <c r="AP380" i="18"/>
  <c r="AQ380" i="18"/>
  <c r="AR380" i="18"/>
  <c r="AS380" i="18"/>
  <c r="AT380" i="18"/>
  <c r="AA383" i="18"/>
  <c r="AB383" i="18"/>
  <c r="AC383" i="18"/>
  <c r="AD383" i="18"/>
  <c r="AE383" i="18"/>
  <c r="AF383" i="18"/>
  <c r="AG383" i="18"/>
  <c r="AH383" i="18"/>
  <c r="AI383" i="18"/>
  <c r="AJ383" i="18"/>
  <c r="AK383" i="18"/>
  <c r="AL383" i="18"/>
  <c r="AM383" i="18"/>
  <c r="AN383" i="18"/>
  <c r="AO383" i="18"/>
  <c r="AP383" i="18"/>
  <c r="AQ383" i="18"/>
  <c r="AR383" i="18"/>
  <c r="AS383" i="18"/>
  <c r="AT383" i="18"/>
  <c r="AA386" i="18"/>
  <c r="AB386" i="18"/>
  <c r="AC386" i="18"/>
  <c r="AD386" i="18"/>
  <c r="AE386" i="18"/>
  <c r="AF386" i="18"/>
  <c r="AG386" i="18"/>
  <c r="AH386" i="18"/>
  <c r="AI386" i="18"/>
  <c r="AJ386" i="18"/>
  <c r="AK386" i="18"/>
  <c r="AL386" i="18"/>
  <c r="AM386" i="18"/>
  <c r="AN386" i="18"/>
  <c r="AO386" i="18"/>
  <c r="AP386" i="18"/>
  <c r="AQ386" i="18"/>
  <c r="AR386" i="18"/>
  <c r="AS386" i="18"/>
  <c r="AT386" i="18"/>
  <c r="AA389" i="18"/>
  <c r="AB389" i="18"/>
  <c r="AC389" i="18"/>
  <c r="AD389" i="18"/>
  <c r="AE389" i="18"/>
  <c r="AF389" i="18"/>
  <c r="AG389" i="18"/>
  <c r="AH389" i="18"/>
  <c r="AI389" i="18"/>
  <c r="AJ389" i="18"/>
  <c r="AK389" i="18"/>
  <c r="AL389" i="18"/>
  <c r="AM389" i="18"/>
  <c r="AN389" i="18"/>
  <c r="AO389" i="18"/>
  <c r="AP389" i="18"/>
  <c r="AQ389" i="18"/>
  <c r="AR389" i="18"/>
  <c r="AS389" i="18"/>
  <c r="AT389" i="18"/>
  <c r="AA392" i="18"/>
  <c r="AB392" i="18"/>
  <c r="AC392" i="18"/>
  <c r="AD392" i="18"/>
  <c r="AE392" i="18"/>
  <c r="AF392" i="18"/>
  <c r="AG392" i="18"/>
  <c r="AH392" i="18"/>
  <c r="AI392" i="18"/>
  <c r="AJ392" i="18"/>
  <c r="AK392" i="18"/>
  <c r="AL392" i="18"/>
  <c r="AM392" i="18"/>
  <c r="AN392" i="18"/>
  <c r="AO392" i="18"/>
  <c r="AP392" i="18"/>
  <c r="AQ392" i="18"/>
  <c r="AR392" i="18"/>
  <c r="AS392" i="18"/>
  <c r="AT392" i="18"/>
  <c r="AA395" i="18"/>
  <c r="AB395" i="18"/>
  <c r="AC395" i="18"/>
  <c r="AD395" i="18"/>
  <c r="AE395" i="18"/>
  <c r="AF395" i="18"/>
  <c r="AG395" i="18"/>
  <c r="AH395" i="18"/>
  <c r="AI395" i="18"/>
  <c r="AJ395" i="18"/>
  <c r="AK395" i="18"/>
  <c r="AL395" i="18"/>
  <c r="AM395" i="18"/>
  <c r="AN395" i="18"/>
  <c r="AO395" i="18"/>
  <c r="AP395" i="18"/>
  <c r="AQ395" i="18"/>
  <c r="AR395" i="18"/>
  <c r="AS395" i="18"/>
  <c r="AT395" i="18"/>
  <c r="AA398" i="18"/>
  <c r="AB398" i="18"/>
  <c r="AC398" i="18"/>
  <c r="AD398" i="18"/>
  <c r="AE398" i="18"/>
  <c r="AF398" i="18"/>
  <c r="AG398" i="18"/>
  <c r="AH398" i="18"/>
  <c r="AI398" i="18"/>
  <c r="AJ398" i="18"/>
  <c r="AK398" i="18"/>
  <c r="AL398" i="18"/>
  <c r="AM398" i="18"/>
  <c r="AN398" i="18"/>
  <c r="AO398" i="18"/>
  <c r="AP398" i="18"/>
  <c r="AQ398" i="18"/>
  <c r="AR398" i="18"/>
  <c r="AS398" i="18"/>
  <c r="AT398" i="18"/>
  <c r="AA401" i="18"/>
  <c r="AB401" i="18"/>
  <c r="AC401" i="18"/>
  <c r="AD401" i="18"/>
  <c r="AE401" i="18"/>
  <c r="AF401" i="18"/>
  <c r="AG401" i="18"/>
  <c r="AH401" i="18"/>
  <c r="AI401" i="18"/>
  <c r="AJ401" i="18"/>
  <c r="AK401" i="18"/>
  <c r="AL401" i="18"/>
  <c r="AM401" i="18"/>
  <c r="AN401" i="18"/>
  <c r="AO401" i="18"/>
  <c r="AP401" i="18"/>
  <c r="AQ401" i="18"/>
  <c r="AR401" i="18"/>
  <c r="AS401" i="18"/>
  <c r="AT401" i="18"/>
  <c r="AA404" i="18"/>
  <c r="AB404" i="18"/>
  <c r="AC404" i="18"/>
  <c r="AD404" i="18"/>
  <c r="AE404" i="18"/>
  <c r="AF404" i="18"/>
  <c r="AG404" i="18"/>
  <c r="AH404" i="18"/>
  <c r="AI404" i="18"/>
  <c r="AJ404" i="18"/>
  <c r="AK404" i="18"/>
  <c r="AL404" i="18"/>
  <c r="AM404" i="18"/>
  <c r="AN404" i="18"/>
  <c r="AO404" i="18"/>
  <c r="AP404" i="18"/>
  <c r="AQ404" i="18"/>
  <c r="AR404" i="18"/>
  <c r="AS404" i="18"/>
  <c r="AT404" i="18"/>
  <c r="AA407" i="18"/>
  <c r="AB407" i="18"/>
  <c r="AC407" i="18"/>
  <c r="AD407" i="18"/>
  <c r="AE407" i="18"/>
  <c r="AF407" i="18"/>
  <c r="AG407" i="18"/>
  <c r="AH407" i="18"/>
  <c r="AI407" i="18"/>
  <c r="AJ407" i="18"/>
  <c r="AK407" i="18"/>
  <c r="AL407" i="18"/>
  <c r="AM407" i="18"/>
  <c r="AN407" i="18"/>
  <c r="AO407" i="18"/>
  <c r="AP407" i="18"/>
  <c r="AQ407" i="18"/>
  <c r="AR407" i="18"/>
  <c r="AS407" i="18"/>
  <c r="AT407" i="18"/>
  <c r="AA410" i="18"/>
  <c r="AB410" i="18"/>
  <c r="AC410" i="18"/>
  <c r="AD410" i="18"/>
  <c r="AE410" i="18"/>
  <c r="AF410" i="18"/>
  <c r="AG410" i="18"/>
  <c r="AH410" i="18"/>
  <c r="AI410" i="18"/>
  <c r="AJ410" i="18"/>
  <c r="AK410" i="18"/>
  <c r="AL410" i="18"/>
  <c r="AM410" i="18"/>
  <c r="AN410" i="18"/>
  <c r="AO410" i="18"/>
  <c r="AP410" i="18"/>
  <c r="AQ410" i="18"/>
  <c r="AR410" i="18"/>
  <c r="AS410" i="18"/>
  <c r="AT410" i="18"/>
  <c r="AA413" i="18"/>
  <c r="AB413" i="18"/>
  <c r="AC413" i="18"/>
  <c r="AD413" i="18"/>
  <c r="AE413" i="18"/>
  <c r="AF413" i="18"/>
  <c r="AG413" i="18"/>
  <c r="AH413" i="18"/>
  <c r="AI413" i="18"/>
  <c r="AJ413" i="18"/>
  <c r="AK413" i="18"/>
  <c r="AL413" i="18"/>
  <c r="AM413" i="18"/>
  <c r="AN413" i="18"/>
  <c r="AO413" i="18"/>
  <c r="AP413" i="18"/>
  <c r="AQ413" i="18"/>
  <c r="AR413" i="18"/>
  <c r="AS413" i="18"/>
  <c r="AT413" i="18"/>
  <c r="AA416" i="18"/>
  <c r="AB416" i="18"/>
  <c r="AC416" i="18"/>
  <c r="AD416" i="18"/>
  <c r="AE416" i="18"/>
  <c r="AF416" i="18"/>
  <c r="AG416" i="18"/>
  <c r="AH416" i="18"/>
  <c r="AI416" i="18"/>
  <c r="AJ416" i="18"/>
  <c r="AK416" i="18"/>
  <c r="AL416" i="18"/>
  <c r="AM416" i="18"/>
  <c r="AN416" i="18"/>
  <c r="AO416" i="18"/>
  <c r="AP416" i="18"/>
  <c r="AQ416" i="18"/>
  <c r="AR416" i="18"/>
  <c r="AS416" i="18"/>
  <c r="AT416" i="18"/>
  <c r="AA419" i="18"/>
  <c r="AB419" i="18"/>
  <c r="AC419" i="18"/>
  <c r="AD419" i="18"/>
  <c r="AE419" i="18"/>
  <c r="AF419" i="18"/>
  <c r="AG419" i="18"/>
  <c r="AH419" i="18"/>
  <c r="AI419" i="18"/>
  <c r="AJ419" i="18"/>
  <c r="AK419" i="18"/>
  <c r="AL419" i="18"/>
  <c r="AM419" i="18"/>
  <c r="AN419" i="18"/>
  <c r="AO419" i="18"/>
  <c r="AP419" i="18"/>
  <c r="AQ419" i="18"/>
  <c r="AR419" i="18"/>
  <c r="AS419" i="18"/>
  <c r="AT419" i="18"/>
  <c r="AA422" i="18"/>
  <c r="AB422" i="18"/>
  <c r="AC422" i="18"/>
  <c r="AD422" i="18"/>
  <c r="AE422" i="18"/>
  <c r="AF422" i="18"/>
  <c r="AG422" i="18"/>
  <c r="AH422" i="18"/>
  <c r="AI422" i="18"/>
  <c r="AJ422" i="18"/>
  <c r="AK422" i="18"/>
  <c r="AL422" i="18"/>
  <c r="AM422" i="18"/>
  <c r="AN422" i="18"/>
  <c r="AO422" i="18"/>
  <c r="AP422" i="18"/>
  <c r="AQ422" i="18"/>
  <c r="AR422" i="18"/>
  <c r="AS422" i="18"/>
  <c r="AT422" i="18"/>
  <c r="AA425" i="18"/>
  <c r="AB425" i="18"/>
  <c r="AC425" i="18"/>
  <c r="AD425" i="18"/>
  <c r="AE425" i="18"/>
  <c r="AF425" i="18"/>
  <c r="AG425" i="18"/>
  <c r="AH425" i="18"/>
  <c r="AI425" i="18"/>
  <c r="AJ425" i="18"/>
  <c r="AK425" i="18"/>
  <c r="AL425" i="18"/>
  <c r="AM425" i="18"/>
  <c r="AN425" i="18"/>
  <c r="AO425" i="18"/>
  <c r="AP425" i="18"/>
  <c r="AQ425" i="18"/>
  <c r="AR425" i="18"/>
  <c r="AS425" i="18"/>
  <c r="AT425" i="18"/>
  <c r="AB323" i="18"/>
  <c r="AC323" i="18"/>
  <c r="AD323" i="18"/>
  <c r="AE323" i="18"/>
  <c r="AF323" i="18"/>
  <c r="AG323" i="18"/>
  <c r="AH323" i="18"/>
  <c r="AI323" i="18"/>
  <c r="AJ323" i="18"/>
  <c r="AK323" i="18"/>
  <c r="AL323" i="18"/>
  <c r="AM323" i="18"/>
  <c r="AN323" i="18"/>
  <c r="AO323" i="18"/>
  <c r="AP323" i="18"/>
  <c r="AQ323" i="18"/>
  <c r="AR323" i="18"/>
  <c r="AS323" i="18"/>
  <c r="AT323" i="18"/>
  <c r="AA323" i="18"/>
  <c r="B326" i="18"/>
  <c r="C326" i="18"/>
  <c r="D326" i="18"/>
  <c r="E326" i="18"/>
  <c r="F326" i="18"/>
  <c r="G326" i="18"/>
  <c r="H326" i="18"/>
  <c r="I326" i="18"/>
  <c r="J326" i="18"/>
  <c r="K326" i="18"/>
  <c r="L326" i="18"/>
  <c r="M326" i="18"/>
  <c r="N326" i="18"/>
  <c r="O326" i="18"/>
  <c r="P326" i="18"/>
  <c r="Q326" i="18"/>
  <c r="R326" i="18"/>
  <c r="S326" i="18"/>
  <c r="T326" i="18"/>
  <c r="U326" i="18"/>
  <c r="B329" i="18"/>
  <c r="C329" i="18"/>
  <c r="D329" i="18"/>
  <c r="E329" i="18"/>
  <c r="F329" i="18"/>
  <c r="G329" i="18"/>
  <c r="H329" i="18"/>
  <c r="I329" i="18"/>
  <c r="J329" i="18"/>
  <c r="K329" i="18"/>
  <c r="L329" i="18"/>
  <c r="M329" i="18"/>
  <c r="N329" i="18"/>
  <c r="O329" i="18"/>
  <c r="P329" i="18"/>
  <c r="Q329" i="18"/>
  <c r="R329" i="18"/>
  <c r="S329" i="18"/>
  <c r="T329" i="18"/>
  <c r="U329" i="18"/>
  <c r="B332" i="18"/>
  <c r="C332" i="18"/>
  <c r="D332" i="18"/>
  <c r="E332" i="18"/>
  <c r="F332" i="18"/>
  <c r="G332" i="18"/>
  <c r="H332" i="18"/>
  <c r="I332" i="18"/>
  <c r="J332" i="18"/>
  <c r="K332" i="18"/>
  <c r="L332" i="18"/>
  <c r="M332" i="18"/>
  <c r="N332" i="18"/>
  <c r="O332" i="18"/>
  <c r="P332" i="18"/>
  <c r="Q332" i="18"/>
  <c r="R332" i="18"/>
  <c r="S332" i="18"/>
  <c r="T332" i="18"/>
  <c r="U332" i="18"/>
  <c r="B335" i="18"/>
  <c r="C335" i="18"/>
  <c r="D335" i="18"/>
  <c r="E335" i="18"/>
  <c r="F335" i="18"/>
  <c r="G335" i="18"/>
  <c r="H335" i="18"/>
  <c r="I335" i="18"/>
  <c r="J335" i="18"/>
  <c r="K335" i="18"/>
  <c r="L335" i="18"/>
  <c r="M335" i="18"/>
  <c r="N335" i="18"/>
  <c r="O335" i="18"/>
  <c r="P335" i="18"/>
  <c r="Q335" i="18"/>
  <c r="R335" i="18"/>
  <c r="S335" i="18"/>
  <c r="T335" i="18"/>
  <c r="U335" i="18"/>
  <c r="B338" i="18"/>
  <c r="C338" i="18"/>
  <c r="D338" i="18"/>
  <c r="E338" i="18"/>
  <c r="F338" i="18"/>
  <c r="G338" i="18"/>
  <c r="H338" i="18"/>
  <c r="I338" i="18"/>
  <c r="J338" i="18"/>
  <c r="K338" i="18"/>
  <c r="L338" i="18"/>
  <c r="M338" i="18"/>
  <c r="N338" i="18"/>
  <c r="O338" i="18"/>
  <c r="P338" i="18"/>
  <c r="Q338" i="18"/>
  <c r="R338" i="18"/>
  <c r="S338" i="18"/>
  <c r="T338" i="18"/>
  <c r="U338" i="18"/>
  <c r="B341" i="18"/>
  <c r="C341" i="18"/>
  <c r="D341" i="18"/>
  <c r="E341" i="18"/>
  <c r="F341" i="18"/>
  <c r="G341" i="18"/>
  <c r="H341" i="18"/>
  <c r="I341" i="18"/>
  <c r="J341" i="18"/>
  <c r="K341" i="18"/>
  <c r="L341" i="18"/>
  <c r="M341" i="18"/>
  <c r="N341" i="18"/>
  <c r="O341" i="18"/>
  <c r="P341" i="18"/>
  <c r="Q341" i="18"/>
  <c r="R341" i="18"/>
  <c r="S341" i="18"/>
  <c r="T341" i="18"/>
  <c r="U341" i="18"/>
  <c r="B344" i="18"/>
  <c r="C344" i="18"/>
  <c r="D344" i="18"/>
  <c r="E344" i="18"/>
  <c r="F344" i="18"/>
  <c r="G344" i="18"/>
  <c r="H344" i="18"/>
  <c r="I344" i="18"/>
  <c r="J344" i="18"/>
  <c r="K344" i="18"/>
  <c r="L344" i="18"/>
  <c r="M344" i="18"/>
  <c r="N344" i="18"/>
  <c r="O344" i="18"/>
  <c r="P344" i="18"/>
  <c r="Q344" i="18"/>
  <c r="R344" i="18"/>
  <c r="S344" i="18"/>
  <c r="T344" i="18"/>
  <c r="U344" i="18"/>
  <c r="B347" i="18"/>
  <c r="C347" i="18"/>
  <c r="D347" i="18"/>
  <c r="E347" i="18"/>
  <c r="F347" i="18"/>
  <c r="G347" i="18"/>
  <c r="H347" i="18"/>
  <c r="I347" i="18"/>
  <c r="J347" i="18"/>
  <c r="K347" i="18"/>
  <c r="L347" i="18"/>
  <c r="M347" i="18"/>
  <c r="N347" i="18"/>
  <c r="O347" i="18"/>
  <c r="P347" i="18"/>
  <c r="Q347" i="18"/>
  <c r="R347" i="18"/>
  <c r="S347" i="18"/>
  <c r="T347" i="18"/>
  <c r="U347" i="18"/>
  <c r="B350" i="18"/>
  <c r="C350" i="18"/>
  <c r="D350" i="18"/>
  <c r="E350" i="18"/>
  <c r="F350" i="18"/>
  <c r="G350" i="18"/>
  <c r="H350" i="18"/>
  <c r="I350" i="18"/>
  <c r="J350" i="18"/>
  <c r="K350" i="18"/>
  <c r="L350" i="18"/>
  <c r="M350" i="18"/>
  <c r="N350" i="18"/>
  <c r="O350" i="18"/>
  <c r="P350" i="18"/>
  <c r="Q350" i="18"/>
  <c r="R350" i="18"/>
  <c r="S350" i="18"/>
  <c r="T350" i="18"/>
  <c r="U350" i="18"/>
  <c r="B353" i="18"/>
  <c r="C353" i="18"/>
  <c r="D353" i="18"/>
  <c r="E353" i="18"/>
  <c r="F353" i="18"/>
  <c r="G353" i="18"/>
  <c r="H353" i="18"/>
  <c r="I353" i="18"/>
  <c r="J353" i="18"/>
  <c r="K353" i="18"/>
  <c r="L353" i="18"/>
  <c r="M353" i="18"/>
  <c r="N353" i="18"/>
  <c r="O353" i="18"/>
  <c r="P353" i="18"/>
  <c r="Q353" i="18"/>
  <c r="R353" i="18"/>
  <c r="S353" i="18"/>
  <c r="T353" i="18"/>
  <c r="U353" i="18"/>
  <c r="B356" i="18"/>
  <c r="C356" i="18"/>
  <c r="D356" i="18"/>
  <c r="E356" i="18"/>
  <c r="F356" i="18"/>
  <c r="G356" i="18"/>
  <c r="H356" i="18"/>
  <c r="I356" i="18"/>
  <c r="J356" i="18"/>
  <c r="K356" i="18"/>
  <c r="L356" i="18"/>
  <c r="M356" i="18"/>
  <c r="N356" i="18"/>
  <c r="O356" i="18"/>
  <c r="P356" i="18"/>
  <c r="Q356" i="18"/>
  <c r="R356" i="18"/>
  <c r="S356" i="18"/>
  <c r="T356" i="18"/>
  <c r="U356" i="18"/>
  <c r="B359" i="18"/>
  <c r="C359" i="18"/>
  <c r="D359" i="18"/>
  <c r="E359" i="18"/>
  <c r="F359" i="18"/>
  <c r="G359" i="18"/>
  <c r="H359" i="18"/>
  <c r="I359" i="18"/>
  <c r="J359" i="18"/>
  <c r="K359" i="18"/>
  <c r="L359" i="18"/>
  <c r="M359" i="18"/>
  <c r="N359" i="18"/>
  <c r="O359" i="18"/>
  <c r="P359" i="18"/>
  <c r="Q359" i="18"/>
  <c r="R359" i="18"/>
  <c r="S359" i="18"/>
  <c r="T359" i="18"/>
  <c r="U359" i="18"/>
  <c r="B362" i="18"/>
  <c r="C362" i="18"/>
  <c r="D362" i="18"/>
  <c r="E362" i="18"/>
  <c r="F362" i="18"/>
  <c r="G362" i="18"/>
  <c r="H362" i="18"/>
  <c r="I362" i="18"/>
  <c r="J362" i="18"/>
  <c r="K362" i="18"/>
  <c r="L362" i="18"/>
  <c r="M362" i="18"/>
  <c r="N362" i="18"/>
  <c r="O362" i="18"/>
  <c r="P362" i="18"/>
  <c r="Q362" i="18"/>
  <c r="R362" i="18"/>
  <c r="S362" i="18"/>
  <c r="T362" i="18"/>
  <c r="U362" i="18"/>
  <c r="B365" i="18"/>
  <c r="C365" i="18"/>
  <c r="D365" i="18"/>
  <c r="E365" i="18"/>
  <c r="F365" i="18"/>
  <c r="G365" i="18"/>
  <c r="H365" i="18"/>
  <c r="I365" i="18"/>
  <c r="J365" i="18"/>
  <c r="K365" i="18"/>
  <c r="L365" i="18"/>
  <c r="M365" i="18"/>
  <c r="N365" i="18"/>
  <c r="O365" i="18"/>
  <c r="P365" i="18"/>
  <c r="Q365" i="18"/>
  <c r="R365" i="18"/>
  <c r="S365" i="18"/>
  <c r="T365" i="18"/>
  <c r="U365" i="18"/>
  <c r="B368" i="18"/>
  <c r="X368" i="18" s="1"/>
  <c r="Y392" i="16" s="1"/>
  <c r="C368" i="18"/>
  <c r="D368" i="18"/>
  <c r="E368" i="18"/>
  <c r="F368" i="18"/>
  <c r="G368" i="18"/>
  <c r="H368" i="18"/>
  <c r="I368" i="18"/>
  <c r="J368" i="18"/>
  <c r="K368" i="18"/>
  <c r="L368" i="18"/>
  <c r="M368" i="18"/>
  <c r="N368" i="18"/>
  <c r="O368" i="18"/>
  <c r="P368" i="18"/>
  <c r="Q368" i="18"/>
  <c r="R368" i="18"/>
  <c r="S368" i="18"/>
  <c r="T368" i="18"/>
  <c r="U368" i="18"/>
  <c r="B371" i="18"/>
  <c r="C371" i="18"/>
  <c r="D371" i="18"/>
  <c r="E371" i="18"/>
  <c r="F371" i="18"/>
  <c r="G371" i="18"/>
  <c r="H371" i="18"/>
  <c r="I371" i="18"/>
  <c r="J371" i="18"/>
  <c r="K371" i="18"/>
  <c r="L371" i="18"/>
  <c r="M371" i="18"/>
  <c r="N371" i="18"/>
  <c r="O371" i="18"/>
  <c r="P371" i="18"/>
  <c r="Q371" i="18"/>
  <c r="R371" i="18"/>
  <c r="S371" i="18"/>
  <c r="T371" i="18"/>
  <c r="U371" i="18"/>
  <c r="B374" i="18"/>
  <c r="C374" i="18"/>
  <c r="D374" i="18"/>
  <c r="E374" i="18"/>
  <c r="F374" i="18"/>
  <c r="G374" i="18"/>
  <c r="H374" i="18"/>
  <c r="I374" i="18"/>
  <c r="J374" i="18"/>
  <c r="K374" i="18"/>
  <c r="L374" i="18"/>
  <c r="M374" i="18"/>
  <c r="N374" i="18"/>
  <c r="O374" i="18"/>
  <c r="P374" i="18"/>
  <c r="Q374" i="18"/>
  <c r="R374" i="18"/>
  <c r="S374" i="18"/>
  <c r="T374" i="18"/>
  <c r="U374" i="18"/>
  <c r="B377" i="18"/>
  <c r="C377" i="18"/>
  <c r="D377" i="18"/>
  <c r="E377" i="18"/>
  <c r="F377" i="18"/>
  <c r="G377" i="18"/>
  <c r="H377" i="18"/>
  <c r="I377" i="18"/>
  <c r="J377" i="18"/>
  <c r="K377" i="18"/>
  <c r="L377" i="18"/>
  <c r="M377" i="18"/>
  <c r="N377" i="18"/>
  <c r="O377" i="18"/>
  <c r="P377" i="18"/>
  <c r="Q377" i="18"/>
  <c r="R377" i="18"/>
  <c r="S377" i="18"/>
  <c r="T377" i="18"/>
  <c r="U377" i="18"/>
  <c r="B380" i="18"/>
  <c r="C380" i="18"/>
  <c r="D380" i="18"/>
  <c r="E380" i="18"/>
  <c r="F380" i="18"/>
  <c r="G380" i="18"/>
  <c r="H380" i="18"/>
  <c r="I380" i="18"/>
  <c r="J380" i="18"/>
  <c r="K380" i="18"/>
  <c r="L380" i="18"/>
  <c r="M380" i="18"/>
  <c r="N380" i="18"/>
  <c r="O380" i="18"/>
  <c r="P380" i="18"/>
  <c r="Q380" i="18"/>
  <c r="R380" i="18"/>
  <c r="S380" i="18"/>
  <c r="T380" i="18"/>
  <c r="U380" i="18"/>
  <c r="B383" i="18"/>
  <c r="C383" i="18"/>
  <c r="D383" i="18"/>
  <c r="E383" i="18"/>
  <c r="F383" i="18"/>
  <c r="G383" i="18"/>
  <c r="H383" i="18"/>
  <c r="I383" i="18"/>
  <c r="J383" i="18"/>
  <c r="K383" i="18"/>
  <c r="L383" i="18"/>
  <c r="M383" i="18"/>
  <c r="N383" i="18"/>
  <c r="O383" i="18"/>
  <c r="P383" i="18"/>
  <c r="Q383" i="18"/>
  <c r="R383" i="18"/>
  <c r="S383" i="18"/>
  <c r="T383" i="18"/>
  <c r="U383" i="18"/>
  <c r="B386" i="18"/>
  <c r="C386" i="18"/>
  <c r="D386" i="18"/>
  <c r="E386" i="18"/>
  <c r="F386" i="18"/>
  <c r="G386" i="18"/>
  <c r="H386" i="18"/>
  <c r="I386" i="18"/>
  <c r="J386" i="18"/>
  <c r="K386" i="18"/>
  <c r="L386" i="18"/>
  <c r="M386" i="18"/>
  <c r="N386" i="18"/>
  <c r="O386" i="18"/>
  <c r="P386" i="18"/>
  <c r="Q386" i="18"/>
  <c r="R386" i="18"/>
  <c r="S386" i="18"/>
  <c r="T386" i="18"/>
  <c r="U386" i="18"/>
  <c r="B389" i="18"/>
  <c r="C389" i="18"/>
  <c r="D389" i="18"/>
  <c r="E389" i="18"/>
  <c r="F389" i="18"/>
  <c r="G389" i="18"/>
  <c r="H389" i="18"/>
  <c r="I389" i="18"/>
  <c r="J389" i="18"/>
  <c r="K389" i="18"/>
  <c r="L389" i="18"/>
  <c r="M389" i="18"/>
  <c r="N389" i="18"/>
  <c r="O389" i="18"/>
  <c r="P389" i="18"/>
  <c r="Q389" i="18"/>
  <c r="R389" i="18"/>
  <c r="S389" i="18"/>
  <c r="T389" i="18"/>
  <c r="U389" i="18"/>
  <c r="B392" i="18"/>
  <c r="C392" i="18"/>
  <c r="D392" i="18"/>
  <c r="E392" i="18"/>
  <c r="F392" i="18"/>
  <c r="G392" i="18"/>
  <c r="H392" i="18"/>
  <c r="I392" i="18"/>
  <c r="J392" i="18"/>
  <c r="K392" i="18"/>
  <c r="L392" i="18"/>
  <c r="M392" i="18"/>
  <c r="N392" i="18"/>
  <c r="O392" i="18"/>
  <c r="P392" i="18"/>
  <c r="Q392" i="18"/>
  <c r="R392" i="18"/>
  <c r="S392" i="18"/>
  <c r="T392" i="18"/>
  <c r="U392" i="18"/>
  <c r="B395" i="18"/>
  <c r="C395" i="18"/>
  <c r="D395" i="18"/>
  <c r="E395" i="18"/>
  <c r="F395" i="18"/>
  <c r="G395" i="18"/>
  <c r="H395" i="18"/>
  <c r="I395" i="18"/>
  <c r="J395" i="18"/>
  <c r="K395" i="18"/>
  <c r="L395" i="18"/>
  <c r="M395" i="18"/>
  <c r="N395" i="18"/>
  <c r="O395" i="18"/>
  <c r="P395" i="18"/>
  <c r="Q395" i="18"/>
  <c r="R395" i="18"/>
  <c r="S395" i="18"/>
  <c r="T395" i="18"/>
  <c r="U395" i="18"/>
  <c r="B398" i="18"/>
  <c r="C398" i="18"/>
  <c r="D398" i="18"/>
  <c r="E398" i="18"/>
  <c r="F398" i="18"/>
  <c r="G398" i="18"/>
  <c r="H398" i="18"/>
  <c r="I398" i="18"/>
  <c r="J398" i="18"/>
  <c r="K398" i="18"/>
  <c r="L398" i="18"/>
  <c r="M398" i="18"/>
  <c r="N398" i="18"/>
  <c r="O398" i="18"/>
  <c r="P398" i="18"/>
  <c r="Q398" i="18"/>
  <c r="R398" i="18"/>
  <c r="S398" i="18"/>
  <c r="T398" i="18"/>
  <c r="U398" i="18"/>
  <c r="B401" i="18"/>
  <c r="C401" i="18"/>
  <c r="D401" i="18"/>
  <c r="E401" i="18"/>
  <c r="F401" i="18"/>
  <c r="G401" i="18"/>
  <c r="H401" i="18"/>
  <c r="I401" i="18"/>
  <c r="J401" i="18"/>
  <c r="K401" i="18"/>
  <c r="L401" i="18"/>
  <c r="M401" i="18"/>
  <c r="N401" i="18"/>
  <c r="O401" i="18"/>
  <c r="P401" i="18"/>
  <c r="Q401" i="18"/>
  <c r="R401" i="18"/>
  <c r="S401" i="18"/>
  <c r="T401" i="18"/>
  <c r="U401" i="18"/>
  <c r="B404" i="18"/>
  <c r="C404" i="18"/>
  <c r="D404" i="18"/>
  <c r="E404" i="18"/>
  <c r="F404" i="18"/>
  <c r="G404" i="18"/>
  <c r="H404" i="18"/>
  <c r="I404" i="18"/>
  <c r="J404" i="18"/>
  <c r="K404" i="18"/>
  <c r="L404" i="18"/>
  <c r="M404" i="18"/>
  <c r="N404" i="18"/>
  <c r="O404" i="18"/>
  <c r="P404" i="18"/>
  <c r="Q404" i="18"/>
  <c r="R404" i="18"/>
  <c r="S404" i="18"/>
  <c r="T404" i="18"/>
  <c r="U404" i="18"/>
  <c r="B407" i="18"/>
  <c r="C407" i="18"/>
  <c r="D407" i="18"/>
  <c r="E407" i="18"/>
  <c r="F407" i="18"/>
  <c r="G407" i="18"/>
  <c r="H407" i="18"/>
  <c r="I407" i="18"/>
  <c r="J407" i="18"/>
  <c r="K407" i="18"/>
  <c r="L407" i="18"/>
  <c r="M407" i="18"/>
  <c r="N407" i="18"/>
  <c r="O407" i="18"/>
  <c r="P407" i="18"/>
  <c r="Q407" i="18"/>
  <c r="R407" i="18"/>
  <c r="S407" i="18"/>
  <c r="T407" i="18"/>
  <c r="U407" i="18"/>
  <c r="B410" i="18"/>
  <c r="C410" i="18"/>
  <c r="D410" i="18"/>
  <c r="E410" i="18"/>
  <c r="F410" i="18"/>
  <c r="G410" i="18"/>
  <c r="H410" i="18"/>
  <c r="I410" i="18"/>
  <c r="J410" i="18"/>
  <c r="K410" i="18"/>
  <c r="L410" i="18"/>
  <c r="M410" i="18"/>
  <c r="N410" i="18"/>
  <c r="O410" i="18"/>
  <c r="P410" i="18"/>
  <c r="Q410" i="18"/>
  <c r="R410" i="18"/>
  <c r="S410" i="18"/>
  <c r="T410" i="18"/>
  <c r="U410" i="18"/>
  <c r="B413" i="18"/>
  <c r="C413" i="18"/>
  <c r="D413" i="18"/>
  <c r="E413" i="18"/>
  <c r="F413" i="18"/>
  <c r="G413" i="18"/>
  <c r="H413" i="18"/>
  <c r="I413" i="18"/>
  <c r="J413" i="18"/>
  <c r="K413" i="18"/>
  <c r="L413" i="18"/>
  <c r="M413" i="18"/>
  <c r="N413" i="18"/>
  <c r="O413" i="18"/>
  <c r="P413" i="18"/>
  <c r="Q413" i="18"/>
  <c r="R413" i="18"/>
  <c r="S413" i="18"/>
  <c r="T413" i="18"/>
  <c r="U413" i="18"/>
  <c r="B416" i="18"/>
  <c r="C416" i="18"/>
  <c r="D416" i="18"/>
  <c r="E416" i="18"/>
  <c r="F416" i="18"/>
  <c r="G416" i="18"/>
  <c r="H416" i="18"/>
  <c r="I416" i="18"/>
  <c r="J416" i="18"/>
  <c r="K416" i="18"/>
  <c r="L416" i="18"/>
  <c r="M416" i="18"/>
  <c r="N416" i="18"/>
  <c r="O416" i="18"/>
  <c r="P416" i="18"/>
  <c r="Q416" i="18"/>
  <c r="R416" i="18"/>
  <c r="S416" i="18"/>
  <c r="T416" i="18"/>
  <c r="U416" i="18"/>
  <c r="B419" i="18"/>
  <c r="C419" i="18"/>
  <c r="D419" i="18"/>
  <c r="E419" i="18"/>
  <c r="F419" i="18"/>
  <c r="G419" i="18"/>
  <c r="H419" i="18"/>
  <c r="I419" i="18"/>
  <c r="J419" i="18"/>
  <c r="K419" i="18"/>
  <c r="L419" i="18"/>
  <c r="M419" i="18"/>
  <c r="N419" i="18"/>
  <c r="O419" i="18"/>
  <c r="P419" i="18"/>
  <c r="Q419" i="18"/>
  <c r="R419" i="18"/>
  <c r="S419" i="18"/>
  <c r="T419" i="18"/>
  <c r="U419" i="18"/>
  <c r="B422" i="18"/>
  <c r="C422" i="18"/>
  <c r="D422" i="18"/>
  <c r="E422" i="18"/>
  <c r="F422" i="18"/>
  <c r="G422" i="18"/>
  <c r="H422" i="18"/>
  <c r="I422" i="18"/>
  <c r="J422" i="18"/>
  <c r="K422" i="18"/>
  <c r="L422" i="18"/>
  <c r="M422" i="18"/>
  <c r="N422" i="18"/>
  <c r="O422" i="18"/>
  <c r="P422" i="18"/>
  <c r="Q422" i="18"/>
  <c r="R422" i="18"/>
  <c r="S422" i="18"/>
  <c r="T422" i="18"/>
  <c r="U422" i="18"/>
  <c r="B425" i="18"/>
  <c r="C425" i="18"/>
  <c r="D425" i="18"/>
  <c r="E425" i="18"/>
  <c r="F425" i="18"/>
  <c r="G425" i="18"/>
  <c r="H425" i="18"/>
  <c r="I425" i="18"/>
  <c r="J425" i="18"/>
  <c r="K425" i="18"/>
  <c r="L425" i="18"/>
  <c r="M425" i="18"/>
  <c r="N425" i="18"/>
  <c r="O425" i="18"/>
  <c r="P425" i="18"/>
  <c r="Q425" i="18"/>
  <c r="R425" i="18"/>
  <c r="S425" i="18"/>
  <c r="T425" i="18"/>
  <c r="U425" i="18"/>
  <c r="C323" i="18"/>
  <c r="X323" i="18" s="1"/>
  <c r="Y347" i="16" s="1"/>
  <c r="D323" i="18"/>
  <c r="E323" i="18"/>
  <c r="F323" i="18"/>
  <c r="G323" i="18"/>
  <c r="H323" i="18"/>
  <c r="I323" i="18"/>
  <c r="J323" i="18"/>
  <c r="K323" i="18"/>
  <c r="L323" i="18"/>
  <c r="M323" i="18"/>
  <c r="N323" i="18"/>
  <c r="O323" i="18"/>
  <c r="P323" i="18"/>
  <c r="Q323" i="18"/>
  <c r="R323" i="18"/>
  <c r="S323" i="18"/>
  <c r="T323" i="18"/>
  <c r="U323" i="18"/>
  <c r="B323" i="18"/>
  <c r="X416" i="18"/>
  <c r="Y440" i="16" s="1"/>
  <c r="AA219" i="18"/>
  <c r="AB219" i="18"/>
  <c r="AC219" i="18"/>
  <c r="AD219" i="18"/>
  <c r="AE219" i="18"/>
  <c r="AF219" i="18"/>
  <c r="AG219" i="18"/>
  <c r="AH219" i="18"/>
  <c r="AI219" i="18"/>
  <c r="AJ219" i="18"/>
  <c r="AK219" i="18"/>
  <c r="AL219" i="18"/>
  <c r="AM219" i="18"/>
  <c r="AN219" i="18"/>
  <c r="AO219" i="18"/>
  <c r="AP219" i="18"/>
  <c r="AQ219" i="18"/>
  <c r="AR219" i="18"/>
  <c r="AS219" i="18"/>
  <c r="AT219" i="18"/>
  <c r="AA222" i="18"/>
  <c r="AB222" i="18"/>
  <c r="AC222" i="18"/>
  <c r="AD222" i="18"/>
  <c r="AE222" i="18"/>
  <c r="AF222" i="18"/>
  <c r="AG222" i="18"/>
  <c r="AH222" i="18"/>
  <c r="AI222" i="18"/>
  <c r="AJ222" i="18"/>
  <c r="AK222" i="18"/>
  <c r="AL222" i="18"/>
  <c r="AM222" i="18"/>
  <c r="AN222" i="18"/>
  <c r="AO222" i="18"/>
  <c r="AP222" i="18"/>
  <c r="AQ222" i="18"/>
  <c r="AR222" i="18"/>
  <c r="AS222" i="18"/>
  <c r="AT222" i="18"/>
  <c r="AA225" i="18"/>
  <c r="AB225" i="18"/>
  <c r="AC225" i="18"/>
  <c r="AD225" i="18"/>
  <c r="AE225" i="18"/>
  <c r="AF225" i="18"/>
  <c r="AG225" i="18"/>
  <c r="AH225" i="18"/>
  <c r="AI225" i="18"/>
  <c r="AJ225" i="18"/>
  <c r="AK225" i="18"/>
  <c r="AL225" i="18"/>
  <c r="AM225" i="18"/>
  <c r="AN225" i="18"/>
  <c r="AO225" i="18"/>
  <c r="AP225" i="18"/>
  <c r="AQ225" i="18"/>
  <c r="AR225" i="18"/>
  <c r="AS225" i="18"/>
  <c r="AT225" i="18"/>
  <c r="AA228" i="18"/>
  <c r="AB228" i="18"/>
  <c r="AC228" i="18"/>
  <c r="AD228" i="18"/>
  <c r="AE228" i="18"/>
  <c r="AF228" i="18"/>
  <c r="AG228" i="18"/>
  <c r="AH228" i="18"/>
  <c r="AI228" i="18"/>
  <c r="AJ228" i="18"/>
  <c r="AK228" i="18"/>
  <c r="AL228" i="18"/>
  <c r="AM228" i="18"/>
  <c r="AN228" i="18"/>
  <c r="AO228" i="18"/>
  <c r="AP228" i="18"/>
  <c r="AQ228" i="18"/>
  <c r="AR228" i="18"/>
  <c r="AS228" i="18"/>
  <c r="AT228" i="18"/>
  <c r="AA231" i="18"/>
  <c r="AB231" i="18"/>
  <c r="AC231" i="18"/>
  <c r="AD231" i="18"/>
  <c r="AE231" i="18"/>
  <c r="AF231" i="18"/>
  <c r="AG231" i="18"/>
  <c r="AH231" i="18"/>
  <c r="AI231" i="18"/>
  <c r="AJ231" i="18"/>
  <c r="AK231" i="18"/>
  <c r="AL231" i="18"/>
  <c r="AM231" i="18"/>
  <c r="AN231" i="18"/>
  <c r="AO231" i="18"/>
  <c r="AP231" i="18"/>
  <c r="AQ231" i="18"/>
  <c r="AR231" i="18"/>
  <c r="AS231" i="18"/>
  <c r="AT231" i="18"/>
  <c r="AA234" i="18"/>
  <c r="AB234" i="18"/>
  <c r="AC234" i="18"/>
  <c r="AD234" i="18"/>
  <c r="AE234" i="18"/>
  <c r="AF234" i="18"/>
  <c r="AG234" i="18"/>
  <c r="AH234" i="18"/>
  <c r="AI234" i="18"/>
  <c r="AJ234" i="18"/>
  <c r="AK234" i="18"/>
  <c r="AL234" i="18"/>
  <c r="AM234" i="18"/>
  <c r="AN234" i="18"/>
  <c r="AO234" i="18"/>
  <c r="AP234" i="18"/>
  <c r="AQ234" i="18"/>
  <c r="AR234" i="18"/>
  <c r="AS234" i="18"/>
  <c r="AT234" i="18"/>
  <c r="AA237" i="18"/>
  <c r="AB237" i="18"/>
  <c r="AC237" i="18"/>
  <c r="AD237" i="18"/>
  <c r="AE237" i="18"/>
  <c r="AF237" i="18"/>
  <c r="AG237" i="18"/>
  <c r="AH237" i="18"/>
  <c r="AI237" i="18"/>
  <c r="AJ237" i="18"/>
  <c r="AK237" i="18"/>
  <c r="AL237" i="18"/>
  <c r="AM237" i="18"/>
  <c r="AN237" i="18"/>
  <c r="AO237" i="18"/>
  <c r="AP237" i="18"/>
  <c r="AQ237" i="18"/>
  <c r="AR237" i="18"/>
  <c r="AS237" i="18"/>
  <c r="AT237" i="18"/>
  <c r="AA240" i="18"/>
  <c r="AB240" i="18"/>
  <c r="AC240" i="18"/>
  <c r="AD240" i="18"/>
  <c r="AE240" i="18"/>
  <c r="AF240" i="18"/>
  <c r="AG240" i="18"/>
  <c r="AH240" i="18"/>
  <c r="AI240" i="18"/>
  <c r="AJ240" i="18"/>
  <c r="AK240" i="18"/>
  <c r="AL240" i="18"/>
  <c r="AM240" i="18"/>
  <c r="AN240" i="18"/>
  <c r="AO240" i="18"/>
  <c r="AP240" i="18"/>
  <c r="AQ240" i="18"/>
  <c r="AR240" i="18"/>
  <c r="AS240" i="18"/>
  <c r="AT240" i="18"/>
  <c r="AA243" i="18"/>
  <c r="AB243" i="18"/>
  <c r="AC243" i="18"/>
  <c r="AD243" i="18"/>
  <c r="AE243" i="18"/>
  <c r="AF243" i="18"/>
  <c r="AG243" i="18"/>
  <c r="AH243" i="18"/>
  <c r="AI243" i="18"/>
  <c r="AJ243" i="18"/>
  <c r="AK243" i="18"/>
  <c r="AL243" i="18"/>
  <c r="AM243" i="18"/>
  <c r="AN243" i="18"/>
  <c r="AO243" i="18"/>
  <c r="AP243" i="18"/>
  <c r="AQ243" i="18"/>
  <c r="AR243" i="18"/>
  <c r="AS243" i="18"/>
  <c r="AT243" i="18"/>
  <c r="AA246" i="18"/>
  <c r="AB246" i="18"/>
  <c r="AC246" i="18"/>
  <c r="AD246" i="18"/>
  <c r="AE246" i="18"/>
  <c r="AF246" i="18"/>
  <c r="AG246" i="18"/>
  <c r="AH246" i="18"/>
  <c r="AI246" i="18"/>
  <c r="AJ246" i="18"/>
  <c r="AK246" i="18"/>
  <c r="AL246" i="18"/>
  <c r="AM246" i="18"/>
  <c r="AN246" i="18"/>
  <c r="AO246" i="18"/>
  <c r="AP246" i="18"/>
  <c r="AQ246" i="18"/>
  <c r="AR246" i="18"/>
  <c r="AS246" i="18"/>
  <c r="AT246" i="18"/>
  <c r="AA249" i="18"/>
  <c r="AB249" i="18"/>
  <c r="AC249" i="18"/>
  <c r="AD249" i="18"/>
  <c r="AE249" i="18"/>
  <c r="AF249" i="18"/>
  <c r="AG249" i="18"/>
  <c r="AH249" i="18"/>
  <c r="AI249" i="18"/>
  <c r="AJ249" i="18"/>
  <c r="AK249" i="18"/>
  <c r="AL249" i="18"/>
  <c r="AM249" i="18"/>
  <c r="AN249" i="18"/>
  <c r="AO249" i="18"/>
  <c r="AP249" i="18"/>
  <c r="AQ249" i="18"/>
  <c r="AR249" i="18"/>
  <c r="AS249" i="18"/>
  <c r="AT249" i="18"/>
  <c r="AA252" i="18"/>
  <c r="AB252" i="18"/>
  <c r="AC252" i="18"/>
  <c r="AD252" i="18"/>
  <c r="AE252" i="18"/>
  <c r="AF252" i="18"/>
  <c r="AG252" i="18"/>
  <c r="AH252" i="18"/>
  <c r="AI252" i="18"/>
  <c r="AJ252" i="18"/>
  <c r="AK252" i="18"/>
  <c r="AL252" i="18"/>
  <c r="AM252" i="18"/>
  <c r="AN252" i="18"/>
  <c r="AO252" i="18"/>
  <c r="AP252" i="18"/>
  <c r="AQ252" i="18"/>
  <c r="AR252" i="18"/>
  <c r="AS252" i="18"/>
  <c r="AT252" i="18"/>
  <c r="AA255" i="18"/>
  <c r="AB255" i="18"/>
  <c r="AC255" i="18"/>
  <c r="AD255" i="18"/>
  <c r="AE255" i="18"/>
  <c r="AF255" i="18"/>
  <c r="AG255" i="18"/>
  <c r="AH255" i="18"/>
  <c r="AI255" i="18"/>
  <c r="AJ255" i="18"/>
  <c r="AK255" i="18"/>
  <c r="AL255" i="18"/>
  <c r="AM255" i="18"/>
  <c r="AN255" i="18"/>
  <c r="AO255" i="18"/>
  <c r="AP255" i="18"/>
  <c r="AQ255" i="18"/>
  <c r="AR255" i="18"/>
  <c r="AS255" i="18"/>
  <c r="AT255" i="18"/>
  <c r="AA258" i="18"/>
  <c r="AB258" i="18"/>
  <c r="AC258" i="18"/>
  <c r="AD258" i="18"/>
  <c r="AE258" i="18"/>
  <c r="AF258" i="18"/>
  <c r="AG258" i="18"/>
  <c r="AH258" i="18"/>
  <c r="AI258" i="18"/>
  <c r="AJ258" i="18"/>
  <c r="AK258" i="18"/>
  <c r="AL258" i="18"/>
  <c r="AM258" i="18"/>
  <c r="AN258" i="18"/>
  <c r="AO258" i="18"/>
  <c r="AP258" i="18"/>
  <c r="AQ258" i="18"/>
  <c r="AR258" i="18"/>
  <c r="AS258" i="18"/>
  <c r="AT258" i="18"/>
  <c r="AA261" i="18"/>
  <c r="AB261" i="18"/>
  <c r="AC261" i="18"/>
  <c r="AD261" i="18"/>
  <c r="AE261" i="18"/>
  <c r="AF261" i="18"/>
  <c r="AG261" i="18"/>
  <c r="AH261" i="18"/>
  <c r="AI261" i="18"/>
  <c r="AJ261" i="18"/>
  <c r="AK261" i="18"/>
  <c r="AL261" i="18"/>
  <c r="AM261" i="18"/>
  <c r="AN261" i="18"/>
  <c r="AO261" i="18"/>
  <c r="AP261" i="18"/>
  <c r="AQ261" i="18"/>
  <c r="AR261" i="18"/>
  <c r="AS261" i="18"/>
  <c r="AT261" i="18"/>
  <c r="AA264" i="18"/>
  <c r="AB264" i="18"/>
  <c r="AC264" i="18"/>
  <c r="AD264" i="18"/>
  <c r="AE264" i="18"/>
  <c r="AF264" i="18"/>
  <c r="AG264" i="18"/>
  <c r="AH264" i="18"/>
  <c r="AI264" i="18"/>
  <c r="AJ264" i="18"/>
  <c r="AK264" i="18"/>
  <c r="AL264" i="18"/>
  <c r="AM264" i="18"/>
  <c r="AN264" i="18"/>
  <c r="AO264" i="18"/>
  <c r="AP264" i="18"/>
  <c r="AQ264" i="18"/>
  <c r="AR264" i="18"/>
  <c r="AS264" i="18"/>
  <c r="AT264" i="18"/>
  <c r="AA267" i="18"/>
  <c r="AB267" i="18"/>
  <c r="AC267" i="18"/>
  <c r="AD267" i="18"/>
  <c r="AE267" i="18"/>
  <c r="AF267" i="18"/>
  <c r="AG267" i="18"/>
  <c r="AH267" i="18"/>
  <c r="AI267" i="18"/>
  <c r="AJ267" i="18"/>
  <c r="AK267" i="18"/>
  <c r="AL267" i="18"/>
  <c r="AM267" i="18"/>
  <c r="AN267" i="18"/>
  <c r="AO267" i="18"/>
  <c r="AP267" i="18"/>
  <c r="AQ267" i="18"/>
  <c r="AR267" i="18"/>
  <c r="AS267" i="18"/>
  <c r="AT267" i="18"/>
  <c r="AA270" i="18"/>
  <c r="AB270" i="18"/>
  <c r="AC270" i="18"/>
  <c r="AD270" i="18"/>
  <c r="AE270" i="18"/>
  <c r="AF270" i="18"/>
  <c r="AG270" i="18"/>
  <c r="AH270" i="18"/>
  <c r="AI270" i="18"/>
  <c r="AJ270" i="18"/>
  <c r="AK270" i="18"/>
  <c r="AL270" i="18"/>
  <c r="AM270" i="18"/>
  <c r="AN270" i="18"/>
  <c r="AO270" i="18"/>
  <c r="AP270" i="18"/>
  <c r="AQ270" i="18"/>
  <c r="AR270" i="18"/>
  <c r="AS270" i="18"/>
  <c r="AT270" i="18"/>
  <c r="AA273" i="18"/>
  <c r="AB273" i="18"/>
  <c r="AC273" i="18"/>
  <c r="AD273" i="18"/>
  <c r="AE273" i="18"/>
  <c r="AF273" i="18"/>
  <c r="AG273" i="18"/>
  <c r="AH273" i="18"/>
  <c r="AI273" i="18"/>
  <c r="AJ273" i="18"/>
  <c r="AK273" i="18"/>
  <c r="AL273" i="18"/>
  <c r="AM273" i="18"/>
  <c r="AN273" i="18"/>
  <c r="AO273" i="18"/>
  <c r="AP273" i="18"/>
  <c r="AQ273" i="18"/>
  <c r="AR273" i="18"/>
  <c r="AS273" i="18"/>
  <c r="AT273" i="18"/>
  <c r="AA276" i="18"/>
  <c r="AB276" i="18"/>
  <c r="AC276" i="18"/>
  <c r="AD276" i="18"/>
  <c r="AE276" i="18"/>
  <c r="AF276" i="18"/>
  <c r="AG276" i="18"/>
  <c r="AH276" i="18"/>
  <c r="AI276" i="18"/>
  <c r="AJ276" i="18"/>
  <c r="AK276" i="18"/>
  <c r="AL276" i="18"/>
  <c r="AM276" i="18"/>
  <c r="AN276" i="18"/>
  <c r="AO276" i="18"/>
  <c r="AP276" i="18"/>
  <c r="AQ276" i="18"/>
  <c r="AR276" i="18"/>
  <c r="AS276" i="18"/>
  <c r="AT276" i="18"/>
  <c r="AA279" i="18"/>
  <c r="AB279" i="18"/>
  <c r="AC279" i="18"/>
  <c r="AD279" i="18"/>
  <c r="AE279" i="18"/>
  <c r="AF279" i="18"/>
  <c r="AG279" i="18"/>
  <c r="AH279" i="18"/>
  <c r="AI279" i="18"/>
  <c r="AJ279" i="18"/>
  <c r="AK279" i="18"/>
  <c r="AL279" i="18"/>
  <c r="AM279" i="18"/>
  <c r="AN279" i="18"/>
  <c r="AO279" i="18"/>
  <c r="AP279" i="18"/>
  <c r="AQ279" i="18"/>
  <c r="AR279" i="18"/>
  <c r="AS279" i="18"/>
  <c r="AT279" i="18"/>
  <c r="AA282" i="18"/>
  <c r="AB282" i="18"/>
  <c r="AC282" i="18"/>
  <c r="AD282" i="18"/>
  <c r="AE282" i="18"/>
  <c r="AF282" i="18"/>
  <c r="AG282" i="18"/>
  <c r="AH282" i="18"/>
  <c r="AI282" i="18"/>
  <c r="AJ282" i="18"/>
  <c r="AK282" i="18"/>
  <c r="AL282" i="18"/>
  <c r="AM282" i="18"/>
  <c r="AN282" i="18"/>
  <c r="AO282" i="18"/>
  <c r="AP282" i="18"/>
  <c r="AQ282" i="18"/>
  <c r="AR282" i="18"/>
  <c r="AS282" i="18"/>
  <c r="AT282" i="18"/>
  <c r="AA285" i="18"/>
  <c r="AB285" i="18"/>
  <c r="AC285" i="18"/>
  <c r="AD285" i="18"/>
  <c r="AE285" i="18"/>
  <c r="AF285" i="18"/>
  <c r="AG285" i="18"/>
  <c r="AH285" i="18"/>
  <c r="AI285" i="18"/>
  <c r="AJ285" i="18"/>
  <c r="AK285" i="18"/>
  <c r="AL285" i="18"/>
  <c r="AM285" i="18"/>
  <c r="AN285" i="18"/>
  <c r="AO285" i="18"/>
  <c r="AP285" i="18"/>
  <c r="AQ285" i="18"/>
  <c r="AR285" i="18"/>
  <c r="AS285" i="18"/>
  <c r="AT285" i="18"/>
  <c r="AA288" i="18"/>
  <c r="AB288" i="18"/>
  <c r="AC288" i="18"/>
  <c r="AD288" i="18"/>
  <c r="AE288" i="18"/>
  <c r="AF288" i="18"/>
  <c r="AG288" i="18"/>
  <c r="AH288" i="18"/>
  <c r="AI288" i="18"/>
  <c r="AJ288" i="18"/>
  <c r="AK288" i="18"/>
  <c r="AL288" i="18"/>
  <c r="AM288" i="18"/>
  <c r="AN288" i="18"/>
  <c r="AO288" i="18"/>
  <c r="AP288" i="18"/>
  <c r="AQ288" i="18"/>
  <c r="AR288" i="18"/>
  <c r="AS288" i="18"/>
  <c r="AT288" i="18"/>
  <c r="AA291" i="18"/>
  <c r="AB291" i="18"/>
  <c r="AC291" i="18"/>
  <c r="AD291" i="18"/>
  <c r="AE291" i="18"/>
  <c r="AF291" i="18"/>
  <c r="AG291" i="18"/>
  <c r="AH291" i="18"/>
  <c r="AI291" i="18"/>
  <c r="AJ291" i="18"/>
  <c r="AK291" i="18"/>
  <c r="AL291" i="18"/>
  <c r="AM291" i="18"/>
  <c r="AN291" i="18"/>
  <c r="AO291" i="18"/>
  <c r="AP291" i="18"/>
  <c r="AQ291" i="18"/>
  <c r="AR291" i="18"/>
  <c r="AS291" i="18"/>
  <c r="AT291" i="18"/>
  <c r="AA294" i="18"/>
  <c r="AB294" i="18"/>
  <c r="AC294" i="18"/>
  <c r="AD294" i="18"/>
  <c r="AE294" i="18"/>
  <c r="AF294" i="18"/>
  <c r="AG294" i="18"/>
  <c r="AH294" i="18"/>
  <c r="AI294" i="18"/>
  <c r="AJ294" i="18"/>
  <c r="AK294" i="18"/>
  <c r="AL294" i="18"/>
  <c r="AM294" i="18"/>
  <c r="AN294" i="18"/>
  <c r="AO294" i="18"/>
  <c r="AP294" i="18"/>
  <c r="AQ294" i="18"/>
  <c r="AR294" i="18"/>
  <c r="AS294" i="18"/>
  <c r="AT294" i="18"/>
  <c r="AA297" i="18"/>
  <c r="AB297" i="18"/>
  <c r="AC297" i="18"/>
  <c r="AD297" i="18"/>
  <c r="AE297" i="18"/>
  <c r="AF297" i="18"/>
  <c r="AG297" i="18"/>
  <c r="AH297" i="18"/>
  <c r="AI297" i="18"/>
  <c r="AJ297" i="18"/>
  <c r="AK297" i="18"/>
  <c r="AL297" i="18"/>
  <c r="AM297" i="18"/>
  <c r="AN297" i="18"/>
  <c r="AO297" i="18"/>
  <c r="AP297" i="18"/>
  <c r="AQ297" i="18"/>
  <c r="AR297" i="18"/>
  <c r="AS297" i="18"/>
  <c r="AT297" i="18"/>
  <c r="AA300" i="18"/>
  <c r="AB300" i="18"/>
  <c r="AC300" i="18"/>
  <c r="AD300" i="18"/>
  <c r="AE300" i="18"/>
  <c r="AF300" i="18"/>
  <c r="AG300" i="18"/>
  <c r="AH300" i="18"/>
  <c r="AI300" i="18"/>
  <c r="AJ300" i="18"/>
  <c r="AK300" i="18"/>
  <c r="AL300" i="18"/>
  <c r="AM300" i="18"/>
  <c r="AN300" i="18"/>
  <c r="AO300" i="18"/>
  <c r="AP300" i="18"/>
  <c r="AQ300" i="18"/>
  <c r="AR300" i="18"/>
  <c r="AS300" i="18"/>
  <c r="AT300" i="18"/>
  <c r="AA303" i="18"/>
  <c r="AB303" i="18"/>
  <c r="AC303" i="18"/>
  <c r="AD303" i="18"/>
  <c r="AE303" i="18"/>
  <c r="AF303" i="18"/>
  <c r="AG303" i="18"/>
  <c r="AH303" i="18"/>
  <c r="AI303" i="18"/>
  <c r="AJ303" i="18"/>
  <c r="AK303" i="18"/>
  <c r="AL303" i="18"/>
  <c r="AM303" i="18"/>
  <c r="AN303" i="18"/>
  <c r="AO303" i="18"/>
  <c r="AP303" i="18"/>
  <c r="AQ303" i="18"/>
  <c r="AR303" i="18"/>
  <c r="AS303" i="18"/>
  <c r="AT303" i="18"/>
  <c r="AA306" i="18"/>
  <c r="AB306" i="18"/>
  <c r="AC306" i="18"/>
  <c r="AD306" i="18"/>
  <c r="AE306" i="18"/>
  <c r="AF306" i="18"/>
  <c r="AG306" i="18"/>
  <c r="AH306" i="18"/>
  <c r="AI306" i="18"/>
  <c r="AJ306" i="18"/>
  <c r="AK306" i="18"/>
  <c r="AL306" i="18"/>
  <c r="AM306" i="18"/>
  <c r="AN306" i="18"/>
  <c r="AO306" i="18"/>
  <c r="AP306" i="18"/>
  <c r="AQ306" i="18"/>
  <c r="AR306" i="18"/>
  <c r="AS306" i="18"/>
  <c r="AT306" i="18"/>
  <c r="AA309" i="18"/>
  <c r="AB309" i="18"/>
  <c r="AC309" i="18"/>
  <c r="AD309" i="18"/>
  <c r="AE309" i="18"/>
  <c r="AF309" i="18"/>
  <c r="AG309" i="18"/>
  <c r="AH309" i="18"/>
  <c r="AI309" i="18"/>
  <c r="AJ309" i="18"/>
  <c r="AK309" i="18"/>
  <c r="AL309" i="18"/>
  <c r="AM309" i="18"/>
  <c r="AN309" i="18"/>
  <c r="AO309" i="18"/>
  <c r="AP309" i="18"/>
  <c r="AQ309" i="18"/>
  <c r="AR309" i="18"/>
  <c r="AS309" i="18"/>
  <c r="AT309" i="18"/>
  <c r="AA312" i="18"/>
  <c r="AB312" i="18"/>
  <c r="AC312" i="18"/>
  <c r="AD312" i="18"/>
  <c r="AE312" i="18"/>
  <c r="AF312" i="18"/>
  <c r="AG312" i="18"/>
  <c r="AH312" i="18"/>
  <c r="AI312" i="18"/>
  <c r="AJ312" i="18"/>
  <c r="AK312" i="18"/>
  <c r="AL312" i="18"/>
  <c r="AM312" i="18"/>
  <c r="AN312" i="18"/>
  <c r="AO312" i="18"/>
  <c r="AP312" i="18"/>
  <c r="AQ312" i="18"/>
  <c r="AR312" i="18"/>
  <c r="AS312" i="18"/>
  <c r="AT312" i="18"/>
  <c r="AA315" i="18"/>
  <c r="AB315" i="18"/>
  <c r="AC315" i="18"/>
  <c r="AD315" i="18"/>
  <c r="AE315" i="18"/>
  <c r="AF315" i="18"/>
  <c r="AG315" i="18"/>
  <c r="AH315" i="18"/>
  <c r="AI315" i="18"/>
  <c r="AJ315" i="18"/>
  <c r="AK315" i="18"/>
  <c r="AL315" i="18"/>
  <c r="AM315" i="18"/>
  <c r="AN315" i="18"/>
  <c r="AO315" i="18"/>
  <c r="AP315" i="18"/>
  <c r="AQ315" i="18"/>
  <c r="AR315" i="18"/>
  <c r="AS315" i="18"/>
  <c r="AT315" i="18"/>
  <c r="AA318" i="18"/>
  <c r="AB318" i="18"/>
  <c r="AC318" i="18"/>
  <c r="AD318" i="18"/>
  <c r="AE318" i="18"/>
  <c r="AF318" i="18"/>
  <c r="AG318" i="18"/>
  <c r="AH318" i="18"/>
  <c r="AI318" i="18"/>
  <c r="AJ318" i="18"/>
  <c r="AK318" i="18"/>
  <c r="AL318" i="18"/>
  <c r="AM318" i="18"/>
  <c r="AN318" i="18"/>
  <c r="AO318" i="18"/>
  <c r="AP318" i="18"/>
  <c r="AQ318" i="18"/>
  <c r="AR318" i="18"/>
  <c r="AS318" i="18"/>
  <c r="AT318" i="18"/>
  <c r="AB216" i="18"/>
  <c r="AC216" i="18"/>
  <c r="AD216" i="18"/>
  <c r="AE216" i="18"/>
  <c r="AF216" i="18"/>
  <c r="AG216" i="18"/>
  <c r="AH216" i="18"/>
  <c r="AI216" i="18"/>
  <c r="AJ216" i="18"/>
  <c r="AK216" i="18"/>
  <c r="AL216" i="18"/>
  <c r="AM216" i="18"/>
  <c r="AN216" i="18"/>
  <c r="AO216" i="18"/>
  <c r="AP216" i="18"/>
  <c r="AQ216" i="18"/>
  <c r="AR216" i="18"/>
  <c r="AS216" i="18"/>
  <c r="AT216" i="18"/>
  <c r="AA216" i="18"/>
  <c r="B219" i="18"/>
  <c r="C219" i="18"/>
  <c r="D219" i="18"/>
  <c r="E219" i="18"/>
  <c r="F219" i="18"/>
  <c r="G219" i="18"/>
  <c r="H219" i="18"/>
  <c r="I219" i="18"/>
  <c r="J219" i="18"/>
  <c r="K219" i="18"/>
  <c r="L219" i="18"/>
  <c r="M219" i="18"/>
  <c r="N219" i="18"/>
  <c r="O219" i="18"/>
  <c r="P219" i="18"/>
  <c r="Q219" i="18"/>
  <c r="R219" i="18"/>
  <c r="S219" i="18"/>
  <c r="T219" i="18"/>
  <c r="U219" i="18"/>
  <c r="B222" i="18"/>
  <c r="C222" i="18"/>
  <c r="D222" i="18"/>
  <c r="E222" i="18"/>
  <c r="F222" i="18"/>
  <c r="G222" i="18"/>
  <c r="H222" i="18"/>
  <c r="I222" i="18"/>
  <c r="J222" i="18"/>
  <c r="K222" i="18"/>
  <c r="L222" i="18"/>
  <c r="M222" i="18"/>
  <c r="N222" i="18"/>
  <c r="O222" i="18"/>
  <c r="P222" i="18"/>
  <c r="Q222" i="18"/>
  <c r="R222" i="18"/>
  <c r="S222" i="18"/>
  <c r="T222" i="18"/>
  <c r="U222" i="18"/>
  <c r="B225" i="18"/>
  <c r="C225" i="18"/>
  <c r="D225" i="18"/>
  <c r="E225" i="18"/>
  <c r="F225" i="18"/>
  <c r="G225" i="18"/>
  <c r="H225" i="18"/>
  <c r="I225" i="18"/>
  <c r="J225" i="18"/>
  <c r="K225" i="18"/>
  <c r="L225" i="18"/>
  <c r="M225" i="18"/>
  <c r="N225" i="18"/>
  <c r="O225" i="18"/>
  <c r="P225" i="18"/>
  <c r="Q225" i="18"/>
  <c r="R225" i="18"/>
  <c r="S225" i="18"/>
  <c r="T225" i="18"/>
  <c r="U225" i="18"/>
  <c r="B228" i="18"/>
  <c r="C228" i="18"/>
  <c r="D228" i="18"/>
  <c r="E228" i="18"/>
  <c r="F228" i="18"/>
  <c r="G228" i="18"/>
  <c r="H228" i="18"/>
  <c r="I228" i="18"/>
  <c r="J228" i="18"/>
  <c r="K228" i="18"/>
  <c r="L228" i="18"/>
  <c r="M228" i="18"/>
  <c r="N228" i="18"/>
  <c r="O228" i="18"/>
  <c r="P228" i="18"/>
  <c r="Q228" i="18"/>
  <c r="R228" i="18"/>
  <c r="S228" i="18"/>
  <c r="T228" i="18"/>
  <c r="U228" i="18"/>
  <c r="B231" i="18"/>
  <c r="C231" i="18"/>
  <c r="D231" i="18"/>
  <c r="E231" i="18"/>
  <c r="F231" i="18"/>
  <c r="G231" i="18"/>
  <c r="H231" i="18"/>
  <c r="I231" i="18"/>
  <c r="J231" i="18"/>
  <c r="K231" i="18"/>
  <c r="L231" i="18"/>
  <c r="M231" i="18"/>
  <c r="N231" i="18"/>
  <c r="O231" i="18"/>
  <c r="P231" i="18"/>
  <c r="Q231" i="18"/>
  <c r="R231" i="18"/>
  <c r="S231" i="18"/>
  <c r="T231" i="18"/>
  <c r="U231" i="18"/>
  <c r="B234" i="18"/>
  <c r="C234" i="18"/>
  <c r="D234" i="18"/>
  <c r="E234" i="18"/>
  <c r="F234" i="18"/>
  <c r="G234" i="18"/>
  <c r="H234" i="18"/>
  <c r="I234" i="18"/>
  <c r="J234" i="18"/>
  <c r="K234" i="18"/>
  <c r="L234" i="18"/>
  <c r="M234" i="18"/>
  <c r="N234" i="18"/>
  <c r="O234" i="18"/>
  <c r="P234" i="18"/>
  <c r="Q234" i="18"/>
  <c r="R234" i="18"/>
  <c r="S234" i="18"/>
  <c r="T234" i="18"/>
  <c r="U234" i="18"/>
  <c r="B237" i="18"/>
  <c r="C237" i="18"/>
  <c r="D237" i="18"/>
  <c r="E237" i="18"/>
  <c r="F237" i="18"/>
  <c r="G237" i="18"/>
  <c r="H237" i="18"/>
  <c r="I237" i="18"/>
  <c r="J237" i="18"/>
  <c r="K237" i="18"/>
  <c r="L237" i="18"/>
  <c r="M237" i="18"/>
  <c r="N237" i="18"/>
  <c r="O237" i="18"/>
  <c r="P237" i="18"/>
  <c r="Q237" i="18"/>
  <c r="R237" i="18"/>
  <c r="S237" i="18"/>
  <c r="T237" i="18"/>
  <c r="U237" i="18"/>
  <c r="B240" i="18"/>
  <c r="C240" i="18"/>
  <c r="D240" i="18"/>
  <c r="E240" i="18"/>
  <c r="F240" i="18"/>
  <c r="G240" i="18"/>
  <c r="H240" i="18"/>
  <c r="I240" i="18"/>
  <c r="J240" i="18"/>
  <c r="K240" i="18"/>
  <c r="L240" i="18"/>
  <c r="M240" i="18"/>
  <c r="N240" i="18"/>
  <c r="O240" i="18"/>
  <c r="P240" i="18"/>
  <c r="Q240" i="18"/>
  <c r="R240" i="18"/>
  <c r="S240" i="18"/>
  <c r="T240" i="18"/>
  <c r="U240" i="18"/>
  <c r="B243" i="18"/>
  <c r="C243" i="18"/>
  <c r="D243" i="18"/>
  <c r="E243" i="18"/>
  <c r="F243" i="18"/>
  <c r="G243" i="18"/>
  <c r="H243" i="18"/>
  <c r="I243" i="18"/>
  <c r="J243" i="18"/>
  <c r="K243" i="18"/>
  <c r="L243" i="18"/>
  <c r="M243" i="18"/>
  <c r="N243" i="18"/>
  <c r="O243" i="18"/>
  <c r="P243" i="18"/>
  <c r="Q243" i="18"/>
  <c r="R243" i="18"/>
  <c r="S243" i="18"/>
  <c r="T243" i="18"/>
  <c r="U243" i="18"/>
  <c r="B246" i="18"/>
  <c r="C246" i="18"/>
  <c r="D246" i="18"/>
  <c r="E246" i="18"/>
  <c r="F246" i="18"/>
  <c r="G246" i="18"/>
  <c r="H246" i="18"/>
  <c r="I246" i="18"/>
  <c r="J246" i="18"/>
  <c r="K246" i="18"/>
  <c r="L246" i="18"/>
  <c r="M246" i="18"/>
  <c r="N246" i="18"/>
  <c r="O246" i="18"/>
  <c r="P246" i="18"/>
  <c r="Q246" i="18"/>
  <c r="R246" i="18"/>
  <c r="S246" i="18"/>
  <c r="T246" i="18"/>
  <c r="U246" i="18"/>
  <c r="B249" i="18"/>
  <c r="C249" i="18"/>
  <c r="D249" i="18"/>
  <c r="E249" i="18"/>
  <c r="F249" i="18"/>
  <c r="G249" i="18"/>
  <c r="H249" i="18"/>
  <c r="I249" i="18"/>
  <c r="J249" i="18"/>
  <c r="K249" i="18"/>
  <c r="L249" i="18"/>
  <c r="M249" i="18"/>
  <c r="N249" i="18"/>
  <c r="O249" i="18"/>
  <c r="P249" i="18"/>
  <c r="Q249" i="18"/>
  <c r="R249" i="18"/>
  <c r="S249" i="18"/>
  <c r="T249" i="18"/>
  <c r="U249" i="18"/>
  <c r="B252" i="18"/>
  <c r="C252" i="18"/>
  <c r="D252" i="18"/>
  <c r="E252" i="18"/>
  <c r="F252" i="18"/>
  <c r="G252" i="18"/>
  <c r="H252" i="18"/>
  <c r="I252" i="18"/>
  <c r="J252" i="18"/>
  <c r="K252" i="18"/>
  <c r="L252" i="18"/>
  <c r="M252" i="18"/>
  <c r="N252" i="18"/>
  <c r="O252" i="18"/>
  <c r="P252" i="18"/>
  <c r="Q252" i="18"/>
  <c r="R252" i="18"/>
  <c r="S252" i="18"/>
  <c r="T252" i="18"/>
  <c r="U252" i="18"/>
  <c r="B255" i="18"/>
  <c r="C255" i="18"/>
  <c r="D255" i="18"/>
  <c r="E255" i="18"/>
  <c r="F255" i="18"/>
  <c r="G255" i="18"/>
  <c r="H255" i="18"/>
  <c r="I255" i="18"/>
  <c r="J255" i="18"/>
  <c r="K255" i="18"/>
  <c r="L255" i="18"/>
  <c r="M255" i="18"/>
  <c r="N255" i="18"/>
  <c r="O255" i="18"/>
  <c r="P255" i="18"/>
  <c r="Q255" i="18"/>
  <c r="R255" i="18"/>
  <c r="S255" i="18"/>
  <c r="T255" i="18"/>
  <c r="U255" i="18"/>
  <c r="B258" i="18"/>
  <c r="C258" i="18"/>
  <c r="D258" i="18"/>
  <c r="E258" i="18"/>
  <c r="F258" i="18"/>
  <c r="G258" i="18"/>
  <c r="H258" i="18"/>
  <c r="I258" i="18"/>
  <c r="J258" i="18"/>
  <c r="K258" i="18"/>
  <c r="L258" i="18"/>
  <c r="M258" i="18"/>
  <c r="N258" i="18"/>
  <c r="O258" i="18"/>
  <c r="P258" i="18"/>
  <c r="Q258" i="18"/>
  <c r="R258" i="18"/>
  <c r="S258" i="18"/>
  <c r="T258" i="18"/>
  <c r="U258" i="18"/>
  <c r="B261" i="18"/>
  <c r="C261" i="18"/>
  <c r="D261" i="18"/>
  <c r="E261" i="18"/>
  <c r="F261" i="18"/>
  <c r="G261" i="18"/>
  <c r="H261" i="18"/>
  <c r="I261" i="18"/>
  <c r="J261" i="18"/>
  <c r="K261" i="18"/>
  <c r="L261" i="18"/>
  <c r="M261" i="18"/>
  <c r="N261" i="18"/>
  <c r="O261" i="18"/>
  <c r="P261" i="18"/>
  <c r="Q261" i="18"/>
  <c r="R261" i="18"/>
  <c r="S261" i="18"/>
  <c r="T261" i="18"/>
  <c r="U261" i="18"/>
  <c r="B264" i="18"/>
  <c r="C264" i="18"/>
  <c r="D264" i="18"/>
  <c r="E264" i="18"/>
  <c r="F264" i="18"/>
  <c r="G264" i="18"/>
  <c r="H264" i="18"/>
  <c r="I264" i="18"/>
  <c r="J264" i="18"/>
  <c r="K264" i="18"/>
  <c r="L264" i="18"/>
  <c r="M264" i="18"/>
  <c r="N264" i="18"/>
  <c r="O264" i="18"/>
  <c r="P264" i="18"/>
  <c r="Q264" i="18"/>
  <c r="R264" i="18"/>
  <c r="S264" i="18"/>
  <c r="T264" i="18"/>
  <c r="U264" i="18"/>
  <c r="B267" i="18"/>
  <c r="C267" i="18"/>
  <c r="D267" i="18"/>
  <c r="E267" i="18"/>
  <c r="F267" i="18"/>
  <c r="G267" i="18"/>
  <c r="H267" i="18"/>
  <c r="I267" i="18"/>
  <c r="J267" i="18"/>
  <c r="K267" i="18"/>
  <c r="L267" i="18"/>
  <c r="M267" i="18"/>
  <c r="N267" i="18"/>
  <c r="O267" i="18"/>
  <c r="P267" i="18"/>
  <c r="Q267" i="18"/>
  <c r="R267" i="18"/>
  <c r="S267" i="18"/>
  <c r="T267" i="18"/>
  <c r="U267" i="18"/>
  <c r="B270" i="18"/>
  <c r="C270" i="18"/>
  <c r="D270" i="18"/>
  <c r="E270" i="18"/>
  <c r="F270" i="18"/>
  <c r="G270" i="18"/>
  <c r="H270" i="18"/>
  <c r="I270" i="18"/>
  <c r="J270" i="18"/>
  <c r="K270" i="18"/>
  <c r="L270" i="18"/>
  <c r="M270" i="18"/>
  <c r="N270" i="18"/>
  <c r="O270" i="18"/>
  <c r="P270" i="18"/>
  <c r="Q270" i="18"/>
  <c r="R270" i="18"/>
  <c r="S270" i="18"/>
  <c r="T270" i="18"/>
  <c r="U270" i="18"/>
  <c r="B273" i="18"/>
  <c r="C273" i="18"/>
  <c r="D273" i="18"/>
  <c r="E273" i="18"/>
  <c r="F273" i="18"/>
  <c r="G273" i="18"/>
  <c r="H273" i="18"/>
  <c r="I273" i="18"/>
  <c r="J273" i="18"/>
  <c r="K273" i="18"/>
  <c r="L273" i="18"/>
  <c r="M273" i="18"/>
  <c r="N273" i="18"/>
  <c r="O273" i="18"/>
  <c r="P273" i="18"/>
  <c r="Q273" i="18"/>
  <c r="R273" i="18"/>
  <c r="S273" i="18"/>
  <c r="T273" i="18"/>
  <c r="U273" i="18"/>
  <c r="B276" i="18"/>
  <c r="C276" i="18"/>
  <c r="D276" i="18"/>
  <c r="E276" i="18"/>
  <c r="F276" i="18"/>
  <c r="G276" i="18"/>
  <c r="H276" i="18"/>
  <c r="I276" i="18"/>
  <c r="J276" i="18"/>
  <c r="K276" i="18"/>
  <c r="L276" i="18"/>
  <c r="M276" i="18"/>
  <c r="N276" i="18"/>
  <c r="O276" i="18"/>
  <c r="P276" i="18"/>
  <c r="Q276" i="18"/>
  <c r="R276" i="18"/>
  <c r="S276" i="18"/>
  <c r="T276" i="18"/>
  <c r="U276" i="18"/>
  <c r="B279" i="18"/>
  <c r="C279" i="18"/>
  <c r="D279" i="18"/>
  <c r="E279" i="18"/>
  <c r="F279" i="18"/>
  <c r="G279" i="18"/>
  <c r="H279" i="18"/>
  <c r="I279" i="18"/>
  <c r="J279" i="18"/>
  <c r="K279" i="18"/>
  <c r="L279" i="18"/>
  <c r="M279" i="18"/>
  <c r="N279" i="18"/>
  <c r="O279" i="18"/>
  <c r="P279" i="18"/>
  <c r="Q279" i="18"/>
  <c r="R279" i="18"/>
  <c r="S279" i="18"/>
  <c r="T279" i="18"/>
  <c r="U279" i="18"/>
  <c r="B282" i="18"/>
  <c r="C282" i="18"/>
  <c r="D282" i="18"/>
  <c r="E282" i="18"/>
  <c r="F282" i="18"/>
  <c r="G282" i="18"/>
  <c r="H282" i="18"/>
  <c r="I282" i="18"/>
  <c r="J282" i="18"/>
  <c r="K282" i="18"/>
  <c r="L282" i="18"/>
  <c r="M282" i="18"/>
  <c r="N282" i="18"/>
  <c r="O282" i="18"/>
  <c r="P282" i="18"/>
  <c r="Q282" i="18"/>
  <c r="R282" i="18"/>
  <c r="S282" i="18"/>
  <c r="T282" i="18"/>
  <c r="U282" i="18"/>
  <c r="B285" i="18"/>
  <c r="C285" i="18"/>
  <c r="D285" i="18"/>
  <c r="E285" i="18"/>
  <c r="F285" i="18"/>
  <c r="G285" i="18"/>
  <c r="H285" i="18"/>
  <c r="I285" i="18"/>
  <c r="J285" i="18"/>
  <c r="K285" i="18"/>
  <c r="L285" i="18"/>
  <c r="M285" i="18"/>
  <c r="N285" i="18"/>
  <c r="O285" i="18"/>
  <c r="P285" i="18"/>
  <c r="Q285" i="18"/>
  <c r="R285" i="18"/>
  <c r="S285" i="18"/>
  <c r="T285" i="18"/>
  <c r="U285" i="18"/>
  <c r="B288" i="18"/>
  <c r="C288" i="18"/>
  <c r="D288" i="18"/>
  <c r="E288" i="18"/>
  <c r="F288" i="18"/>
  <c r="G288" i="18"/>
  <c r="H288" i="18"/>
  <c r="I288" i="18"/>
  <c r="J288" i="18"/>
  <c r="K288" i="18"/>
  <c r="L288" i="18"/>
  <c r="M288" i="18"/>
  <c r="N288" i="18"/>
  <c r="O288" i="18"/>
  <c r="P288" i="18"/>
  <c r="Q288" i="18"/>
  <c r="R288" i="18"/>
  <c r="S288" i="18"/>
  <c r="T288" i="18"/>
  <c r="U288" i="18"/>
  <c r="B291" i="18"/>
  <c r="C291" i="18"/>
  <c r="D291" i="18"/>
  <c r="E291" i="18"/>
  <c r="F291" i="18"/>
  <c r="G291" i="18"/>
  <c r="H291" i="18"/>
  <c r="I291" i="18"/>
  <c r="J291" i="18"/>
  <c r="K291" i="18"/>
  <c r="L291" i="18"/>
  <c r="M291" i="18"/>
  <c r="N291" i="18"/>
  <c r="O291" i="18"/>
  <c r="P291" i="18"/>
  <c r="Q291" i="18"/>
  <c r="R291" i="18"/>
  <c r="S291" i="18"/>
  <c r="T291" i="18"/>
  <c r="U291" i="18"/>
  <c r="B294" i="18"/>
  <c r="C294" i="18"/>
  <c r="D294" i="18"/>
  <c r="E294" i="18"/>
  <c r="F294" i="18"/>
  <c r="G294" i="18"/>
  <c r="H294" i="18"/>
  <c r="I294" i="18"/>
  <c r="J294" i="18"/>
  <c r="K294" i="18"/>
  <c r="L294" i="18"/>
  <c r="M294" i="18"/>
  <c r="N294" i="18"/>
  <c r="O294" i="18"/>
  <c r="P294" i="18"/>
  <c r="Q294" i="18"/>
  <c r="R294" i="18"/>
  <c r="S294" i="18"/>
  <c r="T294" i="18"/>
  <c r="U294" i="18"/>
  <c r="B297" i="18"/>
  <c r="C297" i="18"/>
  <c r="D297" i="18"/>
  <c r="E297" i="18"/>
  <c r="F297" i="18"/>
  <c r="G297" i="18"/>
  <c r="H297" i="18"/>
  <c r="I297" i="18"/>
  <c r="J297" i="18"/>
  <c r="K297" i="18"/>
  <c r="L297" i="18"/>
  <c r="M297" i="18"/>
  <c r="N297" i="18"/>
  <c r="O297" i="18"/>
  <c r="P297" i="18"/>
  <c r="Q297" i="18"/>
  <c r="R297" i="18"/>
  <c r="S297" i="18"/>
  <c r="T297" i="18"/>
  <c r="U297" i="18"/>
  <c r="B300" i="18"/>
  <c r="C300" i="18"/>
  <c r="D300" i="18"/>
  <c r="E300" i="18"/>
  <c r="F300" i="18"/>
  <c r="G300" i="18"/>
  <c r="H300" i="18"/>
  <c r="I300" i="18"/>
  <c r="J300" i="18"/>
  <c r="K300" i="18"/>
  <c r="L300" i="18"/>
  <c r="M300" i="18"/>
  <c r="N300" i="18"/>
  <c r="O300" i="18"/>
  <c r="P300" i="18"/>
  <c r="Q300" i="18"/>
  <c r="R300" i="18"/>
  <c r="S300" i="18"/>
  <c r="T300" i="18"/>
  <c r="U300" i="18"/>
  <c r="B303" i="18"/>
  <c r="C303" i="18"/>
  <c r="D303" i="18"/>
  <c r="E303" i="18"/>
  <c r="F303" i="18"/>
  <c r="G303" i="18"/>
  <c r="H303" i="18"/>
  <c r="I303" i="18"/>
  <c r="J303" i="18"/>
  <c r="K303" i="18"/>
  <c r="L303" i="18"/>
  <c r="M303" i="18"/>
  <c r="N303" i="18"/>
  <c r="O303" i="18"/>
  <c r="P303" i="18"/>
  <c r="Q303" i="18"/>
  <c r="R303" i="18"/>
  <c r="S303" i="18"/>
  <c r="T303" i="18"/>
  <c r="U303" i="18"/>
  <c r="B306" i="18"/>
  <c r="C306" i="18"/>
  <c r="D306" i="18"/>
  <c r="E306" i="18"/>
  <c r="F306" i="18"/>
  <c r="G306" i="18"/>
  <c r="H306" i="18"/>
  <c r="I306" i="18"/>
  <c r="J306" i="18"/>
  <c r="K306" i="18"/>
  <c r="L306" i="18"/>
  <c r="M306" i="18"/>
  <c r="N306" i="18"/>
  <c r="O306" i="18"/>
  <c r="P306" i="18"/>
  <c r="Q306" i="18"/>
  <c r="R306" i="18"/>
  <c r="S306" i="18"/>
  <c r="T306" i="18"/>
  <c r="U306" i="18"/>
  <c r="B309" i="18"/>
  <c r="C309" i="18"/>
  <c r="D309" i="18"/>
  <c r="E309" i="18"/>
  <c r="F309" i="18"/>
  <c r="G309" i="18"/>
  <c r="H309" i="18"/>
  <c r="I309" i="18"/>
  <c r="J309" i="18"/>
  <c r="K309" i="18"/>
  <c r="L309" i="18"/>
  <c r="M309" i="18"/>
  <c r="N309" i="18"/>
  <c r="O309" i="18"/>
  <c r="P309" i="18"/>
  <c r="Q309" i="18"/>
  <c r="R309" i="18"/>
  <c r="S309" i="18"/>
  <c r="T309" i="18"/>
  <c r="U309" i="18"/>
  <c r="B312" i="18"/>
  <c r="C312" i="18"/>
  <c r="D312" i="18"/>
  <c r="E312" i="18"/>
  <c r="F312" i="18"/>
  <c r="G312" i="18"/>
  <c r="H312" i="18"/>
  <c r="I312" i="18"/>
  <c r="J312" i="18"/>
  <c r="K312" i="18"/>
  <c r="L312" i="18"/>
  <c r="M312" i="18"/>
  <c r="N312" i="18"/>
  <c r="O312" i="18"/>
  <c r="P312" i="18"/>
  <c r="Q312" i="18"/>
  <c r="R312" i="18"/>
  <c r="S312" i="18"/>
  <c r="T312" i="18"/>
  <c r="U312" i="18"/>
  <c r="B315" i="18"/>
  <c r="C315" i="18"/>
  <c r="D315" i="18"/>
  <c r="E315" i="18"/>
  <c r="F315" i="18"/>
  <c r="G315" i="18"/>
  <c r="H315" i="18"/>
  <c r="I315" i="18"/>
  <c r="J315" i="18"/>
  <c r="K315" i="18"/>
  <c r="L315" i="18"/>
  <c r="M315" i="18"/>
  <c r="N315" i="18"/>
  <c r="O315" i="18"/>
  <c r="P315" i="18"/>
  <c r="Q315" i="18"/>
  <c r="R315" i="18"/>
  <c r="S315" i="18"/>
  <c r="T315" i="18"/>
  <c r="U315" i="18"/>
  <c r="B318" i="18"/>
  <c r="C318" i="18"/>
  <c r="D318" i="18"/>
  <c r="E318" i="18"/>
  <c r="F318" i="18"/>
  <c r="G318" i="18"/>
  <c r="H318" i="18"/>
  <c r="I318" i="18"/>
  <c r="J318" i="18"/>
  <c r="K318" i="18"/>
  <c r="L318" i="18"/>
  <c r="M318" i="18"/>
  <c r="N318" i="18"/>
  <c r="O318" i="18"/>
  <c r="P318" i="18"/>
  <c r="Q318" i="18"/>
  <c r="R318" i="18"/>
  <c r="S318" i="18"/>
  <c r="T318" i="18"/>
  <c r="U318" i="18"/>
  <c r="C216" i="18"/>
  <c r="D216" i="18"/>
  <c r="E216" i="18"/>
  <c r="F216" i="18"/>
  <c r="G216" i="18"/>
  <c r="H216" i="18"/>
  <c r="I216" i="18"/>
  <c r="J216" i="18"/>
  <c r="K216" i="18"/>
  <c r="L216" i="18"/>
  <c r="M216" i="18"/>
  <c r="N216" i="18"/>
  <c r="O216" i="18"/>
  <c r="P216" i="18"/>
  <c r="Q216" i="18"/>
  <c r="R216" i="18"/>
  <c r="S216" i="18"/>
  <c r="T216" i="18"/>
  <c r="U216" i="18"/>
  <c r="B216" i="18"/>
  <c r="AA112" i="18"/>
  <c r="AB112" i="18"/>
  <c r="AC112" i="18"/>
  <c r="AD112" i="18"/>
  <c r="AE112" i="18"/>
  <c r="AF112" i="18"/>
  <c r="AG112" i="18"/>
  <c r="AH112" i="18"/>
  <c r="AI112" i="18"/>
  <c r="AJ112" i="18"/>
  <c r="AK112" i="18"/>
  <c r="AL112" i="18"/>
  <c r="AM112" i="18"/>
  <c r="AN112" i="18"/>
  <c r="AO112" i="18"/>
  <c r="AP112" i="18"/>
  <c r="AQ112" i="18"/>
  <c r="AR112" i="18"/>
  <c r="AS112" i="18"/>
  <c r="AT112" i="18"/>
  <c r="AA115" i="18"/>
  <c r="AB115" i="18"/>
  <c r="AC115" i="18"/>
  <c r="AD115" i="18"/>
  <c r="AE115" i="18"/>
  <c r="AF115" i="18"/>
  <c r="AG115" i="18"/>
  <c r="AH115" i="18"/>
  <c r="AI115" i="18"/>
  <c r="AJ115" i="18"/>
  <c r="AK115" i="18"/>
  <c r="AL115" i="18"/>
  <c r="AM115" i="18"/>
  <c r="AN115" i="18"/>
  <c r="AO115" i="18"/>
  <c r="AP115" i="18"/>
  <c r="AQ115" i="18"/>
  <c r="AR115" i="18"/>
  <c r="AS115" i="18"/>
  <c r="AT115" i="18"/>
  <c r="AA118" i="18"/>
  <c r="AB118" i="18"/>
  <c r="AC118" i="18"/>
  <c r="AD118" i="18"/>
  <c r="AE118" i="18"/>
  <c r="AF118" i="18"/>
  <c r="AG118" i="18"/>
  <c r="AH118" i="18"/>
  <c r="AI118" i="18"/>
  <c r="AJ118" i="18"/>
  <c r="AK118" i="18"/>
  <c r="AL118" i="18"/>
  <c r="AM118" i="18"/>
  <c r="AN118" i="18"/>
  <c r="AO118" i="18"/>
  <c r="AP118" i="18"/>
  <c r="AQ118" i="18"/>
  <c r="AR118" i="18"/>
  <c r="AS118" i="18"/>
  <c r="AT118" i="18"/>
  <c r="AA121" i="18"/>
  <c r="AB121" i="18"/>
  <c r="AC121" i="18"/>
  <c r="AD121" i="18"/>
  <c r="AE121" i="18"/>
  <c r="AF121" i="18"/>
  <c r="AG121" i="18"/>
  <c r="AH121" i="18"/>
  <c r="AI121" i="18"/>
  <c r="AJ121" i="18"/>
  <c r="AK121" i="18"/>
  <c r="AL121" i="18"/>
  <c r="AM121" i="18"/>
  <c r="AN121" i="18"/>
  <c r="AO121" i="18"/>
  <c r="AP121" i="18"/>
  <c r="AQ121" i="18"/>
  <c r="AR121" i="18"/>
  <c r="AS121" i="18"/>
  <c r="AT121" i="18"/>
  <c r="AA124" i="18"/>
  <c r="AB124" i="18"/>
  <c r="AC124" i="18"/>
  <c r="AD124" i="18"/>
  <c r="AE124" i="18"/>
  <c r="AF124" i="18"/>
  <c r="AG124" i="18"/>
  <c r="AH124" i="18"/>
  <c r="AI124" i="18"/>
  <c r="AJ124" i="18"/>
  <c r="AK124" i="18"/>
  <c r="AL124" i="18"/>
  <c r="AM124" i="18"/>
  <c r="AN124" i="18"/>
  <c r="AO124" i="18"/>
  <c r="AP124" i="18"/>
  <c r="AQ124" i="18"/>
  <c r="AR124" i="18"/>
  <c r="AS124" i="18"/>
  <c r="AT124" i="18"/>
  <c r="AA127" i="18"/>
  <c r="AB127" i="18"/>
  <c r="AC127" i="18"/>
  <c r="AD127" i="18"/>
  <c r="AE127" i="18"/>
  <c r="AF127" i="18"/>
  <c r="AG127" i="18"/>
  <c r="AH127" i="18"/>
  <c r="AI127" i="18"/>
  <c r="AJ127" i="18"/>
  <c r="AK127" i="18"/>
  <c r="AL127" i="18"/>
  <c r="AM127" i="18"/>
  <c r="AN127" i="18"/>
  <c r="AO127" i="18"/>
  <c r="AP127" i="18"/>
  <c r="AQ127" i="18"/>
  <c r="AR127" i="18"/>
  <c r="AS127" i="18"/>
  <c r="AT127" i="18"/>
  <c r="AA130" i="18"/>
  <c r="AB130" i="18"/>
  <c r="AC130" i="18"/>
  <c r="AD130" i="18"/>
  <c r="AE130" i="18"/>
  <c r="AF130" i="18"/>
  <c r="AG130" i="18"/>
  <c r="AH130" i="18"/>
  <c r="AI130" i="18"/>
  <c r="AJ130" i="18"/>
  <c r="AK130" i="18"/>
  <c r="AL130" i="18"/>
  <c r="AM130" i="18"/>
  <c r="AN130" i="18"/>
  <c r="AO130" i="18"/>
  <c r="AP130" i="18"/>
  <c r="AQ130" i="18"/>
  <c r="AR130" i="18"/>
  <c r="AS130" i="18"/>
  <c r="AT130" i="18"/>
  <c r="AA133" i="18"/>
  <c r="AB133" i="18"/>
  <c r="AC133" i="18"/>
  <c r="AD133" i="18"/>
  <c r="AE133" i="18"/>
  <c r="AF133" i="18"/>
  <c r="AG133" i="18"/>
  <c r="AH133" i="18"/>
  <c r="AI133" i="18"/>
  <c r="AJ133" i="18"/>
  <c r="AK133" i="18"/>
  <c r="AL133" i="18"/>
  <c r="AM133" i="18"/>
  <c r="AN133" i="18"/>
  <c r="AO133" i="18"/>
  <c r="AP133" i="18"/>
  <c r="AQ133" i="18"/>
  <c r="AR133" i="18"/>
  <c r="AS133" i="18"/>
  <c r="AT133" i="18"/>
  <c r="AA136" i="18"/>
  <c r="AB136" i="18"/>
  <c r="AC136" i="18"/>
  <c r="AD136" i="18"/>
  <c r="AE136" i="18"/>
  <c r="AF136" i="18"/>
  <c r="AG136" i="18"/>
  <c r="AH136" i="18"/>
  <c r="AI136" i="18"/>
  <c r="AJ136" i="18"/>
  <c r="AK136" i="18"/>
  <c r="AL136" i="18"/>
  <c r="AM136" i="18"/>
  <c r="AN136" i="18"/>
  <c r="AO136" i="18"/>
  <c r="AP136" i="18"/>
  <c r="AQ136" i="18"/>
  <c r="AR136" i="18"/>
  <c r="AS136" i="18"/>
  <c r="AT136" i="18"/>
  <c r="AA139" i="18"/>
  <c r="AB139" i="18"/>
  <c r="AC139" i="18"/>
  <c r="AD139" i="18"/>
  <c r="AE139" i="18"/>
  <c r="AF139" i="18"/>
  <c r="AG139" i="18"/>
  <c r="AH139" i="18"/>
  <c r="AI139" i="18"/>
  <c r="AJ139" i="18"/>
  <c r="AK139" i="18"/>
  <c r="AL139" i="18"/>
  <c r="AM139" i="18"/>
  <c r="AN139" i="18"/>
  <c r="AO139" i="18"/>
  <c r="AP139" i="18"/>
  <c r="AQ139" i="18"/>
  <c r="AR139" i="18"/>
  <c r="AS139" i="18"/>
  <c r="AT139" i="18"/>
  <c r="AA142" i="18"/>
  <c r="AB142" i="18"/>
  <c r="AC142" i="18"/>
  <c r="AD142" i="18"/>
  <c r="AE142" i="18"/>
  <c r="AF142" i="18"/>
  <c r="AG142" i="18"/>
  <c r="AH142" i="18"/>
  <c r="AI142" i="18"/>
  <c r="AJ142" i="18"/>
  <c r="AK142" i="18"/>
  <c r="AL142" i="18"/>
  <c r="AM142" i="18"/>
  <c r="AN142" i="18"/>
  <c r="AO142" i="18"/>
  <c r="AP142" i="18"/>
  <c r="AQ142" i="18"/>
  <c r="AR142" i="18"/>
  <c r="AS142" i="18"/>
  <c r="AT142" i="18"/>
  <c r="AA145" i="18"/>
  <c r="AB145" i="18"/>
  <c r="AC145" i="18"/>
  <c r="AD145" i="18"/>
  <c r="AE145" i="18"/>
  <c r="AF145" i="18"/>
  <c r="AG145" i="18"/>
  <c r="AH145" i="18"/>
  <c r="AI145" i="18"/>
  <c r="AJ145" i="18"/>
  <c r="AK145" i="18"/>
  <c r="AL145" i="18"/>
  <c r="AM145" i="18"/>
  <c r="AN145" i="18"/>
  <c r="AO145" i="18"/>
  <c r="AP145" i="18"/>
  <c r="AQ145" i="18"/>
  <c r="AR145" i="18"/>
  <c r="AS145" i="18"/>
  <c r="AT145" i="18"/>
  <c r="AA148" i="18"/>
  <c r="AB148" i="18"/>
  <c r="AC148" i="18"/>
  <c r="AD148" i="18"/>
  <c r="AE148" i="18"/>
  <c r="AF148" i="18"/>
  <c r="AG148" i="18"/>
  <c r="AH148" i="18"/>
  <c r="AI148" i="18"/>
  <c r="AJ148" i="18"/>
  <c r="AK148" i="18"/>
  <c r="AL148" i="18"/>
  <c r="AM148" i="18"/>
  <c r="AN148" i="18"/>
  <c r="AO148" i="18"/>
  <c r="AP148" i="18"/>
  <c r="AQ148" i="18"/>
  <c r="AR148" i="18"/>
  <c r="AS148" i="18"/>
  <c r="AT148" i="18"/>
  <c r="AA151" i="18"/>
  <c r="AB151" i="18"/>
  <c r="AC151" i="18"/>
  <c r="AD151" i="18"/>
  <c r="AE151" i="18"/>
  <c r="AF151" i="18"/>
  <c r="AG151" i="18"/>
  <c r="AH151" i="18"/>
  <c r="AI151" i="18"/>
  <c r="AJ151" i="18"/>
  <c r="AK151" i="18"/>
  <c r="AL151" i="18"/>
  <c r="AM151" i="18"/>
  <c r="AN151" i="18"/>
  <c r="AO151" i="18"/>
  <c r="AP151" i="18"/>
  <c r="AQ151" i="18"/>
  <c r="AR151" i="18"/>
  <c r="AS151" i="18"/>
  <c r="AT151" i="18"/>
  <c r="AA154" i="18"/>
  <c r="AB154" i="18"/>
  <c r="AC154" i="18"/>
  <c r="AD154" i="18"/>
  <c r="AE154" i="18"/>
  <c r="AF154" i="18"/>
  <c r="AG154" i="18"/>
  <c r="AH154" i="18"/>
  <c r="AI154" i="18"/>
  <c r="AJ154" i="18"/>
  <c r="AK154" i="18"/>
  <c r="AL154" i="18"/>
  <c r="AM154" i="18"/>
  <c r="AN154" i="18"/>
  <c r="AO154" i="18"/>
  <c r="AP154" i="18"/>
  <c r="AQ154" i="18"/>
  <c r="AR154" i="18"/>
  <c r="AS154" i="18"/>
  <c r="AT154" i="18"/>
  <c r="AA157" i="18"/>
  <c r="AB157" i="18"/>
  <c r="AC157" i="18"/>
  <c r="AD157" i="18"/>
  <c r="AE157" i="18"/>
  <c r="AF157" i="18"/>
  <c r="AG157" i="18"/>
  <c r="AH157" i="18"/>
  <c r="AI157" i="18"/>
  <c r="AJ157" i="18"/>
  <c r="AK157" i="18"/>
  <c r="AL157" i="18"/>
  <c r="AM157" i="18"/>
  <c r="AN157" i="18"/>
  <c r="AO157" i="18"/>
  <c r="AP157" i="18"/>
  <c r="AQ157" i="18"/>
  <c r="AR157" i="18"/>
  <c r="AS157" i="18"/>
  <c r="AT157" i="18"/>
  <c r="AA160" i="18"/>
  <c r="AB160" i="18"/>
  <c r="AC160" i="18"/>
  <c r="AD160" i="18"/>
  <c r="AE160" i="18"/>
  <c r="AF160" i="18"/>
  <c r="AG160" i="18"/>
  <c r="AH160" i="18"/>
  <c r="AI160" i="18"/>
  <c r="AJ160" i="18"/>
  <c r="AK160" i="18"/>
  <c r="AL160" i="18"/>
  <c r="AM160" i="18"/>
  <c r="AN160" i="18"/>
  <c r="AO160" i="18"/>
  <c r="AP160" i="18"/>
  <c r="AQ160" i="18"/>
  <c r="AR160" i="18"/>
  <c r="AS160" i="18"/>
  <c r="AT160" i="18"/>
  <c r="AA163" i="18"/>
  <c r="AB163" i="18"/>
  <c r="AC163" i="18"/>
  <c r="AD163" i="18"/>
  <c r="AE163" i="18"/>
  <c r="AF163" i="18"/>
  <c r="AG163" i="18"/>
  <c r="AH163" i="18"/>
  <c r="AI163" i="18"/>
  <c r="AJ163" i="18"/>
  <c r="AK163" i="18"/>
  <c r="AL163" i="18"/>
  <c r="AM163" i="18"/>
  <c r="AN163" i="18"/>
  <c r="AO163" i="18"/>
  <c r="AP163" i="18"/>
  <c r="AQ163" i="18"/>
  <c r="AR163" i="18"/>
  <c r="AS163" i="18"/>
  <c r="AT163" i="18"/>
  <c r="AA166" i="18"/>
  <c r="AB166" i="18"/>
  <c r="AC166" i="18"/>
  <c r="AD166" i="18"/>
  <c r="AE166" i="18"/>
  <c r="AF166" i="18"/>
  <c r="AG166" i="18"/>
  <c r="AH166" i="18"/>
  <c r="AI166" i="18"/>
  <c r="AJ166" i="18"/>
  <c r="AK166" i="18"/>
  <c r="AL166" i="18"/>
  <c r="AM166" i="18"/>
  <c r="AN166" i="18"/>
  <c r="AO166" i="18"/>
  <c r="AP166" i="18"/>
  <c r="AQ166" i="18"/>
  <c r="AR166" i="18"/>
  <c r="AS166" i="18"/>
  <c r="AT166" i="18"/>
  <c r="AA169" i="18"/>
  <c r="AB169" i="18"/>
  <c r="AC169" i="18"/>
  <c r="AD169" i="18"/>
  <c r="AE169" i="18"/>
  <c r="AF169" i="18"/>
  <c r="AG169" i="18"/>
  <c r="AH169" i="18"/>
  <c r="AI169" i="18"/>
  <c r="AJ169" i="18"/>
  <c r="AK169" i="18"/>
  <c r="AL169" i="18"/>
  <c r="AM169" i="18"/>
  <c r="AN169" i="18"/>
  <c r="AO169" i="18"/>
  <c r="AP169" i="18"/>
  <c r="AQ169" i="18"/>
  <c r="AR169" i="18"/>
  <c r="AS169" i="18"/>
  <c r="AT169" i="18"/>
  <c r="AA172" i="18"/>
  <c r="AB172" i="18"/>
  <c r="AC172" i="18"/>
  <c r="AD172" i="18"/>
  <c r="AE172" i="18"/>
  <c r="AF172" i="18"/>
  <c r="AG172" i="18"/>
  <c r="AH172" i="18"/>
  <c r="AI172" i="18"/>
  <c r="AJ172" i="18"/>
  <c r="AK172" i="18"/>
  <c r="AL172" i="18"/>
  <c r="AM172" i="18"/>
  <c r="AN172" i="18"/>
  <c r="AO172" i="18"/>
  <c r="AP172" i="18"/>
  <c r="AQ172" i="18"/>
  <c r="AR172" i="18"/>
  <c r="AS172" i="18"/>
  <c r="AT172" i="18"/>
  <c r="AA175" i="18"/>
  <c r="AB175" i="18"/>
  <c r="AC175" i="18"/>
  <c r="AD175" i="18"/>
  <c r="AE175" i="18"/>
  <c r="AF175" i="18"/>
  <c r="AG175" i="18"/>
  <c r="AH175" i="18"/>
  <c r="AI175" i="18"/>
  <c r="AJ175" i="18"/>
  <c r="AK175" i="18"/>
  <c r="AL175" i="18"/>
  <c r="AM175" i="18"/>
  <c r="AN175" i="18"/>
  <c r="AO175" i="18"/>
  <c r="AP175" i="18"/>
  <c r="AQ175" i="18"/>
  <c r="AR175" i="18"/>
  <c r="AS175" i="18"/>
  <c r="AT175" i="18"/>
  <c r="AA178" i="18"/>
  <c r="AB178" i="18"/>
  <c r="AC178" i="18"/>
  <c r="AD178" i="18"/>
  <c r="AE178" i="18"/>
  <c r="AF178" i="18"/>
  <c r="AG178" i="18"/>
  <c r="AH178" i="18"/>
  <c r="AI178" i="18"/>
  <c r="AJ178" i="18"/>
  <c r="AK178" i="18"/>
  <c r="AL178" i="18"/>
  <c r="AM178" i="18"/>
  <c r="AN178" i="18"/>
  <c r="AO178" i="18"/>
  <c r="AP178" i="18"/>
  <c r="AQ178" i="18"/>
  <c r="AR178" i="18"/>
  <c r="AS178" i="18"/>
  <c r="AT178" i="18"/>
  <c r="AA181" i="18"/>
  <c r="AB181" i="18"/>
  <c r="AC181" i="18"/>
  <c r="AD181" i="18"/>
  <c r="AE181" i="18"/>
  <c r="AF181" i="18"/>
  <c r="AG181" i="18"/>
  <c r="AH181" i="18"/>
  <c r="AI181" i="18"/>
  <c r="AJ181" i="18"/>
  <c r="AK181" i="18"/>
  <c r="AL181" i="18"/>
  <c r="AM181" i="18"/>
  <c r="AN181" i="18"/>
  <c r="AO181" i="18"/>
  <c r="AP181" i="18"/>
  <c r="AQ181" i="18"/>
  <c r="AR181" i="18"/>
  <c r="AS181" i="18"/>
  <c r="AT181" i="18"/>
  <c r="AA184" i="18"/>
  <c r="AB184" i="18"/>
  <c r="AC184" i="18"/>
  <c r="AD184" i="18"/>
  <c r="AE184" i="18"/>
  <c r="AF184" i="18"/>
  <c r="AG184" i="18"/>
  <c r="AH184" i="18"/>
  <c r="AI184" i="18"/>
  <c r="AJ184" i="18"/>
  <c r="AK184" i="18"/>
  <c r="AL184" i="18"/>
  <c r="AM184" i="18"/>
  <c r="AN184" i="18"/>
  <c r="AO184" i="18"/>
  <c r="AP184" i="18"/>
  <c r="AQ184" i="18"/>
  <c r="AR184" i="18"/>
  <c r="AS184" i="18"/>
  <c r="AT184" i="18"/>
  <c r="AA187" i="18"/>
  <c r="AB187" i="18"/>
  <c r="AC187" i="18"/>
  <c r="AD187" i="18"/>
  <c r="AE187" i="18"/>
  <c r="AF187" i="18"/>
  <c r="AG187" i="18"/>
  <c r="AH187" i="18"/>
  <c r="AI187" i="18"/>
  <c r="AJ187" i="18"/>
  <c r="AK187" i="18"/>
  <c r="AL187" i="18"/>
  <c r="AM187" i="18"/>
  <c r="AN187" i="18"/>
  <c r="AO187" i="18"/>
  <c r="AP187" i="18"/>
  <c r="AQ187" i="18"/>
  <c r="AR187" i="18"/>
  <c r="AS187" i="18"/>
  <c r="AT187" i="18"/>
  <c r="AA190" i="18"/>
  <c r="AB190" i="18"/>
  <c r="AC190" i="18"/>
  <c r="AD190" i="18"/>
  <c r="AE190" i="18"/>
  <c r="AF190" i="18"/>
  <c r="AG190" i="18"/>
  <c r="AH190" i="18"/>
  <c r="AI190" i="18"/>
  <c r="AJ190" i="18"/>
  <c r="AK190" i="18"/>
  <c r="AL190" i="18"/>
  <c r="AM190" i="18"/>
  <c r="AN190" i="18"/>
  <c r="AO190" i="18"/>
  <c r="AP190" i="18"/>
  <c r="AQ190" i="18"/>
  <c r="AR190" i="18"/>
  <c r="AS190" i="18"/>
  <c r="AT190" i="18"/>
  <c r="AA193" i="18"/>
  <c r="AB193" i="18"/>
  <c r="AC193" i="18"/>
  <c r="AD193" i="18"/>
  <c r="AE193" i="18"/>
  <c r="AF193" i="18"/>
  <c r="AG193" i="18"/>
  <c r="AH193" i="18"/>
  <c r="AI193" i="18"/>
  <c r="AJ193" i="18"/>
  <c r="AK193" i="18"/>
  <c r="AL193" i="18"/>
  <c r="AM193" i="18"/>
  <c r="AN193" i="18"/>
  <c r="AO193" i="18"/>
  <c r="AP193" i="18"/>
  <c r="AQ193" i="18"/>
  <c r="AR193" i="18"/>
  <c r="AS193" i="18"/>
  <c r="AT193" i="18"/>
  <c r="AA196" i="18"/>
  <c r="AB196" i="18"/>
  <c r="AC196" i="18"/>
  <c r="AD196" i="18"/>
  <c r="AE196" i="18"/>
  <c r="AF196" i="18"/>
  <c r="AG196" i="18"/>
  <c r="AH196" i="18"/>
  <c r="AI196" i="18"/>
  <c r="AJ196" i="18"/>
  <c r="AK196" i="18"/>
  <c r="AL196" i="18"/>
  <c r="AM196" i="18"/>
  <c r="AN196" i="18"/>
  <c r="AO196" i="18"/>
  <c r="AP196" i="18"/>
  <c r="AQ196" i="18"/>
  <c r="AR196" i="18"/>
  <c r="AS196" i="18"/>
  <c r="AT196" i="18"/>
  <c r="AA199" i="18"/>
  <c r="AB199" i="18"/>
  <c r="AC199" i="18"/>
  <c r="AD199" i="18"/>
  <c r="AE199" i="18"/>
  <c r="AF199" i="18"/>
  <c r="AG199" i="18"/>
  <c r="AH199" i="18"/>
  <c r="AI199" i="18"/>
  <c r="AJ199" i="18"/>
  <c r="AK199" i="18"/>
  <c r="AL199" i="18"/>
  <c r="AM199" i="18"/>
  <c r="AN199" i="18"/>
  <c r="AO199" i="18"/>
  <c r="AP199" i="18"/>
  <c r="AQ199" i="18"/>
  <c r="AR199" i="18"/>
  <c r="AS199" i="18"/>
  <c r="AT199" i="18"/>
  <c r="AA202" i="18"/>
  <c r="AB202" i="18"/>
  <c r="AC202" i="18"/>
  <c r="AD202" i="18"/>
  <c r="AE202" i="18"/>
  <c r="AF202" i="18"/>
  <c r="AG202" i="18"/>
  <c r="AH202" i="18"/>
  <c r="AI202" i="18"/>
  <c r="AJ202" i="18"/>
  <c r="AK202" i="18"/>
  <c r="AL202" i="18"/>
  <c r="AM202" i="18"/>
  <c r="AN202" i="18"/>
  <c r="AO202" i="18"/>
  <c r="AP202" i="18"/>
  <c r="AQ202" i="18"/>
  <c r="AR202" i="18"/>
  <c r="AS202" i="18"/>
  <c r="AT202" i="18"/>
  <c r="AA205" i="18"/>
  <c r="AB205" i="18"/>
  <c r="AC205" i="18"/>
  <c r="AD205" i="18"/>
  <c r="AE205" i="18"/>
  <c r="AF205" i="18"/>
  <c r="AG205" i="18"/>
  <c r="AH205" i="18"/>
  <c r="AI205" i="18"/>
  <c r="AJ205" i="18"/>
  <c r="AK205" i="18"/>
  <c r="AL205" i="18"/>
  <c r="AM205" i="18"/>
  <c r="AN205" i="18"/>
  <c r="AO205" i="18"/>
  <c r="AP205" i="18"/>
  <c r="AQ205" i="18"/>
  <c r="AR205" i="18"/>
  <c r="AS205" i="18"/>
  <c r="AT205" i="18"/>
  <c r="AA208" i="18"/>
  <c r="AB208" i="18"/>
  <c r="AC208" i="18"/>
  <c r="AD208" i="18"/>
  <c r="AE208" i="18"/>
  <c r="AF208" i="18"/>
  <c r="AG208" i="18"/>
  <c r="AH208" i="18"/>
  <c r="AI208" i="18"/>
  <c r="AJ208" i="18"/>
  <c r="AK208" i="18"/>
  <c r="AL208" i="18"/>
  <c r="AM208" i="18"/>
  <c r="AN208" i="18"/>
  <c r="AO208" i="18"/>
  <c r="AP208" i="18"/>
  <c r="AQ208" i="18"/>
  <c r="AR208" i="18"/>
  <c r="AS208" i="18"/>
  <c r="AT208" i="18"/>
  <c r="AA211" i="18"/>
  <c r="AB211" i="18"/>
  <c r="AC211" i="18"/>
  <c r="AD211" i="18"/>
  <c r="AE211" i="18"/>
  <c r="AF211" i="18"/>
  <c r="AG211" i="18"/>
  <c r="AH211" i="18"/>
  <c r="AI211" i="18"/>
  <c r="AJ211" i="18"/>
  <c r="AK211" i="18"/>
  <c r="AL211" i="18"/>
  <c r="AM211" i="18"/>
  <c r="AN211" i="18"/>
  <c r="AO211" i="18"/>
  <c r="AP211" i="18"/>
  <c r="AQ211" i="18"/>
  <c r="AR211" i="18"/>
  <c r="AS211" i="18"/>
  <c r="AT211" i="18"/>
  <c r="AB109" i="18"/>
  <c r="AC109" i="18"/>
  <c r="AD109" i="18"/>
  <c r="AE109" i="18"/>
  <c r="AF109" i="18"/>
  <c r="AG109" i="18"/>
  <c r="AH109" i="18"/>
  <c r="AI109" i="18"/>
  <c r="AJ109" i="18"/>
  <c r="AK109" i="18"/>
  <c r="AL109" i="18"/>
  <c r="AM109" i="18"/>
  <c r="AN109" i="18"/>
  <c r="AO109" i="18"/>
  <c r="AP109" i="18"/>
  <c r="AQ109" i="18"/>
  <c r="AR109" i="18"/>
  <c r="AS109" i="18"/>
  <c r="AT109" i="18"/>
  <c r="AA109" i="18"/>
  <c r="B112" i="18"/>
  <c r="C112" i="18"/>
  <c r="D112" i="18"/>
  <c r="E112" i="18"/>
  <c r="F112" i="18"/>
  <c r="G112" i="18"/>
  <c r="H112" i="18"/>
  <c r="I112" i="18"/>
  <c r="J112" i="18"/>
  <c r="K112" i="18"/>
  <c r="L112" i="18"/>
  <c r="M112" i="18"/>
  <c r="N112" i="18"/>
  <c r="O112" i="18"/>
  <c r="P112" i="18"/>
  <c r="Q112" i="18"/>
  <c r="R112" i="18"/>
  <c r="S112" i="18"/>
  <c r="T112" i="18"/>
  <c r="U112" i="18"/>
  <c r="B115" i="18"/>
  <c r="C115" i="18"/>
  <c r="D115" i="18"/>
  <c r="E115" i="18"/>
  <c r="F115" i="18"/>
  <c r="G115" i="18"/>
  <c r="H115" i="18"/>
  <c r="I115" i="18"/>
  <c r="J115" i="18"/>
  <c r="K115" i="18"/>
  <c r="L115" i="18"/>
  <c r="M115" i="18"/>
  <c r="N115" i="18"/>
  <c r="O115" i="18"/>
  <c r="P115" i="18"/>
  <c r="Q115" i="18"/>
  <c r="R115" i="18"/>
  <c r="S115" i="18"/>
  <c r="T115" i="18"/>
  <c r="U115" i="18"/>
  <c r="B118" i="18"/>
  <c r="C118" i="18"/>
  <c r="D118" i="18"/>
  <c r="E118" i="18"/>
  <c r="F118" i="18"/>
  <c r="G118" i="18"/>
  <c r="H118" i="18"/>
  <c r="I118" i="18"/>
  <c r="J118" i="18"/>
  <c r="K118" i="18"/>
  <c r="L118" i="18"/>
  <c r="M118" i="18"/>
  <c r="N118" i="18"/>
  <c r="O118" i="18"/>
  <c r="P118" i="18"/>
  <c r="Q118" i="18"/>
  <c r="R118" i="18"/>
  <c r="S118" i="18"/>
  <c r="T118" i="18"/>
  <c r="U118" i="18"/>
  <c r="B121" i="18"/>
  <c r="C121" i="18"/>
  <c r="D121" i="18"/>
  <c r="E121" i="18"/>
  <c r="F121" i="18"/>
  <c r="G121" i="18"/>
  <c r="H121" i="18"/>
  <c r="I121" i="18"/>
  <c r="J121" i="18"/>
  <c r="K121" i="18"/>
  <c r="L121" i="18"/>
  <c r="M121" i="18"/>
  <c r="N121" i="18"/>
  <c r="O121" i="18"/>
  <c r="P121" i="18"/>
  <c r="Q121" i="18"/>
  <c r="R121" i="18"/>
  <c r="S121" i="18"/>
  <c r="T121" i="18"/>
  <c r="U121" i="18"/>
  <c r="B124" i="18"/>
  <c r="C124" i="18"/>
  <c r="D124" i="18"/>
  <c r="E124" i="18"/>
  <c r="F124" i="18"/>
  <c r="G124" i="18"/>
  <c r="H124" i="18"/>
  <c r="I124" i="18"/>
  <c r="J124" i="18"/>
  <c r="K124" i="18"/>
  <c r="L124" i="18"/>
  <c r="M124" i="18"/>
  <c r="N124" i="18"/>
  <c r="O124" i="18"/>
  <c r="P124" i="18"/>
  <c r="Q124" i="18"/>
  <c r="R124" i="18"/>
  <c r="S124" i="18"/>
  <c r="T124" i="18"/>
  <c r="U124" i="18"/>
  <c r="B127" i="18"/>
  <c r="C127" i="18"/>
  <c r="X127" i="18" s="1"/>
  <c r="Y141" i="16" s="1"/>
  <c r="D127" i="18"/>
  <c r="E127" i="18"/>
  <c r="F127" i="18"/>
  <c r="G127" i="18"/>
  <c r="H127" i="18"/>
  <c r="I127" i="18"/>
  <c r="J127" i="18"/>
  <c r="K127" i="18"/>
  <c r="L127" i="18"/>
  <c r="M127" i="18"/>
  <c r="N127" i="18"/>
  <c r="O127" i="18"/>
  <c r="P127" i="18"/>
  <c r="Q127" i="18"/>
  <c r="R127" i="18"/>
  <c r="S127" i="18"/>
  <c r="T127" i="18"/>
  <c r="U127" i="18"/>
  <c r="B130" i="18"/>
  <c r="C130" i="18"/>
  <c r="D130" i="18"/>
  <c r="E130" i="18"/>
  <c r="F130" i="18"/>
  <c r="G130" i="18"/>
  <c r="H130" i="18"/>
  <c r="I130" i="18"/>
  <c r="J130" i="18"/>
  <c r="K130" i="18"/>
  <c r="L130" i="18"/>
  <c r="M130" i="18"/>
  <c r="N130" i="18"/>
  <c r="O130" i="18"/>
  <c r="P130" i="18"/>
  <c r="Q130" i="18"/>
  <c r="R130" i="18"/>
  <c r="S130" i="18"/>
  <c r="T130" i="18"/>
  <c r="U130" i="18"/>
  <c r="B133" i="18"/>
  <c r="C133" i="18"/>
  <c r="D133" i="18"/>
  <c r="E133" i="18"/>
  <c r="F133" i="18"/>
  <c r="G133" i="18"/>
  <c r="H133" i="18"/>
  <c r="I133" i="18"/>
  <c r="J133" i="18"/>
  <c r="K133" i="18"/>
  <c r="L133" i="18"/>
  <c r="M133" i="18"/>
  <c r="N133" i="18"/>
  <c r="O133" i="18"/>
  <c r="P133" i="18"/>
  <c r="Q133" i="18"/>
  <c r="R133" i="18"/>
  <c r="S133" i="18"/>
  <c r="T133" i="18"/>
  <c r="U133" i="18"/>
  <c r="B136" i="18"/>
  <c r="C136" i="18"/>
  <c r="D136" i="18"/>
  <c r="E136" i="18"/>
  <c r="F136" i="18"/>
  <c r="G136" i="18"/>
  <c r="H136" i="18"/>
  <c r="I136" i="18"/>
  <c r="J136" i="18"/>
  <c r="K136" i="18"/>
  <c r="L136" i="18"/>
  <c r="M136" i="18"/>
  <c r="N136" i="18"/>
  <c r="O136" i="18"/>
  <c r="P136" i="18"/>
  <c r="Q136" i="18"/>
  <c r="R136" i="18"/>
  <c r="S136" i="18"/>
  <c r="T136" i="18"/>
  <c r="U136" i="18"/>
  <c r="B139" i="18"/>
  <c r="C139" i="18"/>
  <c r="D139" i="18"/>
  <c r="E139" i="18"/>
  <c r="F139" i="18"/>
  <c r="G139" i="18"/>
  <c r="H139" i="18"/>
  <c r="I139" i="18"/>
  <c r="J139" i="18"/>
  <c r="K139" i="18"/>
  <c r="L139" i="18"/>
  <c r="M139" i="18"/>
  <c r="N139" i="18"/>
  <c r="O139" i="18"/>
  <c r="P139" i="18"/>
  <c r="Q139" i="18"/>
  <c r="R139" i="18"/>
  <c r="S139" i="18"/>
  <c r="T139" i="18"/>
  <c r="U139" i="18"/>
  <c r="B142" i="18"/>
  <c r="C142" i="18"/>
  <c r="D142" i="18"/>
  <c r="E142" i="18"/>
  <c r="F142" i="18"/>
  <c r="G142" i="18"/>
  <c r="H142" i="18"/>
  <c r="I142" i="18"/>
  <c r="J142" i="18"/>
  <c r="K142" i="18"/>
  <c r="L142" i="18"/>
  <c r="M142" i="18"/>
  <c r="N142" i="18"/>
  <c r="O142" i="18"/>
  <c r="P142" i="18"/>
  <c r="Q142" i="18"/>
  <c r="R142" i="18"/>
  <c r="S142" i="18"/>
  <c r="T142" i="18"/>
  <c r="U142" i="18"/>
  <c r="B145" i="18"/>
  <c r="C145" i="18"/>
  <c r="D145" i="18"/>
  <c r="E145" i="18"/>
  <c r="F145" i="18"/>
  <c r="G145" i="18"/>
  <c r="H145" i="18"/>
  <c r="I145" i="18"/>
  <c r="J145" i="18"/>
  <c r="K145" i="18"/>
  <c r="L145" i="18"/>
  <c r="M145" i="18"/>
  <c r="N145" i="18"/>
  <c r="O145" i="18"/>
  <c r="P145" i="18"/>
  <c r="Q145" i="18"/>
  <c r="R145" i="18"/>
  <c r="S145" i="18"/>
  <c r="T145" i="18"/>
  <c r="U145" i="18"/>
  <c r="B148" i="18"/>
  <c r="C148" i="18"/>
  <c r="D148" i="18"/>
  <c r="E148" i="18"/>
  <c r="F148" i="18"/>
  <c r="G148" i="18"/>
  <c r="H148" i="18"/>
  <c r="I148" i="18"/>
  <c r="J148" i="18"/>
  <c r="K148" i="18"/>
  <c r="L148" i="18"/>
  <c r="M148" i="18"/>
  <c r="N148" i="18"/>
  <c r="O148" i="18"/>
  <c r="P148" i="18"/>
  <c r="Q148" i="18"/>
  <c r="R148" i="18"/>
  <c r="S148" i="18"/>
  <c r="T148" i="18"/>
  <c r="U148" i="18"/>
  <c r="B151" i="18"/>
  <c r="C151" i="18"/>
  <c r="D151" i="18"/>
  <c r="E151" i="18"/>
  <c r="F151" i="18"/>
  <c r="G151" i="18"/>
  <c r="H151" i="18"/>
  <c r="I151" i="18"/>
  <c r="J151" i="18"/>
  <c r="K151" i="18"/>
  <c r="L151" i="18"/>
  <c r="M151" i="18"/>
  <c r="N151" i="18"/>
  <c r="O151" i="18"/>
  <c r="P151" i="18"/>
  <c r="Q151" i="18"/>
  <c r="R151" i="18"/>
  <c r="S151" i="18"/>
  <c r="T151" i="18"/>
  <c r="U151" i="18"/>
  <c r="B154" i="18"/>
  <c r="C154" i="18"/>
  <c r="D154" i="18"/>
  <c r="E154" i="18"/>
  <c r="F154" i="18"/>
  <c r="G154" i="18"/>
  <c r="H154" i="18"/>
  <c r="I154" i="18"/>
  <c r="J154" i="18"/>
  <c r="K154" i="18"/>
  <c r="L154" i="18"/>
  <c r="M154" i="18"/>
  <c r="N154" i="18"/>
  <c r="O154" i="18"/>
  <c r="P154" i="18"/>
  <c r="Q154" i="18"/>
  <c r="R154" i="18"/>
  <c r="S154" i="18"/>
  <c r="T154" i="18"/>
  <c r="U154" i="18"/>
  <c r="B157" i="18"/>
  <c r="C157" i="18"/>
  <c r="D157" i="18"/>
  <c r="E157" i="18"/>
  <c r="F157" i="18"/>
  <c r="G157" i="18"/>
  <c r="H157" i="18"/>
  <c r="I157" i="18"/>
  <c r="J157" i="18"/>
  <c r="K157" i="18"/>
  <c r="L157" i="18"/>
  <c r="M157" i="18"/>
  <c r="N157" i="18"/>
  <c r="O157" i="18"/>
  <c r="P157" i="18"/>
  <c r="Q157" i="18"/>
  <c r="R157" i="18"/>
  <c r="S157" i="18"/>
  <c r="T157" i="18"/>
  <c r="U157" i="18"/>
  <c r="B160" i="18"/>
  <c r="C160" i="18"/>
  <c r="D160" i="18"/>
  <c r="E160" i="18"/>
  <c r="F160" i="18"/>
  <c r="G160" i="18"/>
  <c r="H160" i="18"/>
  <c r="I160" i="18"/>
  <c r="J160" i="18"/>
  <c r="K160" i="18"/>
  <c r="L160" i="18"/>
  <c r="M160" i="18"/>
  <c r="N160" i="18"/>
  <c r="O160" i="18"/>
  <c r="P160" i="18"/>
  <c r="Q160" i="18"/>
  <c r="R160" i="18"/>
  <c r="S160" i="18"/>
  <c r="T160" i="18"/>
  <c r="U160" i="18"/>
  <c r="B163" i="18"/>
  <c r="C163" i="18"/>
  <c r="D163" i="18"/>
  <c r="E163" i="18"/>
  <c r="F163" i="18"/>
  <c r="G163" i="18"/>
  <c r="H163" i="18"/>
  <c r="I163" i="18"/>
  <c r="J163" i="18"/>
  <c r="K163" i="18"/>
  <c r="L163" i="18"/>
  <c r="M163" i="18"/>
  <c r="N163" i="18"/>
  <c r="O163" i="18"/>
  <c r="P163" i="18"/>
  <c r="Q163" i="18"/>
  <c r="R163" i="18"/>
  <c r="S163" i="18"/>
  <c r="T163" i="18"/>
  <c r="U163" i="18"/>
  <c r="B166" i="18"/>
  <c r="C166" i="18"/>
  <c r="D166" i="18"/>
  <c r="E166" i="18"/>
  <c r="F166" i="18"/>
  <c r="G166" i="18"/>
  <c r="H166" i="18"/>
  <c r="I166" i="18"/>
  <c r="J166" i="18"/>
  <c r="K166" i="18"/>
  <c r="L166" i="18"/>
  <c r="M166" i="18"/>
  <c r="N166" i="18"/>
  <c r="O166" i="18"/>
  <c r="P166" i="18"/>
  <c r="Q166" i="18"/>
  <c r="R166" i="18"/>
  <c r="S166" i="18"/>
  <c r="T166" i="18"/>
  <c r="U166" i="18"/>
  <c r="B169" i="18"/>
  <c r="C169" i="18"/>
  <c r="D169" i="18"/>
  <c r="E169" i="18"/>
  <c r="F169" i="18"/>
  <c r="G169" i="18"/>
  <c r="H169" i="18"/>
  <c r="I169" i="18"/>
  <c r="J169" i="18"/>
  <c r="K169" i="18"/>
  <c r="L169" i="18"/>
  <c r="M169" i="18"/>
  <c r="N169" i="18"/>
  <c r="O169" i="18"/>
  <c r="P169" i="18"/>
  <c r="Q169" i="18"/>
  <c r="R169" i="18"/>
  <c r="S169" i="18"/>
  <c r="T169" i="18"/>
  <c r="U169" i="18"/>
  <c r="B172" i="18"/>
  <c r="C172" i="18"/>
  <c r="D172" i="18"/>
  <c r="E172" i="18"/>
  <c r="F172" i="18"/>
  <c r="G172" i="18"/>
  <c r="H172" i="18"/>
  <c r="I172" i="18"/>
  <c r="J172" i="18"/>
  <c r="K172" i="18"/>
  <c r="L172" i="18"/>
  <c r="M172" i="18"/>
  <c r="N172" i="18"/>
  <c r="O172" i="18"/>
  <c r="P172" i="18"/>
  <c r="Q172" i="18"/>
  <c r="R172" i="18"/>
  <c r="S172" i="18"/>
  <c r="T172" i="18"/>
  <c r="U172" i="18"/>
  <c r="B175" i="18"/>
  <c r="C175" i="18"/>
  <c r="D175" i="18"/>
  <c r="E175" i="18"/>
  <c r="F175" i="18"/>
  <c r="G175" i="18"/>
  <c r="H175" i="18"/>
  <c r="I175" i="18"/>
  <c r="J175" i="18"/>
  <c r="K175" i="18"/>
  <c r="L175" i="18"/>
  <c r="M175" i="18"/>
  <c r="N175" i="18"/>
  <c r="O175" i="18"/>
  <c r="P175" i="18"/>
  <c r="Q175" i="18"/>
  <c r="R175" i="18"/>
  <c r="S175" i="18"/>
  <c r="T175" i="18"/>
  <c r="U175" i="18"/>
  <c r="B178" i="18"/>
  <c r="C178" i="18"/>
  <c r="D178" i="18"/>
  <c r="E178" i="18"/>
  <c r="F178" i="18"/>
  <c r="G178" i="18"/>
  <c r="H178" i="18"/>
  <c r="I178" i="18"/>
  <c r="J178" i="18"/>
  <c r="K178" i="18"/>
  <c r="L178" i="18"/>
  <c r="M178" i="18"/>
  <c r="N178" i="18"/>
  <c r="O178" i="18"/>
  <c r="P178" i="18"/>
  <c r="Q178" i="18"/>
  <c r="R178" i="18"/>
  <c r="S178" i="18"/>
  <c r="T178" i="18"/>
  <c r="U178" i="18"/>
  <c r="B181" i="18"/>
  <c r="C181" i="18"/>
  <c r="D181" i="18"/>
  <c r="E181" i="18"/>
  <c r="F181" i="18"/>
  <c r="G181" i="18"/>
  <c r="H181" i="18"/>
  <c r="I181" i="18"/>
  <c r="J181" i="18"/>
  <c r="K181" i="18"/>
  <c r="L181" i="18"/>
  <c r="M181" i="18"/>
  <c r="N181" i="18"/>
  <c r="O181" i="18"/>
  <c r="P181" i="18"/>
  <c r="Q181" i="18"/>
  <c r="R181" i="18"/>
  <c r="S181" i="18"/>
  <c r="T181" i="18"/>
  <c r="U181" i="18"/>
  <c r="B184" i="18"/>
  <c r="C184" i="18"/>
  <c r="D184" i="18"/>
  <c r="E184" i="18"/>
  <c r="F184" i="18"/>
  <c r="G184" i="18"/>
  <c r="H184" i="18"/>
  <c r="I184" i="18"/>
  <c r="J184" i="18"/>
  <c r="K184" i="18"/>
  <c r="L184" i="18"/>
  <c r="M184" i="18"/>
  <c r="N184" i="18"/>
  <c r="O184" i="18"/>
  <c r="P184" i="18"/>
  <c r="Q184" i="18"/>
  <c r="R184" i="18"/>
  <c r="S184" i="18"/>
  <c r="T184" i="18"/>
  <c r="U184" i="18"/>
  <c r="B187" i="18"/>
  <c r="C187" i="18"/>
  <c r="D187" i="18"/>
  <c r="E187" i="18"/>
  <c r="F187" i="18"/>
  <c r="G187" i="18"/>
  <c r="H187" i="18"/>
  <c r="I187" i="18"/>
  <c r="J187" i="18"/>
  <c r="K187" i="18"/>
  <c r="L187" i="18"/>
  <c r="M187" i="18"/>
  <c r="N187" i="18"/>
  <c r="O187" i="18"/>
  <c r="P187" i="18"/>
  <c r="Q187" i="18"/>
  <c r="R187" i="18"/>
  <c r="S187" i="18"/>
  <c r="T187" i="18"/>
  <c r="U187" i="18"/>
  <c r="B190" i="18"/>
  <c r="C190" i="18"/>
  <c r="D190" i="18"/>
  <c r="E190" i="18"/>
  <c r="F190" i="18"/>
  <c r="G190" i="18"/>
  <c r="H190" i="18"/>
  <c r="I190" i="18"/>
  <c r="J190" i="18"/>
  <c r="K190" i="18"/>
  <c r="L190" i="18"/>
  <c r="M190" i="18"/>
  <c r="N190" i="18"/>
  <c r="O190" i="18"/>
  <c r="P190" i="18"/>
  <c r="Q190" i="18"/>
  <c r="R190" i="18"/>
  <c r="S190" i="18"/>
  <c r="T190" i="18"/>
  <c r="U190" i="18"/>
  <c r="B193" i="18"/>
  <c r="C193" i="18"/>
  <c r="X193" i="18" s="1"/>
  <c r="Y207" i="16" s="1"/>
  <c r="D193" i="18"/>
  <c r="E193" i="18"/>
  <c r="F193" i="18"/>
  <c r="G193" i="18"/>
  <c r="H193" i="18"/>
  <c r="I193" i="18"/>
  <c r="J193" i="18"/>
  <c r="K193" i="18"/>
  <c r="L193" i="18"/>
  <c r="M193" i="18"/>
  <c r="N193" i="18"/>
  <c r="O193" i="18"/>
  <c r="P193" i="18"/>
  <c r="Q193" i="18"/>
  <c r="R193" i="18"/>
  <c r="S193" i="18"/>
  <c r="T193" i="18"/>
  <c r="U193" i="18"/>
  <c r="B196" i="18"/>
  <c r="C196" i="18"/>
  <c r="D196" i="18"/>
  <c r="E196" i="18"/>
  <c r="F196" i="18"/>
  <c r="G196" i="18"/>
  <c r="H196" i="18"/>
  <c r="I196" i="18"/>
  <c r="J196" i="18"/>
  <c r="K196" i="18"/>
  <c r="L196" i="18"/>
  <c r="M196" i="18"/>
  <c r="N196" i="18"/>
  <c r="O196" i="18"/>
  <c r="P196" i="18"/>
  <c r="Q196" i="18"/>
  <c r="R196" i="18"/>
  <c r="S196" i="18"/>
  <c r="T196" i="18"/>
  <c r="U196" i="18"/>
  <c r="B199" i="18"/>
  <c r="C199" i="18"/>
  <c r="D199" i="18"/>
  <c r="E199" i="18"/>
  <c r="F199" i="18"/>
  <c r="G199" i="18"/>
  <c r="H199" i="18"/>
  <c r="I199" i="18"/>
  <c r="J199" i="18"/>
  <c r="K199" i="18"/>
  <c r="L199" i="18"/>
  <c r="M199" i="18"/>
  <c r="N199" i="18"/>
  <c r="O199" i="18"/>
  <c r="P199" i="18"/>
  <c r="Q199" i="18"/>
  <c r="R199" i="18"/>
  <c r="S199" i="18"/>
  <c r="T199" i="18"/>
  <c r="U199" i="18"/>
  <c r="B202" i="18"/>
  <c r="C202" i="18"/>
  <c r="D202" i="18"/>
  <c r="E202" i="18"/>
  <c r="F202" i="18"/>
  <c r="G202" i="18"/>
  <c r="H202" i="18"/>
  <c r="I202" i="18"/>
  <c r="J202" i="18"/>
  <c r="K202" i="18"/>
  <c r="L202" i="18"/>
  <c r="M202" i="18"/>
  <c r="N202" i="18"/>
  <c r="O202" i="18"/>
  <c r="P202" i="18"/>
  <c r="Q202" i="18"/>
  <c r="R202" i="18"/>
  <c r="S202" i="18"/>
  <c r="T202" i="18"/>
  <c r="U202" i="18"/>
  <c r="B205" i="18"/>
  <c r="C205" i="18"/>
  <c r="D205" i="18"/>
  <c r="E205" i="18"/>
  <c r="F205" i="18"/>
  <c r="G205" i="18"/>
  <c r="H205" i="18"/>
  <c r="I205" i="18"/>
  <c r="J205" i="18"/>
  <c r="K205" i="18"/>
  <c r="L205" i="18"/>
  <c r="M205" i="18"/>
  <c r="N205" i="18"/>
  <c r="O205" i="18"/>
  <c r="P205" i="18"/>
  <c r="Q205" i="18"/>
  <c r="R205" i="18"/>
  <c r="S205" i="18"/>
  <c r="T205" i="18"/>
  <c r="U205" i="18"/>
  <c r="B208" i="18"/>
  <c r="C208" i="18"/>
  <c r="D208" i="18"/>
  <c r="E208" i="18"/>
  <c r="F208" i="18"/>
  <c r="G208" i="18"/>
  <c r="H208" i="18"/>
  <c r="I208" i="18"/>
  <c r="J208" i="18"/>
  <c r="K208" i="18"/>
  <c r="L208" i="18"/>
  <c r="M208" i="18"/>
  <c r="N208" i="18"/>
  <c r="O208" i="18"/>
  <c r="P208" i="18"/>
  <c r="Q208" i="18"/>
  <c r="R208" i="18"/>
  <c r="S208" i="18"/>
  <c r="T208" i="18"/>
  <c r="U208" i="18"/>
  <c r="B211" i="18"/>
  <c r="C211" i="18"/>
  <c r="D211" i="18"/>
  <c r="E211" i="18"/>
  <c r="F211" i="18"/>
  <c r="G211" i="18"/>
  <c r="H211" i="18"/>
  <c r="I211" i="18"/>
  <c r="J211" i="18"/>
  <c r="K211" i="18"/>
  <c r="L211" i="18"/>
  <c r="M211" i="18"/>
  <c r="N211" i="18"/>
  <c r="O211" i="18"/>
  <c r="P211" i="18"/>
  <c r="Q211" i="18"/>
  <c r="R211" i="18"/>
  <c r="S211" i="18"/>
  <c r="T211" i="18"/>
  <c r="U211" i="18"/>
  <c r="C109" i="18"/>
  <c r="D109" i="18"/>
  <c r="E109" i="18"/>
  <c r="F109" i="18"/>
  <c r="G109" i="18"/>
  <c r="H109" i="18"/>
  <c r="I109" i="18"/>
  <c r="J109" i="18"/>
  <c r="K109" i="18"/>
  <c r="L109" i="18"/>
  <c r="M109" i="18"/>
  <c r="N109" i="18"/>
  <c r="O109" i="18"/>
  <c r="P109" i="18"/>
  <c r="Q109" i="18"/>
  <c r="R109" i="18"/>
  <c r="S109" i="18"/>
  <c r="T109" i="18"/>
  <c r="U109" i="18"/>
  <c r="B109" i="18"/>
  <c r="X157" i="18"/>
  <c r="Y171" i="16" s="1"/>
  <c r="AA5" i="18"/>
  <c r="AB5" i="18"/>
  <c r="AC5" i="18"/>
  <c r="AD5" i="18"/>
  <c r="AE5" i="18"/>
  <c r="AF5" i="18"/>
  <c r="AG5" i="18"/>
  <c r="AH5" i="18"/>
  <c r="AI5" i="18"/>
  <c r="AJ5" i="18"/>
  <c r="AK5" i="18"/>
  <c r="AL5" i="18"/>
  <c r="AM5" i="18"/>
  <c r="AN5" i="18"/>
  <c r="AO5" i="18"/>
  <c r="AP5" i="18"/>
  <c r="AQ5" i="18"/>
  <c r="AR5" i="18"/>
  <c r="AS5" i="18"/>
  <c r="AT5" i="18"/>
  <c r="AA8" i="18"/>
  <c r="AB8" i="18"/>
  <c r="AC8" i="18"/>
  <c r="AD8" i="18"/>
  <c r="AE8" i="18"/>
  <c r="AF8" i="18"/>
  <c r="AG8" i="18"/>
  <c r="AH8" i="18"/>
  <c r="AI8" i="18"/>
  <c r="AJ8" i="18"/>
  <c r="AK8" i="18"/>
  <c r="AL8" i="18"/>
  <c r="AM8" i="18"/>
  <c r="AN8" i="18"/>
  <c r="AO8" i="18"/>
  <c r="AP8" i="18"/>
  <c r="AQ8" i="18"/>
  <c r="AR8" i="18"/>
  <c r="AS8" i="18"/>
  <c r="AT8" i="18"/>
  <c r="AA11" i="18"/>
  <c r="AB11" i="18"/>
  <c r="AC11" i="18"/>
  <c r="AD11" i="18"/>
  <c r="AE11" i="18"/>
  <c r="AF11" i="18"/>
  <c r="AG11" i="18"/>
  <c r="AH11" i="18"/>
  <c r="AI11" i="18"/>
  <c r="AJ11" i="18"/>
  <c r="AK11" i="18"/>
  <c r="AL11" i="18"/>
  <c r="AM11" i="18"/>
  <c r="AN11" i="18"/>
  <c r="AO11" i="18"/>
  <c r="AP11" i="18"/>
  <c r="AQ11" i="18"/>
  <c r="AR11" i="18"/>
  <c r="AS11" i="18"/>
  <c r="AT11" i="18"/>
  <c r="AA14" i="18"/>
  <c r="AB14" i="18"/>
  <c r="AC14" i="18"/>
  <c r="AD14" i="18"/>
  <c r="AE14" i="18"/>
  <c r="AF14" i="18"/>
  <c r="AG14" i="18"/>
  <c r="AH14" i="18"/>
  <c r="AI14" i="18"/>
  <c r="AJ14" i="18"/>
  <c r="AK14" i="18"/>
  <c r="AL14" i="18"/>
  <c r="AM14" i="18"/>
  <c r="AN14" i="18"/>
  <c r="AO14" i="18"/>
  <c r="AP14" i="18"/>
  <c r="AQ14" i="18"/>
  <c r="AR14" i="18"/>
  <c r="AS14" i="18"/>
  <c r="AT14" i="18"/>
  <c r="AA17" i="18"/>
  <c r="AB17" i="18"/>
  <c r="AC17" i="18"/>
  <c r="AD17" i="18"/>
  <c r="AE17" i="18"/>
  <c r="AF17" i="18"/>
  <c r="AG17" i="18"/>
  <c r="AH17" i="18"/>
  <c r="AI17" i="18"/>
  <c r="AJ17" i="18"/>
  <c r="AK17" i="18"/>
  <c r="AL17" i="18"/>
  <c r="AM17" i="18"/>
  <c r="AN17" i="18"/>
  <c r="AO17" i="18"/>
  <c r="AP17" i="18"/>
  <c r="AQ17" i="18"/>
  <c r="AR17" i="18"/>
  <c r="AS17" i="18"/>
  <c r="AT17" i="18"/>
  <c r="AA20" i="18"/>
  <c r="AB20" i="18"/>
  <c r="AC20" i="18"/>
  <c r="AD20" i="18"/>
  <c r="AE20" i="18"/>
  <c r="AF20" i="18"/>
  <c r="AG20" i="18"/>
  <c r="AH20" i="18"/>
  <c r="AI20" i="18"/>
  <c r="AJ20" i="18"/>
  <c r="AK20" i="18"/>
  <c r="AL20" i="18"/>
  <c r="AM20" i="18"/>
  <c r="AN20" i="18"/>
  <c r="AO20" i="18"/>
  <c r="AP20" i="18"/>
  <c r="AQ20" i="18"/>
  <c r="AR20" i="18"/>
  <c r="AS20" i="18"/>
  <c r="AT20" i="18"/>
  <c r="AA23" i="18"/>
  <c r="AB23" i="18"/>
  <c r="AC23" i="18"/>
  <c r="AD23" i="18"/>
  <c r="AE23" i="18"/>
  <c r="AF23" i="18"/>
  <c r="AG23" i="18"/>
  <c r="AH23" i="18"/>
  <c r="AI23" i="18"/>
  <c r="AJ23" i="18"/>
  <c r="AK23" i="18"/>
  <c r="AL23" i="18"/>
  <c r="AM23" i="18"/>
  <c r="AN23" i="18"/>
  <c r="AO23" i="18"/>
  <c r="AP23" i="18"/>
  <c r="AQ23" i="18"/>
  <c r="AR23" i="18"/>
  <c r="AS23" i="18"/>
  <c r="AT23" i="18"/>
  <c r="AA26" i="18"/>
  <c r="AB26" i="18"/>
  <c r="AC26" i="18"/>
  <c r="AD26" i="18"/>
  <c r="AE26" i="18"/>
  <c r="AF26" i="18"/>
  <c r="AG26" i="18"/>
  <c r="AH26" i="18"/>
  <c r="AI26" i="18"/>
  <c r="AJ26" i="18"/>
  <c r="AK26" i="18"/>
  <c r="AL26" i="18"/>
  <c r="AM26" i="18"/>
  <c r="AN26" i="18"/>
  <c r="AO26" i="18"/>
  <c r="AP26" i="18"/>
  <c r="AQ26" i="18"/>
  <c r="AR26" i="18"/>
  <c r="AS26" i="18"/>
  <c r="AT26" i="18"/>
  <c r="AA29" i="18"/>
  <c r="AB29" i="18"/>
  <c r="AC29" i="18"/>
  <c r="AD29" i="18"/>
  <c r="AE29" i="18"/>
  <c r="AF29" i="18"/>
  <c r="AG29" i="18"/>
  <c r="AH29" i="18"/>
  <c r="AI29" i="18"/>
  <c r="AJ29" i="18"/>
  <c r="AK29" i="18"/>
  <c r="AL29" i="18"/>
  <c r="AM29" i="18"/>
  <c r="AN29" i="18"/>
  <c r="AO29" i="18"/>
  <c r="AP29" i="18"/>
  <c r="AQ29" i="18"/>
  <c r="AR29" i="18"/>
  <c r="AS29" i="18"/>
  <c r="AT29" i="18"/>
  <c r="AA32" i="18"/>
  <c r="AB32" i="18"/>
  <c r="AC32" i="18"/>
  <c r="AD32" i="18"/>
  <c r="AE32" i="18"/>
  <c r="AF32" i="18"/>
  <c r="AG32" i="18"/>
  <c r="AH32" i="18"/>
  <c r="AI32" i="18"/>
  <c r="AJ32" i="18"/>
  <c r="AK32" i="18"/>
  <c r="AL32" i="18"/>
  <c r="AM32" i="18"/>
  <c r="AN32" i="18"/>
  <c r="AO32" i="18"/>
  <c r="AP32" i="18"/>
  <c r="AQ32" i="18"/>
  <c r="AR32" i="18"/>
  <c r="AS32" i="18"/>
  <c r="AT32" i="18"/>
  <c r="AA35" i="18"/>
  <c r="AB35" i="18"/>
  <c r="AC35" i="18"/>
  <c r="AD35" i="18"/>
  <c r="AE35" i="18"/>
  <c r="AF35" i="18"/>
  <c r="AG35" i="18"/>
  <c r="AH35" i="18"/>
  <c r="AI35" i="18"/>
  <c r="AJ35" i="18"/>
  <c r="AK35" i="18"/>
  <c r="AL35" i="18"/>
  <c r="AM35" i="18"/>
  <c r="AN35" i="18"/>
  <c r="AO35" i="18"/>
  <c r="AP35" i="18"/>
  <c r="AQ35" i="18"/>
  <c r="AR35" i="18"/>
  <c r="AS35" i="18"/>
  <c r="AT35" i="18"/>
  <c r="AA38" i="18"/>
  <c r="AB38" i="18"/>
  <c r="AC38" i="18"/>
  <c r="AD38" i="18"/>
  <c r="AE38" i="18"/>
  <c r="AF38" i="18"/>
  <c r="AG38" i="18"/>
  <c r="AH38" i="18"/>
  <c r="AI38" i="18"/>
  <c r="AJ38" i="18"/>
  <c r="AK38" i="18"/>
  <c r="AL38" i="18"/>
  <c r="AM38" i="18"/>
  <c r="AN38" i="18"/>
  <c r="AO38" i="18"/>
  <c r="AP38" i="18"/>
  <c r="AQ38" i="18"/>
  <c r="AR38" i="18"/>
  <c r="AS38" i="18"/>
  <c r="AT38" i="18"/>
  <c r="AA41" i="18"/>
  <c r="AB41" i="18"/>
  <c r="AC41" i="18"/>
  <c r="AD41" i="18"/>
  <c r="AE41" i="18"/>
  <c r="AF41" i="18"/>
  <c r="AG41" i="18"/>
  <c r="AH41" i="18"/>
  <c r="AI41" i="18"/>
  <c r="AJ41" i="18"/>
  <c r="AK41" i="18"/>
  <c r="AL41" i="18"/>
  <c r="AM41" i="18"/>
  <c r="AN41" i="18"/>
  <c r="AO41" i="18"/>
  <c r="AP41" i="18"/>
  <c r="AQ41" i="18"/>
  <c r="AR41" i="18"/>
  <c r="AS41" i="18"/>
  <c r="AT41" i="18"/>
  <c r="AA44" i="18"/>
  <c r="AB44" i="18"/>
  <c r="AC44" i="18"/>
  <c r="AD44" i="18"/>
  <c r="AE44" i="18"/>
  <c r="AF44" i="18"/>
  <c r="AG44" i="18"/>
  <c r="AH44" i="18"/>
  <c r="AI44" i="18"/>
  <c r="AJ44" i="18"/>
  <c r="AK44" i="18"/>
  <c r="AL44" i="18"/>
  <c r="AM44" i="18"/>
  <c r="AN44" i="18"/>
  <c r="AO44" i="18"/>
  <c r="AP44" i="18"/>
  <c r="AQ44" i="18"/>
  <c r="AR44" i="18"/>
  <c r="AS44" i="18"/>
  <c r="AT44" i="18"/>
  <c r="AA47" i="18"/>
  <c r="AB47" i="18"/>
  <c r="AC47" i="18"/>
  <c r="AD47" i="18"/>
  <c r="AE47" i="18"/>
  <c r="AF47" i="18"/>
  <c r="AG47" i="18"/>
  <c r="AH47" i="18"/>
  <c r="AI47" i="18"/>
  <c r="AJ47" i="18"/>
  <c r="AK47" i="18"/>
  <c r="AL47" i="18"/>
  <c r="AM47" i="18"/>
  <c r="AN47" i="18"/>
  <c r="AO47" i="18"/>
  <c r="AP47" i="18"/>
  <c r="AQ47" i="18"/>
  <c r="AR47" i="18"/>
  <c r="AS47" i="18"/>
  <c r="AT47" i="18"/>
  <c r="AA50" i="18"/>
  <c r="AB50" i="18"/>
  <c r="AC50" i="18"/>
  <c r="AD50" i="18"/>
  <c r="AE50" i="18"/>
  <c r="AF50" i="18"/>
  <c r="AG50" i="18"/>
  <c r="AH50" i="18"/>
  <c r="AI50" i="18"/>
  <c r="AJ50" i="18"/>
  <c r="AK50" i="18"/>
  <c r="AL50" i="18"/>
  <c r="AM50" i="18"/>
  <c r="AN50" i="18"/>
  <c r="AO50" i="18"/>
  <c r="AP50" i="18"/>
  <c r="AQ50" i="18"/>
  <c r="AR50" i="18"/>
  <c r="AS50" i="18"/>
  <c r="AT50" i="18"/>
  <c r="AA53" i="18"/>
  <c r="AB53" i="18"/>
  <c r="AC53" i="18"/>
  <c r="AD53" i="18"/>
  <c r="AE53" i="18"/>
  <c r="AF53" i="18"/>
  <c r="AG53" i="18"/>
  <c r="AH53" i="18"/>
  <c r="AI53" i="18"/>
  <c r="AJ53" i="18"/>
  <c r="AK53" i="18"/>
  <c r="AL53" i="18"/>
  <c r="AM53" i="18"/>
  <c r="AN53" i="18"/>
  <c r="AO53" i="18"/>
  <c r="AP53" i="18"/>
  <c r="AQ53" i="18"/>
  <c r="AR53" i="18"/>
  <c r="AS53" i="18"/>
  <c r="AT53" i="18"/>
  <c r="AA56" i="18"/>
  <c r="AB56" i="18"/>
  <c r="AC56" i="18"/>
  <c r="AD56" i="18"/>
  <c r="AE56" i="18"/>
  <c r="AF56" i="18"/>
  <c r="AG56" i="18"/>
  <c r="AH56" i="18"/>
  <c r="AI56" i="18"/>
  <c r="AJ56" i="18"/>
  <c r="AK56" i="18"/>
  <c r="AL56" i="18"/>
  <c r="AM56" i="18"/>
  <c r="AN56" i="18"/>
  <c r="AO56" i="18"/>
  <c r="AP56" i="18"/>
  <c r="AQ56" i="18"/>
  <c r="AR56" i="18"/>
  <c r="AS56" i="18"/>
  <c r="AT56" i="18"/>
  <c r="AA59" i="18"/>
  <c r="AB59" i="18"/>
  <c r="AC59" i="18"/>
  <c r="AD59" i="18"/>
  <c r="AE59" i="18"/>
  <c r="AF59" i="18"/>
  <c r="AG59" i="18"/>
  <c r="AH59" i="18"/>
  <c r="AI59" i="18"/>
  <c r="AJ59" i="18"/>
  <c r="AK59" i="18"/>
  <c r="AL59" i="18"/>
  <c r="AM59" i="18"/>
  <c r="AN59" i="18"/>
  <c r="AO59" i="18"/>
  <c r="AP59" i="18"/>
  <c r="AQ59" i="18"/>
  <c r="AR59" i="18"/>
  <c r="AS59" i="18"/>
  <c r="AT59" i="18"/>
  <c r="AA62" i="18"/>
  <c r="AB62" i="18"/>
  <c r="AC62" i="18"/>
  <c r="AD62" i="18"/>
  <c r="AE62" i="18"/>
  <c r="AF62" i="18"/>
  <c r="AG62" i="18"/>
  <c r="AH62" i="18"/>
  <c r="AI62" i="18"/>
  <c r="AJ62" i="18"/>
  <c r="AK62" i="18"/>
  <c r="AL62" i="18"/>
  <c r="AM62" i="18"/>
  <c r="AN62" i="18"/>
  <c r="AO62" i="18"/>
  <c r="AP62" i="18"/>
  <c r="AQ62" i="18"/>
  <c r="AR62" i="18"/>
  <c r="AS62" i="18"/>
  <c r="AT62" i="18"/>
  <c r="AA65" i="18"/>
  <c r="AB65" i="18"/>
  <c r="AC65" i="18"/>
  <c r="AD65" i="18"/>
  <c r="AE65" i="18"/>
  <c r="AF65" i="18"/>
  <c r="AG65" i="18"/>
  <c r="AH65" i="18"/>
  <c r="AI65" i="18"/>
  <c r="AJ65" i="18"/>
  <c r="AK65" i="18"/>
  <c r="AL65" i="18"/>
  <c r="AM65" i="18"/>
  <c r="AN65" i="18"/>
  <c r="AO65" i="18"/>
  <c r="AP65" i="18"/>
  <c r="AQ65" i="18"/>
  <c r="AR65" i="18"/>
  <c r="AS65" i="18"/>
  <c r="AT65" i="18"/>
  <c r="AA68" i="18"/>
  <c r="AB68" i="18"/>
  <c r="AC68" i="18"/>
  <c r="AD68" i="18"/>
  <c r="AE68" i="18"/>
  <c r="AF68" i="18"/>
  <c r="AG68" i="18"/>
  <c r="AH68" i="18"/>
  <c r="AI68" i="18"/>
  <c r="AJ68" i="18"/>
  <c r="AK68" i="18"/>
  <c r="AL68" i="18"/>
  <c r="AM68" i="18"/>
  <c r="AN68" i="18"/>
  <c r="AO68" i="18"/>
  <c r="AP68" i="18"/>
  <c r="AQ68" i="18"/>
  <c r="AR68" i="18"/>
  <c r="AS68" i="18"/>
  <c r="AT68" i="18"/>
  <c r="AA71" i="18"/>
  <c r="AB71" i="18"/>
  <c r="AC71" i="18"/>
  <c r="AD71" i="18"/>
  <c r="AE71" i="18"/>
  <c r="AF71" i="18"/>
  <c r="AG71" i="18"/>
  <c r="AH71" i="18"/>
  <c r="AI71" i="18"/>
  <c r="AJ71" i="18"/>
  <c r="AK71" i="18"/>
  <c r="AL71" i="18"/>
  <c r="AM71" i="18"/>
  <c r="AN71" i="18"/>
  <c r="AO71" i="18"/>
  <c r="AP71" i="18"/>
  <c r="AQ71" i="18"/>
  <c r="AR71" i="18"/>
  <c r="AS71" i="18"/>
  <c r="AT71" i="18"/>
  <c r="AA74" i="18"/>
  <c r="AB74" i="18"/>
  <c r="AC74" i="18"/>
  <c r="AD74" i="18"/>
  <c r="AE74" i="18"/>
  <c r="AF74" i="18"/>
  <c r="AG74" i="18"/>
  <c r="AH74" i="18"/>
  <c r="AI74" i="18"/>
  <c r="AJ74" i="18"/>
  <c r="AK74" i="18"/>
  <c r="AL74" i="18"/>
  <c r="AM74" i="18"/>
  <c r="AN74" i="18"/>
  <c r="AO74" i="18"/>
  <c r="AP74" i="18"/>
  <c r="AQ74" i="18"/>
  <c r="AR74" i="18"/>
  <c r="AS74" i="18"/>
  <c r="AT74" i="18"/>
  <c r="AA77" i="18"/>
  <c r="AB77" i="18"/>
  <c r="AC77" i="18"/>
  <c r="AD77" i="18"/>
  <c r="AE77" i="18"/>
  <c r="AF77" i="18"/>
  <c r="AG77" i="18"/>
  <c r="AH77" i="18"/>
  <c r="AI77" i="18"/>
  <c r="AJ77" i="18"/>
  <c r="AK77" i="18"/>
  <c r="AL77" i="18"/>
  <c r="AM77" i="18"/>
  <c r="AN77" i="18"/>
  <c r="AO77" i="18"/>
  <c r="AP77" i="18"/>
  <c r="AQ77" i="18"/>
  <c r="AR77" i="18"/>
  <c r="AS77" i="18"/>
  <c r="AT77" i="18"/>
  <c r="AA80" i="18"/>
  <c r="AB80" i="18"/>
  <c r="AC80" i="18"/>
  <c r="AD80" i="18"/>
  <c r="AE80" i="18"/>
  <c r="AF80" i="18"/>
  <c r="AG80" i="18"/>
  <c r="AH80" i="18"/>
  <c r="AI80" i="18"/>
  <c r="AJ80" i="18"/>
  <c r="AK80" i="18"/>
  <c r="AL80" i="18"/>
  <c r="AM80" i="18"/>
  <c r="AN80" i="18"/>
  <c r="AO80" i="18"/>
  <c r="AP80" i="18"/>
  <c r="AQ80" i="18"/>
  <c r="AR80" i="18"/>
  <c r="AS80" i="18"/>
  <c r="AT80" i="18"/>
  <c r="AA83" i="18"/>
  <c r="AB83" i="18"/>
  <c r="AC83" i="18"/>
  <c r="AD83" i="18"/>
  <c r="AE83" i="18"/>
  <c r="AF83" i="18"/>
  <c r="AG83" i="18"/>
  <c r="AH83" i="18"/>
  <c r="AI83" i="18"/>
  <c r="AJ83" i="18"/>
  <c r="AK83" i="18"/>
  <c r="AL83" i="18"/>
  <c r="AM83" i="18"/>
  <c r="AN83" i="18"/>
  <c r="AO83" i="18"/>
  <c r="AP83" i="18"/>
  <c r="AQ83" i="18"/>
  <c r="AR83" i="18"/>
  <c r="AS83" i="18"/>
  <c r="AT83" i="18"/>
  <c r="AA86" i="18"/>
  <c r="AB86" i="18"/>
  <c r="AC86" i="18"/>
  <c r="AD86" i="18"/>
  <c r="AE86" i="18"/>
  <c r="AF86" i="18"/>
  <c r="AG86" i="18"/>
  <c r="AH86" i="18"/>
  <c r="AI86" i="18"/>
  <c r="AJ86" i="18"/>
  <c r="AK86" i="18"/>
  <c r="AL86" i="18"/>
  <c r="AM86" i="18"/>
  <c r="AN86" i="18"/>
  <c r="AO86" i="18"/>
  <c r="AP86" i="18"/>
  <c r="AQ86" i="18"/>
  <c r="AR86" i="18"/>
  <c r="AS86" i="18"/>
  <c r="AT86" i="18"/>
  <c r="AA89" i="18"/>
  <c r="AB89" i="18"/>
  <c r="AC89" i="18"/>
  <c r="AD89" i="18"/>
  <c r="AE89" i="18"/>
  <c r="AF89" i="18"/>
  <c r="AG89" i="18"/>
  <c r="AH89" i="18"/>
  <c r="AI89" i="18"/>
  <c r="AJ89" i="18"/>
  <c r="AK89" i="18"/>
  <c r="AL89" i="18"/>
  <c r="AM89" i="18"/>
  <c r="AN89" i="18"/>
  <c r="AO89" i="18"/>
  <c r="AP89" i="18"/>
  <c r="AQ89" i="18"/>
  <c r="AR89" i="18"/>
  <c r="AS89" i="18"/>
  <c r="AT89" i="18"/>
  <c r="AA92" i="18"/>
  <c r="AB92" i="18"/>
  <c r="AC92" i="18"/>
  <c r="AD92" i="18"/>
  <c r="AE92" i="18"/>
  <c r="AF92" i="18"/>
  <c r="AG92" i="18"/>
  <c r="AH92" i="18"/>
  <c r="AI92" i="18"/>
  <c r="AJ92" i="18"/>
  <c r="AK92" i="18"/>
  <c r="AL92" i="18"/>
  <c r="AM92" i="18"/>
  <c r="AN92" i="18"/>
  <c r="AO92" i="18"/>
  <c r="AP92" i="18"/>
  <c r="AQ92" i="18"/>
  <c r="AR92" i="18"/>
  <c r="AS92" i="18"/>
  <c r="AT92" i="18"/>
  <c r="AA95" i="18"/>
  <c r="AB95" i="18"/>
  <c r="AC95" i="18"/>
  <c r="AD95" i="18"/>
  <c r="AE95" i="18"/>
  <c r="AF95" i="18"/>
  <c r="AG95" i="18"/>
  <c r="AH95" i="18"/>
  <c r="AI95" i="18"/>
  <c r="AJ95" i="18"/>
  <c r="AK95" i="18"/>
  <c r="AL95" i="18"/>
  <c r="AM95" i="18"/>
  <c r="AN95" i="18"/>
  <c r="AO95" i="18"/>
  <c r="AP95" i="18"/>
  <c r="AQ95" i="18"/>
  <c r="AR95" i="18"/>
  <c r="AS95" i="18"/>
  <c r="AT95" i="18"/>
  <c r="AA98" i="18"/>
  <c r="AB98" i="18"/>
  <c r="AC98" i="18"/>
  <c r="AD98" i="18"/>
  <c r="AE98" i="18"/>
  <c r="AF98" i="18"/>
  <c r="AG98" i="18"/>
  <c r="AH98" i="18"/>
  <c r="AI98" i="18"/>
  <c r="AJ98" i="18"/>
  <c r="AK98" i="18"/>
  <c r="AL98" i="18"/>
  <c r="AM98" i="18"/>
  <c r="AN98" i="18"/>
  <c r="AO98" i="18"/>
  <c r="AP98" i="18"/>
  <c r="AQ98" i="18"/>
  <c r="AR98" i="18"/>
  <c r="AS98" i="18"/>
  <c r="AT98" i="18"/>
  <c r="AA101" i="18"/>
  <c r="AB101" i="18"/>
  <c r="AC101" i="18"/>
  <c r="AD101" i="18"/>
  <c r="AE101" i="18"/>
  <c r="AF101" i="18"/>
  <c r="AG101" i="18"/>
  <c r="AH101" i="18"/>
  <c r="AI101" i="18"/>
  <c r="AJ101" i="18"/>
  <c r="AK101" i="18"/>
  <c r="AL101" i="18"/>
  <c r="AM101" i="18"/>
  <c r="AN101" i="18"/>
  <c r="AO101" i="18"/>
  <c r="AP101" i="18"/>
  <c r="AQ101" i="18"/>
  <c r="AR101" i="18"/>
  <c r="AS101" i="18"/>
  <c r="AT101" i="18"/>
  <c r="AA104" i="18"/>
  <c r="AB104" i="18"/>
  <c r="AC104" i="18"/>
  <c r="AD104" i="18"/>
  <c r="AE104" i="18"/>
  <c r="AF104" i="18"/>
  <c r="AG104" i="18"/>
  <c r="AH104" i="18"/>
  <c r="AI104" i="18"/>
  <c r="AJ104" i="18"/>
  <c r="AK104" i="18"/>
  <c r="AL104" i="18"/>
  <c r="AM104" i="18"/>
  <c r="AN104" i="18"/>
  <c r="AO104" i="18"/>
  <c r="AP104" i="18"/>
  <c r="AQ104" i="18"/>
  <c r="AR104" i="18"/>
  <c r="AS104" i="18"/>
  <c r="AT104" i="18"/>
  <c r="AB2" i="18"/>
  <c r="AC2" i="18"/>
  <c r="AD2" i="18"/>
  <c r="AE2" i="18"/>
  <c r="AF2" i="18"/>
  <c r="AG2" i="18"/>
  <c r="AH2" i="18"/>
  <c r="AI2" i="18"/>
  <c r="AJ2" i="18"/>
  <c r="AK2" i="18"/>
  <c r="AL2" i="18"/>
  <c r="AM2" i="18"/>
  <c r="AN2" i="18"/>
  <c r="AO2" i="18"/>
  <c r="AP2" i="18"/>
  <c r="AQ2" i="18"/>
  <c r="AR2" i="18"/>
  <c r="AS2" i="18"/>
  <c r="AT2" i="18"/>
  <c r="AA2" i="18"/>
  <c r="B5" i="18"/>
  <c r="C5" i="18"/>
  <c r="D5" i="18"/>
  <c r="E5" i="18"/>
  <c r="F5" i="18"/>
  <c r="G5" i="18"/>
  <c r="H5" i="18"/>
  <c r="I5" i="18"/>
  <c r="J5" i="18"/>
  <c r="K5" i="18"/>
  <c r="L5" i="18"/>
  <c r="M5" i="18"/>
  <c r="N5" i="18"/>
  <c r="O5" i="18"/>
  <c r="P5" i="18"/>
  <c r="Q5" i="18"/>
  <c r="R5" i="18"/>
  <c r="S5" i="18"/>
  <c r="T5" i="18"/>
  <c r="U5" i="18"/>
  <c r="B8" i="18"/>
  <c r="C8" i="18"/>
  <c r="D8" i="18"/>
  <c r="E8" i="18"/>
  <c r="F8" i="18"/>
  <c r="G8" i="18"/>
  <c r="H8" i="18"/>
  <c r="I8" i="18"/>
  <c r="J8" i="18"/>
  <c r="K8" i="18"/>
  <c r="L8" i="18"/>
  <c r="M8" i="18"/>
  <c r="N8" i="18"/>
  <c r="O8" i="18"/>
  <c r="P8" i="18"/>
  <c r="Q8" i="18"/>
  <c r="R8" i="18"/>
  <c r="S8" i="18"/>
  <c r="T8" i="18"/>
  <c r="U8" i="18"/>
  <c r="B11" i="18"/>
  <c r="C11" i="18"/>
  <c r="D11" i="18"/>
  <c r="E11" i="18"/>
  <c r="F11" i="18"/>
  <c r="G11" i="18"/>
  <c r="H11" i="18"/>
  <c r="I11" i="18"/>
  <c r="J11" i="18"/>
  <c r="K11" i="18"/>
  <c r="L11" i="18"/>
  <c r="M11" i="18"/>
  <c r="N11" i="18"/>
  <c r="O11" i="18"/>
  <c r="P11" i="18"/>
  <c r="Q11" i="18"/>
  <c r="R11" i="18"/>
  <c r="S11" i="18"/>
  <c r="T11" i="18"/>
  <c r="U11" i="18"/>
  <c r="B14" i="18"/>
  <c r="C14" i="18"/>
  <c r="D14" i="18"/>
  <c r="E14" i="18"/>
  <c r="F14" i="18"/>
  <c r="G14" i="18"/>
  <c r="H14" i="18"/>
  <c r="I14" i="18"/>
  <c r="J14" i="18"/>
  <c r="K14" i="18"/>
  <c r="L14" i="18"/>
  <c r="M14" i="18"/>
  <c r="N14" i="18"/>
  <c r="O14" i="18"/>
  <c r="P14" i="18"/>
  <c r="Q14" i="18"/>
  <c r="R14" i="18"/>
  <c r="S14" i="18"/>
  <c r="T14" i="18"/>
  <c r="U14" i="18"/>
  <c r="B17" i="18"/>
  <c r="C17" i="18"/>
  <c r="D17" i="18"/>
  <c r="E17" i="18"/>
  <c r="F17" i="18"/>
  <c r="G17" i="18"/>
  <c r="H17" i="18"/>
  <c r="I17" i="18"/>
  <c r="J17" i="18"/>
  <c r="K17" i="18"/>
  <c r="L17" i="18"/>
  <c r="M17" i="18"/>
  <c r="N17" i="18"/>
  <c r="O17" i="18"/>
  <c r="P17" i="18"/>
  <c r="Q17" i="18"/>
  <c r="R17" i="18"/>
  <c r="S17" i="18"/>
  <c r="T17" i="18"/>
  <c r="U17" i="18"/>
  <c r="B20" i="18"/>
  <c r="C20" i="18"/>
  <c r="D20" i="18"/>
  <c r="E20" i="18"/>
  <c r="F20" i="18"/>
  <c r="G20" i="18"/>
  <c r="H20" i="18"/>
  <c r="I20" i="18"/>
  <c r="J20" i="18"/>
  <c r="K20" i="18"/>
  <c r="L20" i="18"/>
  <c r="M20" i="18"/>
  <c r="N20" i="18"/>
  <c r="O20" i="18"/>
  <c r="P20" i="18"/>
  <c r="Q20" i="18"/>
  <c r="R20" i="18"/>
  <c r="S20" i="18"/>
  <c r="T20" i="18"/>
  <c r="U20" i="18"/>
  <c r="B23" i="18"/>
  <c r="C23" i="18"/>
  <c r="D23" i="18"/>
  <c r="E23" i="18"/>
  <c r="F23" i="18"/>
  <c r="G23" i="18"/>
  <c r="H23" i="18"/>
  <c r="I23" i="18"/>
  <c r="J23" i="18"/>
  <c r="K23" i="18"/>
  <c r="L23" i="18"/>
  <c r="M23" i="18"/>
  <c r="N23" i="18"/>
  <c r="O23" i="18"/>
  <c r="P23" i="18"/>
  <c r="Q23" i="18"/>
  <c r="R23" i="18"/>
  <c r="S23" i="18"/>
  <c r="T23" i="18"/>
  <c r="U23" i="18"/>
  <c r="B26" i="18"/>
  <c r="C26" i="18"/>
  <c r="D26" i="18"/>
  <c r="E26" i="18"/>
  <c r="F26" i="18"/>
  <c r="G26" i="18"/>
  <c r="H26" i="18"/>
  <c r="I26" i="18"/>
  <c r="J26" i="18"/>
  <c r="K26" i="18"/>
  <c r="L26" i="18"/>
  <c r="M26" i="18"/>
  <c r="N26" i="18"/>
  <c r="O26" i="18"/>
  <c r="P26" i="18"/>
  <c r="Q26" i="18"/>
  <c r="R26" i="18"/>
  <c r="S26" i="18"/>
  <c r="T26" i="18"/>
  <c r="U26" i="18"/>
  <c r="B29" i="18"/>
  <c r="C29" i="18"/>
  <c r="D29" i="18"/>
  <c r="E29" i="18"/>
  <c r="F29" i="18"/>
  <c r="G29" i="18"/>
  <c r="H29" i="18"/>
  <c r="I29" i="18"/>
  <c r="J29" i="18"/>
  <c r="K29" i="18"/>
  <c r="L29" i="18"/>
  <c r="M29" i="18"/>
  <c r="N29" i="18"/>
  <c r="O29" i="18"/>
  <c r="P29" i="18"/>
  <c r="Q29" i="18"/>
  <c r="R29" i="18"/>
  <c r="S29" i="18"/>
  <c r="T29" i="18"/>
  <c r="U29" i="18"/>
  <c r="B32" i="18"/>
  <c r="C32" i="18"/>
  <c r="D32" i="18"/>
  <c r="E32" i="18"/>
  <c r="F32" i="18"/>
  <c r="G32" i="18"/>
  <c r="H32" i="18"/>
  <c r="I32" i="18"/>
  <c r="J32" i="18"/>
  <c r="K32" i="18"/>
  <c r="L32" i="18"/>
  <c r="M32" i="18"/>
  <c r="N32" i="18"/>
  <c r="O32" i="18"/>
  <c r="P32" i="18"/>
  <c r="Q32" i="18"/>
  <c r="R32" i="18"/>
  <c r="S32" i="18"/>
  <c r="T32" i="18"/>
  <c r="U32" i="18"/>
  <c r="B35" i="18"/>
  <c r="C35" i="18"/>
  <c r="D35" i="18"/>
  <c r="E35" i="18"/>
  <c r="F35" i="18"/>
  <c r="G35" i="18"/>
  <c r="H35" i="18"/>
  <c r="I35" i="18"/>
  <c r="J35" i="18"/>
  <c r="K35" i="18"/>
  <c r="L35" i="18"/>
  <c r="M35" i="18"/>
  <c r="N35" i="18"/>
  <c r="O35" i="18"/>
  <c r="P35" i="18"/>
  <c r="Q35" i="18"/>
  <c r="R35" i="18"/>
  <c r="S35" i="18"/>
  <c r="T35" i="18"/>
  <c r="U35" i="18"/>
  <c r="B38" i="18"/>
  <c r="C38" i="18"/>
  <c r="D38" i="18"/>
  <c r="E38" i="18"/>
  <c r="F38" i="18"/>
  <c r="G38" i="18"/>
  <c r="H38" i="18"/>
  <c r="I38" i="18"/>
  <c r="J38" i="18"/>
  <c r="K38" i="18"/>
  <c r="L38" i="18"/>
  <c r="M38" i="18"/>
  <c r="N38" i="18"/>
  <c r="O38" i="18"/>
  <c r="P38" i="18"/>
  <c r="Q38" i="18"/>
  <c r="R38" i="18"/>
  <c r="S38" i="18"/>
  <c r="T38" i="18"/>
  <c r="U38" i="18"/>
  <c r="B41" i="18"/>
  <c r="C41" i="18"/>
  <c r="D41" i="18"/>
  <c r="E41" i="18"/>
  <c r="F41" i="18"/>
  <c r="G41" i="18"/>
  <c r="H41" i="18"/>
  <c r="I41" i="18"/>
  <c r="J41" i="18"/>
  <c r="K41" i="18"/>
  <c r="L41" i="18"/>
  <c r="M41" i="18"/>
  <c r="N41" i="18"/>
  <c r="O41" i="18"/>
  <c r="P41" i="18"/>
  <c r="Q41" i="18"/>
  <c r="R41" i="18"/>
  <c r="S41" i="18"/>
  <c r="T41" i="18"/>
  <c r="U41" i="18"/>
  <c r="B44" i="18"/>
  <c r="C44" i="18"/>
  <c r="D44" i="18"/>
  <c r="E44" i="18"/>
  <c r="F44" i="18"/>
  <c r="G44" i="18"/>
  <c r="H44" i="18"/>
  <c r="I44" i="18"/>
  <c r="J44" i="18"/>
  <c r="K44" i="18"/>
  <c r="L44" i="18"/>
  <c r="M44" i="18"/>
  <c r="N44" i="18"/>
  <c r="O44" i="18"/>
  <c r="P44" i="18"/>
  <c r="Q44" i="18"/>
  <c r="R44" i="18"/>
  <c r="S44" i="18"/>
  <c r="T44" i="18"/>
  <c r="U44" i="18"/>
  <c r="B47" i="18"/>
  <c r="C47" i="18"/>
  <c r="D47" i="18"/>
  <c r="E47" i="18"/>
  <c r="F47" i="18"/>
  <c r="G47" i="18"/>
  <c r="H47" i="18"/>
  <c r="I47" i="18"/>
  <c r="J47" i="18"/>
  <c r="K47" i="18"/>
  <c r="L47" i="18"/>
  <c r="M47" i="18"/>
  <c r="N47" i="18"/>
  <c r="O47" i="18"/>
  <c r="P47" i="18"/>
  <c r="Q47" i="18"/>
  <c r="R47" i="18"/>
  <c r="S47" i="18"/>
  <c r="T47" i="18"/>
  <c r="U47" i="18"/>
  <c r="B50" i="18"/>
  <c r="C50" i="18"/>
  <c r="D50" i="18"/>
  <c r="E50" i="18"/>
  <c r="F50" i="18"/>
  <c r="G50" i="18"/>
  <c r="H50" i="18"/>
  <c r="I50" i="18"/>
  <c r="J50" i="18"/>
  <c r="K50" i="18"/>
  <c r="L50" i="18"/>
  <c r="M50" i="18"/>
  <c r="N50" i="18"/>
  <c r="O50" i="18"/>
  <c r="P50" i="18"/>
  <c r="Q50" i="18"/>
  <c r="R50" i="18"/>
  <c r="S50" i="18"/>
  <c r="T50" i="18"/>
  <c r="U50" i="18"/>
  <c r="B53" i="18"/>
  <c r="C53" i="18"/>
  <c r="D53" i="18"/>
  <c r="E53" i="18"/>
  <c r="F53" i="18"/>
  <c r="G53" i="18"/>
  <c r="H53" i="18"/>
  <c r="I53" i="18"/>
  <c r="J53" i="18"/>
  <c r="K53" i="18"/>
  <c r="L53" i="18"/>
  <c r="M53" i="18"/>
  <c r="N53" i="18"/>
  <c r="O53" i="18"/>
  <c r="P53" i="18"/>
  <c r="Q53" i="18"/>
  <c r="R53" i="18"/>
  <c r="S53" i="18"/>
  <c r="T53" i="18"/>
  <c r="U53" i="18"/>
  <c r="B56" i="18"/>
  <c r="C56" i="18"/>
  <c r="D56" i="18"/>
  <c r="E56" i="18"/>
  <c r="F56" i="18"/>
  <c r="G56" i="18"/>
  <c r="H56" i="18"/>
  <c r="I56" i="18"/>
  <c r="J56" i="18"/>
  <c r="K56" i="18"/>
  <c r="L56" i="18"/>
  <c r="M56" i="18"/>
  <c r="N56" i="18"/>
  <c r="O56" i="18"/>
  <c r="P56" i="18"/>
  <c r="Q56" i="18"/>
  <c r="R56" i="18"/>
  <c r="S56" i="18"/>
  <c r="T56" i="18"/>
  <c r="U56" i="18"/>
  <c r="B59" i="18"/>
  <c r="C59" i="18"/>
  <c r="D59" i="18"/>
  <c r="E59" i="18"/>
  <c r="F59" i="18"/>
  <c r="G59" i="18"/>
  <c r="H59" i="18"/>
  <c r="I59" i="18"/>
  <c r="J59" i="18"/>
  <c r="K59" i="18"/>
  <c r="L59" i="18"/>
  <c r="M59" i="18"/>
  <c r="N59" i="18"/>
  <c r="O59" i="18"/>
  <c r="P59" i="18"/>
  <c r="Q59" i="18"/>
  <c r="R59" i="18"/>
  <c r="S59" i="18"/>
  <c r="T59" i="18"/>
  <c r="U59" i="18"/>
  <c r="B62" i="18"/>
  <c r="C62" i="18"/>
  <c r="D62" i="18"/>
  <c r="E62" i="18"/>
  <c r="F62" i="18"/>
  <c r="G62" i="18"/>
  <c r="H62" i="18"/>
  <c r="I62" i="18"/>
  <c r="J62" i="18"/>
  <c r="K62" i="18"/>
  <c r="L62" i="18"/>
  <c r="M62" i="18"/>
  <c r="N62" i="18"/>
  <c r="O62" i="18"/>
  <c r="P62" i="18"/>
  <c r="Q62" i="18"/>
  <c r="R62" i="18"/>
  <c r="S62" i="18"/>
  <c r="T62" i="18"/>
  <c r="U62" i="18"/>
  <c r="B65" i="18"/>
  <c r="C65" i="18"/>
  <c r="D65" i="18"/>
  <c r="E65" i="18"/>
  <c r="F65" i="18"/>
  <c r="G65" i="18"/>
  <c r="H65" i="18"/>
  <c r="I65" i="18"/>
  <c r="J65" i="18"/>
  <c r="K65" i="18"/>
  <c r="L65" i="18"/>
  <c r="M65" i="18"/>
  <c r="N65" i="18"/>
  <c r="O65" i="18"/>
  <c r="P65" i="18"/>
  <c r="Q65" i="18"/>
  <c r="R65" i="18"/>
  <c r="S65" i="18"/>
  <c r="T65" i="18"/>
  <c r="U65" i="18"/>
  <c r="B68" i="18"/>
  <c r="C68" i="18"/>
  <c r="D68" i="18"/>
  <c r="E68" i="18"/>
  <c r="F68" i="18"/>
  <c r="G68" i="18"/>
  <c r="H68" i="18"/>
  <c r="I68" i="18"/>
  <c r="J68" i="18"/>
  <c r="K68" i="18"/>
  <c r="L68" i="18"/>
  <c r="M68" i="18"/>
  <c r="N68" i="18"/>
  <c r="O68" i="18"/>
  <c r="P68" i="18"/>
  <c r="Q68" i="18"/>
  <c r="R68" i="18"/>
  <c r="S68" i="18"/>
  <c r="T68" i="18"/>
  <c r="U68" i="18"/>
  <c r="B71" i="18"/>
  <c r="C71" i="18"/>
  <c r="D71" i="18"/>
  <c r="E71" i="18"/>
  <c r="F71" i="18"/>
  <c r="G71" i="18"/>
  <c r="H71" i="18"/>
  <c r="I71" i="18"/>
  <c r="J71" i="18"/>
  <c r="K71" i="18"/>
  <c r="L71" i="18"/>
  <c r="M71" i="18"/>
  <c r="N71" i="18"/>
  <c r="O71" i="18"/>
  <c r="P71" i="18"/>
  <c r="Q71" i="18"/>
  <c r="R71" i="18"/>
  <c r="S71" i="18"/>
  <c r="T71" i="18"/>
  <c r="U71" i="18"/>
  <c r="B74" i="18"/>
  <c r="C74" i="18"/>
  <c r="D74" i="18"/>
  <c r="E74" i="18"/>
  <c r="F74" i="18"/>
  <c r="G74" i="18"/>
  <c r="H74" i="18"/>
  <c r="I74" i="18"/>
  <c r="J74" i="18"/>
  <c r="K74" i="18"/>
  <c r="L74" i="18"/>
  <c r="M74" i="18"/>
  <c r="N74" i="18"/>
  <c r="O74" i="18"/>
  <c r="P74" i="18"/>
  <c r="Q74" i="18"/>
  <c r="R74" i="18"/>
  <c r="S74" i="18"/>
  <c r="T74" i="18"/>
  <c r="U74" i="18"/>
  <c r="B77" i="18"/>
  <c r="C77" i="18"/>
  <c r="D77" i="18"/>
  <c r="E77" i="18"/>
  <c r="F77" i="18"/>
  <c r="G77" i="18"/>
  <c r="H77" i="18"/>
  <c r="I77" i="18"/>
  <c r="J77" i="18"/>
  <c r="K77" i="18"/>
  <c r="L77" i="18"/>
  <c r="M77" i="18"/>
  <c r="N77" i="18"/>
  <c r="O77" i="18"/>
  <c r="P77" i="18"/>
  <c r="Q77" i="18"/>
  <c r="R77" i="18"/>
  <c r="S77" i="18"/>
  <c r="T77" i="18"/>
  <c r="U77" i="18"/>
  <c r="B80" i="18"/>
  <c r="C80" i="18"/>
  <c r="D80" i="18"/>
  <c r="E80" i="18"/>
  <c r="F80" i="18"/>
  <c r="G80" i="18"/>
  <c r="H80" i="18"/>
  <c r="I80" i="18"/>
  <c r="J80" i="18"/>
  <c r="K80" i="18"/>
  <c r="L80" i="18"/>
  <c r="M80" i="18"/>
  <c r="N80" i="18"/>
  <c r="O80" i="18"/>
  <c r="P80" i="18"/>
  <c r="Q80" i="18"/>
  <c r="R80" i="18"/>
  <c r="S80" i="18"/>
  <c r="T80" i="18"/>
  <c r="U80" i="18"/>
  <c r="B83" i="18"/>
  <c r="C83" i="18"/>
  <c r="D83" i="18"/>
  <c r="E83" i="18"/>
  <c r="F83" i="18"/>
  <c r="G83" i="18"/>
  <c r="H83" i="18"/>
  <c r="I83" i="18"/>
  <c r="J83" i="18"/>
  <c r="K83" i="18"/>
  <c r="L83" i="18"/>
  <c r="M83" i="18"/>
  <c r="N83" i="18"/>
  <c r="O83" i="18"/>
  <c r="P83" i="18"/>
  <c r="Q83" i="18"/>
  <c r="R83" i="18"/>
  <c r="S83" i="18"/>
  <c r="T83" i="18"/>
  <c r="U83" i="18"/>
  <c r="B86" i="18"/>
  <c r="C86" i="18"/>
  <c r="D86" i="18"/>
  <c r="E86" i="18"/>
  <c r="F86" i="18"/>
  <c r="G86" i="18"/>
  <c r="H86" i="18"/>
  <c r="I86" i="18"/>
  <c r="J86" i="18"/>
  <c r="K86" i="18"/>
  <c r="L86" i="18"/>
  <c r="M86" i="18"/>
  <c r="N86" i="18"/>
  <c r="O86" i="18"/>
  <c r="P86" i="18"/>
  <c r="Q86" i="18"/>
  <c r="R86" i="18"/>
  <c r="S86" i="18"/>
  <c r="T86" i="18"/>
  <c r="U86" i="18"/>
  <c r="B89" i="18"/>
  <c r="C89" i="18"/>
  <c r="D89" i="18"/>
  <c r="E89" i="18"/>
  <c r="F89" i="18"/>
  <c r="G89" i="18"/>
  <c r="H89" i="18"/>
  <c r="I89" i="18"/>
  <c r="J89" i="18"/>
  <c r="K89" i="18"/>
  <c r="L89" i="18"/>
  <c r="M89" i="18"/>
  <c r="N89" i="18"/>
  <c r="O89" i="18"/>
  <c r="P89" i="18"/>
  <c r="Q89" i="18"/>
  <c r="R89" i="18"/>
  <c r="S89" i="18"/>
  <c r="T89" i="18"/>
  <c r="U89" i="18"/>
  <c r="B92" i="18"/>
  <c r="C92" i="18"/>
  <c r="D92" i="18"/>
  <c r="E92" i="18"/>
  <c r="F92" i="18"/>
  <c r="G92" i="18"/>
  <c r="H92" i="18"/>
  <c r="I92" i="18"/>
  <c r="J92" i="18"/>
  <c r="K92" i="18"/>
  <c r="L92" i="18"/>
  <c r="M92" i="18"/>
  <c r="N92" i="18"/>
  <c r="O92" i="18"/>
  <c r="P92" i="18"/>
  <c r="Q92" i="18"/>
  <c r="R92" i="18"/>
  <c r="S92" i="18"/>
  <c r="T92" i="18"/>
  <c r="U92" i="18"/>
  <c r="B95" i="18"/>
  <c r="C95" i="18"/>
  <c r="D95" i="18"/>
  <c r="E95" i="18"/>
  <c r="F95" i="18"/>
  <c r="G95" i="18"/>
  <c r="H95" i="18"/>
  <c r="I95" i="18"/>
  <c r="J95" i="18"/>
  <c r="K95" i="18"/>
  <c r="L95" i="18"/>
  <c r="M95" i="18"/>
  <c r="N95" i="18"/>
  <c r="O95" i="18"/>
  <c r="P95" i="18"/>
  <c r="Q95" i="18"/>
  <c r="R95" i="18"/>
  <c r="S95" i="18"/>
  <c r="T95" i="18"/>
  <c r="U95" i="18"/>
  <c r="B98" i="18"/>
  <c r="C98" i="18"/>
  <c r="D98" i="18"/>
  <c r="E98" i="18"/>
  <c r="F98" i="18"/>
  <c r="G98" i="18"/>
  <c r="H98" i="18"/>
  <c r="I98" i="18"/>
  <c r="J98" i="18"/>
  <c r="K98" i="18"/>
  <c r="L98" i="18"/>
  <c r="M98" i="18"/>
  <c r="N98" i="18"/>
  <c r="O98" i="18"/>
  <c r="P98" i="18"/>
  <c r="Q98" i="18"/>
  <c r="R98" i="18"/>
  <c r="S98" i="18"/>
  <c r="T98" i="18"/>
  <c r="U98" i="18"/>
  <c r="B101" i="18"/>
  <c r="C101" i="18"/>
  <c r="D101" i="18"/>
  <c r="E101" i="18"/>
  <c r="F101" i="18"/>
  <c r="G101" i="18"/>
  <c r="H101" i="18"/>
  <c r="I101" i="18"/>
  <c r="J101" i="18"/>
  <c r="K101" i="18"/>
  <c r="L101" i="18"/>
  <c r="M101" i="18"/>
  <c r="N101" i="18"/>
  <c r="O101" i="18"/>
  <c r="P101" i="18"/>
  <c r="Q101" i="18"/>
  <c r="R101" i="18"/>
  <c r="S101" i="18"/>
  <c r="T101" i="18"/>
  <c r="U101" i="18"/>
  <c r="B104" i="18"/>
  <c r="C104" i="18"/>
  <c r="D104" i="18"/>
  <c r="E104" i="18"/>
  <c r="F104" i="18"/>
  <c r="G104" i="18"/>
  <c r="H104" i="18"/>
  <c r="I104" i="18"/>
  <c r="J104" i="18"/>
  <c r="K104" i="18"/>
  <c r="L104" i="18"/>
  <c r="M104" i="18"/>
  <c r="N104" i="18"/>
  <c r="O104" i="18"/>
  <c r="P104" i="18"/>
  <c r="Q104" i="18"/>
  <c r="R104" i="18"/>
  <c r="S104" i="18"/>
  <c r="T104" i="18"/>
  <c r="U104" i="18"/>
  <c r="C2" i="18"/>
  <c r="D2" i="18"/>
  <c r="E2" i="18"/>
  <c r="F2" i="18"/>
  <c r="G2" i="18"/>
  <c r="H2" i="18"/>
  <c r="I2" i="18"/>
  <c r="J2" i="18"/>
  <c r="K2" i="18"/>
  <c r="L2" i="18"/>
  <c r="M2" i="18"/>
  <c r="N2" i="18"/>
  <c r="O2" i="18"/>
  <c r="P2" i="18"/>
  <c r="Q2" i="18"/>
  <c r="R2" i="18"/>
  <c r="S2" i="18"/>
  <c r="T2" i="18"/>
  <c r="U2" i="18"/>
  <c r="B2" i="18"/>
  <c r="AH11" i="21"/>
  <c r="AC10" i="20"/>
  <c r="AH7" i="21"/>
  <c r="AH8" i="21"/>
  <c r="AC15" i="20"/>
  <c r="AH26" i="21"/>
  <c r="AC19" i="20"/>
  <c r="AH10" i="21"/>
  <c r="AC21" i="20"/>
  <c r="AC6" i="20"/>
  <c r="AC23" i="20"/>
  <c r="AH18" i="21"/>
  <c r="AC31" i="20"/>
  <c r="AC25" i="20"/>
  <c r="AC28" i="20"/>
  <c r="AH29" i="21"/>
  <c r="AC27" i="20"/>
  <c r="AH31" i="21"/>
  <c r="AC29" i="20"/>
  <c r="AC33" i="20"/>
  <c r="AH28" i="21"/>
  <c r="AC17" i="20"/>
  <c r="AH17" i="21"/>
  <c r="AH25" i="21"/>
  <c r="AH37" i="21"/>
  <c r="AH21" i="21"/>
  <c r="AH22" i="21"/>
  <c r="AC37" i="20"/>
  <c r="AH15" i="21"/>
  <c r="AC24" i="20"/>
  <c r="AC11" i="20"/>
  <c r="AH24" i="21"/>
  <c r="AH33" i="21"/>
  <c r="AC22" i="20"/>
  <c r="AC26" i="20"/>
  <c r="AC18" i="20"/>
  <c r="AH19" i="21"/>
  <c r="AH27" i="21"/>
  <c r="AH23" i="21"/>
  <c r="AC7" i="20"/>
  <c r="AC8" i="20"/>
  <c r="AH6" i="21"/>
  <c r="AV264" i="18" l="1"/>
  <c r="AY283" i="16" s="1"/>
  <c r="X392" i="18"/>
  <c r="Y416" i="16" s="1"/>
  <c r="X344" i="18"/>
  <c r="Y368" i="16" s="1"/>
  <c r="X175" i="18"/>
  <c r="Y189" i="16" s="1"/>
  <c r="X145" i="18"/>
  <c r="Y159" i="16" s="1"/>
  <c r="X707" i="18"/>
  <c r="Y746" i="16" s="1"/>
  <c r="X701" i="18"/>
  <c r="Y740" i="16" s="1"/>
  <c r="X695" i="18"/>
  <c r="Y734" i="16" s="1"/>
  <c r="X689" i="18"/>
  <c r="Y728" i="16" s="1"/>
  <c r="X683" i="18"/>
  <c r="Y722" i="16" s="1"/>
  <c r="X677" i="18"/>
  <c r="Y716" i="16" s="1"/>
  <c r="X671" i="18"/>
  <c r="Y710" i="16" s="1"/>
  <c r="X665" i="18"/>
  <c r="Y704" i="16" s="1"/>
  <c r="X659" i="18"/>
  <c r="Y698" i="16" s="1"/>
  <c r="X653" i="18"/>
  <c r="Y692" i="16" s="1"/>
  <c r="X647" i="18"/>
  <c r="Y686" i="16" s="1"/>
  <c r="AV737" i="18"/>
  <c r="AY776" i="16" s="1"/>
  <c r="AV725" i="18"/>
  <c r="AY764" i="16" s="1"/>
  <c r="AV713" i="18"/>
  <c r="AY752" i="16" s="1"/>
  <c r="AS14" i="19"/>
  <c r="AS28" i="19"/>
  <c r="AS56" i="19"/>
  <c r="X469" i="18"/>
  <c r="Y498" i="16" s="1"/>
  <c r="AV517" i="18"/>
  <c r="AY546" i="16" s="1"/>
  <c r="AV499" i="18"/>
  <c r="AY528" i="16" s="1"/>
  <c r="AV481" i="18"/>
  <c r="AY510" i="16" s="1"/>
  <c r="AV451" i="18"/>
  <c r="AY480" i="16" s="1"/>
  <c r="AV433" i="18"/>
  <c r="AY462" i="16" s="1"/>
  <c r="AS60" i="19"/>
  <c r="X594" i="18"/>
  <c r="Y628" i="16" s="1"/>
  <c r="X558" i="18"/>
  <c r="Y592" i="16" s="1"/>
  <c r="AV615" i="18"/>
  <c r="AY649" i="16" s="1"/>
  <c r="AV570" i="18"/>
  <c r="AY604" i="16" s="1"/>
  <c r="AV540" i="18"/>
  <c r="AY574" i="16" s="1"/>
  <c r="AS36" i="19"/>
  <c r="AS64" i="19"/>
  <c r="X205" i="18"/>
  <c r="Y219" i="16" s="1"/>
  <c r="AI7" i="21"/>
  <c r="AD7" i="20"/>
  <c r="AI11" i="21"/>
  <c r="AD11" i="20"/>
  <c r="AI18" i="21"/>
  <c r="AD18" i="20"/>
  <c r="AI28" i="21"/>
  <c r="AD28" i="20"/>
  <c r="AI37" i="21"/>
  <c r="AD37" i="20"/>
  <c r="AI6" i="21"/>
  <c r="AD6" i="20"/>
  <c r="AI8" i="21"/>
  <c r="AD8" i="20"/>
  <c r="AI10" i="21"/>
  <c r="AD10" i="20"/>
  <c r="AI15" i="21"/>
  <c r="AD15" i="20"/>
  <c r="AI17" i="21"/>
  <c r="AD17" i="20"/>
  <c r="AI19" i="21"/>
  <c r="AD19" i="20"/>
  <c r="AI21" i="21"/>
  <c r="AD21" i="20"/>
  <c r="AI22" i="21"/>
  <c r="AD22" i="20"/>
  <c r="AI23" i="21"/>
  <c r="AD23" i="20"/>
  <c r="AI24" i="21"/>
  <c r="AD24" i="20"/>
  <c r="AI25" i="21"/>
  <c r="AD25" i="20"/>
  <c r="AI26" i="21"/>
  <c r="AD26" i="20"/>
  <c r="AI27" i="21"/>
  <c r="AD27" i="20"/>
  <c r="AI29" i="21"/>
  <c r="AD29" i="20"/>
  <c r="AI31" i="21"/>
  <c r="AD31" i="20"/>
  <c r="AI33" i="21"/>
  <c r="AD33" i="20"/>
  <c r="AS20" i="19"/>
  <c r="AS22" i="19"/>
  <c r="AS24" i="19"/>
  <c r="AS66" i="19"/>
  <c r="AS68" i="19"/>
  <c r="X199" i="18"/>
  <c r="Y213" i="16" s="1"/>
  <c r="X181" i="18"/>
  <c r="Y195" i="16" s="1"/>
  <c r="X169" i="18"/>
  <c r="Y183" i="16" s="1"/>
  <c r="X151" i="18"/>
  <c r="Y165" i="16" s="1"/>
  <c r="X133" i="18"/>
  <c r="Y147" i="16" s="1"/>
  <c r="X121" i="18"/>
  <c r="Y135" i="16" s="1"/>
  <c r="X234" i="18"/>
  <c r="Y253" i="16" s="1"/>
  <c r="AV297" i="18"/>
  <c r="AY316" i="16" s="1"/>
  <c r="X401" i="18"/>
  <c r="Y425" i="16" s="1"/>
  <c r="X377" i="18"/>
  <c r="Y401" i="16" s="1"/>
  <c r="X353" i="18"/>
  <c r="Y377" i="16" s="1"/>
  <c r="X329" i="18"/>
  <c r="Y353" i="16" s="1"/>
  <c r="X731" i="18"/>
  <c r="Y770" i="16" s="1"/>
  <c r="X505" i="18"/>
  <c r="Y534" i="16" s="1"/>
  <c r="X481" i="18"/>
  <c r="Y510" i="16" s="1"/>
  <c r="X457" i="18"/>
  <c r="Y486" i="16" s="1"/>
  <c r="X433" i="18"/>
  <c r="Y462" i="16" s="1"/>
  <c r="AV529" i="18"/>
  <c r="AY558" i="16" s="1"/>
  <c r="AV523" i="18"/>
  <c r="AY552" i="16" s="1"/>
  <c r="AV511" i="18"/>
  <c r="AY540" i="16" s="1"/>
  <c r="AV493" i="18"/>
  <c r="AY522" i="16" s="1"/>
  <c r="AV487" i="18"/>
  <c r="AY516" i="16" s="1"/>
  <c r="AV469" i="18"/>
  <c r="AY498" i="16" s="1"/>
  <c r="AV463" i="18"/>
  <c r="AY492" i="16" s="1"/>
  <c r="AV445" i="18"/>
  <c r="AY474" i="16" s="1"/>
  <c r="AV439" i="18"/>
  <c r="AY468" i="16" s="1"/>
  <c r="X600" i="18"/>
  <c r="Y634" i="16" s="1"/>
  <c r="X570" i="18"/>
  <c r="Y604" i="16" s="1"/>
  <c r="X546" i="18"/>
  <c r="Y580" i="16" s="1"/>
  <c r="AV633" i="18"/>
  <c r="AY667" i="16" s="1"/>
  <c r="AV624" i="18"/>
  <c r="AY658" i="16" s="1"/>
  <c r="AV609" i="18"/>
  <c r="AY643" i="16" s="1"/>
  <c r="AV585" i="18"/>
  <c r="AY619" i="16" s="1"/>
  <c r="AV576" i="18"/>
  <c r="AY610" i="16" s="1"/>
  <c r="AV558" i="18"/>
  <c r="AY592" i="16" s="1"/>
  <c r="AV552" i="18"/>
  <c r="AY586" i="16" s="1"/>
  <c r="X719" i="18"/>
  <c r="Y758" i="16" s="1"/>
  <c r="AU104" i="18"/>
  <c r="AX113" i="16" s="1"/>
  <c r="AV95" i="18"/>
  <c r="AY104" i="16" s="1"/>
  <c r="AW86" i="18"/>
  <c r="AZ95" i="16" s="1"/>
  <c r="AV71" i="18"/>
  <c r="AY80" i="16" s="1"/>
  <c r="AU56" i="18"/>
  <c r="AX65" i="16" s="1"/>
  <c r="AV47" i="18"/>
  <c r="AY56" i="16" s="1"/>
  <c r="AW38" i="18"/>
  <c r="AZ47" i="16" s="1"/>
  <c r="AV23" i="18"/>
  <c r="AY32" i="16" s="1"/>
  <c r="AU8" i="18"/>
  <c r="AX17" i="16" s="1"/>
  <c r="X517" i="18"/>
  <c r="Y546" i="16" s="1"/>
  <c r="X743" i="18"/>
  <c r="Y782" i="16" s="1"/>
  <c r="X5" i="18"/>
  <c r="Y14" i="16" s="1"/>
  <c r="X425" i="18"/>
  <c r="Y449" i="16" s="1"/>
  <c r="X618" i="18"/>
  <c r="Y652" i="16" s="1"/>
  <c r="W104" i="18"/>
  <c r="X113" i="16" s="1"/>
  <c r="V101" i="18"/>
  <c r="W110" i="16" s="1"/>
  <c r="W98" i="18"/>
  <c r="X107" i="16" s="1"/>
  <c r="V98" i="18"/>
  <c r="W107" i="16" s="1"/>
  <c r="X95" i="18"/>
  <c r="Y104" i="16" s="1"/>
  <c r="W92" i="18"/>
  <c r="X101" i="16" s="1"/>
  <c r="X89" i="18"/>
  <c r="Y98" i="16" s="1"/>
  <c r="V89" i="18"/>
  <c r="W98" i="16" s="1"/>
  <c r="V86" i="18"/>
  <c r="W95" i="16" s="1"/>
  <c r="V83" i="18"/>
  <c r="W92" i="16" s="1"/>
  <c r="X83" i="18"/>
  <c r="Y92" i="16" s="1"/>
  <c r="W80" i="18"/>
  <c r="X89" i="16" s="1"/>
  <c r="V77" i="18"/>
  <c r="W86" i="16" s="1"/>
  <c r="W74" i="18"/>
  <c r="X83" i="16" s="1"/>
  <c r="V74" i="18"/>
  <c r="W83" i="16" s="1"/>
  <c r="X71" i="18"/>
  <c r="Y80" i="16" s="1"/>
  <c r="W68" i="18"/>
  <c r="X77" i="16" s="1"/>
  <c r="X65" i="18"/>
  <c r="Y74" i="16" s="1"/>
  <c r="V65" i="18"/>
  <c r="W74" i="16" s="1"/>
  <c r="V62" i="18"/>
  <c r="W71" i="16" s="1"/>
  <c r="V59" i="18"/>
  <c r="W68" i="16" s="1"/>
  <c r="X59" i="18"/>
  <c r="Y68" i="16" s="1"/>
  <c r="W56" i="18"/>
  <c r="X65" i="16" s="1"/>
  <c r="V53" i="18"/>
  <c r="W62" i="16" s="1"/>
  <c r="W50" i="18"/>
  <c r="X59" i="16" s="1"/>
  <c r="V50" i="18"/>
  <c r="W59" i="16" s="1"/>
  <c r="X47" i="18"/>
  <c r="Y56" i="16" s="1"/>
  <c r="W44" i="18"/>
  <c r="X53" i="16" s="1"/>
  <c r="X41" i="18"/>
  <c r="Y50" i="16" s="1"/>
  <c r="V41" i="18"/>
  <c r="W50" i="16" s="1"/>
  <c r="V38" i="18"/>
  <c r="W47" i="16" s="1"/>
  <c r="V35" i="18"/>
  <c r="W44" i="16" s="1"/>
  <c r="X35" i="18"/>
  <c r="Y44" i="16" s="1"/>
  <c r="W32" i="18"/>
  <c r="X41" i="16" s="1"/>
  <c r="V29" i="18"/>
  <c r="W38" i="16" s="1"/>
  <c r="W26" i="18"/>
  <c r="X35" i="16" s="1"/>
  <c r="V26" i="18"/>
  <c r="W35" i="16" s="1"/>
  <c r="X23" i="18"/>
  <c r="Y32" i="16" s="1"/>
  <c r="W20" i="18"/>
  <c r="X29" i="16" s="1"/>
  <c r="X17" i="18"/>
  <c r="Y26" i="16" s="1"/>
  <c r="V17" i="18"/>
  <c r="W26" i="16" s="1"/>
  <c r="V14" i="18"/>
  <c r="W23" i="16" s="1"/>
  <c r="V11" i="18"/>
  <c r="W20" i="16" s="1"/>
  <c r="X11" i="18"/>
  <c r="Y20" i="16" s="1"/>
  <c r="W8" i="18"/>
  <c r="X17" i="16" s="1"/>
  <c r="V5" i="18"/>
  <c r="W14" i="16" s="1"/>
  <c r="X98" i="18"/>
  <c r="Y107" i="16" s="1"/>
  <c r="V92" i="18"/>
  <c r="W101" i="16" s="1"/>
  <c r="W83" i="18"/>
  <c r="X92" i="16" s="1"/>
  <c r="X74" i="18"/>
  <c r="Y83" i="16" s="1"/>
  <c r="V68" i="18"/>
  <c r="W77" i="16" s="1"/>
  <c r="W59" i="18"/>
  <c r="X68" i="16" s="1"/>
  <c r="X50" i="18"/>
  <c r="Y59" i="16" s="1"/>
  <c r="V44" i="18"/>
  <c r="W53" i="16" s="1"/>
  <c r="W35" i="18"/>
  <c r="X44" i="16" s="1"/>
  <c r="X26" i="18"/>
  <c r="Y35" i="16" s="1"/>
  <c r="V20" i="18"/>
  <c r="W29" i="16" s="1"/>
  <c r="W11" i="18"/>
  <c r="X20" i="16" s="1"/>
  <c r="AW2" i="18"/>
  <c r="AZ11" i="16" s="1"/>
  <c r="AU101" i="18"/>
  <c r="AX110" i="16" s="1"/>
  <c r="AV92" i="18"/>
  <c r="AY101" i="16" s="1"/>
  <c r="AW83" i="18"/>
  <c r="AZ92" i="16" s="1"/>
  <c r="AU77" i="18"/>
  <c r="AX86" i="16" s="1"/>
  <c r="AV68" i="18"/>
  <c r="AY77" i="16" s="1"/>
  <c r="AW59" i="18"/>
  <c r="AZ68" i="16" s="1"/>
  <c r="AU53" i="18"/>
  <c r="AX62" i="16" s="1"/>
  <c r="AV44" i="18"/>
  <c r="AY53" i="16" s="1"/>
  <c r="AW35" i="18"/>
  <c r="AZ44" i="16" s="1"/>
  <c r="AU29" i="18"/>
  <c r="AX38" i="16" s="1"/>
  <c r="AV20" i="18"/>
  <c r="AY29" i="16" s="1"/>
  <c r="AW11" i="18"/>
  <c r="AZ20" i="16" s="1"/>
  <c r="AV532" i="18"/>
  <c r="AY561" i="16" s="1"/>
  <c r="AV526" i="18"/>
  <c r="AY555" i="16" s="1"/>
  <c r="AV520" i="18"/>
  <c r="AY549" i="16" s="1"/>
  <c r="AV514" i="18"/>
  <c r="AY543" i="16" s="1"/>
  <c r="AV508" i="18"/>
  <c r="AY537" i="16" s="1"/>
  <c r="AV502" i="18"/>
  <c r="AY531" i="16" s="1"/>
  <c r="AV496" i="18"/>
  <c r="AY525" i="16" s="1"/>
  <c r="AV490" i="18"/>
  <c r="AY519" i="16" s="1"/>
  <c r="AV484" i="18"/>
  <c r="AY513" i="16" s="1"/>
  <c r="AV478" i="18"/>
  <c r="AY507" i="16" s="1"/>
  <c r="AV472" i="18"/>
  <c r="AY501" i="16" s="1"/>
  <c r="X606" i="18"/>
  <c r="Y640" i="16" s="1"/>
  <c r="X582" i="18"/>
  <c r="Y616" i="16" s="1"/>
  <c r="AV636" i="18"/>
  <c r="AY670" i="16" s="1"/>
  <c r="AV621" i="18"/>
  <c r="AY655" i="16" s="1"/>
  <c r="AV612" i="18"/>
  <c r="AY646" i="16" s="1"/>
  <c r="AV597" i="18"/>
  <c r="AY631" i="16" s="1"/>
  <c r="AV588" i="18"/>
  <c r="AY622" i="16" s="1"/>
  <c r="AV573" i="18"/>
  <c r="AY607" i="16" s="1"/>
  <c r="AV567" i="18"/>
  <c r="AY601" i="16" s="1"/>
  <c r="W2" i="18"/>
  <c r="V104" i="18"/>
  <c r="W113" i="16" s="1"/>
  <c r="W95" i="18"/>
  <c r="X104" i="16" s="1"/>
  <c r="X86" i="18"/>
  <c r="Y95" i="16" s="1"/>
  <c r="V80" i="18"/>
  <c r="W89" i="16" s="1"/>
  <c r="W71" i="18"/>
  <c r="X80" i="16" s="1"/>
  <c r="X62" i="18"/>
  <c r="Y71" i="16" s="1"/>
  <c r="V56" i="18"/>
  <c r="W65" i="16" s="1"/>
  <c r="W47" i="18"/>
  <c r="X56" i="16" s="1"/>
  <c r="X38" i="18"/>
  <c r="Y47" i="16" s="1"/>
  <c r="V32" i="18"/>
  <c r="W41" i="16" s="1"/>
  <c r="W23" i="18"/>
  <c r="X14" i="18"/>
  <c r="Y23" i="16" s="1"/>
  <c r="V8" i="18"/>
  <c r="W17" i="16" s="1"/>
  <c r="X101" i="18"/>
  <c r="Y110" i="16" s="1"/>
  <c r="V95" i="18"/>
  <c r="W104" i="16" s="1"/>
  <c r="W86" i="18"/>
  <c r="X95" i="16" s="1"/>
  <c r="X77" i="18"/>
  <c r="Y86" i="16" s="1"/>
  <c r="V71" i="18"/>
  <c r="W80" i="16" s="1"/>
  <c r="W62" i="18"/>
  <c r="X71" i="16" s="1"/>
  <c r="X53" i="18"/>
  <c r="Y62" i="16" s="1"/>
  <c r="V47" i="18"/>
  <c r="W56" i="16" s="1"/>
  <c r="W38" i="18"/>
  <c r="X47" i="16" s="1"/>
  <c r="X29" i="18"/>
  <c r="Y38" i="16" s="1"/>
  <c r="V23" i="18"/>
  <c r="W32" i="16" s="1"/>
  <c r="W14" i="18"/>
  <c r="X23" i="16" s="1"/>
  <c r="AV104" i="18"/>
  <c r="AY113" i="16" s="1"/>
  <c r="AW104" i="18"/>
  <c r="AZ113" i="16" s="1"/>
  <c r="AV101" i="18"/>
  <c r="AY110" i="16" s="1"/>
  <c r="AW98" i="18"/>
  <c r="AZ107" i="16" s="1"/>
  <c r="AU98" i="18"/>
  <c r="AX107" i="16" s="1"/>
  <c r="AW95" i="18"/>
  <c r="AZ104" i="16" s="1"/>
  <c r="AU92" i="18"/>
  <c r="AX101" i="16" s="1"/>
  <c r="AW92" i="18"/>
  <c r="AZ101" i="16" s="1"/>
  <c r="AU89" i="18"/>
  <c r="AX98" i="16" s="1"/>
  <c r="AV89" i="18"/>
  <c r="AY98" i="16" s="1"/>
  <c r="AU86" i="18"/>
  <c r="AX95" i="16" s="1"/>
  <c r="AV83" i="18"/>
  <c r="AY92" i="16" s="1"/>
  <c r="AV80" i="18"/>
  <c r="AY89" i="16" s="1"/>
  <c r="AW80" i="18"/>
  <c r="AZ89" i="16" s="1"/>
  <c r="AV77" i="18"/>
  <c r="AY86" i="16" s="1"/>
  <c r="AW74" i="18"/>
  <c r="AZ83" i="16" s="1"/>
  <c r="AU74" i="18"/>
  <c r="AX83" i="16" s="1"/>
  <c r="AW71" i="18"/>
  <c r="AZ80" i="16" s="1"/>
  <c r="AU68" i="18"/>
  <c r="AX77" i="16" s="1"/>
  <c r="AW68" i="18"/>
  <c r="AZ77" i="16" s="1"/>
  <c r="AU65" i="18"/>
  <c r="AX74" i="16" s="1"/>
  <c r="AV65" i="18"/>
  <c r="AY74" i="16" s="1"/>
  <c r="AU62" i="18"/>
  <c r="AX71" i="16" s="1"/>
  <c r="AV59" i="18"/>
  <c r="AY68" i="16" s="1"/>
  <c r="AV56" i="18"/>
  <c r="AY65" i="16" s="1"/>
  <c r="AW56" i="18"/>
  <c r="AZ65" i="16" s="1"/>
  <c r="AV53" i="18"/>
  <c r="AY62" i="16" s="1"/>
  <c r="AW50" i="18"/>
  <c r="AZ59" i="16" s="1"/>
  <c r="AU50" i="18"/>
  <c r="AX59" i="16" s="1"/>
  <c r="AW47" i="18"/>
  <c r="AZ56" i="16" s="1"/>
  <c r="AU44" i="18"/>
  <c r="AX53" i="16" s="1"/>
  <c r="AW44" i="18"/>
  <c r="AZ53" i="16" s="1"/>
  <c r="AU41" i="18"/>
  <c r="AX50" i="16" s="1"/>
  <c r="AV41" i="18"/>
  <c r="AY50" i="16" s="1"/>
  <c r="AU38" i="18"/>
  <c r="AX47" i="16" s="1"/>
  <c r="AV35" i="18"/>
  <c r="AY44" i="16" s="1"/>
  <c r="AV32" i="18"/>
  <c r="AY41" i="16" s="1"/>
  <c r="AW32" i="18"/>
  <c r="AZ41" i="16" s="1"/>
  <c r="AV29" i="18"/>
  <c r="AY38" i="16" s="1"/>
  <c r="AW26" i="18"/>
  <c r="AZ35" i="16" s="1"/>
  <c r="AU26" i="18"/>
  <c r="AX35" i="16" s="1"/>
  <c r="AW23" i="18"/>
  <c r="AZ32" i="16" s="1"/>
  <c r="AU20" i="18"/>
  <c r="AX29" i="16" s="1"/>
  <c r="AW20" i="18"/>
  <c r="AZ29" i="16" s="1"/>
  <c r="AU17" i="18"/>
  <c r="AX26" i="16" s="1"/>
  <c r="AV17" i="18"/>
  <c r="AY26" i="16" s="1"/>
  <c r="AU14" i="18"/>
  <c r="AX23" i="16" s="1"/>
  <c r="AV11" i="18"/>
  <c r="AY20" i="16" s="1"/>
  <c r="AV8" i="18"/>
  <c r="AY17" i="16" s="1"/>
  <c r="AW8" i="18"/>
  <c r="AZ17" i="16" s="1"/>
  <c r="AU80" i="18"/>
  <c r="AX89" i="16" s="1"/>
  <c r="AW62" i="18"/>
  <c r="AZ71" i="16" s="1"/>
  <c r="AU32" i="18"/>
  <c r="AX41" i="16" s="1"/>
  <c r="AW14" i="18"/>
  <c r="AZ23" i="16" s="1"/>
  <c r="X109" i="18"/>
  <c r="Y123" i="16" s="1"/>
  <c r="X211" i="18"/>
  <c r="Y225" i="16" s="1"/>
  <c r="X187" i="18"/>
  <c r="Y201" i="16" s="1"/>
  <c r="X163" i="18"/>
  <c r="Y177" i="16" s="1"/>
  <c r="X139" i="18"/>
  <c r="Y153" i="16" s="1"/>
  <c r="X115" i="18"/>
  <c r="Y129" i="16" s="1"/>
  <c r="X315" i="18"/>
  <c r="Y334" i="16" s="1"/>
  <c r="X282" i="18"/>
  <c r="Y301" i="16" s="1"/>
  <c r="X273" i="18"/>
  <c r="Y292" i="16" s="1"/>
  <c r="X258" i="18"/>
  <c r="Y277" i="16" s="1"/>
  <c r="X249" i="18"/>
  <c r="Y268" i="16" s="1"/>
  <c r="X225" i="18"/>
  <c r="Y244" i="16" s="1"/>
  <c r="AV216" i="18"/>
  <c r="AY235" i="16" s="1"/>
  <c r="AV306" i="18"/>
  <c r="AY325" i="16" s="1"/>
  <c r="AV288" i="18"/>
  <c r="AY307" i="16" s="1"/>
  <c r="AV240" i="18"/>
  <c r="AY259" i="16" s="1"/>
  <c r="X413" i="18"/>
  <c r="Y437" i="16" s="1"/>
  <c r="X404" i="18"/>
  <c r="Y428" i="16" s="1"/>
  <c r="X389" i="18"/>
  <c r="Y413" i="16" s="1"/>
  <c r="X380" i="18"/>
  <c r="Y404" i="16" s="1"/>
  <c r="X365" i="18"/>
  <c r="Y389" i="16" s="1"/>
  <c r="X356" i="18"/>
  <c r="Y380" i="16" s="1"/>
  <c r="X341" i="18"/>
  <c r="Y365" i="16" s="1"/>
  <c r="X332" i="18"/>
  <c r="Y356" i="16" s="1"/>
  <c r="X523" i="18"/>
  <c r="Y552" i="16" s="1"/>
  <c r="X511" i="18"/>
  <c r="Y540" i="16" s="1"/>
  <c r="X499" i="18"/>
  <c r="Y528" i="16" s="1"/>
  <c r="X487" i="18"/>
  <c r="Y516" i="16" s="1"/>
  <c r="X475" i="18"/>
  <c r="Y504" i="16" s="1"/>
  <c r="X463" i="18"/>
  <c r="Y492" i="16" s="1"/>
  <c r="X451" i="18"/>
  <c r="Y480" i="16" s="1"/>
  <c r="X439" i="18"/>
  <c r="Y468" i="16" s="1"/>
  <c r="X537" i="18"/>
  <c r="Y571" i="16" s="1"/>
  <c r="X624" i="18"/>
  <c r="Y658" i="16" s="1"/>
  <c r="X576" i="18"/>
  <c r="Y610" i="16" s="1"/>
  <c r="X564" i="18"/>
  <c r="Y598" i="16" s="1"/>
  <c r="X552" i="18"/>
  <c r="Y586" i="16" s="1"/>
  <c r="X540" i="18"/>
  <c r="Y574" i="16" s="1"/>
  <c r="AV537" i="18"/>
  <c r="AY571" i="16" s="1"/>
  <c r="AV639" i="18"/>
  <c r="AY673" i="16" s="1"/>
  <c r="AV606" i="18"/>
  <c r="AY640" i="16" s="1"/>
  <c r="AV591" i="18"/>
  <c r="AY625" i="16" s="1"/>
  <c r="X737" i="18"/>
  <c r="Y776" i="16" s="1"/>
  <c r="X725" i="18"/>
  <c r="Y764" i="16" s="1"/>
  <c r="X713" i="18"/>
  <c r="Y752" i="16" s="1"/>
  <c r="X2" i="18"/>
  <c r="V2" i="18"/>
  <c r="X303" i="18"/>
  <c r="Y322" i="16" s="1"/>
  <c r="X291" i="18"/>
  <c r="Y310" i="16" s="1"/>
  <c r="X285" i="18"/>
  <c r="Y304" i="16" s="1"/>
  <c r="X267" i="18"/>
  <c r="Y286" i="16" s="1"/>
  <c r="X261" i="18"/>
  <c r="Y280" i="16" s="1"/>
  <c r="X243" i="18"/>
  <c r="Y262" i="16" s="1"/>
  <c r="X228" i="18"/>
  <c r="Y247" i="16" s="1"/>
  <c r="X222" i="18"/>
  <c r="Y241" i="16" s="1"/>
  <c r="AV318" i="18"/>
  <c r="AY337" i="16" s="1"/>
  <c r="AV282" i="18"/>
  <c r="AY301" i="16" s="1"/>
  <c r="AV252" i="18"/>
  <c r="AY271" i="16" s="1"/>
  <c r="AV228" i="18"/>
  <c r="AY247" i="16" s="1"/>
  <c r="AU2" i="18"/>
  <c r="AX11" i="16" s="1"/>
  <c r="AV2" i="18"/>
  <c r="AY11" i="16" s="1"/>
  <c r="X130" i="18"/>
  <c r="Y144" i="16" s="1"/>
  <c r="X124" i="18"/>
  <c r="Y138" i="16" s="1"/>
  <c r="X118" i="18"/>
  <c r="Y132" i="16" s="1"/>
  <c r="X112" i="18"/>
  <c r="Y126" i="16" s="1"/>
  <c r="AV109" i="18"/>
  <c r="AY123" i="16" s="1"/>
  <c r="AV211" i="18"/>
  <c r="AY225" i="16" s="1"/>
  <c r="AV208" i="18"/>
  <c r="AY222" i="16" s="1"/>
  <c r="AV205" i="18"/>
  <c r="AY219" i="16" s="1"/>
  <c r="AV202" i="18"/>
  <c r="AY216" i="16" s="1"/>
  <c r="AV199" i="18"/>
  <c r="AY213" i="16" s="1"/>
  <c r="AV196" i="18"/>
  <c r="AY210" i="16" s="1"/>
  <c r="AV193" i="18"/>
  <c r="AY207" i="16" s="1"/>
  <c r="AV190" i="18"/>
  <c r="AY204" i="16" s="1"/>
  <c r="AV187" i="18"/>
  <c r="AY201" i="16" s="1"/>
  <c r="AV184" i="18"/>
  <c r="AY198" i="16" s="1"/>
  <c r="AV181" i="18"/>
  <c r="AY195" i="16" s="1"/>
  <c r="AV178" i="18"/>
  <c r="AY192" i="16" s="1"/>
  <c r="AV175" i="18"/>
  <c r="AY189" i="16" s="1"/>
  <c r="AV172" i="18"/>
  <c r="AY186" i="16" s="1"/>
  <c r="AV169" i="18"/>
  <c r="AY183" i="16" s="1"/>
  <c r="AV166" i="18"/>
  <c r="AY180" i="16" s="1"/>
  <c r="AV163" i="18"/>
  <c r="AY177" i="16" s="1"/>
  <c r="AV160" i="18"/>
  <c r="AY174" i="16" s="1"/>
  <c r="AV157" i="18"/>
  <c r="AY171" i="16" s="1"/>
  <c r="AV154" i="18"/>
  <c r="AY168" i="16" s="1"/>
  <c r="AV151" i="18"/>
  <c r="AY165" i="16" s="1"/>
  <c r="AV148" i="18"/>
  <c r="AY162" i="16" s="1"/>
  <c r="AV145" i="18"/>
  <c r="AY159" i="16" s="1"/>
  <c r="AV142" i="18"/>
  <c r="AY156" i="16" s="1"/>
  <c r="AV139" i="18"/>
  <c r="AY153" i="16" s="1"/>
  <c r="AV136" i="18"/>
  <c r="AY150" i="16" s="1"/>
  <c r="AV133" i="18"/>
  <c r="AY147" i="16" s="1"/>
  <c r="AV130" i="18"/>
  <c r="AY144" i="16" s="1"/>
  <c r="AV127" i="18"/>
  <c r="AY141" i="16" s="1"/>
  <c r="AV124" i="18"/>
  <c r="AY138" i="16" s="1"/>
  <c r="AV121" i="18"/>
  <c r="AY135" i="16" s="1"/>
  <c r="AV118" i="18"/>
  <c r="AY132" i="16" s="1"/>
  <c r="AV115" i="18"/>
  <c r="AY129" i="16" s="1"/>
  <c r="AV112" i="18"/>
  <c r="AY126" i="16" s="1"/>
  <c r="X216" i="18"/>
  <c r="Y235" i="16" s="1"/>
  <c r="X297" i="18"/>
  <c r="Y316" i="16" s="1"/>
  <c r="X288" i="18"/>
  <c r="Y307" i="16" s="1"/>
  <c r="X279" i="18"/>
  <c r="Y298" i="16" s="1"/>
  <c r="X264" i="18"/>
  <c r="Y283" i="16" s="1"/>
  <c r="X255" i="18"/>
  <c r="Y274" i="16" s="1"/>
  <c r="X240" i="18"/>
  <c r="Y259" i="16" s="1"/>
  <c r="X231" i="18"/>
  <c r="Y250" i="16" s="1"/>
  <c r="AV312" i="18"/>
  <c r="AY331" i="16" s="1"/>
  <c r="AV303" i="18"/>
  <c r="AY322" i="16" s="1"/>
  <c r="AV270" i="18"/>
  <c r="AY289" i="16" s="1"/>
  <c r="AV246" i="18"/>
  <c r="AY265" i="16" s="1"/>
  <c r="X309" i="18"/>
  <c r="Y328" i="16" s="1"/>
  <c r="X276" i="18"/>
  <c r="Y295" i="16" s="1"/>
  <c r="X270" i="18"/>
  <c r="Y289" i="16" s="1"/>
  <c r="X252" i="18"/>
  <c r="Y271" i="16" s="1"/>
  <c r="X246" i="18"/>
  <c r="Y265" i="16" s="1"/>
  <c r="X237" i="18"/>
  <c r="Y256" i="16" s="1"/>
  <c r="X219" i="18"/>
  <c r="Y238" i="16" s="1"/>
  <c r="AV315" i="18"/>
  <c r="AY334" i="16" s="1"/>
  <c r="AV309" i="18"/>
  <c r="AY328" i="16" s="1"/>
  <c r="AV300" i="18"/>
  <c r="AY319" i="16" s="1"/>
  <c r="AV294" i="18"/>
  <c r="AY313" i="16" s="1"/>
  <c r="AV276" i="18"/>
  <c r="AY295" i="16" s="1"/>
  <c r="AV258" i="18"/>
  <c r="AY277" i="16" s="1"/>
  <c r="AV234" i="18"/>
  <c r="AY253" i="16" s="1"/>
  <c r="AV222" i="18"/>
  <c r="AY241" i="16" s="1"/>
  <c r="AW101" i="18"/>
  <c r="AZ110" i="16" s="1"/>
  <c r="AV98" i="18"/>
  <c r="AY107" i="16" s="1"/>
  <c r="AU95" i="18"/>
  <c r="AX104" i="16" s="1"/>
  <c r="AW89" i="18"/>
  <c r="AZ98" i="16" s="1"/>
  <c r="AV86" i="18"/>
  <c r="AY95" i="16" s="1"/>
  <c r="AU83" i="18"/>
  <c r="AX92" i="16" s="1"/>
  <c r="AW77" i="18"/>
  <c r="AZ86" i="16" s="1"/>
  <c r="AV74" i="18"/>
  <c r="AY83" i="16" s="1"/>
  <c r="AU71" i="18"/>
  <c r="AX80" i="16" s="1"/>
  <c r="AW65" i="18"/>
  <c r="AZ74" i="16" s="1"/>
  <c r="AV62" i="18"/>
  <c r="AY71" i="16" s="1"/>
  <c r="AU59" i="18"/>
  <c r="AX68" i="16" s="1"/>
  <c r="AW53" i="18"/>
  <c r="AZ62" i="16" s="1"/>
  <c r="AV50" i="18"/>
  <c r="AY59" i="16" s="1"/>
  <c r="AU47" i="18"/>
  <c r="AX56" i="16" s="1"/>
  <c r="AW41" i="18"/>
  <c r="AZ50" i="16" s="1"/>
  <c r="AV38" i="18"/>
  <c r="AY47" i="16" s="1"/>
  <c r="AU35" i="18"/>
  <c r="AX44" i="16" s="1"/>
  <c r="AW29" i="18"/>
  <c r="AZ38" i="16" s="1"/>
  <c r="AV26" i="18"/>
  <c r="AY35" i="16" s="1"/>
  <c r="AU23" i="18"/>
  <c r="AX32" i="16" s="1"/>
  <c r="AW17" i="18"/>
  <c r="AZ26" i="16" s="1"/>
  <c r="AV14" i="18"/>
  <c r="AY23" i="16" s="1"/>
  <c r="AU11" i="18"/>
  <c r="AX20" i="16" s="1"/>
  <c r="X208" i="18"/>
  <c r="Y222" i="16" s="1"/>
  <c r="X202" i="18"/>
  <c r="Y216" i="16" s="1"/>
  <c r="X196" i="18"/>
  <c r="Y210" i="16" s="1"/>
  <c r="X190" i="18"/>
  <c r="Y204" i="16" s="1"/>
  <c r="X184" i="18"/>
  <c r="Y198" i="16" s="1"/>
  <c r="X178" i="18"/>
  <c r="Y192" i="16" s="1"/>
  <c r="X172" i="18"/>
  <c r="Y186" i="16" s="1"/>
  <c r="X166" i="18"/>
  <c r="Y180" i="16" s="1"/>
  <c r="X160" i="18"/>
  <c r="Y174" i="16" s="1"/>
  <c r="X154" i="18"/>
  <c r="Y168" i="16" s="1"/>
  <c r="X148" i="18"/>
  <c r="Y162" i="16" s="1"/>
  <c r="X142" i="18"/>
  <c r="Y156" i="16" s="1"/>
  <c r="X136" i="18"/>
  <c r="Y150" i="16" s="1"/>
  <c r="X410" i="18"/>
  <c r="Y434" i="16" s="1"/>
  <c r="X398" i="18"/>
  <c r="Y422" i="16" s="1"/>
  <c r="X386" i="18"/>
  <c r="Y410" i="16" s="1"/>
  <c r="X374" i="18"/>
  <c r="Y398" i="16" s="1"/>
  <c r="X362" i="18"/>
  <c r="Y386" i="16" s="1"/>
  <c r="X350" i="18"/>
  <c r="Y374" i="16" s="1"/>
  <c r="X335" i="18"/>
  <c r="Y359" i="16" s="1"/>
  <c r="X104" i="18"/>
  <c r="Y113" i="16" s="1"/>
  <c r="W89" i="18"/>
  <c r="X98" i="16" s="1"/>
  <c r="X80" i="18"/>
  <c r="Y89" i="16" s="1"/>
  <c r="W65" i="18"/>
  <c r="X74" i="16" s="1"/>
  <c r="X56" i="18"/>
  <c r="Y65" i="16" s="1"/>
  <c r="W41" i="18"/>
  <c r="X50" i="16" s="1"/>
  <c r="X32" i="18"/>
  <c r="Y41" i="16" s="1"/>
  <c r="W17" i="18"/>
  <c r="X26" i="16" s="1"/>
  <c r="W5" i="18"/>
  <c r="X318" i="18"/>
  <c r="Y337" i="16" s="1"/>
  <c r="X312" i="18"/>
  <c r="Y331" i="16" s="1"/>
  <c r="X306" i="18"/>
  <c r="Y325" i="16" s="1"/>
  <c r="X300" i="18"/>
  <c r="Y319" i="16" s="1"/>
  <c r="X294" i="18"/>
  <c r="Y313" i="16" s="1"/>
  <c r="AV291" i="18"/>
  <c r="AY310" i="16" s="1"/>
  <c r="AV285" i="18"/>
  <c r="AY304" i="16" s="1"/>
  <c r="AV279" i="18"/>
  <c r="AY298" i="16" s="1"/>
  <c r="AV273" i="18"/>
  <c r="AY292" i="16" s="1"/>
  <c r="AV267" i="18"/>
  <c r="AY286" i="16" s="1"/>
  <c r="AV261" i="18"/>
  <c r="AY280" i="16" s="1"/>
  <c r="AV255" i="18"/>
  <c r="AY274" i="16" s="1"/>
  <c r="AV249" i="18"/>
  <c r="AY268" i="16" s="1"/>
  <c r="AV243" i="18"/>
  <c r="AY262" i="16" s="1"/>
  <c r="AV237" i="18"/>
  <c r="AY256" i="16" s="1"/>
  <c r="AV231" i="18"/>
  <c r="AY250" i="16" s="1"/>
  <c r="AV225" i="18"/>
  <c r="AY244" i="16" s="1"/>
  <c r="AV219" i="18"/>
  <c r="AY238" i="16" s="1"/>
  <c r="AV323" i="18"/>
  <c r="AY347" i="16" s="1"/>
  <c r="X422" i="18"/>
  <c r="Y446" i="16" s="1"/>
  <c r="X419" i="18"/>
  <c r="Y443" i="16" s="1"/>
  <c r="X407" i="18"/>
  <c r="Y431" i="16" s="1"/>
  <c r="X395" i="18"/>
  <c r="Y419" i="16" s="1"/>
  <c r="X383" i="18"/>
  <c r="Y407" i="16" s="1"/>
  <c r="X371" i="18"/>
  <c r="Y395" i="16" s="1"/>
  <c r="X359" i="18"/>
  <c r="Y383" i="16" s="1"/>
  <c r="X347" i="18"/>
  <c r="Y371" i="16" s="1"/>
  <c r="X338" i="18"/>
  <c r="Y362" i="16" s="1"/>
  <c r="X326" i="18"/>
  <c r="Y350" i="16" s="1"/>
  <c r="W101" i="18"/>
  <c r="X110" i="16" s="1"/>
  <c r="X92" i="18"/>
  <c r="Y101" i="16" s="1"/>
  <c r="W77" i="18"/>
  <c r="X86" i="16" s="1"/>
  <c r="X68" i="18"/>
  <c r="Y77" i="16" s="1"/>
  <c r="W53" i="18"/>
  <c r="X62" i="16" s="1"/>
  <c r="X44" i="18"/>
  <c r="Y53" i="16" s="1"/>
  <c r="W29" i="18"/>
  <c r="X38" i="16" s="1"/>
  <c r="X20" i="18"/>
  <c r="Y29" i="16" s="1"/>
  <c r="X8" i="18"/>
  <c r="Y17" i="16" s="1"/>
  <c r="X430" i="18"/>
  <c r="Y459" i="16" s="1"/>
  <c r="AV430" i="18"/>
  <c r="AY459" i="16" s="1"/>
  <c r="X639" i="18"/>
  <c r="Y673" i="16" s="1"/>
  <c r="X636" i="18"/>
  <c r="Y670" i="16" s="1"/>
  <c r="X633" i="18"/>
  <c r="Y667" i="16" s="1"/>
  <c r="X630" i="18"/>
  <c r="Y664" i="16" s="1"/>
  <c r="X627" i="18"/>
  <c r="Y661" i="16" s="1"/>
  <c r="X621" i="18"/>
  <c r="Y655" i="16" s="1"/>
  <c r="X615" i="18"/>
  <c r="Y649" i="16" s="1"/>
  <c r="AV425" i="18"/>
  <c r="AY449" i="16" s="1"/>
  <c r="AV422" i="18"/>
  <c r="AY446" i="16" s="1"/>
  <c r="AV419" i="18"/>
  <c r="AY443" i="16" s="1"/>
  <c r="AV416" i="18"/>
  <c r="AY440" i="16" s="1"/>
  <c r="AV413" i="18"/>
  <c r="AY437" i="16" s="1"/>
  <c r="AV410" i="18"/>
  <c r="AY434" i="16" s="1"/>
  <c r="AV407" i="18"/>
  <c r="AY431" i="16" s="1"/>
  <c r="AV404" i="18"/>
  <c r="AY428" i="16" s="1"/>
  <c r="AV401" i="18"/>
  <c r="AY425" i="16" s="1"/>
  <c r="AV398" i="18"/>
  <c r="AY422" i="16" s="1"/>
  <c r="AV395" i="18"/>
  <c r="AY419" i="16" s="1"/>
  <c r="AV392" i="18"/>
  <c r="AY416" i="16" s="1"/>
  <c r="AV389" i="18"/>
  <c r="AY413" i="16" s="1"/>
  <c r="AV386" i="18"/>
  <c r="AY410" i="16" s="1"/>
  <c r="AV383" i="18"/>
  <c r="AY407" i="16" s="1"/>
  <c r="AV380" i="18"/>
  <c r="AY404" i="16" s="1"/>
  <c r="AV377" i="18"/>
  <c r="AY401" i="16" s="1"/>
  <c r="AV374" i="18"/>
  <c r="AY398" i="16" s="1"/>
  <c r="AV371" i="18"/>
  <c r="AY395" i="16" s="1"/>
  <c r="AV368" i="18"/>
  <c r="AY392" i="16" s="1"/>
  <c r="AV365" i="18"/>
  <c r="AY389" i="16" s="1"/>
  <c r="AV362" i="18"/>
  <c r="AY386" i="16" s="1"/>
  <c r="AV359" i="18"/>
  <c r="AY383" i="16" s="1"/>
  <c r="AV356" i="18"/>
  <c r="AY380" i="16" s="1"/>
  <c r="AV353" i="18"/>
  <c r="AY377" i="16" s="1"/>
  <c r="AV350" i="18"/>
  <c r="AY374" i="16" s="1"/>
  <c r="AV347" i="18"/>
  <c r="AY371" i="16" s="1"/>
  <c r="AV344" i="18"/>
  <c r="AY368" i="16" s="1"/>
  <c r="AV341" i="18"/>
  <c r="AY365" i="16" s="1"/>
  <c r="AV338" i="18"/>
  <c r="AY362" i="16" s="1"/>
  <c r="AV335" i="18"/>
  <c r="AY359" i="16" s="1"/>
  <c r="AV332" i="18"/>
  <c r="AY356" i="16" s="1"/>
  <c r="AV329" i="18"/>
  <c r="AY353" i="16" s="1"/>
  <c r="AV326" i="18"/>
  <c r="AY350" i="16" s="1"/>
  <c r="X532" i="18"/>
  <c r="Y561" i="16" s="1"/>
  <c r="X526" i="18"/>
  <c r="Y555" i="16" s="1"/>
  <c r="X520" i="18"/>
  <c r="Y549" i="16" s="1"/>
  <c r="X514" i="18"/>
  <c r="Y543" i="16" s="1"/>
  <c r="X508" i="18"/>
  <c r="Y537" i="16" s="1"/>
  <c r="X502" i="18"/>
  <c r="Y531" i="16" s="1"/>
  <c r="X496" i="18"/>
  <c r="Y525" i="16" s="1"/>
  <c r="X490" i="18"/>
  <c r="Y519" i="16" s="1"/>
  <c r="X484" i="18"/>
  <c r="Y513" i="16" s="1"/>
  <c r="X478" i="18"/>
  <c r="Y507" i="16" s="1"/>
  <c r="X472" i="18"/>
  <c r="Y501" i="16" s="1"/>
  <c r="X466" i="18"/>
  <c r="Y495" i="16" s="1"/>
  <c r="X460" i="18"/>
  <c r="Y489" i="16" s="1"/>
  <c r="X454" i="18"/>
  <c r="Y483" i="16" s="1"/>
  <c r="X448" i="18"/>
  <c r="Y477" i="16" s="1"/>
  <c r="X442" i="18"/>
  <c r="Y471" i="16" s="1"/>
  <c r="X436" i="18"/>
  <c r="Y465" i="16" s="1"/>
  <c r="AV466" i="18"/>
  <c r="AY495" i="16" s="1"/>
  <c r="AV460" i="18"/>
  <c r="AY489" i="16" s="1"/>
  <c r="AV454" i="18"/>
  <c r="AY483" i="16" s="1"/>
  <c r="AV448" i="18"/>
  <c r="AY477" i="16" s="1"/>
  <c r="AV442" i="18"/>
  <c r="AY471" i="16" s="1"/>
  <c r="AV436" i="18"/>
  <c r="AY465" i="16" s="1"/>
  <c r="X612" i="18"/>
  <c r="Y646" i="16" s="1"/>
  <c r="X588" i="18"/>
  <c r="Y622" i="16" s="1"/>
  <c r="X573" i="18"/>
  <c r="Y607" i="16" s="1"/>
  <c r="X567" i="18"/>
  <c r="Y601" i="16" s="1"/>
  <c r="X561" i="18"/>
  <c r="Y595" i="16" s="1"/>
  <c r="X555" i="18"/>
  <c r="Y589" i="16" s="1"/>
  <c r="X549" i="18"/>
  <c r="Y583" i="16" s="1"/>
  <c r="X543" i="18"/>
  <c r="Y577" i="16" s="1"/>
  <c r="AV627" i="18"/>
  <c r="AY661" i="16" s="1"/>
  <c r="AV618" i="18"/>
  <c r="AY652" i="16" s="1"/>
  <c r="AV603" i="18"/>
  <c r="AY637" i="16" s="1"/>
  <c r="AV594" i="18"/>
  <c r="AY628" i="16" s="1"/>
  <c r="AV579" i="18"/>
  <c r="AY613" i="16" s="1"/>
  <c r="AV561" i="18"/>
  <c r="AY595" i="16" s="1"/>
  <c r="AV555" i="18"/>
  <c r="AY589" i="16" s="1"/>
  <c r="AV549" i="18"/>
  <c r="AY583" i="16" s="1"/>
  <c r="AV543" i="18"/>
  <c r="AY577" i="16" s="1"/>
  <c r="X609" i="18"/>
  <c r="Y643" i="16" s="1"/>
  <c r="X603" i="18"/>
  <c r="Y637" i="16" s="1"/>
  <c r="X597" i="18"/>
  <c r="Y631" i="16" s="1"/>
  <c r="X591" i="18"/>
  <c r="Y625" i="16" s="1"/>
  <c r="X585" i="18"/>
  <c r="Y619" i="16" s="1"/>
  <c r="X579" i="18"/>
  <c r="Y613" i="16" s="1"/>
  <c r="X644" i="18"/>
  <c r="Y683" i="16" s="1"/>
  <c r="AV644" i="18"/>
  <c r="AY683" i="16" s="1"/>
  <c r="X746" i="18"/>
  <c r="Y785" i="16" s="1"/>
  <c r="X740" i="18"/>
  <c r="Y779" i="16" s="1"/>
  <c r="X734" i="18"/>
  <c r="Y773" i="16" s="1"/>
  <c r="X728" i="18"/>
  <c r="Y767" i="16" s="1"/>
  <c r="X722" i="18"/>
  <c r="Y761" i="16" s="1"/>
  <c r="X716" i="18"/>
  <c r="Y755" i="16" s="1"/>
  <c r="X710" i="18"/>
  <c r="Y749" i="16" s="1"/>
  <c r="X704" i="18"/>
  <c r="Y743" i="16" s="1"/>
  <c r="X698" i="18"/>
  <c r="Y737" i="16" s="1"/>
  <c r="X692" i="18"/>
  <c r="Y731" i="16" s="1"/>
  <c r="X686" i="18"/>
  <c r="Y725" i="16" s="1"/>
  <c r="X680" i="18"/>
  <c r="Y719" i="16" s="1"/>
  <c r="X674" i="18"/>
  <c r="Y713" i="16" s="1"/>
  <c r="X668" i="18"/>
  <c r="Y707" i="16" s="1"/>
  <c r="X662" i="18"/>
  <c r="Y701" i="16" s="1"/>
  <c r="X656" i="18"/>
  <c r="Y695" i="16" s="1"/>
  <c r="X650" i="18"/>
  <c r="Y689" i="16" s="1"/>
  <c r="AV746" i="18"/>
  <c r="AY785" i="16" s="1"/>
  <c r="AV740" i="18"/>
  <c r="AY779" i="16" s="1"/>
  <c r="AV734" i="18"/>
  <c r="AY773" i="16" s="1"/>
  <c r="AV728" i="18"/>
  <c r="AY767" i="16" s="1"/>
  <c r="AV722" i="18"/>
  <c r="AY761" i="16" s="1"/>
  <c r="AV716" i="18"/>
  <c r="AY755" i="16" s="1"/>
  <c r="AV710" i="18"/>
  <c r="AY749" i="16" s="1"/>
  <c r="AV704" i="18"/>
  <c r="AY743" i="16" s="1"/>
  <c r="AV698" i="18"/>
  <c r="AY737" i="16" s="1"/>
  <c r="AV692" i="18"/>
  <c r="AY731" i="16" s="1"/>
  <c r="AV686" i="18"/>
  <c r="AY725" i="16" s="1"/>
  <c r="AV680" i="18"/>
  <c r="AY719" i="16" s="1"/>
  <c r="AV674" i="18"/>
  <c r="AY713" i="16" s="1"/>
  <c r="AV668" i="18"/>
  <c r="AY707" i="16" s="1"/>
  <c r="AV662" i="18"/>
  <c r="AY701" i="16" s="1"/>
  <c r="AV656" i="18"/>
  <c r="AY695" i="16" s="1"/>
  <c r="AV650" i="18"/>
  <c r="AY689" i="16" s="1"/>
  <c r="W644" i="18"/>
  <c r="X683" i="16" s="1"/>
  <c r="AU644" i="18"/>
  <c r="AX683" i="16" s="1"/>
  <c r="AW644" i="18"/>
  <c r="AZ683" i="16" s="1"/>
  <c r="W647" i="18"/>
  <c r="X686" i="16" s="1"/>
  <c r="AU647" i="18"/>
  <c r="AX686" i="16" s="1"/>
  <c r="AW647" i="18"/>
  <c r="AZ686" i="16" s="1"/>
  <c r="W650" i="18"/>
  <c r="X689" i="16" s="1"/>
  <c r="AU650" i="18"/>
  <c r="AX689" i="16" s="1"/>
  <c r="AW650" i="18"/>
  <c r="AZ689" i="16" s="1"/>
  <c r="W653" i="18"/>
  <c r="X692" i="16" s="1"/>
  <c r="AU653" i="18"/>
  <c r="AX692" i="16" s="1"/>
  <c r="AW653" i="18"/>
  <c r="AZ692" i="16" s="1"/>
  <c r="W656" i="18"/>
  <c r="X695" i="16" s="1"/>
  <c r="AU656" i="18"/>
  <c r="AX695" i="16" s="1"/>
  <c r="AW656" i="18"/>
  <c r="AZ695" i="16" s="1"/>
  <c r="W659" i="18"/>
  <c r="X698" i="16" s="1"/>
  <c r="AU659" i="18"/>
  <c r="AX698" i="16" s="1"/>
  <c r="AW659" i="18"/>
  <c r="AZ698" i="16" s="1"/>
  <c r="W662" i="18"/>
  <c r="X701" i="16" s="1"/>
  <c r="AU662" i="18"/>
  <c r="AX701" i="16" s="1"/>
  <c r="AW662" i="18"/>
  <c r="AZ701" i="16" s="1"/>
  <c r="W665" i="18"/>
  <c r="X704" i="16" s="1"/>
  <c r="AU665" i="18"/>
  <c r="AX704" i="16" s="1"/>
  <c r="AW665" i="18"/>
  <c r="AZ704" i="16" s="1"/>
  <c r="W668" i="18"/>
  <c r="X707" i="16" s="1"/>
  <c r="AU668" i="18"/>
  <c r="AX707" i="16" s="1"/>
  <c r="AW668" i="18"/>
  <c r="AZ707" i="16" s="1"/>
  <c r="W671" i="18"/>
  <c r="X710" i="16" s="1"/>
  <c r="AU671" i="18"/>
  <c r="AX710" i="16" s="1"/>
  <c r="AW671" i="18"/>
  <c r="AZ710" i="16" s="1"/>
  <c r="W674" i="18"/>
  <c r="X713" i="16" s="1"/>
  <c r="AU674" i="18"/>
  <c r="AX713" i="16" s="1"/>
  <c r="AW674" i="18"/>
  <c r="AZ713" i="16" s="1"/>
  <c r="W677" i="18"/>
  <c r="X716" i="16" s="1"/>
  <c r="AU677" i="18"/>
  <c r="AX716" i="16" s="1"/>
  <c r="AW677" i="18"/>
  <c r="AZ716" i="16" s="1"/>
  <c r="W680" i="18"/>
  <c r="X719" i="16" s="1"/>
  <c r="AU680" i="18"/>
  <c r="AX719" i="16" s="1"/>
  <c r="AW680" i="18"/>
  <c r="AZ719" i="16" s="1"/>
  <c r="W683" i="18"/>
  <c r="X722" i="16" s="1"/>
  <c r="AU683" i="18"/>
  <c r="AX722" i="16" s="1"/>
  <c r="AW683" i="18"/>
  <c r="AZ722" i="16" s="1"/>
  <c r="W686" i="18"/>
  <c r="X725" i="16" s="1"/>
  <c r="AU686" i="18"/>
  <c r="AX725" i="16" s="1"/>
  <c r="AW686" i="18"/>
  <c r="AZ725" i="16" s="1"/>
  <c r="W689" i="18"/>
  <c r="X728" i="16" s="1"/>
  <c r="AU689" i="18"/>
  <c r="AX728" i="16" s="1"/>
  <c r="AW689" i="18"/>
  <c r="AZ728" i="16" s="1"/>
  <c r="W692" i="18"/>
  <c r="X731" i="16" s="1"/>
  <c r="AU692" i="18"/>
  <c r="AX731" i="16" s="1"/>
  <c r="AW692" i="18"/>
  <c r="AZ731" i="16" s="1"/>
  <c r="W695" i="18"/>
  <c r="X734" i="16" s="1"/>
  <c r="AU695" i="18"/>
  <c r="AX734" i="16" s="1"/>
  <c r="AW695" i="18"/>
  <c r="AZ734" i="16" s="1"/>
  <c r="W698" i="18"/>
  <c r="X737" i="16" s="1"/>
  <c r="AU698" i="18"/>
  <c r="AX737" i="16" s="1"/>
  <c r="AW698" i="18"/>
  <c r="AZ737" i="16" s="1"/>
  <c r="W701" i="18"/>
  <c r="X740" i="16" s="1"/>
  <c r="AU701" i="18"/>
  <c r="AX740" i="16" s="1"/>
  <c r="AW701" i="18"/>
  <c r="AZ740" i="16" s="1"/>
  <c r="W704" i="18"/>
  <c r="X743" i="16" s="1"/>
  <c r="AU704" i="18"/>
  <c r="AX743" i="16" s="1"/>
  <c r="AW704" i="18"/>
  <c r="AZ743" i="16" s="1"/>
  <c r="W707" i="18"/>
  <c r="X746" i="16" s="1"/>
  <c r="AU707" i="18"/>
  <c r="AX746" i="16" s="1"/>
  <c r="AW707" i="18"/>
  <c r="AZ746" i="16" s="1"/>
  <c r="W710" i="18"/>
  <c r="X749" i="16" s="1"/>
  <c r="AU710" i="18"/>
  <c r="AX749" i="16" s="1"/>
  <c r="AW710" i="18"/>
  <c r="AZ749" i="16" s="1"/>
  <c r="W713" i="18"/>
  <c r="X752" i="16" s="1"/>
  <c r="AU713" i="18"/>
  <c r="AX752" i="16" s="1"/>
  <c r="AW713" i="18"/>
  <c r="AZ752" i="16" s="1"/>
  <c r="W716" i="18"/>
  <c r="X755" i="16" s="1"/>
  <c r="AU716" i="18"/>
  <c r="AX755" i="16" s="1"/>
  <c r="AW716" i="18"/>
  <c r="AZ755" i="16" s="1"/>
  <c r="W719" i="18"/>
  <c r="X758" i="16" s="1"/>
  <c r="AU719" i="18"/>
  <c r="AX758" i="16" s="1"/>
  <c r="AW719" i="18"/>
  <c r="AZ758" i="16" s="1"/>
  <c r="W722" i="18"/>
  <c r="X761" i="16" s="1"/>
  <c r="AU722" i="18"/>
  <c r="AX761" i="16" s="1"/>
  <c r="AW722" i="18"/>
  <c r="AZ761" i="16" s="1"/>
  <c r="W725" i="18"/>
  <c r="X764" i="16" s="1"/>
  <c r="AU725" i="18"/>
  <c r="AX764" i="16" s="1"/>
  <c r="AW725" i="18"/>
  <c r="AZ764" i="16" s="1"/>
  <c r="W728" i="18"/>
  <c r="X767" i="16" s="1"/>
  <c r="AU728" i="18"/>
  <c r="AX767" i="16" s="1"/>
  <c r="AW728" i="18"/>
  <c r="AZ767" i="16" s="1"/>
  <c r="W731" i="18"/>
  <c r="X770" i="16" s="1"/>
  <c r="AU731" i="18"/>
  <c r="AX770" i="16" s="1"/>
  <c r="AW731" i="18"/>
  <c r="AZ770" i="16" s="1"/>
  <c r="W734" i="18"/>
  <c r="X773" i="16" s="1"/>
  <c r="AU734" i="18"/>
  <c r="AX773" i="16" s="1"/>
  <c r="AW734" i="18"/>
  <c r="AZ773" i="16" s="1"/>
  <c r="W737" i="18"/>
  <c r="X776" i="16" s="1"/>
  <c r="AU737" i="18"/>
  <c r="AX776" i="16" s="1"/>
  <c r="AW737" i="18"/>
  <c r="AZ776" i="16" s="1"/>
  <c r="W740" i="18"/>
  <c r="X779" i="16" s="1"/>
  <c r="AU740" i="18"/>
  <c r="AX779" i="16" s="1"/>
  <c r="AW740" i="18"/>
  <c r="AZ779" i="16" s="1"/>
  <c r="W743" i="18"/>
  <c r="X782" i="16" s="1"/>
  <c r="AU743" i="18"/>
  <c r="AX782" i="16" s="1"/>
  <c r="AW743" i="18"/>
  <c r="AZ782" i="16" s="1"/>
  <c r="W746" i="18"/>
  <c r="X785" i="16" s="1"/>
  <c r="AU746" i="18"/>
  <c r="AX785" i="16" s="1"/>
  <c r="AW746" i="18"/>
  <c r="AZ785" i="16" s="1"/>
  <c r="V644" i="18"/>
  <c r="W683" i="16" s="1"/>
  <c r="V647" i="18"/>
  <c r="W686" i="16" s="1"/>
  <c r="V650" i="18"/>
  <c r="W689" i="16" s="1"/>
  <c r="V653" i="18"/>
  <c r="W692" i="16" s="1"/>
  <c r="V656" i="18"/>
  <c r="W695" i="16" s="1"/>
  <c r="V659" i="18"/>
  <c r="W698" i="16" s="1"/>
  <c r="V662" i="18"/>
  <c r="W701" i="16" s="1"/>
  <c r="V665" i="18"/>
  <c r="W704" i="16" s="1"/>
  <c r="V668" i="18"/>
  <c r="W707" i="16" s="1"/>
  <c r="V671" i="18"/>
  <c r="W710" i="16" s="1"/>
  <c r="V674" i="18"/>
  <c r="W713" i="16" s="1"/>
  <c r="V677" i="18"/>
  <c r="W716" i="16" s="1"/>
  <c r="V680" i="18"/>
  <c r="W719" i="16" s="1"/>
  <c r="V683" i="18"/>
  <c r="W722" i="16" s="1"/>
  <c r="V686" i="18"/>
  <c r="W725" i="16" s="1"/>
  <c r="V689" i="18"/>
  <c r="W728" i="16" s="1"/>
  <c r="V692" i="18"/>
  <c r="W731" i="16" s="1"/>
  <c r="V695" i="18"/>
  <c r="W734" i="16" s="1"/>
  <c r="V698" i="18"/>
  <c r="W737" i="16" s="1"/>
  <c r="V701" i="18"/>
  <c r="W740" i="16" s="1"/>
  <c r="V704" i="18"/>
  <c r="W743" i="16" s="1"/>
  <c r="V707" i="18"/>
  <c r="W746" i="16" s="1"/>
  <c r="V710" i="18"/>
  <c r="W749" i="16" s="1"/>
  <c r="V713" i="18"/>
  <c r="W752" i="16" s="1"/>
  <c r="V716" i="18"/>
  <c r="W755" i="16" s="1"/>
  <c r="V719" i="18"/>
  <c r="W758" i="16" s="1"/>
  <c r="V722" i="18"/>
  <c r="W761" i="16" s="1"/>
  <c r="V725" i="18"/>
  <c r="W764" i="16" s="1"/>
  <c r="V728" i="18"/>
  <c r="W767" i="16" s="1"/>
  <c r="V731" i="18"/>
  <c r="W770" i="16" s="1"/>
  <c r="V734" i="18"/>
  <c r="W773" i="16" s="1"/>
  <c r="V737" i="18"/>
  <c r="W776" i="16" s="1"/>
  <c r="V740" i="18"/>
  <c r="W779" i="16" s="1"/>
  <c r="V743" i="18"/>
  <c r="W782" i="16" s="1"/>
  <c r="V746" i="18"/>
  <c r="W785" i="16" s="1"/>
  <c r="W537" i="18"/>
  <c r="X571" i="16" s="1"/>
  <c r="AU537" i="18"/>
  <c r="AX571" i="16" s="1"/>
  <c r="AW537" i="18"/>
  <c r="AZ571" i="16" s="1"/>
  <c r="W540" i="18"/>
  <c r="X574" i="16" s="1"/>
  <c r="AU540" i="18"/>
  <c r="AX574" i="16" s="1"/>
  <c r="AW540" i="18"/>
  <c r="AZ574" i="16" s="1"/>
  <c r="W543" i="18"/>
  <c r="X577" i="16" s="1"/>
  <c r="AU543" i="18"/>
  <c r="AX577" i="16" s="1"/>
  <c r="AW543" i="18"/>
  <c r="AZ577" i="16" s="1"/>
  <c r="W546" i="18"/>
  <c r="X580" i="16" s="1"/>
  <c r="AU546" i="18"/>
  <c r="AX580" i="16" s="1"/>
  <c r="AW546" i="18"/>
  <c r="AZ580" i="16" s="1"/>
  <c r="W549" i="18"/>
  <c r="X583" i="16" s="1"/>
  <c r="AU549" i="18"/>
  <c r="AX583" i="16" s="1"/>
  <c r="AW549" i="18"/>
  <c r="AZ583" i="16" s="1"/>
  <c r="W552" i="18"/>
  <c r="X586" i="16" s="1"/>
  <c r="AU552" i="18"/>
  <c r="AX586" i="16" s="1"/>
  <c r="AW552" i="18"/>
  <c r="AZ586" i="16" s="1"/>
  <c r="W555" i="18"/>
  <c r="X589" i="16" s="1"/>
  <c r="AU555" i="18"/>
  <c r="AX589" i="16" s="1"/>
  <c r="AW555" i="18"/>
  <c r="AZ589" i="16" s="1"/>
  <c r="W558" i="18"/>
  <c r="X592" i="16" s="1"/>
  <c r="AU558" i="18"/>
  <c r="AX592" i="16" s="1"/>
  <c r="AW558" i="18"/>
  <c r="AZ592" i="16" s="1"/>
  <c r="W561" i="18"/>
  <c r="X595" i="16" s="1"/>
  <c r="AU561" i="18"/>
  <c r="AX595" i="16" s="1"/>
  <c r="AW561" i="18"/>
  <c r="AZ595" i="16" s="1"/>
  <c r="W564" i="18"/>
  <c r="X598" i="16" s="1"/>
  <c r="AU564" i="18"/>
  <c r="AX598" i="16" s="1"/>
  <c r="AW564" i="18"/>
  <c r="AZ598" i="16" s="1"/>
  <c r="W567" i="18"/>
  <c r="X601" i="16" s="1"/>
  <c r="AU567" i="18"/>
  <c r="AX601" i="16" s="1"/>
  <c r="AW567" i="18"/>
  <c r="AZ601" i="16" s="1"/>
  <c r="W570" i="18"/>
  <c r="X604" i="16" s="1"/>
  <c r="AU570" i="18"/>
  <c r="AX604" i="16" s="1"/>
  <c r="AW570" i="18"/>
  <c r="AZ604" i="16" s="1"/>
  <c r="W573" i="18"/>
  <c r="X607" i="16" s="1"/>
  <c r="AU573" i="18"/>
  <c r="AX607" i="16" s="1"/>
  <c r="AW573" i="18"/>
  <c r="AZ607" i="16" s="1"/>
  <c r="W576" i="18"/>
  <c r="X610" i="16" s="1"/>
  <c r="AU576" i="18"/>
  <c r="AX610" i="16" s="1"/>
  <c r="AW576" i="18"/>
  <c r="AZ610" i="16" s="1"/>
  <c r="W579" i="18"/>
  <c r="X613" i="16" s="1"/>
  <c r="AU579" i="18"/>
  <c r="AX613" i="16" s="1"/>
  <c r="AW579" i="18"/>
  <c r="AZ613" i="16" s="1"/>
  <c r="W582" i="18"/>
  <c r="X616" i="16" s="1"/>
  <c r="AU582" i="18"/>
  <c r="AX616" i="16" s="1"/>
  <c r="AW582" i="18"/>
  <c r="AZ616" i="16" s="1"/>
  <c r="W585" i="18"/>
  <c r="X619" i="16" s="1"/>
  <c r="AU585" i="18"/>
  <c r="AX619" i="16" s="1"/>
  <c r="AW585" i="18"/>
  <c r="AZ619" i="16" s="1"/>
  <c r="W588" i="18"/>
  <c r="X622" i="16" s="1"/>
  <c r="AU588" i="18"/>
  <c r="AX622" i="16" s="1"/>
  <c r="AW588" i="18"/>
  <c r="AZ622" i="16" s="1"/>
  <c r="W591" i="18"/>
  <c r="X625" i="16" s="1"/>
  <c r="AU591" i="18"/>
  <c r="AX625" i="16" s="1"/>
  <c r="AW591" i="18"/>
  <c r="AZ625" i="16" s="1"/>
  <c r="W594" i="18"/>
  <c r="X628" i="16" s="1"/>
  <c r="AU594" i="18"/>
  <c r="AX628" i="16" s="1"/>
  <c r="AW594" i="18"/>
  <c r="AZ628" i="16" s="1"/>
  <c r="W597" i="18"/>
  <c r="X631" i="16" s="1"/>
  <c r="AU597" i="18"/>
  <c r="AX631" i="16" s="1"/>
  <c r="AW597" i="18"/>
  <c r="AZ631" i="16" s="1"/>
  <c r="W600" i="18"/>
  <c r="X634" i="16" s="1"/>
  <c r="AU600" i="18"/>
  <c r="AX634" i="16" s="1"/>
  <c r="AW600" i="18"/>
  <c r="AZ634" i="16" s="1"/>
  <c r="W603" i="18"/>
  <c r="X637" i="16" s="1"/>
  <c r="AU603" i="18"/>
  <c r="AX637" i="16" s="1"/>
  <c r="AW603" i="18"/>
  <c r="AZ637" i="16" s="1"/>
  <c r="W606" i="18"/>
  <c r="X640" i="16" s="1"/>
  <c r="AU606" i="18"/>
  <c r="AX640" i="16" s="1"/>
  <c r="AW606" i="18"/>
  <c r="AZ640" i="16" s="1"/>
  <c r="W609" i="18"/>
  <c r="X643" i="16" s="1"/>
  <c r="AU609" i="18"/>
  <c r="AX643" i="16" s="1"/>
  <c r="AW609" i="18"/>
  <c r="AZ643" i="16" s="1"/>
  <c r="W612" i="18"/>
  <c r="X646" i="16" s="1"/>
  <c r="AU612" i="18"/>
  <c r="AX646" i="16" s="1"/>
  <c r="AW612" i="18"/>
  <c r="AZ646" i="16" s="1"/>
  <c r="W615" i="18"/>
  <c r="X649" i="16" s="1"/>
  <c r="AU615" i="18"/>
  <c r="AX649" i="16" s="1"/>
  <c r="AW615" i="18"/>
  <c r="AZ649" i="16" s="1"/>
  <c r="W618" i="18"/>
  <c r="X652" i="16" s="1"/>
  <c r="AU618" i="18"/>
  <c r="AX652" i="16" s="1"/>
  <c r="AW618" i="18"/>
  <c r="AZ652" i="16" s="1"/>
  <c r="W621" i="18"/>
  <c r="X655" i="16" s="1"/>
  <c r="AU621" i="18"/>
  <c r="AX655" i="16" s="1"/>
  <c r="AW621" i="18"/>
  <c r="AZ655" i="16" s="1"/>
  <c r="W624" i="18"/>
  <c r="X658" i="16" s="1"/>
  <c r="AU624" i="18"/>
  <c r="AX658" i="16" s="1"/>
  <c r="AW624" i="18"/>
  <c r="AZ658" i="16" s="1"/>
  <c r="W627" i="18"/>
  <c r="X661" i="16" s="1"/>
  <c r="AU627" i="18"/>
  <c r="AX661" i="16" s="1"/>
  <c r="AW627" i="18"/>
  <c r="AZ661" i="16" s="1"/>
  <c r="W630" i="18"/>
  <c r="X664" i="16" s="1"/>
  <c r="AU630" i="18"/>
  <c r="AX664" i="16" s="1"/>
  <c r="AW630" i="18"/>
  <c r="AZ664" i="16" s="1"/>
  <c r="W633" i="18"/>
  <c r="X667" i="16" s="1"/>
  <c r="AU633" i="18"/>
  <c r="AX667" i="16" s="1"/>
  <c r="AW633" i="18"/>
  <c r="AZ667" i="16" s="1"/>
  <c r="W636" i="18"/>
  <c r="X670" i="16" s="1"/>
  <c r="AU636" i="18"/>
  <c r="AX670" i="16" s="1"/>
  <c r="AW636" i="18"/>
  <c r="AZ670" i="16" s="1"/>
  <c r="W639" i="18"/>
  <c r="X673" i="16" s="1"/>
  <c r="AU639" i="18"/>
  <c r="AX673" i="16" s="1"/>
  <c r="AW639" i="18"/>
  <c r="AZ673" i="16" s="1"/>
  <c r="V537" i="18"/>
  <c r="W571" i="16" s="1"/>
  <c r="V540" i="18"/>
  <c r="W574" i="16" s="1"/>
  <c r="V543" i="18"/>
  <c r="W577" i="16" s="1"/>
  <c r="V546" i="18"/>
  <c r="W580" i="16" s="1"/>
  <c r="V549" i="18"/>
  <c r="W583" i="16" s="1"/>
  <c r="V552" i="18"/>
  <c r="W586" i="16" s="1"/>
  <c r="V555" i="18"/>
  <c r="W589" i="16" s="1"/>
  <c r="V558" i="18"/>
  <c r="W592" i="16" s="1"/>
  <c r="V561" i="18"/>
  <c r="W595" i="16" s="1"/>
  <c r="V564" i="18"/>
  <c r="W598" i="16" s="1"/>
  <c r="V567" i="18"/>
  <c r="W601" i="16" s="1"/>
  <c r="V570" i="18"/>
  <c r="W604" i="16" s="1"/>
  <c r="V573" i="18"/>
  <c r="W607" i="16" s="1"/>
  <c r="V576" i="18"/>
  <c r="W610" i="16" s="1"/>
  <c r="V579" i="18"/>
  <c r="W613" i="16" s="1"/>
  <c r="V582" i="18"/>
  <c r="W616" i="16" s="1"/>
  <c r="V585" i="18"/>
  <c r="W619" i="16" s="1"/>
  <c r="V588" i="18"/>
  <c r="W622" i="16" s="1"/>
  <c r="V591" i="18"/>
  <c r="W625" i="16" s="1"/>
  <c r="V594" i="18"/>
  <c r="W628" i="16" s="1"/>
  <c r="V597" i="18"/>
  <c r="W631" i="16" s="1"/>
  <c r="V600" i="18"/>
  <c r="W634" i="16" s="1"/>
  <c r="V603" i="18"/>
  <c r="W637" i="16" s="1"/>
  <c r="V606" i="18"/>
  <c r="W640" i="16" s="1"/>
  <c r="V609" i="18"/>
  <c r="W643" i="16" s="1"/>
  <c r="V612" i="18"/>
  <c r="W646" i="16" s="1"/>
  <c r="V615" i="18"/>
  <c r="W649" i="16" s="1"/>
  <c r="V618" i="18"/>
  <c r="W652" i="16" s="1"/>
  <c r="V621" i="18"/>
  <c r="W655" i="16" s="1"/>
  <c r="V624" i="18"/>
  <c r="W658" i="16" s="1"/>
  <c r="V627" i="18"/>
  <c r="W661" i="16" s="1"/>
  <c r="V630" i="18"/>
  <c r="W664" i="16" s="1"/>
  <c r="V633" i="18"/>
  <c r="W667" i="16" s="1"/>
  <c r="V636" i="18"/>
  <c r="W670" i="16" s="1"/>
  <c r="V639" i="18"/>
  <c r="W673" i="16" s="1"/>
  <c r="W430" i="18"/>
  <c r="X459" i="16" s="1"/>
  <c r="AU430" i="18"/>
  <c r="AX459" i="16" s="1"/>
  <c r="AW430" i="18"/>
  <c r="AZ459" i="16" s="1"/>
  <c r="W433" i="18"/>
  <c r="X462" i="16" s="1"/>
  <c r="AU433" i="18"/>
  <c r="AX462" i="16" s="1"/>
  <c r="AW433" i="18"/>
  <c r="AZ462" i="16" s="1"/>
  <c r="W436" i="18"/>
  <c r="X465" i="16" s="1"/>
  <c r="AU436" i="18"/>
  <c r="AX465" i="16" s="1"/>
  <c r="AW436" i="18"/>
  <c r="AZ465" i="16" s="1"/>
  <c r="W439" i="18"/>
  <c r="X468" i="16" s="1"/>
  <c r="AU439" i="18"/>
  <c r="AX468" i="16" s="1"/>
  <c r="AW439" i="18"/>
  <c r="AZ468" i="16" s="1"/>
  <c r="W442" i="18"/>
  <c r="X471" i="16" s="1"/>
  <c r="AU442" i="18"/>
  <c r="AX471" i="16" s="1"/>
  <c r="AW442" i="18"/>
  <c r="AZ471" i="16" s="1"/>
  <c r="W445" i="18"/>
  <c r="X474" i="16" s="1"/>
  <c r="AU445" i="18"/>
  <c r="AX474" i="16" s="1"/>
  <c r="AW445" i="18"/>
  <c r="AZ474" i="16" s="1"/>
  <c r="W448" i="18"/>
  <c r="X477" i="16" s="1"/>
  <c r="AU448" i="18"/>
  <c r="AX477" i="16" s="1"/>
  <c r="AW448" i="18"/>
  <c r="AZ477" i="16" s="1"/>
  <c r="W451" i="18"/>
  <c r="X480" i="16" s="1"/>
  <c r="AU451" i="18"/>
  <c r="AX480" i="16" s="1"/>
  <c r="AW451" i="18"/>
  <c r="AZ480" i="16" s="1"/>
  <c r="W454" i="18"/>
  <c r="X483" i="16" s="1"/>
  <c r="AU454" i="18"/>
  <c r="AX483" i="16" s="1"/>
  <c r="AW454" i="18"/>
  <c r="AZ483" i="16" s="1"/>
  <c r="W457" i="18"/>
  <c r="X486" i="16" s="1"/>
  <c r="AU457" i="18"/>
  <c r="AX486" i="16" s="1"/>
  <c r="AW457" i="18"/>
  <c r="AZ486" i="16" s="1"/>
  <c r="W460" i="18"/>
  <c r="X489" i="16" s="1"/>
  <c r="AU460" i="18"/>
  <c r="AX489" i="16" s="1"/>
  <c r="AW460" i="18"/>
  <c r="AZ489" i="16" s="1"/>
  <c r="W463" i="18"/>
  <c r="X492" i="16" s="1"/>
  <c r="AU463" i="18"/>
  <c r="AX492" i="16" s="1"/>
  <c r="AW463" i="18"/>
  <c r="AZ492" i="16" s="1"/>
  <c r="W466" i="18"/>
  <c r="X495" i="16" s="1"/>
  <c r="AU466" i="18"/>
  <c r="AX495" i="16" s="1"/>
  <c r="AW466" i="18"/>
  <c r="AZ495" i="16" s="1"/>
  <c r="W469" i="18"/>
  <c r="X498" i="16" s="1"/>
  <c r="AU469" i="18"/>
  <c r="AX498" i="16" s="1"/>
  <c r="AW469" i="18"/>
  <c r="AZ498" i="16" s="1"/>
  <c r="W472" i="18"/>
  <c r="X501" i="16" s="1"/>
  <c r="AU472" i="18"/>
  <c r="AX501" i="16" s="1"/>
  <c r="AW472" i="18"/>
  <c r="AZ501" i="16" s="1"/>
  <c r="W475" i="18"/>
  <c r="X504" i="16" s="1"/>
  <c r="AU475" i="18"/>
  <c r="AX504" i="16" s="1"/>
  <c r="AW475" i="18"/>
  <c r="AZ504" i="16" s="1"/>
  <c r="W478" i="18"/>
  <c r="X507" i="16" s="1"/>
  <c r="AU478" i="18"/>
  <c r="AX507" i="16" s="1"/>
  <c r="AW478" i="18"/>
  <c r="AZ507" i="16" s="1"/>
  <c r="W481" i="18"/>
  <c r="X510" i="16" s="1"/>
  <c r="AU481" i="18"/>
  <c r="AX510" i="16" s="1"/>
  <c r="AW481" i="18"/>
  <c r="AZ510" i="16" s="1"/>
  <c r="W484" i="18"/>
  <c r="X513" i="16" s="1"/>
  <c r="AU484" i="18"/>
  <c r="AX513" i="16" s="1"/>
  <c r="AW484" i="18"/>
  <c r="AZ513" i="16" s="1"/>
  <c r="W487" i="18"/>
  <c r="X516" i="16" s="1"/>
  <c r="AU487" i="18"/>
  <c r="AX516" i="16" s="1"/>
  <c r="AW487" i="18"/>
  <c r="AZ516" i="16" s="1"/>
  <c r="W490" i="18"/>
  <c r="X519" i="16" s="1"/>
  <c r="AU490" i="18"/>
  <c r="AX519" i="16" s="1"/>
  <c r="AW490" i="18"/>
  <c r="AZ519" i="16" s="1"/>
  <c r="W493" i="18"/>
  <c r="X522" i="16" s="1"/>
  <c r="AU493" i="18"/>
  <c r="AX522" i="16" s="1"/>
  <c r="AW493" i="18"/>
  <c r="AZ522" i="16" s="1"/>
  <c r="W496" i="18"/>
  <c r="X525" i="16" s="1"/>
  <c r="AU496" i="18"/>
  <c r="AX525" i="16" s="1"/>
  <c r="AW496" i="18"/>
  <c r="AZ525" i="16" s="1"/>
  <c r="W499" i="18"/>
  <c r="X528" i="16" s="1"/>
  <c r="AU499" i="18"/>
  <c r="AX528" i="16" s="1"/>
  <c r="AW499" i="18"/>
  <c r="AZ528" i="16" s="1"/>
  <c r="W502" i="18"/>
  <c r="X531" i="16" s="1"/>
  <c r="AU502" i="18"/>
  <c r="AX531" i="16" s="1"/>
  <c r="AW502" i="18"/>
  <c r="AZ531" i="16" s="1"/>
  <c r="W505" i="18"/>
  <c r="X534" i="16" s="1"/>
  <c r="AU505" i="18"/>
  <c r="AX534" i="16" s="1"/>
  <c r="AW505" i="18"/>
  <c r="AZ534" i="16" s="1"/>
  <c r="W508" i="18"/>
  <c r="X537" i="16" s="1"/>
  <c r="AU508" i="18"/>
  <c r="AX537" i="16" s="1"/>
  <c r="AW508" i="18"/>
  <c r="AZ537" i="16" s="1"/>
  <c r="W511" i="18"/>
  <c r="X540" i="16" s="1"/>
  <c r="AU511" i="18"/>
  <c r="AX540" i="16" s="1"/>
  <c r="AW511" i="18"/>
  <c r="AZ540" i="16" s="1"/>
  <c r="W514" i="18"/>
  <c r="X543" i="16" s="1"/>
  <c r="AU514" i="18"/>
  <c r="AX543" i="16" s="1"/>
  <c r="AW514" i="18"/>
  <c r="AZ543" i="16" s="1"/>
  <c r="W517" i="18"/>
  <c r="X546" i="16" s="1"/>
  <c r="AU517" i="18"/>
  <c r="AX546" i="16" s="1"/>
  <c r="AW517" i="18"/>
  <c r="AZ546" i="16" s="1"/>
  <c r="W520" i="18"/>
  <c r="X549" i="16" s="1"/>
  <c r="AU520" i="18"/>
  <c r="AX549" i="16" s="1"/>
  <c r="AW520" i="18"/>
  <c r="AZ549" i="16" s="1"/>
  <c r="W523" i="18"/>
  <c r="X552" i="16" s="1"/>
  <c r="AU523" i="18"/>
  <c r="AX552" i="16" s="1"/>
  <c r="AW523" i="18"/>
  <c r="AZ552" i="16" s="1"/>
  <c r="W526" i="18"/>
  <c r="X555" i="16" s="1"/>
  <c r="AU526" i="18"/>
  <c r="AX555" i="16" s="1"/>
  <c r="AW526" i="18"/>
  <c r="AZ555" i="16" s="1"/>
  <c r="W529" i="18"/>
  <c r="X558" i="16" s="1"/>
  <c r="AU529" i="18"/>
  <c r="AX558" i="16" s="1"/>
  <c r="AW529" i="18"/>
  <c r="AZ558" i="16" s="1"/>
  <c r="W532" i="18"/>
  <c r="X561" i="16" s="1"/>
  <c r="AU532" i="18"/>
  <c r="AX561" i="16" s="1"/>
  <c r="AW532" i="18"/>
  <c r="AZ561" i="16" s="1"/>
  <c r="V430" i="18"/>
  <c r="W459" i="16" s="1"/>
  <c r="V433" i="18"/>
  <c r="W462" i="16" s="1"/>
  <c r="V436" i="18"/>
  <c r="W465" i="16" s="1"/>
  <c r="V439" i="18"/>
  <c r="W468" i="16" s="1"/>
  <c r="V442" i="18"/>
  <c r="W471" i="16" s="1"/>
  <c r="V445" i="18"/>
  <c r="W474" i="16" s="1"/>
  <c r="V448" i="18"/>
  <c r="W477" i="16" s="1"/>
  <c r="V451" i="18"/>
  <c r="W480" i="16" s="1"/>
  <c r="V454" i="18"/>
  <c r="W483" i="16" s="1"/>
  <c r="V457" i="18"/>
  <c r="W486" i="16" s="1"/>
  <c r="V460" i="18"/>
  <c r="W489" i="16" s="1"/>
  <c r="V463" i="18"/>
  <c r="W492" i="16" s="1"/>
  <c r="V466" i="18"/>
  <c r="W495" i="16" s="1"/>
  <c r="V469" i="18"/>
  <c r="W498" i="16" s="1"/>
  <c r="V472" i="18"/>
  <c r="W501" i="16" s="1"/>
  <c r="V475" i="18"/>
  <c r="W504" i="16" s="1"/>
  <c r="V478" i="18"/>
  <c r="W507" i="16" s="1"/>
  <c r="V481" i="18"/>
  <c r="W510" i="16" s="1"/>
  <c r="V484" i="18"/>
  <c r="W513" i="16" s="1"/>
  <c r="V487" i="18"/>
  <c r="W516" i="16" s="1"/>
  <c r="V490" i="18"/>
  <c r="W519" i="16" s="1"/>
  <c r="V493" i="18"/>
  <c r="W522" i="16" s="1"/>
  <c r="V496" i="18"/>
  <c r="W525" i="16" s="1"/>
  <c r="V499" i="18"/>
  <c r="W528" i="16" s="1"/>
  <c r="V502" i="18"/>
  <c r="W531" i="16" s="1"/>
  <c r="V505" i="18"/>
  <c r="W534" i="16" s="1"/>
  <c r="V508" i="18"/>
  <c r="W537" i="16" s="1"/>
  <c r="V511" i="18"/>
  <c r="W540" i="16" s="1"/>
  <c r="V514" i="18"/>
  <c r="W543" i="16" s="1"/>
  <c r="V517" i="18"/>
  <c r="W546" i="16" s="1"/>
  <c r="V520" i="18"/>
  <c r="W549" i="16" s="1"/>
  <c r="V523" i="18"/>
  <c r="W552" i="16" s="1"/>
  <c r="V526" i="18"/>
  <c r="W555" i="16" s="1"/>
  <c r="V529" i="18"/>
  <c r="W558" i="16" s="1"/>
  <c r="V532" i="18"/>
  <c r="W561" i="16" s="1"/>
  <c r="W323" i="18"/>
  <c r="X347" i="16" s="1"/>
  <c r="AU323" i="18"/>
  <c r="AX347" i="16" s="1"/>
  <c r="AW323" i="18"/>
  <c r="AZ347" i="16" s="1"/>
  <c r="W326" i="18"/>
  <c r="X350" i="16" s="1"/>
  <c r="AU326" i="18"/>
  <c r="AX350" i="16" s="1"/>
  <c r="AW326" i="18"/>
  <c r="AZ350" i="16" s="1"/>
  <c r="W329" i="18"/>
  <c r="X353" i="16" s="1"/>
  <c r="AU329" i="18"/>
  <c r="AX353" i="16" s="1"/>
  <c r="AW329" i="18"/>
  <c r="AZ353" i="16" s="1"/>
  <c r="W332" i="18"/>
  <c r="X356" i="16" s="1"/>
  <c r="AU332" i="18"/>
  <c r="AX356" i="16" s="1"/>
  <c r="AW332" i="18"/>
  <c r="AZ356" i="16" s="1"/>
  <c r="W335" i="18"/>
  <c r="X359" i="16" s="1"/>
  <c r="AU335" i="18"/>
  <c r="AX359" i="16" s="1"/>
  <c r="AW335" i="18"/>
  <c r="AZ359" i="16" s="1"/>
  <c r="W338" i="18"/>
  <c r="X362" i="16" s="1"/>
  <c r="AU338" i="18"/>
  <c r="AX362" i="16" s="1"/>
  <c r="AW338" i="18"/>
  <c r="AZ362" i="16" s="1"/>
  <c r="W341" i="18"/>
  <c r="X365" i="16" s="1"/>
  <c r="AU341" i="18"/>
  <c r="AX365" i="16" s="1"/>
  <c r="AW341" i="18"/>
  <c r="AZ365" i="16" s="1"/>
  <c r="W344" i="18"/>
  <c r="X368" i="16" s="1"/>
  <c r="AU344" i="18"/>
  <c r="AX368" i="16" s="1"/>
  <c r="AW344" i="18"/>
  <c r="AZ368" i="16" s="1"/>
  <c r="W347" i="18"/>
  <c r="X371" i="16" s="1"/>
  <c r="AU347" i="18"/>
  <c r="AX371" i="16" s="1"/>
  <c r="AW347" i="18"/>
  <c r="AZ371" i="16" s="1"/>
  <c r="W350" i="18"/>
  <c r="X374" i="16" s="1"/>
  <c r="AU350" i="18"/>
  <c r="AX374" i="16" s="1"/>
  <c r="AW350" i="18"/>
  <c r="AZ374" i="16" s="1"/>
  <c r="W353" i="18"/>
  <c r="X377" i="16" s="1"/>
  <c r="AU353" i="18"/>
  <c r="AX377" i="16" s="1"/>
  <c r="AW353" i="18"/>
  <c r="AZ377" i="16" s="1"/>
  <c r="W356" i="18"/>
  <c r="X380" i="16" s="1"/>
  <c r="AU356" i="18"/>
  <c r="AX380" i="16" s="1"/>
  <c r="AW356" i="18"/>
  <c r="AZ380" i="16" s="1"/>
  <c r="W359" i="18"/>
  <c r="X383" i="16" s="1"/>
  <c r="AU359" i="18"/>
  <c r="AX383" i="16" s="1"/>
  <c r="AW359" i="18"/>
  <c r="AZ383" i="16" s="1"/>
  <c r="W362" i="18"/>
  <c r="X386" i="16" s="1"/>
  <c r="AU362" i="18"/>
  <c r="AX386" i="16" s="1"/>
  <c r="AW362" i="18"/>
  <c r="AZ386" i="16" s="1"/>
  <c r="W365" i="18"/>
  <c r="X389" i="16" s="1"/>
  <c r="AU365" i="18"/>
  <c r="AX389" i="16" s="1"/>
  <c r="AW365" i="18"/>
  <c r="AZ389" i="16" s="1"/>
  <c r="W368" i="18"/>
  <c r="X392" i="16" s="1"/>
  <c r="AU368" i="18"/>
  <c r="AX392" i="16" s="1"/>
  <c r="AW368" i="18"/>
  <c r="AZ392" i="16" s="1"/>
  <c r="W371" i="18"/>
  <c r="X395" i="16" s="1"/>
  <c r="AU371" i="18"/>
  <c r="AX395" i="16" s="1"/>
  <c r="AW371" i="18"/>
  <c r="AZ395" i="16" s="1"/>
  <c r="W374" i="18"/>
  <c r="X398" i="16" s="1"/>
  <c r="AU374" i="18"/>
  <c r="AX398" i="16" s="1"/>
  <c r="AW374" i="18"/>
  <c r="AZ398" i="16" s="1"/>
  <c r="W377" i="18"/>
  <c r="X401" i="16" s="1"/>
  <c r="AU377" i="18"/>
  <c r="AX401" i="16" s="1"/>
  <c r="AW377" i="18"/>
  <c r="AZ401" i="16" s="1"/>
  <c r="W380" i="18"/>
  <c r="X404" i="16" s="1"/>
  <c r="AU380" i="18"/>
  <c r="AX404" i="16" s="1"/>
  <c r="AW380" i="18"/>
  <c r="AZ404" i="16" s="1"/>
  <c r="W383" i="18"/>
  <c r="X407" i="16" s="1"/>
  <c r="AU383" i="18"/>
  <c r="AX407" i="16" s="1"/>
  <c r="AW383" i="18"/>
  <c r="AZ407" i="16" s="1"/>
  <c r="W386" i="18"/>
  <c r="X410" i="16" s="1"/>
  <c r="AU386" i="18"/>
  <c r="AX410" i="16" s="1"/>
  <c r="AW386" i="18"/>
  <c r="AZ410" i="16" s="1"/>
  <c r="W389" i="18"/>
  <c r="X413" i="16" s="1"/>
  <c r="AU389" i="18"/>
  <c r="AX413" i="16" s="1"/>
  <c r="AW389" i="18"/>
  <c r="AZ413" i="16" s="1"/>
  <c r="W392" i="18"/>
  <c r="X416" i="16" s="1"/>
  <c r="AU392" i="18"/>
  <c r="AX416" i="16" s="1"/>
  <c r="AW392" i="18"/>
  <c r="AZ416" i="16" s="1"/>
  <c r="W395" i="18"/>
  <c r="X419" i="16" s="1"/>
  <c r="AU395" i="18"/>
  <c r="AX419" i="16" s="1"/>
  <c r="AW395" i="18"/>
  <c r="AZ419" i="16" s="1"/>
  <c r="W398" i="18"/>
  <c r="X422" i="16" s="1"/>
  <c r="AU398" i="18"/>
  <c r="AX422" i="16" s="1"/>
  <c r="AW398" i="18"/>
  <c r="AZ422" i="16" s="1"/>
  <c r="W401" i="18"/>
  <c r="X425" i="16" s="1"/>
  <c r="AU401" i="18"/>
  <c r="AX425" i="16" s="1"/>
  <c r="AW401" i="18"/>
  <c r="AZ425" i="16" s="1"/>
  <c r="W404" i="18"/>
  <c r="X428" i="16" s="1"/>
  <c r="AU404" i="18"/>
  <c r="AX428" i="16" s="1"/>
  <c r="AW404" i="18"/>
  <c r="AZ428" i="16" s="1"/>
  <c r="W407" i="18"/>
  <c r="X431" i="16" s="1"/>
  <c r="AU407" i="18"/>
  <c r="AX431" i="16" s="1"/>
  <c r="AW407" i="18"/>
  <c r="AZ431" i="16" s="1"/>
  <c r="W410" i="18"/>
  <c r="X434" i="16" s="1"/>
  <c r="AU410" i="18"/>
  <c r="AX434" i="16" s="1"/>
  <c r="AW410" i="18"/>
  <c r="AZ434" i="16" s="1"/>
  <c r="W413" i="18"/>
  <c r="X437" i="16" s="1"/>
  <c r="AU413" i="18"/>
  <c r="AX437" i="16" s="1"/>
  <c r="AW413" i="18"/>
  <c r="AZ437" i="16" s="1"/>
  <c r="W416" i="18"/>
  <c r="X440" i="16" s="1"/>
  <c r="AU416" i="18"/>
  <c r="AX440" i="16" s="1"/>
  <c r="AW416" i="18"/>
  <c r="AZ440" i="16" s="1"/>
  <c r="W419" i="18"/>
  <c r="X443" i="16" s="1"/>
  <c r="AU419" i="18"/>
  <c r="AX443" i="16" s="1"/>
  <c r="AW419" i="18"/>
  <c r="AZ443" i="16" s="1"/>
  <c r="W422" i="18"/>
  <c r="X446" i="16" s="1"/>
  <c r="AU422" i="18"/>
  <c r="AX446" i="16" s="1"/>
  <c r="AW422" i="18"/>
  <c r="AZ446" i="16" s="1"/>
  <c r="W425" i="18"/>
  <c r="X449" i="16" s="1"/>
  <c r="AU425" i="18"/>
  <c r="AX449" i="16" s="1"/>
  <c r="AW425" i="18"/>
  <c r="AZ449" i="16" s="1"/>
  <c r="V323" i="18"/>
  <c r="W347" i="16" s="1"/>
  <c r="V326" i="18"/>
  <c r="W350" i="16" s="1"/>
  <c r="V329" i="18"/>
  <c r="W353" i="16" s="1"/>
  <c r="V332" i="18"/>
  <c r="W356" i="16" s="1"/>
  <c r="V335" i="18"/>
  <c r="W359" i="16" s="1"/>
  <c r="V338" i="18"/>
  <c r="W362" i="16" s="1"/>
  <c r="V341" i="18"/>
  <c r="W365" i="16" s="1"/>
  <c r="V344" i="18"/>
  <c r="W368" i="16" s="1"/>
  <c r="V347" i="18"/>
  <c r="W371" i="16" s="1"/>
  <c r="V350" i="18"/>
  <c r="W374" i="16" s="1"/>
  <c r="V353" i="18"/>
  <c r="W377" i="16" s="1"/>
  <c r="V356" i="18"/>
  <c r="W380" i="16" s="1"/>
  <c r="V359" i="18"/>
  <c r="W383" i="16" s="1"/>
  <c r="V362" i="18"/>
  <c r="W386" i="16" s="1"/>
  <c r="V365" i="18"/>
  <c r="W389" i="16" s="1"/>
  <c r="V368" i="18"/>
  <c r="W392" i="16" s="1"/>
  <c r="V371" i="18"/>
  <c r="W395" i="16" s="1"/>
  <c r="V374" i="18"/>
  <c r="W398" i="16" s="1"/>
  <c r="V377" i="18"/>
  <c r="W401" i="16" s="1"/>
  <c r="V380" i="18"/>
  <c r="W404" i="16" s="1"/>
  <c r="V383" i="18"/>
  <c r="W407" i="16" s="1"/>
  <c r="V386" i="18"/>
  <c r="W410" i="16" s="1"/>
  <c r="V389" i="18"/>
  <c r="W413" i="16" s="1"/>
  <c r="V392" i="18"/>
  <c r="W416" i="16" s="1"/>
  <c r="V395" i="18"/>
  <c r="W419" i="16" s="1"/>
  <c r="V398" i="18"/>
  <c r="W422" i="16" s="1"/>
  <c r="V401" i="18"/>
  <c r="W425" i="16" s="1"/>
  <c r="V404" i="18"/>
  <c r="W428" i="16" s="1"/>
  <c r="V407" i="18"/>
  <c r="W431" i="16" s="1"/>
  <c r="V410" i="18"/>
  <c r="W434" i="16" s="1"/>
  <c r="V413" i="18"/>
  <c r="W437" i="16" s="1"/>
  <c r="V416" i="18"/>
  <c r="W440" i="16" s="1"/>
  <c r="V419" i="18"/>
  <c r="W443" i="16" s="1"/>
  <c r="V422" i="18"/>
  <c r="W446" i="16" s="1"/>
  <c r="V425" i="18"/>
  <c r="W449" i="16" s="1"/>
  <c r="W216" i="18"/>
  <c r="X235" i="16" s="1"/>
  <c r="AU216" i="18"/>
  <c r="AX235" i="16" s="1"/>
  <c r="AW216" i="18"/>
  <c r="AZ235" i="16" s="1"/>
  <c r="W219" i="18"/>
  <c r="X238" i="16" s="1"/>
  <c r="AU219" i="18"/>
  <c r="AX238" i="16" s="1"/>
  <c r="AW219" i="18"/>
  <c r="AZ238" i="16" s="1"/>
  <c r="W222" i="18"/>
  <c r="X241" i="16" s="1"/>
  <c r="AU222" i="18"/>
  <c r="AX241" i="16" s="1"/>
  <c r="AW222" i="18"/>
  <c r="AZ241" i="16" s="1"/>
  <c r="W225" i="18"/>
  <c r="X244" i="16" s="1"/>
  <c r="AU225" i="18"/>
  <c r="AX244" i="16" s="1"/>
  <c r="AW225" i="18"/>
  <c r="AZ244" i="16" s="1"/>
  <c r="W228" i="18"/>
  <c r="X247" i="16" s="1"/>
  <c r="AU228" i="18"/>
  <c r="AX247" i="16" s="1"/>
  <c r="AW228" i="18"/>
  <c r="AZ247" i="16" s="1"/>
  <c r="W231" i="18"/>
  <c r="X250" i="16" s="1"/>
  <c r="AU231" i="18"/>
  <c r="AX250" i="16" s="1"/>
  <c r="AW231" i="18"/>
  <c r="AZ250" i="16" s="1"/>
  <c r="W234" i="18"/>
  <c r="X253" i="16" s="1"/>
  <c r="AU234" i="18"/>
  <c r="AX253" i="16" s="1"/>
  <c r="AW234" i="18"/>
  <c r="AZ253" i="16" s="1"/>
  <c r="W237" i="18"/>
  <c r="X256" i="16" s="1"/>
  <c r="AU237" i="18"/>
  <c r="AX256" i="16" s="1"/>
  <c r="AW237" i="18"/>
  <c r="AZ256" i="16" s="1"/>
  <c r="W240" i="18"/>
  <c r="X259" i="16" s="1"/>
  <c r="AU240" i="18"/>
  <c r="AX259" i="16" s="1"/>
  <c r="AW240" i="18"/>
  <c r="AZ259" i="16" s="1"/>
  <c r="W243" i="18"/>
  <c r="X262" i="16" s="1"/>
  <c r="AU243" i="18"/>
  <c r="AX262" i="16" s="1"/>
  <c r="AW243" i="18"/>
  <c r="AZ262" i="16" s="1"/>
  <c r="W246" i="18"/>
  <c r="X265" i="16" s="1"/>
  <c r="AU246" i="18"/>
  <c r="AX265" i="16" s="1"/>
  <c r="AW246" i="18"/>
  <c r="AZ265" i="16" s="1"/>
  <c r="W249" i="18"/>
  <c r="X268" i="16" s="1"/>
  <c r="AU249" i="18"/>
  <c r="AX268" i="16" s="1"/>
  <c r="AW249" i="18"/>
  <c r="AZ268" i="16" s="1"/>
  <c r="W252" i="18"/>
  <c r="X271" i="16" s="1"/>
  <c r="AU252" i="18"/>
  <c r="AX271" i="16" s="1"/>
  <c r="AW252" i="18"/>
  <c r="AZ271" i="16" s="1"/>
  <c r="W255" i="18"/>
  <c r="X274" i="16" s="1"/>
  <c r="AU255" i="18"/>
  <c r="AX274" i="16" s="1"/>
  <c r="AW255" i="18"/>
  <c r="AZ274" i="16" s="1"/>
  <c r="W258" i="18"/>
  <c r="X277" i="16" s="1"/>
  <c r="AU258" i="18"/>
  <c r="AX277" i="16" s="1"/>
  <c r="AW258" i="18"/>
  <c r="AZ277" i="16" s="1"/>
  <c r="W261" i="18"/>
  <c r="X280" i="16" s="1"/>
  <c r="AU261" i="18"/>
  <c r="AX280" i="16" s="1"/>
  <c r="AW261" i="18"/>
  <c r="AZ280" i="16" s="1"/>
  <c r="W264" i="18"/>
  <c r="X283" i="16" s="1"/>
  <c r="AU264" i="18"/>
  <c r="AX283" i="16" s="1"/>
  <c r="AW264" i="18"/>
  <c r="AZ283" i="16" s="1"/>
  <c r="W267" i="18"/>
  <c r="X286" i="16" s="1"/>
  <c r="AU267" i="18"/>
  <c r="AX286" i="16" s="1"/>
  <c r="AW267" i="18"/>
  <c r="AZ286" i="16" s="1"/>
  <c r="W270" i="18"/>
  <c r="X289" i="16" s="1"/>
  <c r="AU270" i="18"/>
  <c r="AX289" i="16" s="1"/>
  <c r="AW270" i="18"/>
  <c r="AZ289" i="16" s="1"/>
  <c r="W273" i="18"/>
  <c r="X292" i="16" s="1"/>
  <c r="AU273" i="18"/>
  <c r="AX292" i="16" s="1"/>
  <c r="AW273" i="18"/>
  <c r="AZ292" i="16" s="1"/>
  <c r="W276" i="18"/>
  <c r="X295" i="16" s="1"/>
  <c r="AU276" i="18"/>
  <c r="AX295" i="16" s="1"/>
  <c r="AW276" i="18"/>
  <c r="AZ295" i="16" s="1"/>
  <c r="W279" i="18"/>
  <c r="X298" i="16" s="1"/>
  <c r="AU279" i="18"/>
  <c r="AX298" i="16" s="1"/>
  <c r="AW279" i="18"/>
  <c r="AZ298" i="16" s="1"/>
  <c r="W282" i="18"/>
  <c r="X301" i="16" s="1"/>
  <c r="AU282" i="18"/>
  <c r="AX301" i="16" s="1"/>
  <c r="AW282" i="18"/>
  <c r="AZ301" i="16" s="1"/>
  <c r="W285" i="18"/>
  <c r="X304" i="16" s="1"/>
  <c r="AU285" i="18"/>
  <c r="AX304" i="16" s="1"/>
  <c r="AW285" i="18"/>
  <c r="AZ304" i="16" s="1"/>
  <c r="W288" i="18"/>
  <c r="X307" i="16" s="1"/>
  <c r="AU288" i="18"/>
  <c r="AX307" i="16" s="1"/>
  <c r="AW288" i="18"/>
  <c r="AZ307" i="16" s="1"/>
  <c r="W291" i="18"/>
  <c r="X310" i="16" s="1"/>
  <c r="AU291" i="18"/>
  <c r="AX310" i="16" s="1"/>
  <c r="AW291" i="18"/>
  <c r="AZ310" i="16" s="1"/>
  <c r="W294" i="18"/>
  <c r="X313" i="16" s="1"/>
  <c r="AU294" i="18"/>
  <c r="AX313" i="16" s="1"/>
  <c r="AW294" i="18"/>
  <c r="AZ313" i="16" s="1"/>
  <c r="W297" i="18"/>
  <c r="X316" i="16" s="1"/>
  <c r="AU297" i="18"/>
  <c r="AX316" i="16" s="1"/>
  <c r="AW297" i="18"/>
  <c r="AZ316" i="16" s="1"/>
  <c r="W300" i="18"/>
  <c r="X319" i="16" s="1"/>
  <c r="AU300" i="18"/>
  <c r="AX319" i="16" s="1"/>
  <c r="AW300" i="18"/>
  <c r="AZ319" i="16" s="1"/>
  <c r="W303" i="18"/>
  <c r="X322" i="16" s="1"/>
  <c r="AU303" i="18"/>
  <c r="AX322" i="16" s="1"/>
  <c r="AW303" i="18"/>
  <c r="AZ322" i="16" s="1"/>
  <c r="W306" i="18"/>
  <c r="X325" i="16" s="1"/>
  <c r="AU306" i="18"/>
  <c r="AX325" i="16" s="1"/>
  <c r="AW306" i="18"/>
  <c r="AZ325" i="16" s="1"/>
  <c r="W309" i="18"/>
  <c r="X328" i="16" s="1"/>
  <c r="AU309" i="18"/>
  <c r="AX328" i="16" s="1"/>
  <c r="AW309" i="18"/>
  <c r="AZ328" i="16" s="1"/>
  <c r="W312" i="18"/>
  <c r="X331" i="16" s="1"/>
  <c r="AU312" i="18"/>
  <c r="AX331" i="16" s="1"/>
  <c r="AW312" i="18"/>
  <c r="AZ331" i="16" s="1"/>
  <c r="W315" i="18"/>
  <c r="X334" i="16" s="1"/>
  <c r="AU315" i="18"/>
  <c r="AX334" i="16" s="1"/>
  <c r="AW315" i="18"/>
  <c r="AZ334" i="16" s="1"/>
  <c r="W318" i="18"/>
  <c r="X337" i="16" s="1"/>
  <c r="AU318" i="18"/>
  <c r="AX337" i="16" s="1"/>
  <c r="AW318" i="18"/>
  <c r="AZ337" i="16" s="1"/>
  <c r="V216" i="18"/>
  <c r="W235" i="16" s="1"/>
  <c r="V219" i="18"/>
  <c r="W238" i="16" s="1"/>
  <c r="V222" i="18"/>
  <c r="W241" i="16" s="1"/>
  <c r="V225" i="18"/>
  <c r="W244" i="16" s="1"/>
  <c r="V228" i="18"/>
  <c r="W247" i="16" s="1"/>
  <c r="V231" i="18"/>
  <c r="W250" i="16" s="1"/>
  <c r="V234" i="18"/>
  <c r="W253" i="16" s="1"/>
  <c r="V237" i="18"/>
  <c r="W256" i="16" s="1"/>
  <c r="V240" i="18"/>
  <c r="W259" i="16" s="1"/>
  <c r="V243" i="18"/>
  <c r="W262" i="16" s="1"/>
  <c r="V246" i="18"/>
  <c r="W265" i="16" s="1"/>
  <c r="V249" i="18"/>
  <c r="W268" i="16" s="1"/>
  <c r="V252" i="18"/>
  <c r="W271" i="16" s="1"/>
  <c r="V255" i="18"/>
  <c r="W274" i="16" s="1"/>
  <c r="V258" i="18"/>
  <c r="W277" i="16" s="1"/>
  <c r="V261" i="18"/>
  <c r="W280" i="16" s="1"/>
  <c r="V264" i="18"/>
  <c r="W283" i="16" s="1"/>
  <c r="V267" i="18"/>
  <c r="W286" i="16" s="1"/>
  <c r="V270" i="18"/>
  <c r="W289" i="16" s="1"/>
  <c r="V273" i="18"/>
  <c r="W292" i="16" s="1"/>
  <c r="V276" i="18"/>
  <c r="W295" i="16" s="1"/>
  <c r="V279" i="18"/>
  <c r="W298" i="16" s="1"/>
  <c r="V282" i="18"/>
  <c r="W301" i="16" s="1"/>
  <c r="V285" i="18"/>
  <c r="W304" i="16" s="1"/>
  <c r="V288" i="18"/>
  <c r="W307" i="16" s="1"/>
  <c r="V291" i="18"/>
  <c r="W310" i="16" s="1"/>
  <c r="V294" i="18"/>
  <c r="W313" i="16" s="1"/>
  <c r="V297" i="18"/>
  <c r="W316" i="16" s="1"/>
  <c r="V300" i="18"/>
  <c r="W319" i="16" s="1"/>
  <c r="V303" i="18"/>
  <c r="W322" i="16" s="1"/>
  <c r="V306" i="18"/>
  <c r="W325" i="16" s="1"/>
  <c r="V309" i="18"/>
  <c r="W328" i="16" s="1"/>
  <c r="V312" i="18"/>
  <c r="W331" i="16" s="1"/>
  <c r="V315" i="18"/>
  <c r="W334" i="16" s="1"/>
  <c r="V318" i="18"/>
  <c r="W337" i="16" s="1"/>
  <c r="W109" i="18"/>
  <c r="X123" i="16" s="1"/>
  <c r="AU109" i="18"/>
  <c r="AX123" i="16" s="1"/>
  <c r="AW109" i="18"/>
  <c r="AZ123" i="16" s="1"/>
  <c r="W112" i="18"/>
  <c r="X126" i="16" s="1"/>
  <c r="AU112" i="18"/>
  <c r="AX126" i="16" s="1"/>
  <c r="AW112" i="18"/>
  <c r="AZ126" i="16" s="1"/>
  <c r="W115" i="18"/>
  <c r="X129" i="16" s="1"/>
  <c r="AU115" i="18"/>
  <c r="AX129" i="16" s="1"/>
  <c r="AW115" i="18"/>
  <c r="AZ129" i="16" s="1"/>
  <c r="W118" i="18"/>
  <c r="X132" i="16" s="1"/>
  <c r="AU118" i="18"/>
  <c r="AX132" i="16" s="1"/>
  <c r="AW118" i="18"/>
  <c r="AZ132" i="16" s="1"/>
  <c r="W121" i="18"/>
  <c r="X135" i="16" s="1"/>
  <c r="AU121" i="18"/>
  <c r="AX135" i="16" s="1"/>
  <c r="AW121" i="18"/>
  <c r="AZ135" i="16" s="1"/>
  <c r="W124" i="18"/>
  <c r="X138" i="16" s="1"/>
  <c r="AU124" i="18"/>
  <c r="AX138" i="16" s="1"/>
  <c r="AW124" i="18"/>
  <c r="AZ138" i="16" s="1"/>
  <c r="W127" i="18"/>
  <c r="X141" i="16" s="1"/>
  <c r="AU127" i="18"/>
  <c r="AX141" i="16" s="1"/>
  <c r="AW127" i="18"/>
  <c r="AZ141" i="16" s="1"/>
  <c r="W130" i="18"/>
  <c r="X144" i="16" s="1"/>
  <c r="AU130" i="18"/>
  <c r="AX144" i="16" s="1"/>
  <c r="AW130" i="18"/>
  <c r="AZ144" i="16" s="1"/>
  <c r="W133" i="18"/>
  <c r="X147" i="16" s="1"/>
  <c r="AU133" i="18"/>
  <c r="AX147" i="16" s="1"/>
  <c r="AW133" i="18"/>
  <c r="AZ147" i="16" s="1"/>
  <c r="W136" i="18"/>
  <c r="X150" i="16" s="1"/>
  <c r="AU136" i="18"/>
  <c r="AX150" i="16" s="1"/>
  <c r="AW136" i="18"/>
  <c r="AZ150" i="16" s="1"/>
  <c r="W139" i="18"/>
  <c r="X153" i="16" s="1"/>
  <c r="AU139" i="18"/>
  <c r="AX153" i="16" s="1"/>
  <c r="AW139" i="18"/>
  <c r="AZ153" i="16" s="1"/>
  <c r="W142" i="18"/>
  <c r="X156" i="16" s="1"/>
  <c r="AU142" i="18"/>
  <c r="AX156" i="16" s="1"/>
  <c r="AW142" i="18"/>
  <c r="AZ156" i="16" s="1"/>
  <c r="W145" i="18"/>
  <c r="X159" i="16" s="1"/>
  <c r="AU145" i="18"/>
  <c r="AX159" i="16" s="1"/>
  <c r="AW145" i="18"/>
  <c r="AZ159" i="16" s="1"/>
  <c r="W148" i="18"/>
  <c r="X162" i="16" s="1"/>
  <c r="AU148" i="18"/>
  <c r="AX162" i="16" s="1"/>
  <c r="AW148" i="18"/>
  <c r="AZ162" i="16" s="1"/>
  <c r="W151" i="18"/>
  <c r="X165" i="16" s="1"/>
  <c r="AU151" i="18"/>
  <c r="AX165" i="16" s="1"/>
  <c r="AW151" i="18"/>
  <c r="AZ165" i="16" s="1"/>
  <c r="W154" i="18"/>
  <c r="X168" i="16" s="1"/>
  <c r="AU154" i="18"/>
  <c r="AX168" i="16" s="1"/>
  <c r="AW154" i="18"/>
  <c r="AZ168" i="16" s="1"/>
  <c r="W157" i="18"/>
  <c r="X171" i="16" s="1"/>
  <c r="AU157" i="18"/>
  <c r="AX171" i="16" s="1"/>
  <c r="AW157" i="18"/>
  <c r="AZ171" i="16" s="1"/>
  <c r="W160" i="18"/>
  <c r="X174" i="16" s="1"/>
  <c r="AU160" i="18"/>
  <c r="AX174" i="16" s="1"/>
  <c r="AW160" i="18"/>
  <c r="AZ174" i="16" s="1"/>
  <c r="W163" i="18"/>
  <c r="X177" i="16" s="1"/>
  <c r="AU163" i="18"/>
  <c r="AX177" i="16" s="1"/>
  <c r="AW163" i="18"/>
  <c r="AZ177" i="16" s="1"/>
  <c r="W166" i="18"/>
  <c r="X180" i="16" s="1"/>
  <c r="AU166" i="18"/>
  <c r="AX180" i="16" s="1"/>
  <c r="AW166" i="18"/>
  <c r="AZ180" i="16" s="1"/>
  <c r="W169" i="18"/>
  <c r="X183" i="16" s="1"/>
  <c r="AU169" i="18"/>
  <c r="AX183" i="16" s="1"/>
  <c r="AW169" i="18"/>
  <c r="AZ183" i="16" s="1"/>
  <c r="W172" i="18"/>
  <c r="X186" i="16" s="1"/>
  <c r="AU172" i="18"/>
  <c r="AX186" i="16" s="1"/>
  <c r="AW172" i="18"/>
  <c r="AZ186" i="16" s="1"/>
  <c r="W175" i="18"/>
  <c r="X189" i="16" s="1"/>
  <c r="AU175" i="18"/>
  <c r="AX189" i="16" s="1"/>
  <c r="AW175" i="18"/>
  <c r="AZ189" i="16" s="1"/>
  <c r="W178" i="18"/>
  <c r="X192" i="16" s="1"/>
  <c r="AU178" i="18"/>
  <c r="AX192" i="16" s="1"/>
  <c r="AW178" i="18"/>
  <c r="AZ192" i="16" s="1"/>
  <c r="W181" i="18"/>
  <c r="X195" i="16" s="1"/>
  <c r="AU181" i="18"/>
  <c r="AX195" i="16" s="1"/>
  <c r="AW181" i="18"/>
  <c r="AZ195" i="16" s="1"/>
  <c r="W184" i="18"/>
  <c r="X198" i="16" s="1"/>
  <c r="AU184" i="18"/>
  <c r="AX198" i="16" s="1"/>
  <c r="AW184" i="18"/>
  <c r="AZ198" i="16" s="1"/>
  <c r="W187" i="18"/>
  <c r="X201" i="16" s="1"/>
  <c r="AU187" i="18"/>
  <c r="AX201" i="16" s="1"/>
  <c r="AW187" i="18"/>
  <c r="AZ201" i="16" s="1"/>
  <c r="W190" i="18"/>
  <c r="X204" i="16" s="1"/>
  <c r="AU190" i="18"/>
  <c r="AX204" i="16" s="1"/>
  <c r="AW190" i="18"/>
  <c r="AZ204" i="16" s="1"/>
  <c r="W193" i="18"/>
  <c r="X207" i="16" s="1"/>
  <c r="AU193" i="18"/>
  <c r="AX207" i="16" s="1"/>
  <c r="AW193" i="18"/>
  <c r="AZ207" i="16" s="1"/>
  <c r="W196" i="18"/>
  <c r="X210" i="16" s="1"/>
  <c r="AU196" i="18"/>
  <c r="AX210" i="16" s="1"/>
  <c r="AW196" i="18"/>
  <c r="AZ210" i="16" s="1"/>
  <c r="W199" i="18"/>
  <c r="X213" i="16" s="1"/>
  <c r="AU199" i="18"/>
  <c r="AX213" i="16" s="1"/>
  <c r="AW199" i="18"/>
  <c r="AZ213" i="16" s="1"/>
  <c r="W202" i="18"/>
  <c r="X216" i="16" s="1"/>
  <c r="AU202" i="18"/>
  <c r="AX216" i="16" s="1"/>
  <c r="AW202" i="18"/>
  <c r="AZ216" i="16" s="1"/>
  <c r="W205" i="18"/>
  <c r="X219" i="16" s="1"/>
  <c r="AU205" i="18"/>
  <c r="AX219" i="16" s="1"/>
  <c r="AW205" i="18"/>
  <c r="AZ219" i="16" s="1"/>
  <c r="W208" i="18"/>
  <c r="X222" i="16" s="1"/>
  <c r="AU208" i="18"/>
  <c r="AX222" i="16" s="1"/>
  <c r="AW208" i="18"/>
  <c r="AZ222" i="16" s="1"/>
  <c r="W211" i="18"/>
  <c r="X225" i="16" s="1"/>
  <c r="AU211" i="18"/>
  <c r="AX225" i="16" s="1"/>
  <c r="AW211" i="18"/>
  <c r="AZ225" i="16" s="1"/>
  <c r="V109" i="18"/>
  <c r="W123" i="16" s="1"/>
  <c r="V112" i="18"/>
  <c r="W126" i="16" s="1"/>
  <c r="V115" i="18"/>
  <c r="W129" i="16" s="1"/>
  <c r="V118" i="18"/>
  <c r="W132" i="16" s="1"/>
  <c r="V121" i="18"/>
  <c r="W135" i="16" s="1"/>
  <c r="V124" i="18"/>
  <c r="W138" i="16" s="1"/>
  <c r="V127" i="18"/>
  <c r="W141" i="16" s="1"/>
  <c r="V130" i="18"/>
  <c r="W144" i="16" s="1"/>
  <c r="V133" i="18"/>
  <c r="W147" i="16" s="1"/>
  <c r="V136" i="18"/>
  <c r="W150" i="16" s="1"/>
  <c r="V139" i="18"/>
  <c r="W153" i="16" s="1"/>
  <c r="V142" i="18"/>
  <c r="W156" i="16" s="1"/>
  <c r="V145" i="18"/>
  <c r="W159" i="16" s="1"/>
  <c r="V148" i="18"/>
  <c r="W162" i="16" s="1"/>
  <c r="V151" i="18"/>
  <c r="W165" i="16" s="1"/>
  <c r="V154" i="18"/>
  <c r="W168" i="16" s="1"/>
  <c r="V157" i="18"/>
  <c r="W171" i="16" s="1"/>
  <c r="V160" i="18"/>
  <c r="W174" i="16" s="1"/>
  <c r="V163" i="18"/>
  <c r="W177" i="16" s="1"/>
  <c r="V166" i="18"/>
  <c r="W180" i="16" s="1"/>
  <c r="V169" i="18"/>
  <c r="W183" i="16" s="1"/>
  <c r="V172" i="18"/>
  <c r="W186" i="16" s="1"/>
  <c r="V175" i="18"/>
  <c r="W189" i="16" s="1"/>
  <c r="V178" i="18"/>
  <c r="W192" i="16" s="1"/>
  <c r="V181" i="18"/>
  <c r="W195" i="16" s="1"/>
  <c r="V184" i="18"/>
  <c r="W198" i="16" s="1"/>
  <c r="V187" i="18"/>
  <c r="W201" i="16" s="1"/>
  <c r="V190" i="18"/>
  <c r="W204" i="16" s="1"/>
  <c r="V193" i="18"/>
  <c r="W207" i="16" s="1"/>
  <c r="V196" i="18"/>
  <c r="W210" i="16" s="1"/>
  <c r="V199" i="18"/>
  <c r="W213" i="16" s="1"/>
  <c r="V202" i="18"/>
  <c r="W216" i="16" s="1"/>
  <c r="V205" i="18"/>
  <c r="W219" i="16" s="1"/>
  <c r="V208" i="18"/>
  <c r="W222" i="16" s="1"/>
  <c r="V211" i="18"/>
  <c r="W225" i="16" s="1"/>
  <c r="AU5" i="18"/>
  <c r="AX14" i="16" s="1"/>
  <c r="AV5" i="18"/>
  <c r="AY14" i="16" s="1"/>
  <c r="AW5" i="18"/>
  <c r="AZ14" i="16" s="1"/>
  <c r="X32" i="16"/>
  <c r="X14" i="16"/>
  <c r="B113" i="16"/>
  <c r="B110" i="16"/>
  <c r="B107" i="16"/>
  <c r="B104" i="16"/>
  <c r="B101" i="16"/>
  <c r="B98" i="16"/>
  <c r="B95" i="16"/>
  <c r="B92" i="16"/>
  <c r="B89" i="16"/>
  <c r="B86" i="16"/>
  <c r="B83" i="16"/>
  <c r="B80" i="16"/>
  <c r="B77" i="16"/>
  <c r="B74" i="16"/>
  <c r="B71" i="16"/>
  <c r="B68" i="16"/>
  <c r="B65" i="16"/>
  <c r="B62" i="16"/>
  <c r="B59" i="16"/>
  <c r="B56" i="16"/>
  <c r="B53" i="16"/>
  <c r="B50" i="16"/>
  <c r="B47" i="16"/>
  <c r="B44" i="16"/>
  <c r="B41" i="16"/>
  <c r="B38" i="16"/>
  <c r="B35" i="16"/>
  <c r="B32" i="16"/>
  <c r="B29" i="16"/>
  <c r="B26" i="16"/>
  <c r="B23" i="16"/>
  <c r="B20" i="16"/>
  <c r="B17" i="16"/>
  <c r="B14" i="16"/>
  <c r="B11" i="16"/>
  <c r="AC16" i="20"/>
  <c r="AH16" i="21"/>
  <c r="AC32" i="20"/>
  <c r="AH32" i="21"/>
  <c r="B44" i="19"/>
  <c r="B37" i="20"/>
  <c r="B40" i="19"/>
  <c r="B35" i="20"/>
  <c r="B13" i="21"/>
  <c r="B33" i="20"/>
  <c r="B11" i="21"/>
  <c r="AH35" i="21"/>
  <c r="B9" i="21"/>
  <c r="B36" i="19"/>
  <c r="B7" i="21"/>
  <c r="B32" i="19"/>
  <c r="B31" i="20"/>
  <c r="B28" i="19"/>
  <c r="B29" i="20"/>
  <c r="B24" i="19"/>
  <c r="B27" i="20"/>
  <c r="B40" i="21"/>
  <c r="B25" i="20"/>
  <c r="B38" i="21"/>
  <c r="B36" i="21"/>
  <c r="B16" i="19"/>
  <c r="B50" i="19"/>
  <c r="B38" i="20"/>
  <c r="AC30" i="20"/>
  <c r="AH30" i="21"/>
  <c r="B8" i="19"/>
  <c r="B19" i="20"/>
  <c r="B32" i="21"/>
  <c r="B17" i="20"/>
  <c r="B30" i="21"/>
  <c r="AH36" i="21"/>
  <c r="B28" i="21"/>
  <c r="B74" i="19"/>
  <c r="B26" i="21"/>
  <c r="B70" i="19"/>
  <c r="B15" i="20"/>
  <c r="B66" i="19"/>
  <c r="B13" i="20"/>
  <c r="AC35" i="20"/>
  <c r="B11" i="20"/>
  <c r="B24" i="21"/>
  <c r="B9" i="20"/>
  <c r="B22" i="21"/>
  <c r="B62" i="19"/>
  <c r="B20" i="21"/>
  <c r="B58" i="19"/>
  <c r="B18" i="21"/>
  <c r="B54" i="19"/>
  <c r="B40" i="20"/>
  <c r="AC20" i="20"/>
  <c r="AH20" i="21"/>
  <c r="B36" i="20"/>
  <c r="B14" i="21"/>
  <c r="B46" i="19"/>
  <c r="B12" i="21"/>
  <c r="B42" i="19"/>
  <c r="B10" i="21"/>
  <c r="B38" i="19"/>
  <c r="B34" i="20"/>
  <c r="B34" i="19"/>
  <c r="B32" i="20"/>
  <c r="AC36" i="20"/>
  <c r="B30" i="20"/>
  <c r="B8" i="21"/>
  <c r="B28" i="20"/>
  <c r="B6" i="21"/>
  <c r="B30" i="19"/>
  <c r="B39" i="21"/>
  <c r="B26" i="19"/>
  <c r="AH13" i="21"/>
  <c r="B22" i="19"/>
  <c r="B26" i="20"/>
  <c r="B18" i="19"/>
  <c r="B24" i="20"/>
  <c r="B37" i="21"/>
  <c r="B22" i="20"/>
  <c r="B35" i="21"/>
  <c r="B20" i="20"/>
  <c r="B33" i="21"/>
  <c r="B14" i="19"/>
  <c r="AH9" i="21"/>
  <c r="AC9" i="20"/>
  <c r="AC34" i="20"/>
  <c r="AH34" i="21"/>
  <c r="B31" i="21"/>
  <c r="B10" i="19"/>
  <c r="AC12" i="20"/>
  <c r="B76" i="19"/>
  <c r="B18" i="20"/>
  <c r="B72" i="19"/>
  <c r="B16" i="20"/>
  <c r="B29" i="21"/>
  <c r="B14" i="20"/>
  <c r="B27" i="21"/>
  <c r="B12" i="20"/>
  <c r="B25" i="21"/>
  <c r="B68" i="19"/>
  <c r="B23" i="21"/>
  <c r="B64" i="19"/>
  <c r="AH14" i="21"/>
  <c r="B60" i="19"/>
  <c r="B10" i="20"/>
  <c r="B56" i="19"/>
  <c r="B8" i="20"/>
  <c r="B21" i="21"/>
  <c r="B6" i="20"/>
  <c r="B19" i="21"/>
  <c r="AC13" i="20"/>
  <c r="B17" i="21"/>
  <c r="B52" i="19"/>
  <c r="B15" i="21"/>
  <c r="B48" i="19"/>
  <c r="B39" i="20"/>
  <c r="AC14" i="20"/>
  <c r="B20" i="19"/>
  <c r="B34" i="21"/>
  <c r="B23" i="20"/>
  <c r="B12" i="19"/>
  <c r="B21" i="20"/>
  <c r="B7" i="20"/>
  <c r="AH12" i="21"/>
  <c r="B16" i="21"/>
  <c r="AI34" i="21" l="1"/>
  <c r="AD34" i="20"/>
  <c r="AD9" i="20"/>
  <c r="AI9" i="21"/>
  <c r="AI20" i="21"/>
  <c r="AD20" i="20"/>
  <c r="AI30" i="21"/>
  <c r="AD30" i="20"/>
  <c r="AI32" i="21"/>
  <c r="AD32" i="20"/>
  <c r="AI16" i="21"/>
  <c r="AD16" i="20"/>
  <c r="AI36" i="21"/>
  <c r="AD36" i="20"/>
  <c r="AI14" i="21"/>
  <c r="AD14" i="20"/>
  <c r="AI12" i="21"/>
  <c r="AD12" i="20"/>
  <c r="AI35" i="21"/>
  <c r="AD35" i="20"/>
  <c r="AI13" i="21"/>
  <c r="AD13" i="20"/>
  <c r="X11" i="16"/>
  <c r="W11" i="16"/>
  <c r="Y11" i="16"/>
  <c r="AZ679" i="16"/>
  <c r="AD679" i="16"/>
  <c r="Y679" i="16"/>
  <c r="AZ567" i="16"/>
  <c r="AD567" i="16"/>
  <c r="Y567" i="16"/>
  <c r="AZ455" i="16"/>
  <c r="AD455" i="16"/>
  <c r="Y455" i="16"/>
  <c r="AZ343" i="16"/>
  <c r="AD343" i="16"/>
  <c r="Y343" i="16"/>
  <c r="AZ231" i="16"/>
  <c r="AD231" i="16"/>
  <c r="Y231" i="16"/>
  <c r="AZ119" i="16"/>
  <c r="AD119" i="16"/>
  <c r="Y119" i="16"/>
  <c r="AZ7" i="16"/>
  <c r="AD7" i="16"/>
  <c r="Y7" i="16"/>
  <c r="Z280" i="16" s="1"/>
  <c r="U21" i="20"/>
  <c r="U21" i="21"/>
  <c r="Z241" i="16" l="1"/>
  <c r="Z253" i="16"/>
  <c r="Z265" i="16"/>
  <c r="Z277" i="16"/>
  <c r="Z289" i="16"/>
  <c r="BA292" i="16"/>
  <c r="Z244" i="16"/>
  <c r="Z256" i="16"/>
  <c r="Z268" i="16"/>
  <c r="BA785" i="16"/>
  <c r="BA779" i="16"/>
  <c r="BA773" i="16"/>
  <c r="BA767" i="16"/>
  <c r="BA761" i="16"/>
  <c r="BA755" i="16"/>
  <c r="BA749" i="16"/>
  <c r="BA743" i="16"/>
  <c r="BA737" i="16"/>
  <c r="BA731" i="16"/>
  <c r="BA725" i="16"/>
  <c r="BA719" i="16"/>
  <c r="BA713" i="16"/>
  <c r="BA707" i="16"/>
  <c r="BA701" i="16"/>
  <c r="BA695" i="16"/>
  <c r="BA689" i="16"/>
  <c r="BA683" i="16"/>
  <c r="Z673" i="16"/>
  <c r="Z667" i="16"/>
  <c r="Z661" i="16"/>
  <c r="Z655" i="16"/>
  <c r="Z649" i="16"/>
  <c r="Z643" i="16"/>
  <c r="Z637" i="16"/>
  <c r="Z631" i="16"/>
  <c r="Z625" i="16"/>
  <c r="Z619" i="16"/>
  <c r="Z613" i="16"/>
  <c r="Z607" i="16"/>
  <c r="Z601" i="16"/>
  <c r="Z595" i="16"/>
  <c r="Z589" i="16"/>
  <c r="Z583" i="16"/>
  <c r="Z577" i="16"/>
  <c r="Z571" i="16"/>
  <c r="BA558" i="16"/>
  <c r="BA552" i="16"/>
  <c r="BA546" i="16"/>
  <c r="BA540" i="16"/>
  <c r="BA534" i="16"/>
  <c r="Z785" i="16"/>
  <c r="Z779" i="16"/>
  <c r="Z773" i="16"/>
  <c r="Z767" i="16"/>
  <c r="Z761" i="16"/>
  <c r="Z755" i="16"/>
  <c r="Z749" i="16"/>
  <c r="Z743" i="16"/>
  <c r="Z737" i="16"/>
  <c r="Z731" i="16"/>
  <c r="Z725" i="16"/>
  <c r="Z719" i="16"/>
  <c r="Z713" i="16"/>
  <c r="Z707" i="16"/>
  <c r="Z701" i="16"/>
  <c r="Z695" i="16"/>
  <c r="Z689" i="16"/>
  <c r="Z683" i="16"/>
  <c r="BA670" i="16"/>
  <c r="BA664" i="16"/>
  <c r="BA658" i="16"/>
  <c r="BA652" i="16"/>
  <c r="BA646" i="16"/>
  <c r="BA640" i="16"/>
  <c r="BA634" i="16"/>
  <c r="BA628" i="16"/>
  <c r="BA622" i="16"/>
  <c r="BA616" i="16"/>
  <c r="BA610" i="16"/>
  <c r="BA604" i="16"/>
  <c r="BA598" i="16"/>
  <c r="BA592" i="16"/>
  <c r="BA586" i="16"/>
  <c r="BA580" i="16"/>
  <c r="BA574" i="16"/>
  <c r="Z558" i="16"/>
  <c r="Z552" i="16"/>
  <c r="Z546" i="16"/>
  <c r="Z540" i="16"/>
  <c r="Z534" i="16"/>
  <c r="Z528" i="16"/>
  <c r="Z522" i="16"/>
  <c r="Z516" i="16"/>
  <c r="BA561" i="16"/>
  <c r="BA555" i="16"/>
  <c r="BA549" i="16"/>
  <c r="BA543" i="16"/>
  <c r="BA537" i="16"/>
  <c r="BA531" i="16"/>
  <c r="BA522" i="16"/>
  <c r="BA519" i="16"/>
  <c r="Z513" i="16"/>
  <c r="Z507" i="16"/>
  <c r="Z501" i="16"/>
  <c r="Z495" i="16"/>
  <c r="Z489" i="16"/>
  <c r="Z483" i="16"/>
  <c r="Z477" i="16"/>
  <c r="Z471" i="16"/>
  <c r="Z465" i="16"/>
  <c r="Z459" i="16"/>
  <c r="BA446" i="16"/>
  <c r="BA440" i="16"/>
  <c r="BA434" i="16"/>
  <c r="BA428" i="16"/>
  <c r="BA422" i="16"/>
  <c r="BA416" i="16"/>
  <c r="BA410" i="16"/>
  <c r="BA404" i="16"/>
  <c r="BA398" i="16"/>
  <c r="BA392" i="16"/>
  <c r="BA386" i="16"/>
  <c r="BA380" i="16"/>
  <c r="BA374" i="16"/>
  <c r="BA368" i="16"/>
  <c r="BA362" i="16"/>
  <c r="BA356" i="16"/>
  <c r="BA350" i="16"/>
  <c r="Z334" i="16"/>
  <c r="Z328" i="16"/>
  <c r="Z322" i="16"/>
  <c r="Z316" i="16"/>
  <c r="Z310" i="16"/>
  <c r="Z304" i="16"/>
  <c r="Z298" i="16"/>
  <c r="Z292" i="16"/>
  <c r="Z561" i="16"/>
  <c r="Z555" i="16"/>
  <c r="Z549" i="16"/>
  <c r="Z543" i="16"/>
  <c r="Z537" i="16"/>
  <c r="Z531" i="16"/>
  <c r="Z519" i="16"/>
  <c r="BA510" i="16"/>
  <c r="BA504" i="16"/>
  <c r="BA498" i="16"/>
  <c r="BA492" i="16"/>
  <c r="BA486" i="16"/>
  <c r="BA480" i="16"/>
  <c r="BA474" i="16"/>
  <c r="BA468" i="16"/>
  <c r="BA462" i="16"/>
  <c r="Z446" i="16"/>
  <c r="Z440" i="16"/>
  <c r="Z434" i="16"/>
  <c r="Z428" i="16"/>
  <c r="Z422" i="16"/>
  <c r="Z416" i="16"/>
  <c r="Z410" i="16"/>
  <c r="Z404" i="16"/>
  <c r="Z398" i="16"/>
  <c r="Z392" i="16"/>
  <c r="Z386" i="16"/>
  <c r="Z380" i="16"/>
  <c r="Z374" i="16"/>
  <c r="Z368" i="16"/>
  <c r="Z362" i="16"/>
  <c r="Z356" i="16"/>
  <c r="Z350" i="16"/>
  <c r="BA337" i="16"/>
  <c r="BA331" i="16"/>
  <c r="BA325" i="16"/>
  <c r="BA319" i="16"/>
  <c r="BA313" i="16"/>
  <c r="BA516" i="16"/>
  <c r="Z510" i="16"/>
  <c r="Z504" i="16"/>
  <c r="Z498" i="16"/>
  <c r="Z492" i="16"/>
  <c r="Z486" i="16"/>
  <c r="Z480" i="16"/>
  <c r="Z474" i="16"/>
  <c r="Z468" i="16"/>
  <c r="Z462" i="16"/>
  <c r="Z337" i="16"/>
  <c r="Z331" i="16"/>
  <c r="Z325" i="16"/>
  <c r="Z319" i="16"/>
  <c r="Z313" i="16"/>
  <c r="Z301" i="16"/>
  <c r="BA289" i="16"/>
  <c r="BA283" i="16"/>
  <c r="BA277" i="16"/>
  <c r="BA271" i="16"/>
  <c r="BA265" i="16"/>
  <c r="BA259" i="16"/>
  <c r="BA253" i="16"/>
  <c r="BA247" i="16"/>
  <c r="BA241" i="16"/>
  <c r="BA235" i="16"/>
  <c r="Z225" i="16"/>
  <c r="Z219" i="16"/>
  <c r="Z213" i="16"/>
  <c r="Z207" i="16"/>
  <c r="Z201" i="16"/>
  <c r="Z195" i="16"/>
  <c r="Z189" i="16"/>
  <c r="Z183" i="16"/>
  <c r="Z177" i="16"/>
  <c r="Z171" i="16"/>
  <c r="Z165" i="16"/>
  <c r="Z159" i="16"/>
  <c r="Z153" i="16"/>
  <c r="Z147" i="16"/>
  <c r="Z141" i="16"/>
  <c r="BA782" i="16"/>
  <c r="BA776" i="16"/>
  <c r="BA770" i="16"/>
  <c r="BA764" i="16"/>
  <c r="BA758" i="16"/>
  <c r="BA752" i="16"/>
  <c r="BA746" i="16"/>
  <c r="BA740" i="16"/>
  <c r="BA734" i="16"/>
  <c r="BA728" i="16"/>
  <c r="BA722" i="16"/>
  <c r="BA716" i="16"/>
  <c r="BA710" i="16"/>
  <c r="BA704" i="16"/>
  <c r="BA698" i="16"/>
  <c r="BA692" i="16"/>
  <c r="BA686" i="16"/>
  <c r="Z670" i="16"/>
  <c r="Z664" i="16"/>
  <c r="Z658" i="16"/>
  <c r="Z652" i="16"/>
  <c r="Z646" i="16"/>
  <c r="Z640" i="16"/>
  <c r="Z634" i="16"/>
  <c r="Z628" i="16"/>
  <c r="Z622" i="16"/>
  <c r="Z616" i="16"/>
  <c r="Z610" i="16"/>
  <c r="Z604" i="16"/>
  <c r="Z598" i="16"/>
  <c r="Z592" i="16"/>
  <c r="Z586" i="16"/>
  <c r="Z580" i="16"/>
  <c r="Z574" i="16"/>
  <c r="BA528" i="16"/>
  <c r="BA525" i="16"/>
  <c r="BA449" i="16"/>
  <c r="BA443" i="16"/>
  <c r="BA437" i="16"/>
  <c r="BA431" i="16"/>
  <c r="BA425" i="16"/>
  <c r="BA419" i="16"/>
  <c r="BA413" i="16"/>
  <c r="BA507" i="16"/>
  <c r="BA495" i="16"/>
  <c r="BA483" i="16"/>
  <c r="BA471" i="16"/>
  <c r="BA459" i="16"/>
  <c r="Z449" i="16"/>
  <c r="Z437" i="16"/>
  <c r="Z425" i="16"/>
  <c r="BA407" i="16"/>
  <c r="BA401" i="16"/>
  <c r="BA395" i="16"/>
  <c r="BA389" i="16"/>
  <c r="BA383" i="16"/>
  <c r="BA377" i="16"/>
  <c r="BA371" i="16"/>
  <c r="BA365" i="16"/>
  <c r="BA359" i="16"/>
  <c r="BA353" i="16"/>
  <c r="BA347" i="16"/>
  <c r="Z295" i="16"/>
  <c r="BA280" i="16"/>
  <c r="BA268" i="16"/>
  <c r="BA256" i="16"/>
  <c r="BA244" i="16"/>
  <c r="Z216" i="16"/>
  <c r="Z204" i="16"/>
  <c r="Z192" i="16"/>
  <c r="Z180" i="16"/>
  <c r="Z168" i="16"/>
  <c r="Z156" i="16"/>
  <c r="Z144" i="16"/>
  <c r="Z135" i="16"/>
  <c r="Z129" i="16"/>
  <c r="Z123" i="16"/>
  <c r="BA110" i="16"/>
  <c r="BA104" i="16"/>
  <c r="BA98" i="16"/>
  <c r="BA92" i="16"/>
  <c r="BA86" i="16"/>
  <c r="BA80" i="16"/>
  <c r="BA74" i="16"/>
  <c r="BA68" i="16"/>
  <c r="BA62" i="16"/>
  <c r="BA56" i="16"/>
  <c r="BA50" i="16"/>
  <c r="BA44" i="16"/>
  <c r="BA38" i="16"/>
  <c r="BA32" i="16"/>
  <c r="BA26" i="16"/>
  <c r="BA20" i="16"/>
  <c r="BA14" i="16"/>
  <c r="Z782" i="16"/>
  <c r="Z770" i="16"/>
  <c r="Z758" i="16"/>
  <c r="Z746" i="16"/>
  <c r="Z734" i="16"/>
  <c r="Z722" i="16"/>
  <c r="Z710" i="16"/>
  <c r="Z698" i="16"/>
  <c r="Z686" i="16"/>
  <c r="BA673" i="16"/>
  <c r="BA661" i="16"/>
  <c r="BA649" i="16"/>
  <c r="BA637" i="16"/>
  <c r="BA625" i="16"/>
  <c r="BA613" i="16"/>
  <c r="BA601" i="16"/>
  <c r="BA589" i="16"/>
  <c r="BA577" i="16"/>
  <c r="Z413" i="16"/>
  <c r="Z407" i="16"/>
  <c r="Z401" i="16"/>
  <c r="Z395" i="16"/>
  <c r="Z389" i="16"/>
  <c r="Z383" i="16"/>
  <c r="Z377" i="16"/>
  <c r="Z371" i="16"/>
  <c r="Z365" i="16"/>
  <c r="Z359" i="16"/>
  <c r="Z353" i="16"/>
  <c r="Z347" i="16"/>
  <c r="BA334" i="16"/>
  <c r="BA322" i="16"/>
  <c r="BA310" i="16"/>
  <c r="BA307" i="16"/>
  <c r="BA513" i="16"/>
  <c r="BA501" i="16"/>
  <c r="BA489" i="16"/>
  <c r="BA477" i="16"/>
  <c r="BA465" i="16"/>
  <c r="Z443" i="16"/>
  <c r="Z431" i="16"/>
  <c r="Z419" i="16"/>
  <c r="Z307" i="16"/>
  <c r="BA286" i="16"/>
  <c r="BA274" i="16"/>
  <c r="BA262" i="16"/>
  <c r="BA250" i="16"/>
  <c r="BA238" i="16"/>
  <c r="Z222" i="16"/>
  <c r="Z210" i="16"/>
  <c r="Z198" i="16"/>
  <c r="Z186" i="16"/>
  <c r="Z174" i="16"/>
  <c r="Z162" i="16"/>
  <c r="Z150" i="16"/>
  <c r="Z138" i="16"/>
  <c r="Z132" i="16"/>
  <c r="Z126" i="16"/>
  <c r="BA113" i="16"/>
  <c r="BA107" i="16"/>
  <c r="BA101" i="16"/>
  <c r="BA95" i="16"/>
  <c r="BA89" i="16"/>
  <c r="BA83" i="16"/>
  <c r="BA77" i="16"/>
  <c r="BA71" i="16"/>
  <c r="BA65" i="16"/>
  <c r="BA59" i="16"/>
  <c r="BA53" i="16"/>
  <c r="BA47" i="16"/>
  <c r="BA41" i="16"/>
  <c r="BA35" i="16"/>
  <c r="BA29" i="16"/>
  <c r="BA23" i="16"/>
  <c r="BA17" i="16"/>
  <c r="BA11" i="16"/>
  <c r="Z776" i="16"/>
  <c r="Z764" i="16"/>
  <c r="Z752" i="16"/>
  <c r="Z740" i="16"/>
  <c r="Z728" i="16"/>
  <c r="Z716" i="16"/>
  <c r="Z704" i="16"/>
  <c r="Z692" i="16"/>
  <c r="BA667" i="16"/>
  <c r="BA655" i="16"/>
  <c r="BA643" i="16"/>
  <c r="BA631" i="16"/>
  <c r="BA619" i="16"/>
  <c r="BA607" i="16"/>
  <c r="BA595" i="16"/>
  <c r="BA583" i="16"/>
  <c r="BA571" i="16"/>
  <c r="Z525" i="16"/>
  <c r="BA328" i="16"/>
  <c r="BA316" i="16"/>
  <c r="BA304" i="16"/>
  <c r="BA301" i="16"/>
  <c r="BA298" i="16"/>
  <c r="BA295" i="16"/>
  <c r="Z286" i="16"/>
  <c r="Z283" i="16"/>
  <c r="Z274" i="16"/>
  <c r="Z271" i="16"/>
  <c r="Z262" i="16"/>
  <c r="Z259" i="16"/>
  <c r="Z250" i="16"/>
  <c r="Z247" i="16"/>
  <c r="Z238" i="16"/>
  <c r="Z235" i="16"/>
  <c r="BA219" i="16"/>
  <c r="BA216" i="16"/>
  <c r="BA207" i="16"/>
  <c r="BA204" i="16"/>
  <c r="BA195" i="16"/>
  <c r="BA192" i="16"/>
  <c r="BA183" i="16"/>
  <c r="BA180" i="16"/>
  <c r="B123" i="16"/>
  <c r="B235" i="16" s="1"/>
  <c r="B347" i="16" s="1"/>
  <c r="B459" i="16" s="1"/>
  <c r="B571" i="16" s="1"/>
  <c r="B683" i="16" s="1"/>
  <c r="AC11" i="16"/>
  <c r="AC123" i="16" s="1"/>
  <c r="AC235" i="16" s="1"/>
  <c r="AC347" i="16" s="1"/>
  <c r="AC459" i="16" s="1"/>
  <c r="AC571" i="16" s="1"/>
  <c r="AC683" i="16" s="1"/>
  <c r="Z11" i="16"/>
  <c r="AC14" i="16"/>
  <c r="AC126" i="16" s="1"/>
  <c r="AC238" i="16" s="1"/>
  <c r="AC350" i="16" s="1"/>
  <c r="AC462" i="16" s="1"/>
  <c r="AC574" i="16" s="1"/>
  <c r="AC686" i="16" s="1"/>
  <c r="B126" i="16"/>
  <c r="B238" i="16" s="1"/>
  <c r="B350" i="16" s="1"/>
  <c r="B462" i="16" s="1"/>
  <c r="B574" i="16" s="1"/>
  <c r="B686" i="16" s="1"/>
  <c r="Z14" i="16"/>
  <c r="B129" i="16"/>
  <c r="B241" i="16" s="1"/>
  <c r="B353" i="16" s="1"/>
  <c r="B465" i="16" s="1"/>
  <c r="B577" i="16" s="1"/>
  <c r="B689" i="16" s="1"/>
  <c r="AC17" i="16"/>
  <c r="AC129" i="16" s="1"/>
  <c r="AC241" i="16" s="1"/>
  <c r="AC353" i="16" s="1"/>
  <c r="AC465" i="16" s="1"/>
  <c r="AC577" i="16" s="1"/>
  <c r="AC689" i="16" s="1"/>
  <c r="Z17" i="16"/>
  <c r="AC20" i="16"/>
  <c r="AC132" i="16" s="1"/>
  <c r="AC244" i="16" s="1"/>
  <c r="AC356" i="16" s="1"/>
  <c r="AC468" i="16" s="1"/>
  <c r="AC580" i="16" s="1"/>
  <c r="AC692" i="16" s="1"/>
  <c r="B132" i="16"/>
  <c r="B244" i="16" s="1"/>
  <c r="B356" i="16" s="1"/>
  <c r="B468" i="16" s="1"/>
  <c r="B580" i="16" s="1"/>
  <c r="B692" i="16" s="1"/>
  <c r="Z20" i="16"/>
  <c r="B135" i="16"/>
  <c r="B247" i="16" s="1"/>
  <c r="B359" i="16" s="1"/>
  <c r="B471" i="16" s="1"/>
  <c r="B583" i="16" s="1"/>
  <c r="B695" i="16" s="1"/>
  <c r="AC23" i="16"/>
  <c r="AC135" i="16" s="1"/>
  <c r="AC247" i="16" s="1"/>
  <c r="AC359" i="16" s="1"/>
  <c r="AC471" i="16" s="1"/>
  <c r="AC583" i="16" s="1"/>
  <c r="AC695" i="16" s="1"/>
  <c r="Z23" i="16"/>
  <c r="AC26" i="16"/>
  <c r="AC138" i="16" s="1"/>
  <c r="AC250" i="16" s="1"/>
  <c r="AC362" i="16" s="1"/>
  <c r="AC474" i="16" s="1"/>
  <c r="AC586" i="16" s="1"/>
  <c r="AC698" i="16" s="1"/>
  <c r="B138" i="16"/>
  <c r="B250" i="16" s="1"/>
  <c r="B362" i="16" s="1"/>
  <c r="B474" i="16" s="1"/>
  <c r="B586" i="16" s="1"/>
  <c r="B698" i="16" s="1"/>
  <c r="Z26" i="16"/>
  <c r="B141" i="16"/>
  <c r="B253" i="16" s="1"/>
  <c r="B365" i="16" s="1"/>
  <c r="B477" i="16" s="1"/>
  <c r="B589" i="16" s="1"/>
  <c r="B701" i="16" s="1"/>
  <c r="AC29" i="16"/>
  <c r="AC141" i="16" s="1"/>
  <c r="AC253" i="16" s="1"/>
  <c r="AC365" i="16" s="1"/>
  <c r="AC477" i="16" s="1"/>
  <c r="AC589" i="16" s="1"/>
  <c r="AC701" i="16" s="1"/>
  <c r="Z29" i="16"/>
  <c r="B144" i="16"/>
  <c r="B256" i="16" s="1"/>
  <c r="B368" i="16" s="1"/>
  <c r="B480" i="16" s="1"/>
  <c r="B592" i="16" s="1"/>
  <c r="B704" i="16" s="1"/>
  <c r="AC32" i="16"/>
  <c r="AC144" i="16" s="1"/>
  <c r="AC256" i="16" s="1"/>
  <c r="AC368" i="16" s="1"/>
  <c r="AC480" i="16" s="1"/>
  <c r="AC592" i="16" s="1"/>
  <c r="AC704" i="16" s="1"/>
  <c r="Z32" i="16"/>
  <c r="B147" i="16"/>
  <c r="B259" i="16" s="1"/>
  <c r="B371" i="16" s="1"/>
  <c r="B483" i="16" s="1"/>
  <c r="B595" i="16" s="1"/>
  <c r="B707" i="16" s="1"/>
  <c r="AC35" i="16"/>
  <c r="AC147" i="16" s="1"/>
  <c r="AC259" i="16" s="1"/>
  <c r="AC371" i="16" s="1"/>
  <c r="AC483" i="16" s="1"/>
  <c r="AC595" i="16" s="1"/>
  <c r="AC707" i="16" s="1"/>
  <c r="Z35" i="16"/>
  <c r="AC38" i="16"/>
  <c r="AC150" i="16" s="1"/>
  <c r="AC262" i="16" s="1"/>
  <c r="AC374" i="16" s="1"/>
  <c r="AC486" i="16" s="1"/>
  <c r="AC598" i="16" s="1"/>
  <c r="AC710" i="16" s="1"/>
  <c r="B150" i="16"/>
  <c r="B262" i="16" s="1"/>
  <c r="B374" i="16" s="1"/>
  <c r="B486" i="16" s="1"/>
  <c r="B598" i="16" s="1"/>
  <c r="B710" i="16" s="1"/>
  <c r="Z38" i="16"/>
  <c r="B153" i="16"/>
  <c r="B265" i="16" s="1"/>
  <c r="B377" i="16" s="1"/>
  <c r="B489" i="16" s="1"/>
  <c r="B601" i="16" s="1"/>
  <c r="B713" i="16" s="1"/>
  <c r="AC41" i="16"/>
  <c r="AC153" i="16" s="1"/>
  <c r="AC265" i="16" s="1"/>
  <c r="AC377" i="16" s="1"/>
  <c r="AC489" i="16" s="1"/>
  <c r="AC601" i="16" s="1"/>
  <c r="AC713" i="16" s="1"/>
  <c r="Z41" i="16"/>
  <c r="B156" i="16"/>
  <c r="B268" i="16" s="1"/>
  <c r="B380" i="16" s="1"/>
  <c r="B492" i="16" s="1"/>
  <c r="B604" i="16" s="1"/>
  <c r="B716" i="16" s="1"/>
  <c r="AC44" i="16"/>
  <c r="AC156" i="16" s="1"/>
  <c r="AC268" i="16" s="1"/>
  <c r="AC380" i="16" s="1"/>
  <c r="AC492" i="16" s="1"/>
  <c r="AC604" i="16" s="1"/>
  <c r="AC716" i="16" s="1"/>
  <c r="Z44" i="16"/>
  <c r="B159" i="16"/>
  <c r="B271" i="16" s="1"/>
  <c r="B383" i="16" s="1"/>
  <c r="B495" i="16" s="1"/>
  <c r="B607" i="16" s="1"/>
  <c r="B719" i="16" s="1"/>
  <c r="AC47" i="16"/>
  <c r="AC159" i="16" s="1"/>
  <c r="AC271" i="16" s="1"/>
  <c r="AC383" i="16" s="1"/>
  <c r="AC495" i="16" s="1"/>
  <c r="AC607" i="16" s="1"/>
  <c r="AC719" i="16" s="1"/>
  <c r="Z47" i="16"/>
  <c r="AC50" i="16"/>
  <c r="AC162" i="16" s="1"/>
  <c r="AC274" i="16" s="1"/>
  <c r="AC386" i="16" s="1"/>
  <c r="AC498" i="16" s="1"/>
  <c r="AC610" i="16" s="1"/>
  <c r="AC722" i="16" s="1"/>
  <c r="B162" i="16"/>
  <c r="B274" i="16" s="1"/>
  <c r="B386" i="16" s="1"/>
  <c r="B498" i="16" s="1"/>
  <c r="B610" i="16" s="1"/>
  <c r="B722" i="16" s="1"/>
  <c r="Z50" i="16"/>
  <c r="B165" i="16"/>
  <c r="B277" i="16" s="1"/>
  <c r="B389" i="16" s="1"/>
  <c r="B501" i="16" s="1"/>
  <c r="B613" i="16" s="1"/>
  <c r="B725" i="16" s="1"/>
  <c r="AC53" i="16"/>
  <c r="AC165" i="16" s="1"/>
  <c r="AC277" i="16" s="1"/>
  <c r="AC389" i="16" s="1"/>
  <c r="AC501" i="16" s="1"/>
  <c r="AC613" i="16" s="1"/>
  <c r="AC725" i="16" s="1"/>
  <c r="Z53" i="16"/>
  <c r="B168" i="16"/>
  <c r="B280" i="16" s="1"/>
  <c r="B392" i="16" s="1"/>
  <c r="B504" i="16" s="1"/>
  <c r="B616" i="16" s="1"/>
  <c r="B728" i="16" s="1"/>
  <c r="AC56" i="16"/>
  <c r="AC168" i="16" s="1"/>
  <c r="AC280" i="16" s="1"/>
  <c r="AC392" i="16" s="1"/>
  <c r="AC504" i="16" s="1"/>
  <c r="AC616" i="16" s="1"/>
  <c r="AC728" i="16" s="1"/>
  <c r="Z56" i="16"/>
  <c r="B171" i="16"/>
  <c r="B283" i="16" s="1"/>
  <c r="B395" i="16" s="1"/>
  <c r="B507" i="16" s="1"/>
  <c r="B619" i="16" s="1"/>
  <c r="B731" i="16" s="1"/>
  <c r="AC59" i="16"/>
  <c r="AC171" i="16" s="1"/>
  <c r="AC283" i="16" s="1"/>
  <c r="AC395" i="16" s="1"/>
  <c r="AC507" i="16" s="1"/>
  <c r="AC619" i="16" s="1"/>
  <c r="AC731" i="16" s="1"/>
  <c r="Z59" i="16"/>
  <c r="AC62" i="16"/>
  <c r="AC174" i="16" s="1"/>
  <c r="AC286" i="16" s="1"/>
  <c r="AC398" i="16" s="1"/>
  <c r="AC510" i="16" s="1"/>
  <c r="AC622" i="16" s="1"/>
  <c r="AC734" i="16" s="1"/>
  <c r="B174" i="16"/>
  <c r="B286" i="16" s="1"/>
  <c r="B398" i="16" s="1"/>
  <c r="B510" i="16" s="1"/>
  <c r="B622" i="16" s="1"/>
  <c r="B734" i="16" s="1"/>
  <c r="Z62" i="16"/>
  <c r="B177" i="16"/>
  <c r="B289" i="16" s="1"/>
  <c r="B401" i="16" s="1"/>
  <c r="B513" i="16" s="1"/>
  <c r="B625" i="16" s="1"/>
  <c r="B737" i="16" s="1"/>
  <c r="AC65" i="16"/>
  <c r="AC177" i="16" s="1"/>
  <c r="AC289" i="16" s="1"/>
  <c r="AC401" i="16" s="1"/>
  <c r="AC513" i="16" s="1"/>
  <c r="AC625" i="16" s="1"/>
  <c r="AC737" i="16" s="1"/>
  <c r="Z65" i="16"/>
  <c r="B180" i="16"/>
  <c r="B292" i="16" s="1"/>
  <c r="B404" i="16" s="1"/>
  <c r="B516" i="16" s="1"/>
  <c r="B628" i="16" s="1"/>
  <c r="B740" i="16" s="1"/>
  <c r="AC68" i="16"/>
  <c r="AC180" i="16" s="1"/>
  <c r="AC292" i="16" s="1"/>
  <c r="AC404" i="16" s="1"/>
  <c r="AC516" i="16" s="1"/>
  <c r="AC628" i="16" s="1"/>
  <c r="AC740" i="16" s="1"/>
  <c r="Z68" i="16"/>
  <c r="B183" i="16"/>
  <c r="B295" i="16" s="1"/>
  <c r="B407" i="16" s="1"/>
  <c r="B519" i="16" s="1"/>
  <c r="B631" i="16" s="1"/>
  <c r="B743" i="16" s="1"/>
  <c r="AC71" i="16"/>
  <c r="AC183" i="16" s="1"/>
  <c r="AC295" i="16" s="1"/>
  <c r="AC407" i="16" s="1"/>
  <c r="AC519" i="16" s="1"/>
  <c r="AC631" i="16" s="1"/>
  <c r="AC743" i="16" s="1"/>
  <c r="Z71" i="16"/>
  <c r="AC74" i="16"/>
  <c r="AC186" i="16" s="1"/>
  <c r="AC298" i="16" s="1"/>
  <c r="AC410" i="16" s="1"/>
  <c r="AC522" i="16" s="1"/>
  <c r="AC634" i="16" s="1"/>
  <c r="AC746" i="16" s="1"/>
  <c r="B186" i="16"/>
  <c r="B298" i="16" s="1"/>
  <c r="B410" i="16" s="1"/>
  <c r="B522" i="16" s="1"/>
  <c r="B634" i="16" s="1"/>
  <c r="B746" i="16" s="1"/>
  <c r="Z74" i="16"/>
  <c r="B189" i="16"/>
  <c r="B301" i="16" s="1"/>
  <c r="B413" i="16" s="1"/>
  <c r="B525" i="16" s="1"/>
  <c r="B637" i="16" s="1"/>
  <c r="B749" i="16" s="1"/>
  <c r="AC77" i="16"/>
  <c r="AC189" i="16" s="1"/>
  <c r="AC301" i="16" s="1"/>
  <c r="AC413" i="16" s="1"/>
  <c r="AC525" i="16" s="1"/>
  <c r="AC637" i="16" s="1"/>
  <c r="AC749" i="16" s="1"/>
  <c r="Z77" i="16"/>
  <c r="B192" i="16"/>
  <c r="B304" i="16" s="1"/>
  <c r="B416" i="16" s="1"/>
  <c r="B528" i="16" s="1"/>
  <c r="B640" i="16" s="1"/>
  <c r="B752" i="16" s="1"/>
  <c r="AC80" i="16"/>
  <c r="AC192" i="16" s="1"/>
  <c r="AC304" i="16" s="1"/>
  <c r="AC416" i="16" s="1"/>
  <c r="AC528" i="16" s="1"/>
  <c r="AC640" i="16" s="1"/>
  <c r="AC752" i="16" s="1"/>
  <c r="Z80" i="16"/>
  <c r="B195" i="16"/>
  <c r="B307" i="16" s="1"/>
  <c r="B419" i="16" s="1"/>
  <c r="B531" i="16" s="1"/>
  <c r="B643" i="16" s="1"/>
  <c r="B755" i="16" s="1"/>
  <c r="AC83" i="16"/>
  <c r="AC195" i="16" s="1"/>
  <c r="AC307" i="16" s="1"/>
  <c r="AC419" i="16" s="1"/>
  <c r="AC531" i="16" s="1"/>
  <c r="AC643" i="16" s="1"/>
  <c r="AC755" i="16" s="1"/>
  <c r="Z83" i="16"/>
  <c r="AC86" i="16"/>
  <c r="AC198" i="16" s="1"/>
  <c r="AC310" i="16" s="1"/>
  <c r="AC422" i="16" s="1"/>
  <c r="AC534" i="16" s="1"/>
  <c r="AC646" i="16" s="1"/>
  <c r="AC758" i="16" s="1"/>
  <c r="B198" i="16"/>
  <c r="B310" i="16" s="1"/>
  <c r="B422" i="16" s="1"/>
  <c r="B534" i="16" s="1"/>
  <c r="B646" i="16" s="1"/>
  <c r="B758" i="16" s="1"/>
  <c r="Z86" i="16"/>
  <c r="B201" i="16"/>
  <c r="B313" i="16" s="1"/>
  <c r="B425" i="16" s="1"/>
  <c r="B537" i="16" s="1"/>
  <c r="B649" i="16" s="1"/>
  <c r="B761" i="16" s="1"/>
  <c r="AC89" i="16"/>
  <c r="AC201" i="16" s="1"/>
  <c r="AC313" i="16" s="1"/>
  <c r="AC425" i="16" s="1"/>
  <c r="AC537" i="16" s="1"/>
  <c r="AC649" i="16" s="1"/>
  <c r="AC761" i="16" s="1"/>
  <c r="Z89" i="16"/>
  <c r="B204" i="16"/>
  <c r="B316" i="16" s="1"/>
  <c r="B428" i="16" s="1"/>
  <c r="B540" i="16" s="1"/>
  <c r="B652" i="16" s="1"/>
  <c r="B764" i="16" s="1"/>
  <c r="AC92" i="16"/>
  <c r="AC204" i="16" s="1"/>
  <c r="AC316" i="16" s="1"/>
  <c r="AC428" i="16" s="1"/>
  <c r="AC540" i="16" s="1"/>
  <c r="AC652" i="16" s="1"/>
  <c r="AC764" i="16" s="1"/>
  <c r="Z92" i="16"/>
  <c r="B207" i="16"/>
  <c r="B319" i="16" s="1"/>
  <c r="B431" i="16" s="1"/>
  <c r="B543" i="16" s="1"/>
  <c r="B655" i="16" s="1"/>
  <c r="B767" i="16" s="1"/>
  <c r="AC95" i="16"/>
  <c r="AC207" i="16" s="1"/>
  <c r="AC319" i="16" s="1"/>
  <c r="AC431" i="16" s="1"/>
  <c r="AC543" i="16" s="1"/>
  <c r="AC655" i="16" s="1"/>
  <c r="AC767" i="16" s="1"/>
  <c r="Z95" i="16"/>
  <c r="AC98" i="16"/>
  <c r="AC210" i="16" s="1"/>
  <c r="AC322" i="16" s="1"/>
  <c r="AC434" i="16" s="1"/>
  <c r="AC546" i="16" s="1"/>
  <c r="AC658" i="16" s="1"/>
  <c r="AC770" i="16" s="1"/>
  <c r="B210" i="16"/>
  <c r="B322" i="16" s="1"/>
  <c r="B434" i="16" s="1"/>
  <c r="B546" i="16" s="1"/>
  <c r="B658" i="16" s="1"/>
  <c r="B770" i="16" s="1"/>
  <c r="Z98" i="16"/>
  <c r="B213" i="16"/>
  <c r="B325" i="16" s="1"/>
  <c r="B437" i="16" s="1"/>
  <c r="B549" i="16" s="1"/>
  <c r="B661" i="16" s="1"/>
  <c r="B773" i="16" s="1"/>
  <c r="AC101" i="16"/>
  <c r="AC213" i="16" s="1"/>
  <c r="AC325" i="16" s="1"/>
  <c r="AC437" i="16" s="1"/>
  <c r="AC549" i="16" s="1"/>
  <c r="AC661" i="16" s="1"/>
  <c r="AC773" i="16" s="1"/>
  <c r="Z101" i="16"/>
  <c r="B216" i="16"/>
  <c r="B328" i="16" s="1"/>
  <c r="B440" i="16" s="1"/>
  <c r="B552" i="16" s="1"/>
  <c r="B664" i="16" s="1"/>
  <c r="B776" i="16" s="1"/>
  <c r="AC104" i="16"/>
  <c r="AC216" i="16" s="1"/>
  <c r="AC328" i="16" s="1"/>
  <c r="AC440" i="16" s="1"/>
  <c r="AC552" i="16" s="1"/>
  <c r="AC664" i="16" s="1"/>
  <c r="AC776" i="16" s="1"/>
  <c r="Z104" i="16"/>
  <c r="B219" i="16"/>
  <c r="B331" i="16" s="1"/>
  <c r="B443" i="16" s="1"/>
  <c r="B555" i="16" s="1"/>
  <c r="B667" i="16" s="1"/>
  <c r="B779" i="16" s="1"/>
  <c r="AC107" i="16"/>
  <c r="AC219" i="16" s="1"/>
  <c r="AC331" i="16" s="1"/>
  <c r="AC443" i="16" s="1"/>
  <c r="AC555" i="16" s="1"/>
  <c r="AC667" i="16" s="1"/>
  <c r="AC779" i="16" s="1"/>
  <c r="Z107" i="16"/>
  <c r="AC110" i="16"/>
  <c r="AC222" i="16" s="1"/>
  <c r="AC334" i="16" s="1"/>
  <c r="AC446" i="16" s="1"/>
  <c r="AC558" i="16" s="1"/>
  <c r="AC670" i="16" s="1"/>
  <c r="AC782" i="16" s="1"/>
  <c r="B222" i="16"/>
  <c r="B334" i="16" s="1"/>
  <c r="B446" i="16" s="1"/>
  <c r="B558" i="16" s="1"/>
  <c r="B670" i="16" s="1"/>
  <c r="B782" i="16" s="1"/>
  <c r="Z110" i="16"/>
  <c r="B225" i="16"/>
  <c r="B337" i="16" s="1"/>
  <c r="B449" i="16" s="1"/>
  <c r="B561" i="16" s="1"/>
  <c r="B673" i="16" s="1"/>
  <c r="B785" i="16" s="1"/>
  <c r="AC113" i="16"/>
  <c r="AC225" i="16" s="1"/>
  <c r="AC337" i="16" s="1"/>
  <c r="AC449" i="16" s="1"/>
  <c r="AC561" i="16" s="1"/>
  <c r="AC673" i="16" s="1"/>
  <c r="AC785" i="16" s="1"/>
  <c r="Z113" i="16"/>
  <c r="BA123" i="16"/>
  <c r="BA126" i="16"/>
  <c r="BA129" i="16"/>
  <c r="BA132" i="16"/>
  <c r="BA135" i="16"/>
  <c r="BA138" i="16"/>
  <c r="BA141" i="16"/>
  <c r="BA144" i="16"/>
  <c r="BA147" i="16"/>
  <c r="BA150" i="16"/>
  <c r="BA153" i="16"/>
  <c r="BA156" i="16"/>
  <c r="BA159" i="16"/>
  <c r="BA162" i="16"/>
  <c r="BA165" i="16"/>
  <c r="BA168" i="16"/>
  <c r="BA171" i="16"/>
  <c r="BA174" i="16"/>
  <c r="BA177" i="16"/>
  <c r="BA186" i="16"/>
  <c r="BA189" i="16"/>
  <c r="BA198" i="16"/>
  <c r="BA201" i="16"/>
  <c r="BA210" i="16"/>
  <c r="BA213" i="16"/>
  <c r="BA222" i="16"/>
  <c r="BA225" i="16"/>
  <c r="M20" i="13"/>
  <c r="C20" i="13"/>
  <c r="M9" i="13"/>
  <c r="C9" i="13"/>
  <c r="M4" i="13"/>
  <c r="C4" i="13"/>
  <c r="L3" i="13"/>
  <c r="B3" i="13"/>
  <c r="L2" i="13"/>
  <c r="B2" i="13"/>
  <c r="M4" i="12"/>
  <c r="C4" i="12"/>
  <c r="L3" i="12"/>
  <c r="L2" i="12"/>
  <c r="B3" i="12"/>
  <c r="M9" i="12"/>
  <c r="C9" i="12"/>
  <c r="B2" i="12"/>
  <c r="D7" i="8"/>
  <c r="AR10" i="4" l="1"/>
  <c r="AR11" i="4"/>
  <c r="AR12" i="4"/>
  <c r="AR13" i="4"/>
  <c r="AR14" i="4"/>
  <c r="AS14" i="4" s="1"/>
  <c r="AR15" i="4"/>
  <c r="AR16" i="4"/>
  <c r="AR17" i="4"/>
  <c r="AS16" i="4" s="1"/>
  <c r="AR18" i="4"/>
  <c r="AS18" i="4" s="1"/>
  <c r="AR19" i="4"/>
  <c r="AR20" i="4"/>
  <c r="AR21" i="4"/>
  <c r="AR22" i="4"/>
  <c r="AS22" i="4" s="1"/>
  <c r="AR23" i="4"/>
  <c r="AR24" i="4"/>
  <c r="AR25" i="4"/>
  <c r="AR26" i="4"/>
  <c r="AS26" i="4" s="1"/>
  <c r="AR27" i="4"/>
  <c r="AR28" i="4"/>
  <c r="AR29" i="4"/>
  <c r="AR30" i="4"/>
  <c r="AS30" i="4" s="1"/>
  <c r="AR31" i="4"/>
  <c r="AR32" i="4"/>
  <c r="AR33" i="4"/>
  <c r="AR34" i="4"/>
  <c r="AS34" i="4" s="1"/>
  <c r="AR35" i="4"/>
  <c r="AR36" i="4"/>
  <c r="AR37" i="4"/>
  <c r="AR38" i="4"/>
  <c r="AS38" i="4" s="1"/>
  <c r="AR39" i="4"/>
  <c r="AR40" i="4"/>
  <c r="AR41" i="4"/>
  <c r="AS40" i="4" s="1"/>
  <c r="AR42" i="4"/>
  <c r="AS42" i="4" s="1"/>
  <c r="AR43" i="4"/>
  <c r="AR44" i="4"/>
  <c r="AR45" i="4"/>
  <c r="AR46" i="4"/>
  <c r="AS46" i="4" s="1"/>
  <c r="AR47" i="4"/>
  <c r="AR48" i="4"/>
  <c r="AR49" i="4"/>
  <c r="AR50" i="4"/>
  <c r="AS50" i="4" s="1"/>
  <c r="AR51" i="4"/>
  <c r="AR52" i="4"/>
  <c r="AR53" i="4"/>
  <c r="AR54" i="4"/>
  <c r="AS54" i="4" s="1"/>
  <c r="AR55" i="4"/>
  <c r="AR56" i="4"/>
  <c r="AR57" i="4"/>
  <c r="AR58" i="4"/>
  <c r="AS58" i="4" s="1"/>
  <c r="AR59" i="4"/>
  <c r="AR60" i="4"/>
  <c r="AR61" i="4"/>
  <c r="AR62" i="4"/>
  <c r="AS62" i="4" s="1"/>
  <c r="AR63" i="4"/>
  <c r="AR64" i="4"/>
  <c r="AR65" i="4"/>
  <c r="AR66" i="4"/>
  <c r="AS66" i="4" s="1"/>
  <c r="AR67" i="4"/>
  <c r="AR68" i="4"/>
  <c r="AR69" i="4"/>
  <c r="AR70" i="4"/>
  <c r="AS70" i="4" s="1"/>
  <c r="AR71" i="4"/>
  <c r="AR72" i="4"/>
  <c r="AR73" i="4"/>
  <c r="AS72" i="4" s="1"/>
  <c r="AR74" i="4"/>
  <c r="AS74" i="4" s="1"/>
  <c r="AR75" i="4"/>
  <c r="AR76" i="4"/>
  <c r="AR77" i="4"/>
  <c r="AR9" i="4"/>
  <c r="BK9" i="8"/>
  <c r="BK11" i="8"/>
  <c r="BK13" i="8"/>
  <c r="BK15" i="8"/>
  <c r="BK17" i="8"/>
  <c r="BK19" i="8"/>
  <c r="BK21" i="8"/>
  <c r="BK23" i="8"/>
  <c r="BK25" i="8"/>
  <c r="BK27" i="8"/>
  <c r="BK29" i="8"/>
  <c r="BK33" i="8"/>
  <c r="BK39" i="8"/>
  <c r="BK10" i="8"/>
  <c r="BK22" i="8"/>
  <c r="BK38" i="8"/>
  <c r="BK35" i="8"/>
  <c r="BK31" i="8"/>
  <c r="BK37" i="8"/>
  <c r="AS64" i="4" l="1"/>
  <c r="AS56" i="4"/>
  <c r="AS48" i="4"/>
  <c r="AS32" i="4"/>
  <c r="AS24" i="4"/>
  <c r="AS10" i="4"/>
  <c r="AS76" i="4"/>
  <c r="AS68" i="4"/>
  <c r="AS60" i="4"/>
  <c r="AS52" i="4"/>
  <c r="AS44" i="4"/>
  <c r="AS36" i="4"/>
  <c r="AS28" i="4"/>
  <c r="AS20" i="4"/>
  <c r="AS12" i="4"/>
  <c r="AL3" i="4"/>
  <c r="BK34" i="8"/>
  <c r="BK14" i="8"/>
  <c r="BK32" i="8"/>
  <c r="BK16" i="8"/>
  <c r="BK12" i="8"/>
  <c r="BK30" i="8"/>
  <c r="BK7" i="8"/>
  <c r="BK28" i="8"/>
  <c r="BK20" i="8"/>
  <c r="BK26" i="8"/>
  <c r="BK40" i="8"/>
  <c r="BK24" i="8"/>
  <c r="BK8" i="8"/>
  <c r="BK18" i="8"/>
  <c r="BK36" i="8"/>
  <c r="C4" i="7" l="1"/>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6" i="8"/>
  <c r="D152" i="9"/>
  <c r="D154" i="9"/>
  <c r="D156" i="9"/>
  <c r="D157" i="9"/>
  <c r="D158" i="9"/>
  <c r="D161" i="9"/>
  <c r="D163" i="9"/>
  <c r="D165" i="9"/>
  <c r="D166" i="9"/>
  <c r="D167" i="9"/>
  <c r="D170" i="9"/>
  <c r="D172" i="9"/>
  <c r="D174" i="9"/>
  <c r="D175" i="9"/>
  <c r="D176" i="9"/>
  <c r="D149" i="9"/>
  <c r="D148" i="9"/>
  <c r="D147" i="9"/>
  <c r="D145" i="9"/>
  <c r="D143" i="9"/>
  <c r="AO40" i="9"/>
  <c r="AI40" i="9"/>
  <c r="AC40" i="9"/>
  <c r="AA40" i="9"/>
  <c r="AO33" i="9"/>
  <c r="AI33" i="9"/>
  <c r="AC33" i="9"/>
  <c r="AA33" i="9"/>
  <c r="AB30" i="9"/>
  <c r="AB29" i="9"/>
  <c r="AB28" i="9"/>
  <c r="AB27" i="9"/>
  <c r="AB26" i="9"/>
  <c r="AB25" i="9"/>
  <c r="AB24" i="9"/>
  <c r="AB23" i="9"/>
  <c r="AB22" i="9"/>
  <c r="AB21" i="9"/>
  <c r="AI17" i="9"/>
  <c r="AI16" i="9"/>
  <c r="AB18" i="9"/>
  <c r="AB16" i="9"/>
  <c r="AB15" i="9"/>
  <c r="AB14" i="9"/>
  <c r="AB13" i="9"/>
  <c r="AB12" i="9"/>
  <c r="AB11" i="9"/>
  <c r="AB10" i="9"/>
  <c r="AB9" i="9"/>
  <c r="AB8" i="9"/>
  <c r="AB7" i="9"/>
  <c r="AB6" i="9"/>
  <c r="C9" i="9"/>
  <c r="R29" i="9"/>
  <c r="K29" i="9"/>
  <c r="E29" i="9"/>
  <c r="C27" i="9"/>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11" i="8"/>
  <c r="C10" i="8"/>
  <c r="C9" i="8"/>
  <c r="C8" i="8"/>
  <c r="C7" i="8"/>
  <c r="C6" i="8"/>
  <c r="R18" i="7"/>
  <c r="R17" i="7"/>
  <c r="R16" i="7"/>
  <c r="R15" i="7"/>
  <c r="R14" i="7"/>
  <c r="H18" i="7"/>
  <c r="H17" i="7"/>
  <c r="H16" i="7"/>
  <c r="H15" i="7"/>
  <c r="H14" i="7"/>
  <c r="F24" i="7"/>
  <c r="I24" i="7"/>
  <c r="L24" i="7"/>
  <c r="O24" i="7"/>
  <c r="R24" i="7"/>
  <c r="U24" i="7"/>
  <c r="F25" i="7"/>
  <c r="F28" i="7" s="1"/>
  <c r="I25" i="7"/>
  <c r="L25" i="7"/>
  <c r="O25" i="7"/>
  <c r="R25" i="7"/>
  <c r="U25" i="7"/>
  <c r="F26" i="7"/>
  <c r="I26" i="7"/>
  <c r="L26" i="7"/>
  <c r="O26" i="7"/>
  <c r="R26" i="7"/>
  <c r="U26" i="7"/>
  <c r="F27" i="7"/>
  <c r="I27" i="7"/>
  <c r="L27" i="7"/>
  <c r="O27" i="7"/>
  <c r="R27" i="7"/>
  <c r="R28" i="7" s="1"/>
  <c r="U27" i="7"/>
  <c r="D28" i="7"/>
  <c r="E28" i="7"/>
  <c r="G28" i="7"/>
  <c r="H28" i="7"/>
  <c r="J28" i="7"/>
  <c r="K28" i="7"/>
  <c r="M28" i="7"/>
  <c r="N28" i="7"/>
  <c r="P28" i="7"/>
  <c r="Q28" i="7"/>
  <c r="S28" i="7"/>
  <c r="T28" i="7"/>
  <c r="H3" i="4"/>
  <c r="C3" i="4"/>
  <c r="AR8" i="4"/>
  <c r="AS8" i="4" s="1"/>
  <c r="AC11" i="21"/>
  <c r="X27" i="20"/>
  <c r="M13" i="20"/>
  <c r="BC30" i="8"/>
  <c r="U7" i="21"/>
  <c r="X18" i="20"/>
  <c r="AC23" i="21"/>
  <c r="X37" i="21"/>
  <c r="P12" i="21"/>
  <c r="X12" i="20"/>
  <c r="X36" i="21"/>
  <c r="X28" i="21"/>
  <c r="X15" i="21"/>
  <c r="P27" i="20"/>
  <c r="U6" i="20"/>
  <c r="X20" i="21"/>
  <c r="M27" i="21"/>
  <c r="BC31" i="8"/>
  <c r="P16" i="20"/>
  <c r="H7" i="21"/>
  <c r="U16" i="21"/>
  <c r="E18" i="20"/>
  <c r="M35" i="20"/>
  <c r="AC12" i="21"/>
  <c r="X17" i="20"/>
  <c r="E21" i="20"/>
  <c r="E6" i="21"/>
  <c r="BC19" i="8"/>
  <c r="BC32" i="8"/>
  <c r="M8" i="20"/>
  <c r="M14" i="21"/>
  <c r="E17" i="21"/>
  <c r="BF21" i="8"/>
  <c r="U18" i="21"/>
  <c r="H33" i="20"/>
  <c r="E37" i="20"/>
  <c r="P29" i="20"/>
  <c r="X8" i="21"/>
  <c r="BF33" i="8"/>
  <c r="H11" i="20"/>
  <c r="P19" i="21"/>
  <c r="M34" i="20"/>
  <c r="BF19" i="8"/>
  <c r="U15" i="21"/>
  <c r="M23" i="21"/>
  <c r="P36" i="21"/>
  <c r="P26" i="20"/>
  <c r="X6" i="21"/>
  <c r="H40" i="21"/>
  <c r="Q9" i="12"/>
  <c r="P23" i="20"/>
  <c r="X19" i="21"/>
  <c r="U37" i="21"/>
  <c r="E23" i="21"/>
  <c r="M9" i="20"/>
  <c r="BF38" i="8"/>
  <c r="M29" i="21"/>
  <c r="E28" i="20"/>
  <c r="H38" i="20"/>
  <c r="BC13" i="8"/>
  <c r="AC35" i="21"/>
  <c r="H29" i="20"/>
  <c r="U39" i="20"/>
  <c r="E24" i="21"/>
  <c r="X14" i="21"/>
  <c r="C8" i="12"/>
  <c r="BC10" i="8"/>
  <c r="H16" i="21"/>
  <c r="X21" i="21"/>
  <c r="BF32" i="8"/>
  <c r="U23" i="20"/>
  <c r="X32" i="21"/>
  <c r="BC22" i="8"/>
  <c r="H20" i="20"/>
  <c r="E39" i="20"/>
  <c r="H31" i="21"/>
  <c r="U33" i="20"/>
  <c r="H30" i="20"/>
  <c r="H7" i="20"/>
  <c r="BF23" i="8"/>
  <c r="E35" i="21"/>
  <c r="E40" i="20"/>
  <c r="X23" i="20"/>
  <c r="AC36" i="21"/>
  <c r="P6" i="21"/>
  <c r="H23" i="20"/>
  <c r="BC15" i="8"/>
  <c r="E8" i="21"/>
  <c r="X35" i="21"/>
  <c r="BF11" i="8"/>
  <c r="M26" i="21"/>
  <c r="P24" i="21"/>
  <c r="P38" i="20"/>
  <c r="X18" i="21"/>
  <c r="BF30" i="8"/>
  <c r="M7" i="21"/>
  <c r="M30" i="20"/>
  <c r="E33" i="20"/>
  <c r="AC25" i="21"/>
  <c r="X33" i="20"/>
  <c r="M25" i="21"/>
  <c r="BF10" i="8"/>
  <c r="U14" i="21"/>
  <c r="X24" i="20"/>
  <c r="AC37" i="21"/>
  <c r="H10" i="21"/>
  <c r="P11" i="20"/>
  <c r="H17" i="21"/>
  <c r="U27" i="21"/>
  <c r="U6" i="21"/>
  <c r="X19" i="20"/>
  <c r="BC27" i="8"/>
  <c r="P7" i="21"/>
  <c r="BF36" i="8"/>
  <c r="M31" i="20"/>
  <c r="AC6" i="21"/>
  <c r="P13" i="21"/>
  <c r="H9" i="20"/>
  <c r="U12" i="20"/>
  <c r="E15" i="20"/>
  <c r="X11" i="21"/>
  <c r="AC18" i="21"/>
  <c r="M12" i="20"/>
  <c r="P39" i="21"/>
  <c r="P29" i="21"/>
  <c r="U15" i="20"/>
  <c r="BC34" i="8"/>
  <c r="U8" i="21"/>
  <c r="H38" i="21"/>
  <c r="H6" i="21"/>
  <c r="M40" i="20"/>
  <c r="E26" i="21"/>
  <c r="E36" i="21"/>
  <c r="BC28" i="8"/>
  <c r="P35" i="20"/>
  <c r="U23" i="21"/>
  <c r="E21" i="21"/>
  <c r="X13" i="20"/>
  <c r="BC11" i="8"/>
  <c r="E7" i="21"/>
  <c r="M8" i="21"/>
  <c r="BC18" i="8"/>
  <c r="E19" i="20"/>
  <c r="X26" i="21"/>
  <c r="M15" i="20"/>
  <c r="X28" i="20"/>
  <c r="E25" i="20"/>
  <c r="X16" i="21"/>
  <c r="E29" i="21"/>
  <c r="AC10" i="21"/>
  <c r="H35" i="20"/>
  <c r="U26" i="20"/>
  <c r="X22" i="20"/>
  <c r="P8" i="20"/>
  <c r="H8" i="21"/>
  <c r="U25" i="20"/>
  <c r="P18" i="21"/>
  <c r="X30" i="20"/>
  <c r="U34" i="21"/>
  <c r="U13" i="21"/>
  <c r="BF22" i="8"/>
  <c r="E8" i="20"/>
  <c r="M26" i="20"/>
  <c r="P10" i="21"/>
  <c r="H14" i="20"/>
  <c r="BC40" i="8"/>
  <c r="BF34" i="8"/>
  <c r="M7" i="20"/>
  <c r="E28" i="21"/>
  <c r="M17" i="20"/>
  <c r="U8" i="20"/>
  <c r="E14" i="21"/>
  <c r="H29" i="21"/>
  <c r="AC33" i="21"/>
  <c r="E26" i="20"/>
  <c r="U11" i="21"/>
  <c r="H24" i="21"/>
  <c r="E17" i="20"/>
  <c r="E32" i="20"/>
  <c r="M38" i="21"/>
  <c r="AC29" i="21"/>
  <c r="AC31" i="21"/>
  <c r="H21" i="20"/>
  <c r="AC21" i="21"/>
  <c r="X12" i="21"/>
  <c r="P15" i="20"/>
  <c r="X26" i="20"/>
  <c r="X34" i="21"/>
  <c r="P27" i="21"/>
  <c r="M39" i="20"/>
  <c r="X16" i="20"/>
  <c r="P11" i="21"/>
  <c r="M37" i="21"/>
  <c r="M8" i="13"/>
  <c r="AC32" i="21"/>
  <c r="P38" i="21"/>
  <c r="H23" i="21"/>
  <c r="P9" i="20"/>
  <c r="E10" i="20"/>
  <c r="M30" i="21"/>
  <c r="BF7" i="8"/>
  <c r="U30" i="20"/>
  <c r="E13" i="20"/>
  <c r="M24" i="21"/>
  <c r="AC26" i="21"/>
  <c r="P37" i="20"/>
  <c r="M37" i="20"/>
  <c r="BF20" i="8"/>
  <c r="E9" i="21"/>
  <c r="M28" i="20"/>
  <c r="H26" i="20"/>
  <c r="U24" i="21"/>
  <c r="P32" i="21"/>
  <c r="M16" i="20"/>
  <c r="U27" i="20"/>
  <c r="E30" i="21"/>
  <c r="H34" i="21"/>
  <c r="BF8" i="8"/>
  <c r="M6" i="21"/>
  <c r="E33" i="21"/>
  <c r="H24" i="20"/>
  <c r="X25" i="21"/>
  <c r="P10" i="20"/>
  <c r="H19" i="21"/>
  <c r="X40" i="20"/>
  <c r="E31" i="20"/>
  <c r="BC35" i="8"/>
  <c r="M27" i="20"/>
  <c r="H9" i="21"/>
  <c r="P14" i="21"/>
  <c r="E15" i="21"/>
  <c r="U16" i="20"/>
  <c r="P28" i="20"/>
  <c r="X7" i="21"/>
  <c r="E20" i="20"/>
  <c r="U26" i="21"/>
  <c r="BC39" i="8"/>
  <c r="E6" i="20"/>
  <c r="M10" i="20"/>
  <c r="BC36" i="8"/>
  <c r="E16" i="21"/>
  <c r="M14" i="20"/>
  <c r="H12" i="20"/>
  <c r="U33" i="21"/>
  <c r="BF28" i="8"/>
  <c r="X9" i="20"/>
  <c r="U38" i="20"/>
  <c r="U22" i="20"/>
  <c r="H20" i="21"/>
  <c r="BC24" i="8"/>
  <c r="U32" i="20"/>
  <c r="E40" i="21"/>
  <c r="H14" i="21"/>
  <c r="U35" i="20"/>
  <c r="BF31" i="8"/>
  <c r="U19" i="20"/>
  <c r="H39" i="20"/>
  <c r="BC14" i="8"/>
  <c r="P34" i="21"/>
  <c r="X10" i="20"/>
  <c r="AC7" i="21"/>
  <c r="X27" i="21"/>
  <c r="P16" i="21"/>
  <c r="BF24" i="8"/>
  <c r="U38" i="21"/>
  <c r="BC12" i="8"/>
  <c r="M35" i="21"/>
  <c r="X6" i="20"/>
  <c r="BC21" i="8"/>
  <c r="U14" i="20"/>
  <c r="M11" i="21"/>
  <c r="BC37" i="8"/>
  <c r="P20" i="20"/>
  <c r="X30" i="21"/>
  <c r="U9" i="21"/>
  <c r="E22" i="20"/>
  <c r="M19" i="20"/>
  <c r="BC23" i="8"/>
  <c r="M33" i="20"/>
  <c r="P36" i="20"/>
  <c r="E10" i="21"/>
  <c r="P26" i="21"/>
  <c r="BC16" i="8"/>
  <c r="U31" i="20"/>
  <c r="X17" i="21"/>
  <c r="AC30" i="21"/>
  <c r="AC38" i="21"/>
  <c r="U10" i="21"/>
  <c r="H25" i="20"/>
  <c r="BF6" i="8"/>
  <c r="E7" i="20"/>
  <c r="M36" i="21"/>
  <c r="BF17" i="8"/>
  <c r="M24" i="20"/>
  <c r="P23" i="21"/>
  <c r="BF15" i="8"/>
  <c r="AC13" i="21"/>
  <c r="BF35" i="8"/>
  <c r="M9" i="21"/>
  <c r="BC25" i="8"/>
  <c r="X7" i="20"/>
  <c r="P34" i="20"/>
  <c r="H32" i="21"/>
  <c r="U20" i="20"/>
  <c r="P31" i="20"/>
  <c r="M39" i="21"/>
  <c r="U29" i="21"/>
  <c r="E27" i="21"/>
  <c r="H36" i="20"/>
  <c r="AC14" i="21"/>
  <c r="M13" i="21"/>
  <c r="AC9" i="21"/>
  <c r="H16" i="20"/>
  <c r="M11" i="20"/>
  <c r="AC19" i="21"/>
  <c r="M32" i="21"/>
  <c r="BC7" i="8"/>
  <c r="U9" i="20"/>
  <c r="M36" i="20"/>
  <c r="P17" i="21"/>
  <c r="M8" i="12"/>
  <c r="BC26" i="8"/>
  <c r="E20" i="21"/>
  <c r="M16" i="21"/>
  <c r="P39" i="20"/>
  <c r="X29" i="20"/>
  <c r="X40" i="21"/>
  <c r="BC38" i="8"/>
  <c r="H28" i="20"/>
  <c r="E35" i="20"/>
  <c r="H39" i="21"/>
  <c r="U13" i="20"/>
  <c r="H22" i="20"/>
  <c r="H15" i="20"/>
  <c r="BF39" i="8"/>
  <c r="E31" i="21"/>
  <c r="X38" i="20"/>
  <c r="X35" i="20"/>
  <c r="E13" i="21"/>
  <c r="E37" i="21"/>
  <c r="P24" i="20"/>
  <c r="AC8" i="21"/>
  <c r="BC6" i="8"/>
  <c r="H11" i="21"/>
  <c r="BF27" i="8"/>
  <c r="M34" i="21"/>
  <c r="P20" i="21"/>
  <c r="U11" i="20"/>
  <c r="U28" i="21"/>
  <c r="P40" i="20"/>
  <c r="M19" i="21"/>
  <c r="M38" i="20"/>
  <c r="P25" i="20"/>
  <c r="BC8" i="8"/>
  <c r="H10" i="20"/>
  <c r="X9" i="21"/>
  <c r="BF26" i="8"/>
  <c r="U22" i="21"/>
  <c r="U36" i="20"/>
  <c r="BC20" i="8"/>
  <c r="H18" i="21"/>
  <c r="P7" i="20"/>
  <c r="H25" i="21"/>
  <c r="U35" i="21"/>
  <c r="H8" i="20"/>
  <c r="X31" i="20"/>
  <c r="P18" i="20"/>
  <c r="E38" i="21"/>
  <c r="U34" i="20"/>
  <c r="X11" i="20"/>
  <c r="AC22" i="21"/>
  <c r="P9" i="21"/>
  <c r="H17" i="20"/>
  <c r="BC17" i="8"/>
  <c r="E11" i="20"/>
  <c r="U30" i="21"/>
  <c r="AC34" i="21"/>
  <c r="M20" i="20"/>
  <c r="P31" i="21"/>
  <c r="P37" i="21"/>
  <c r="AC24" i="21"/>
  <c r="BF16" i="8"/>
  <c r="H36" i="21"/>
  <c r="M28" i="21"/>
  <c r="E12" i="20"/>
  <c r="E34" i="20"/>
  <c r="C8" i="13"/>
  <c r="BK6" i="8"/>
  <c r="BC29" i="8"/>
  <c r="H40" i="20"/>
  <c r="M32" i="20"/>
  <c r="P21" i="21"/>
  <c r="E22" i="21"/>
  <c r="U37" i="20"/>
  <c r="BF40" i="8"/>
  <c r="M15" i="21"/>
  <c r="E25" i="21"/>
  <c r="M29" i="20"/>
  <c r="BC9" i="8"/>
  <c r="E11" i="21"/>
  <c r="X13" i="21"/>
  <c r="M21" i="21"/>
  <c r="AC27" i="21"/>
  <c r="X36" i="20"/>
  <c r="P8" i="21"/>
  <c r="P32" i="20"/>
  <c r="H34" i="20"/>
  <c r="E18" i="21"/>
  <c r="M17" i="21"/>
  <c r="H37" i="21"/>
  <c r="BF37" i="8"/>
  <c r="U36" i="21"/>
  <c r="P15" i="21"/>
  <c r="P30" i="21"/>
  <c r="M22" i="21"/>
  <c r="E9" i="20"/>
  <c r="X21" i="20"/>
  <c r="U17" i="21"/>
  <c r="E34" i="21"/>
  <c r="Q9" i="13"/>
  <c r="P6" i="20"/>
  <c r="H19" i="20"/>
  <c r="E24" i="20"/>
  <c r="E16" i="20"/>
  <c r="M25" i="20"/>
  <c r="U25" i="21"/>
  <c r="P33" i="20"/>
  <c r="U40" i="20"/>
  <c r="P17" i="20"/>
  <c r="M31" i="21"/>
  <c r="P28" i="21"/>
  <c r="E39" i="21"/>
  <c r="G9" i="12"/>
  <c r="E38" i="20"/>
  <c r="P30" i="20"/>
  <c r="H31" i="20"/>
  <c r="M21" i="20"/>
  <c r="H35" i="21"/>
  <c r="X33" i="21"/>
  <c r="X24" i="21"/>
  <c r="X14" i="20"/>
  <c r="P22" i="21"/>
  <c r="U20" i="21"/>
  <c r="H6" i="20"/>
  <c r="E32" i="21"/>
  <c r="H21" i="21"/>
  <c r="U19" i="21"/>
  <c r="X10" i="21"/>
  <c r="M40" i="21"/>
  <c r="P35" i="21"/>
  <c r="M12" i="21"/>
  <c r="H15" i="21"/>
  <c r="AC28" i="21"/>
  <c r="X32" i="20"/>
  <c r="X23" i="21"/>
  <c r="P40" i="21"/>
  <c r="H26" i="21"/>
  <c r="X20" i="20"/>
  <c r="X39" i="20"/>
  <c r="X31" i="21"/>
  <c r="BF29" i="8"/>
  <c r="M18" i="21"/>
  <c r="BF14" i="8"/>
  <c r="BF12" i="8"/>
  <c r="H12" i="21"/>
  <c r="U32" i="21"/>
  <c r="P13" i="20"/>
  <c r="M20" i="21"/>
  <c r="M22" i="20"/>
  <c r="X37" i="20"/>
  <c r="X39" i="21"/>
  <c r="G9" i="13"/>
  <c r="AC39" i="21"/>
  <c r="AC15" i="21"/>
  <c r="U7" i="20"/>
  <c r="P12" i="20"/>
  <c r="X15" i="20"/>
  <c r="H30" i="21"/>
  <c r="U31" i="21"/>
  <c r="M6" i="20"/>
  <c r="AC17" i="21"/>
  <c r="BF25" i="8"/>
  <c r="P33" i="21"/>
  <c r="P19" i="20"/>
  <c r="M23" i="20"/>
  <c r="U10" i="20"/>
  <c r="X25" i="20"/>
  <c r="H27" i="21"/>
  <c r="BF9" i="8"/>
  <c r="P25" i="21"/>
  <c r="AC40" i="21"/>
  <c r="H37" i="20"/>
  <c r="H32" i="20"/>
  <c r="U29" i="20"/>
  <c r="BF13" i="8"/>
  <c r="P22" i="20"/>
  <c r="AC20" i="21"/>
  <c r="E12" i="21"/>
  <c r="U39" i="21"/>
  <c r="H13" i="21"/>
  <c r="H22" i="21"/>
  <c r="H28" i="21"/>
  <c r="U40" i="21"/>
  <c r="M33" i="21"/>
  <c r="E27" i="20"/>
  <c r="E23" i="20"/>
  <c r="E29" i="20"/>
  <c r="H27" i="20"/>
  <c r="X29" i="21"/>
  <c r="X22" i="21"/>
  <c r="M18" i="20"/>
  <c r="BF18" i="8"/>
  <c r="U24" i="20"/>
  <c r="E30" i="20"/>
  <c r="E36" i="20"/>
  <c r="H13" i="20"/>
  <c r="U18" i="20"/>
  <c r="X8" i="20"/>
  <c r="AC16" i="21"/>
  <c r="E14" i="20"/>
  <c r="P21" i="20"/>
  <c r="M10" i="21"/>
  <c r="H18" i="20"/>
  <c r="X34" i="20"/>
  <c r="H33" i="21"/>
  <c r="P14" i="20"/>
  <c r="BC33" i="8"/>
  <c r="E19" i="21"/>
  <c r="U17" i="20"/>
  <c r="U28" i="20"/>
  <c r="U12" i="21"/>
  <c r="X38" i="21"/>
  <c r="AA10" i="20" l="1"/>
  <c r="AB10" i="20" s="1"/>
  <c r="K27" i="20"/>
  <c r="L27" i="20" s="1"/>
  <c r="S22" i="20"/>
  <c r="T22" i="20" s="1"/>
  <c r="S37" i="21"/>
  <c r="T37" i="21" s="1"/>
  <c r="K34" i="20"/>
  <c r="K39" i="21"/>
  <c r="S12" i="21"/>
  <c r="T12" i="21" s="1"/>
  <c r="S21" i="20"/>
  <c r="T21" i="20" s="1"/>
  <c r="S36" i="20"/>
  <c r="T36" i="20" s="1"/>
  <c r="S33" i="21"/>
  <c r="T33" i="21" s="1"/>
  <c r="K12" i="20"/>
  <c r="K24" i="21"/>
  <c r="K38" i="20"/>
  <c r="AA9" i="20"/>
  <c r="AB9" i="20" s="1"/>
  <c r="S28" i="21"/>
  <c r="T28" i="21" s="1"/>
  <c r="AA39" i="20"/>
  <c r="AB39" i="20" s="1"/>
  <c r="AA40" i="21"/>
  <c r="AB40" i="21" s="1"/>
  <c r="S20" i="21"/>
  <c r="T20" i="21" s="1"/>
  <c r="BI7" i="8"/>
  <c r="BJ7" i="8" s="1"/>
  <c r="S31" i="21"/>
  <c r="T31" i="21" s="1"/>
  <c r="S39" i="20"/>
  <c r="T39" i="20" s="1"/>
  <c r="S23" i="20"/>
  <c r="T23" i="20" s="1"/>
  <c r="S32" i="21"/>
  <c r="T32" i="21" s="1"/>
  <c r="AF35" i="21"/>
  <c r="AG35" i="21" s="1"/>
  <c r="BI34" i="8"/>
  <c r="BJ34" i="8" s="1"/>
  <c r="AF19" i="21"/>
  <c r="AG19" i="21" s="1"/>
  <c r="AF24" i="21"/>
  <c r="AG24" i="21" s="1"/>
  <c r="BI13" i="8"/>
  <c r="BJ13" i="8" s="1"/>
  <c r="AA35" i="20"/>
  <c r="AB35" i="20" s="1"/>
  <c r="AA36" i="21"/>
  <c r="AB36" i="21" s="1"/>
  <c r="AA15" i="20"/>
  <c r="AB15" i="20" s="1"/>
  <c r="S11" i="20"/>
  <c r="T11" i="20" s="1"/>
  <c r="AA18" i="20"/>
  <c r="AB18" i="20" s="1"/>
  <c r="AA32" i="21"/>
  <c r="AB32" i="21" s="1"/>
  <c r="K28" i="20"/>
  <c r="L28" i="20" s="1"/>
  <c r="K40" i="21"/>
  <c r="L40" i="21" s="1"/>
  <c r="AF9" i="21"/>
  <c r="AG9" i="21" s="1"/>
  <c r="AA40" i="20"/>
  <c r="AB40" i="20" s="1"/>
  <c r="S20" i="20"/>
  <c r="T20" i="20" s="1"/>
  <c r="S29" i="21"/>
  <c r="T29" i="21" s="1"/>
  <c r="AA32" i="20"/>
  <c r="AB32" i="20" s="1"/>
  <c r="S40" i="21"/>
  <c r="T40" i="21" s="1"/>
  <c r="S12" i="20"/>
  <c r="T12" i="20" s="1"/>
  <c r="S13" i="21"/>
  <c r="T13" i="21" s="1"/>
  <c r="AA12" i="21"/>
  <c r="AB12" i="21" s="1"/>
  <c r="AF21" i="21"/>
  <c r="AG21" i="21" s="1"/>
  <c r="AF34" i="21"/>
  <c r="AG34" i="21" s="1"/>
  <c r="BI24" i="8"/>
  <c r="BJ24" i="8" s="1"/>
  <c r="AF18" i="21"/>
  <c r="AG18" i="21" s="1"/>
  <c r="AF14" i="21"/>
  <c r="AG14" i="21" s="1"/>
  <c r="AA30" i="21"/>
  <c r="AB30" i="21" s="1"/>
  <c r="S9" i="20"/>
  <c r="T9" i="20" s="1"/>
  <c r="AF31" i="21"/>
  <c r="AG31" i="21" s="1"/>
  <c r="K11" i="20"/>
  <c r="K23" i="21"/>
  <c r="AA22" i="20"/>
  <c r="AB22" i="20" s="1"/>
  <c r="K15" i="20"/>
  <c r="K27" i="21"/>
  <c r="L27" i="21" s="1"/>
  <c r="AF29" i="21"/>
  <c r="AG29" i="21" s="1"/>
  <c r="BI17" i="8"/>
  <c r="BJ17" i="8" s="1"/>
  <c r="AA37" i="21"/>
  <c r="AB37" i="21" s="1"/>
  <c r="AA38" i="20"/>
  <c r="AB38" i="20" s="1"/>
  <c r="AA12" i="20"/>
  <c r="AB12" i="20" s="1"/>
  <c r="AA29" i="21"/>
  <c r="AB29" i="21" s="1"/>
  <c r="AA28" i="20"/>
  <c r="AB28" i="20" s="1"/>
  <c r="S38" i="21"/>
  <c r="T38" i="21" s="1"/>
  <c r="S39" i="21"/>
  <c r="T39" i="21" s="1"/>
  <c r="AA39" i="21"/>
  <c r="AB39" i="21" s="1"/>
  <c r="K32" i="20"/>
  <c r="K36" i="20"/>
  <c r="K17" i="20"/>
  <c r="AF22" i="21"/>
  <c r="AG22" i="21" s="1"/>
  <c r="AA33" i="21"/>
  <c r="AB33" i="21" s="1"/>
  <c r="AF6" i="21"/>
  <c r="AG6" i="21" s="1"/>
  <c r="AA20" i="20"/>
  <c r="AB20" i="20" s="1"/>
  <c r="AA25" i="21"/>
  <c r="AB25" i="21" s="1"/>
  <c r="AA19" i="21"/>
  <c r="AB19" i="21" s="1"/>
  <c r="S31" i="20"/>
  <c r="T31" i="20" s="1"/>
  <c r="AA11" i="21"/>
  <c r="AB11" i="21" s="1"/>
  <c r="AA34" i="20"/>
  <c r="AB34" i="20" s="1"/>
  <c r="S14" i="20"/>
  <c r="T14" i="20" s="1"/>
  <c r="S17" i="21"/>
  <c r="T17" i="21" s="1"/>
  <c r="K12" i="21"/>
  <c r="L12" i="21" s="1"/>
  <c r="K26" i="20"/>
  <c r="L26" i="20" s="1"/>
  <c r="K38" i="21"/>
  <c r="K16" i="21"/>
  <c r="L16" i="21" s="1"/>
  <c r="K30" i="20"/>
  <c r="L30" i="20" s="1"/>
  <c r="AF33" i="21"/>
  <c r="AG33" i="21" s="1"/>
  <c r="BI36" i="8"/>
  <c r="BJ36" i="8" s="1"/>
  <c r="AF17" i="21"/>
  <c r="AG17" i="21" s="1"/>
  <c r="BI27" i="8"/>
  <c r="BJ27" i="8" s="1"/>
  <c r="BI25" i="8"/>
  <c r="BJ25" i="8" s="1"/>
  <c r="S25" i="20"/>
  <c r="T25" i="20" s="1"/>
  <c r="S23" i="21"/>
  <c r="T23" i="21" s="1"/>
  <c r="S10" i="20"/>
  <c r="T10" i="20" s="1"/>
  <c r="S9" i="21"/>
  <c r="T9" i="21" s="1"/>
  <c r="K14" i="21"/>
  <c r="L14" i="21" s="1"/>
  <c r="AA15" i="21"/>
  <c r="AB15" i="21" s="1"/>
  <c r="K6" i="20"/>
  <c r="K18" i="21"/>
  <c r="L18" i="21" s="1"/>
  <c r="AA6" i="21"/>
  <c r="AB6" i="21" s="1"/>
  <c r="AF20" i="21"/>
  <c r="AG20" i="21" s="1"/>
  <c r="AA8" i="20"/>
  <c r="AB8" i="20" s="1"/>
  <c r="AA35" i="21"/>
  <c r="AB35" i="21" s="1"/>
  <c r="BI39" i="8"/>
  <c r="BJ39" i="8" s="1"/>
  <c r="AA24" i="20"/>
  <c r="AB24" i="20" s="1"/>
  <c r="AA27" i="21"/>
  <c r="AB27" i="21" s="1"/>
  <c r="AF13" i="21"/>
  <c r="AG13" i="21" s="1"/>
  <c r="S18" i="21"/>
  <c r="T18" i="21" s="1"/>
  <c r="S17" i="20"/>
  <c r="T17" i="20" s="1"/>
  <c r="S34" i="20"/>
  <c r="T34" i="20" s="1"/>
  <c r="AA26" i="21"/>
  <c r="AB26" i="21" s="1"/>
  <c r="S6" i="20"/>
  <c r="T6" i="20" s="1"/>
  <c r="K16" i="20"/>
  <c r="L16" i="20" s="1"/>
  <c r="K28" i="21"/>
  <c r="K20" i="20"/>
  <c r="K32" i="21"/>
  <c r="AA17" i="20"/>
  <c r="AB17" i="20" s="1"/>
  <c r="S7" i="20"/>
  <c r="T7" i="20" s="1"/>
  <c r="S24" i="20"/>
  <c r="T24" i="20" s="1"/>
  <c r="BI20" i="8"/>
  <c r="BJ20" i="8" s="1"/>
  <c r="AF37" i="21"/>
  <c r="AG37" i="21" s="1"/>
  <c r="BI40" i="8"/>
  <c r="BJ40" i="8" s="1"/>
  <c r="AA36" i="20"/>
  <c r="AB36" i="20" s="1"/>
  <c r="AA16" i="20"/>
  <c r="AB16" i="20" s="1"/>
  <c r="AA31" i="21"/>
  <c r="AB31" i="21" s="1"/>
  <c r="S36" i="21"/>
  <c r="T36" i="21" s="1"/>
  <c r="K24" i="20"/>
  <c r="L24" i="20" s="1"/>
  <c r="AA22" i="21"/>
  <c r="AB22" i="21" s="1"/>
  <c r="K15" i="21"/>
  <c r="AA14" i="21"/>
  <c r="AB14" i="21" s="1"/>
  <c r="K7" i="20"/>
  <c r="L7" i="20" s="1"/>
  <c r="K19" i="21"/>
  <c r="K37" i="20"/>
  <c r="L37" i="20" s="1"/>
  <c r="S26" i="20"/>
  <c r="T26" i="20" s="1"/>
  <c r="S18" i="20"/>
  <c r="T18" i="20" s="1"/>
  <c r="S25" i="21"/>
  <c r="T25" i="21" s="1"/>
  <c r="K8" i="20"/>
  <c r="L8" i="20" s="1"/>
  <c r="AA18" i="21"/>
  <c r="AB18" i="21" s="1"/>
  <c r="S27" i="20"/>
  <c r="T27" i="20" s="1"/>
  <c r="AA10" i="21"/>
  <c r="AB10" i="21" s="1"/>
  <c r="BI8" i="8"/>
  <c r="BJ8" i="8" s="1"/>
  <c r="BI35" i="8"/>
  <c r="BJ35" i="8" s="1"/>
  <c r="AA20" i="21"/>
  <c r="AB20" i="21" s="1"/>
  <c r="AF25" i="21"/>
  <c r="AG25" i="21" s="1"/>
  <c r="AF38" i="21"/>
  <c r="AG38" i="21" s="1"/>
  <c r="BI33" i="8"/>
  <c r="BJ33" i="8" s="1"/>
  <c r="AA13" i="21"/>
  <c r="AB13" i="21" s="1"/>
  <c r="K17" i="21"/>
  <c r="K31" i="20"/>
  <c r="K33" i="20"/>
  <c r="AF30" i="21"/>
  <c r="AG30" i="21" s="1"/>
  <c r="AA29" i="20"/>
  <c r="AB29" i="20" s="1"/>
  <c r="AA34" i="21"/>
  <c r="AB34" i="21" s="1"/>
  <c r="S38" i="20"/>
  <c r="T38" i="20" s="1"/>
  <c r="S14" i="21"/>
  <c r="T14" i="21" s="1"/>
  <c r="S30" i="20"/>
  <c r="T30" i="20" s="1"/>
  <c r="S19" i="21"/>
  <c r="T19" i="21" s="1"/>
  <c r="S8" i="20"/>
  <c r="T8" i="20" s="1"/>
  <c r="S7" i="21"/>
  <c r="T7" i="21" s="1"/>
  <c r="AA31" i="20"/>
  <c r="AB31" i="20" s="1"/>
  <c r="BI32" i="8"/>
  <c r="BJ32" i="8" s="1"/>
  <c r="BI16" i="8"/>
  <c r="BJ16" i="8" s="1"/>
  <c r="AA25" i="20"/>
  <c r="AB25" i="20" s="1"/>
  <c r="AA28" i="21"/>
  <c r="AB28" i="21" s="1"/>
  <c r="BI19" i="8"/>
  <c r="BJ19" i="8" s="1"/>
  <c r="AA11" i="20"/>
  <c r="AB11" i="20" s="1"/>
  <c r="K6" i="21"/>
  <c r="L6" i="21" s="1"/>
  <c r="K10" i="21"/>
  <c r="L10" i="21" s="1"/>
  <c r="K21" i="20"/>
  <c r="L21" i="20" s="1"/>
  <c r="K33" i="21"/>
  <c r="L33" i="21" s="1"/>
  <c r="S34" i="21"/>
  <c r="T34" i="21" s="1"/>
  <c r="S6" i="21"/>
  <c r="T6" i="21" s="1"/>
  <c r="S26" i="21"/>
  <c r="T26" i="21" s="1"/>
  <c r="S33" i="20"/>
  <c r="T33" i="20" s="1"/>
  <c r="AA26" i="20"/>
  <c r="AB26" i="20" s="1"/>
  <c r="AF12" i="21"/>
  <c r="AG12" i="21" s="1"/>
  <c r="AF27" i="21"/>
  <c r="AG27" i="21" s="1"/>
  <c r="BI23" i="8"/>
  <c r="BJ23" i="8" s="1"/>
  <c r="S35" i="20"/>
  <c r="T35" i="20" s="1"/>
  <c r="S19" i="20"/>
  <c r="T19" i="20" s="1"/>
  <c r="AF10" i="21"/>
  <c r="AG10" i="21" s="1"/>
  <c r="BI6" i="8"/>
  <c r="BJ6" i="8" s="1"/>
  <c r="K18" i="20"/>
  <c r="L18" i="20" s="1"/>
  <c r="K30" i="21"/>
  <c r="AA7" i="20"/>
  <c r="AB7" i="20" s="1"/>
  <c r="K8" i="21"/>
  <c r="L8" i="21" s="1"/>
  <c r="K22" i="20"/>
  <c r="L22" i="20" s="1"/>
  <c r="K34" i="21"/>
  <c r="K29" i="21"/>
  <c r="AF8" i="21"/>
  <c r="AG8" i="21" s="1"/>
  <c r="AA16" i="21"/>
  <c r="AB16" i="21" s="1"/>
  <c r="AA27" i="20"/>
  <c r="AB27" i="20" s="1"/>
  <c r="BI15" i="8"/>
  <c r="BJ15" i="8" s="1"/>
  <c r="AA9" i="21"/>
  <c r="AB9" i="21" s="1"/>
  <c r="S16" i="20"/>
  <c r="T16" i="20" s="1"/>
  <c r="S21" i="21"/>
  <c r="T21" i="21" s="1"/>
  <c r="AF40" i="21"/>
  <c r="AG40" i="21" s="1"/>
  <c r="K25" i="20"/>
  <c r="L25" i="20" s="1"/>
  <c r="K37" i="21"/>
  <c r="L37" i="21" s="1"/>
  <c r="K29" i="20"/>
  <c r="L29" i="20" s="1"/>
  <c r="K13" i="21"/>
  <c r="L13" i="21" s="1"/>
  <c r="BI31" i="8"/>
  <c r="BJ31" i="8" s="1"/>
  <c r="AA24" i="21"/>
  <c r="AB24" i="21" s="1"/>
  <c r="AF15" i="21"/>
  <c r="AG15" i="21" s="1"/>
  <c r="AF36" i="21"/>
  <c r="AG36" i="21" s="1"/>
  <c r="BI37" i="8"/>
  <c r="BJ37" i="8" s="1"/>
  <c r="AA17" i="21"/>
  <c r="AB17" i="21" s="1"/>
  <c r="S15" i="20"/>
  <c r="T15" i="20" s="1"/>
  <c r="S27" i="21"/>
  <c r="T27" i="21" s="1"/>
  <c r="S11" i="21"/>
  <c r="T11" i="21" s="1"/>
  <c r="S28" i="20"/>
  <c r="T28" i="20" s="1"/>
  <c r="K40" i="20"/>
  <c r="L40" i="20" s="1"/>
  <c r="AA14" i="20"/>
  <c r="AB14" i="20" s="1"/>
  <c r="K19" i="20"/>
  <c r="K31" i="21"/>
  <c r="L31" i="21" s="1"/>
  <c r="AA6" i="20"/>
  <c r="AB6" i="20" s="1"/>
  <c r="K9" i="21"/>
  <c r="K23" i="20"/>
  <c r="K35" i="21"/>
  <c r="L35" i="21" s="1"/>
  <c r="BI21" i="8"/>
  <c r="BJ21" i="8" s="1"/>
  <c r="BI18" i="8"/>
  <c r="BJ18" i="8" s="1"/>
  <c r="AF39" i="21"/>
  <c r="AG39" i="21" s="1"/>
  <c r="AA21" i="20"/>
  <c r="AB21" i="20" s="1"/>
  <c r="S8" i="21"/>
  <c r="T8" i="21" s="1"/>
  <c r="S37" i="20"/>
  <c r="T37" i="20" s="1"/>
  <c r="S35" i="21"/>
  <c r="T35" i="21" s="1"/>
  <c r="S10" i="21"/>
  <c r="T10" i="21" s="1"/>
  <c r="K7" i="21"/>
  <c r="L7" i="21" s="1"/>
  <c r="K11" i="21"/>
  <c r="L11" i="21" s="1"/>
  <c r="BI12" i="8"/>
  <c r="BJ12" i="8" s="1"/>
  <c r="BI11" i="8"/>
  <c r="BJ11" i="8" s="1"/>
  <c r="AA13" i="20"/>
  <c r="AB13" i="20" s="1"/>
  <c r="AF26" i="21"/>
  <c r="AG26" i="21" s="1"/>
  <c r="BI9" i="8"/>
  <c r="BJ9" i="8" s="1"/>
  <c r="AA33" i="20"/>
  <c r="AB33" i="20" s="1"/>
  <c r="AA38" i="21"/>
  <c r="AB38" i="21" s="1"/>
  <c r="S24" i="21"/>
  <c r="T24" i="21" s="1"/>
  <c r="S29" i="20"/>
  <c r="T29" i="20" s="1"/>
  <c r="K9" i="20"/>
  <c r="AM9" i="20" s="1"/>
  <c r="K21" i="21"/>
  <c r="L21" i="21" s="1"/>
  <c r="K35" i="20"/>
  <c r="L35" i="20" s="1"/>
  <c r="K13" i="20"/>
  <c r="L13" i="20" s="1"/>
  <c r="K25" i="21"/>
  <c r="L25" i="21" s="1"/>
  <c r="K39" i="20"/>
  <c r="L39" i="20" s="1"/>
  <c r="AA23" i="21"/>
  <c r="AB23" i="21" s="1"/>
  <c r="AA30" i="20"/>
  <c r="AB30" i="20" s="1"/>
  <c r="S15" i="21"/>
  <c r="T15" i="21" s="1"/>
  <c r="BI38" i="8"/>
  <c r="BJ38" i="8" s="1"/>
  <c r="AF23" i="21"/>
  <c r="AG23" i="21" s="1"/>
  <c r="BI22" i="8"/>
  <c r="BJ22" i="8" s="1"/>
  <c r="AF7" i="21"/>
  <c r="AG7" i="21" s="1"/>
  <c r="AF28" i="21"/>
  <c r="AG28" i="21" s="1"/>
  <c r="BI28" i="8"/>
  <c r="BJ28" i="8" s="1"/>
  <c r="S30" i="21"/>
  <c r="T30" i="21" s="1"/>
  <c r="AA37" i="20"/>
  <c r="AB37" i="20" s="1"/>
  <c r="S22" i="21"/>
  <c r="T22" i="21" s="1"/>
  <c r="K36" i="21"/>
  <c r="L36" i="21" s="1"/>
  <c r="AA7" i="21"/>
  <c r="AB7" i="21" s="1"/>
  <c r="K10" i="20"/>
  <c r="L10" i="20" s="1"/>
  <c r="K22" i="21"/>
  <c r="AA23" i="20"/>
  <c r="AB23" i="20" s="1"/>
  <c r="K14" i="20"/>
  <c r="L14" i="20" s="1"/>
  <c r="K26" i="21"/>
  <c r="L26" i="21" s="1"/>
  <c r="BI30" i="8"/>
  <c r="BJ30" i="8" s="1"/>
  <c r="BI14" i="8"/>
  <c r="BJ14" i="8" s="1"/>
  <c r="S40" i="20"/>
  <c r="T40" i="20" s="1"/>
  <c r="S16" i="21"/>
  <c r="T16" i="21" s="1"/>
  <c r="S13" i="20"/>
  <c r="T13" i="20" s="1"/>
  <c r="S32" i="20"/>
  <c r="T32" i="20" s="1"/>
  <c r="AA21" i="21"/>
  <c r="AB21" i="21" s="1"/>
  <c r="K20" i="21"/>
  <c r="L20" i="21" s="1"/>
  <c r="AA19" i="20"/>
  <c r="AB19" i="20" s="1"/>
  <c r="BI26" i="8"/>
  <c r="BJ26" i="8" s="1"/>
  <c r="AF11" i="21"/>
  <c r="AG11" i="21" s="1"/>
  <c r="AF32" i="21"/>
  <c r="AG32" i="21" s="1"/>
  <c r="BI29" i="8"/>
  <c r="BJ29" i="8" s="1"/>
  <c r="BI10" i="8"/>
  <c r="BJ10" i="8" s="1"/>
  <c r="AF16" i="21"/>
  <c r="AG16" i="21" s="1"/>
  <c r="AA8" i="21"/>
  <c r="AB8" i="21" s="1"/>
  <c r="L32" i="21"/>
  <c r="L20" i="20"/>
  <c r="L23" i="20"/>
  <c r="L9" i="21"/>
  <c r="L38" i="21"/>
  <c r="AR12" i="21"/>
  <c r="L36" i="20"/>
  <c r="L34" i="21"/>
  <c r="L23" i="21"/>
  <c r="L11" i="20"/>
  <c r="L38" i="20"/>
  <c r="L24" i="21"/>
  <c r="L12" i="20"/>
  <c r="L19" i="21"/>
  <c r="L15" i="21"/>
  <c r="L28" i="21"/>
  <c r="L6" i="20"/>
  <c r="L19" i="20"/>
  <c r="L17" i="20"/>
  <c r="L32" i="20"/>
  <c r="L29" i="21"/>
  <c r="L15" i="20"/>
  <c r="L30" i="21"/>
  <c r="L33" i="20"/>
  <c r="L31" i="20"/>
  <c r="L17" i="21"/>
  <c r="L39" i="21"/>
  <c r="L34" i="20"/>
  <c r="U28" i="7"/>
  <c r="O28" i="7"/>
  <c r="I28" i="7"/>
  <c r="L28" i="7"/>
  <c r="AM21" i="20" l="1"/>
  <c r="AM27" i="20"/>
  <c r="AN27" i="20" s="1"/>
  <c r="AM31" i="20"/>
  <c r="AM39" i="20"/>
  <c r="AO39" i="20" s="1"/>
  <c r="L9" i="20"/>
  <c r="AM8" i="20"/>
  <c r="AO8" i="20" s="1"/>
  <c r="AR14" i="21"/>
  <c r="AR20" i="21"/>
  <c r="AS20" i="21" s="1"/>
  <c r="AR6" i="21"/>
  <c r="AT6" i="21" s="1"/>
  <c r="AR13" i="21"/>
  <c r="AT13" i="21" s="1"/>
  <c r="AR26" i="21"/>
  <c r="AM25" i="20"/>
  <c r="AN25" i="20" s="1"/>
  <c r="AR33" i="21"/>
  <c r="AR16" i="21"/>
  <c r="AT16" i="21" s="1"/>
  <c r="AR8" i="21"/>
  <c r="AM24" i="20"/>
  <c r="AN24" i="20" s="1"/>
  <c r="AR10" i="21"/>
  <c r="AM35" i="20"/>
  <c r="AN35" i="20" s="1"/>
  <c r="AM37" i="20"/>
  <c r="AR18" i="21"/>
  <c r="AS18" i="21" s="1"/>
  <c r="AR34" i="21"/>
  <c r="AM13" i="20"/>
  <c r="AO13" i="20" s="1"/>
  <c r="AR21" i="21"/>
  <c r="AR7" i="21"/>
  <c r="AT7" i="21" s="1"/>
  <c r="AM23" i="20"/>
  <c r="AM19" i="20"/>
  <c r="AO19" i="20" s="1"/>
  <c r="AM40" i="20"/>
  <c r="AM29" i="20"/>
  <c r="AN29" i="20" s="1"/>
  <c r="AR30" i="21"/>
  <c r="AM33" i="20"/>
  <c r="AO33" i="20" s="1"/>
  <c r="AR17" i="21"/>
  <c r="AR19" i="21"/>
  <c r="AT19" i="21" s="1"/>
  <c r="AR32" i="21"/>
  <c r="AR28" i="21"/>
  <c r="AT28" i="21" s="1"/>
  <c r="AM6" i="20"/>
  <c r="AM30" i="20"/>
  <c r="AO30" i="20" s="1"/>
  <c r="AR38" i="21"/>
  <c r="AM17" i="20"/>
  <c r="AN17" i="20" s="1"/>
  <c r="AM32" i="20"/>
  <c r="AM15" i="20"/>
  <c r="AO15" i="20" s="1"/>
  <c r="AR23" i="21"/>
  <c r="AM28" i="20"/>
  <c r="AN28" i="20" s="1"/>
  <c r="AM38" i="20"/>
  <c r="AM12" i="20"/>
  <c r="AO12" i="20" s="1"/>
  <c r="AM34" i="20"/>
  <c r="AN34" i="20" s="1"/>
  <c r="AR39" i="21"/>
  <c r="AS39" i="21" s="1"/>
  <c r="AM18" i="20"/>
  <c r="AR27" i="21"/>
  <c r="AS27" i="21" s="1"/>
  <c r="AR29" i="21"/>
  <c r="AS29" i="21" s="1"/>
  <c r="AR31" i="21"/>
  <c r="AS31" i="21" s="1"/>
  <c r="AM16" i="20"/>
  <c r="AR25" i="21"/>
  <c r="AS25" i="21" s="1"/>
  <c r="AR36" i="21"/>
  <c r="AR15" i="21"/>
  <c r="AS15" i="21" s="1"/>
  <c r="AM7" i="20"/>
  <c r="AR24" i="21"/>
  <c r="AS24" i="21" s="1"/>
  <c r="AR40" i="21"/>
  <c r="AS40" i="21" s="1"/>
  <c r="AM11" i="20"/>
  <c r="AN11" i="20" s="1"/>
  <c r="AM22" i="20"/>
  <c r="AR37" i="21"/>
  <c r="AS37" i="21" s="1"/>
  <c r="AM36" i="20"/>
  <c r="AM26" i="20"/>
  <c r="AN26" i="20" s="1"/>
  <c r="AR9" i="21"/>
  <c r="AR35" i="21"/>
  <c r="AS35" i="21" s="1"/>
  <c r="AR11" i="21"/>
  <c r="AM20" i="20"/>
  <c r="AN20" i="20" s="1"/>
  <c r="AM10" i="20"/>
  <c r="AM14" i="20"/>
  <c r="AN14" i="20" s="1"/>
  <c r="L22" i="21"/>
  <c r="AR22" i="21"/>
  <c r="AT8" i="21"/>
  <c r="AS8" i="21"/>
  <c r="AT12" i="21"/>
  <c r="AS12" i="21"/>
  <c r="AO35" i="20"/>
  <c r="AO31" i="20"/>
  <c r="AN31" i="20"/>
  <c r="AS6" i="21"/>
  <c r="AT10" i="21"/>
  <c r="AS10" i="21"/>
  <c r="AT14" i="21"/>
  <c r="AS14" i="21"/>
  <c r="AO34" i="20"/>
  <c r="AT17" i="21"/>
  <c r="AS17" i="21"/>
  <c r="AO21" i="20"/>
  <c r="AN21" i="20"/>
  <c r="AT33" i="21"/>
  <c r="AS33" i="21"/>
  <c r="AO18" i="20"/>
  <c r="AN18" i="20"/>
  <c r="AT30" i="21"/>
  <c r="AS30" i="21"/>
  <c r="AT29" i="21"/>
  <c r="AO32" i="20"/>
  <c r="AN32" i="20"/>
  <c r="AT31" i="21"/>
  <c r="AO6" i="20"/>
  <c r="AN6" i="20"/>
  <c r="AO16" i="20"/>
  <c r="AN16" i="20"/>
  <c r="AT36" i="21"/>
  <c r="AS36" i="21"/>
  <c r="AO7" i="20"/>
  <c r="AN7" i="20"/>
  <c r="AN12" i="20"/>
  <c r="AO38" i="20"/>
  <c r="AN38" i="20"/>
  <c r="AT40" i="21"/>
  <c r="AT23" i="21"/>
  <c r="AS23" i="21"/>
  <c r="AO22" i="20"/>
  <c r="AN22" i="20"/>
  <c r="AT34" i="21"/>
  <c r="AS34" i="21"/>
  <c r="AO36" i="20"/>
  <c r="AN36" i="20"/>
  <c r="AS13" i="21"/>
  <c r="AN40" i="20"/>
  <c r="AO40" i="20"/>
  <c r="AT38" i="21"/>
  <c r="AS38" i="21"/>
  <c r="AT9" i="21"/>
  <c r="AS9" i="21"/>
  <c r="AO23" i="20"/>
  <c r="AN23" i="20"/>
  <c r="AT11" i="21"/>
  <c r="AS11" i="21"/>
  <c r="AO9" i="20"/>
  <c r="AN9" i="20"/>
  <c r="AT21" i="21"/>
  <c r="AS21" i="21"/>
  <c r="AT32" i="21"/>
  <c r="AS32" i="21"/>
  <c r="AO10" i="20"/>
  <c r="AN10" i="20"/>
  <c r="AO14" i="20"/>
  <c r="AT26" i="21"/>
  <c r="AS26" i="21"/>
  <c r="AO37" i="20"/>
  <c r="AN37" i="20"/>
  <c r="AN8" i="20"/>
  <c r="BL13" i="8"/>
  <c r="BL11" i="8"/>
  <c r="BL15" i="8"/>
  <c r="BL18" i="8"/>
  <c r="BL40" i="8"/>
  <c r="BL34" i="8"/>
  <c r="BL10" i="8"/>
  <c r="BL26" i="8"/>
  <c r="BL7" i="8"/>
  <c r="BL35" i="8"/>
  <c r="BL31" i="8"/>
  <c r="BL36" i="8"/>
  <c r="BL17" i="8"/>
  <c r="BL32" i="8"/>
  <c r="BL22" i="8"/>
  <c r="BL23" i="8"/>
  <c r="BL33" i="8"/>
  <c r="BL19" i="8"/>
  <c r="BL38" i="8"/>
  <c r="BL29" i="8"/>
  <c r="BL37" i="8"/>
  <c r="BL9" i="8"/>
  <c r="BL30" i="8"/>
  <c r="BL12" i="8"/>
  <c r="BL28" i="8"/>
  <c r="BL20" i="8"/>
  <c r="BL25" i="8"/>
  <c r="BL14" i="8"/>
  <c r="BL27" i="8"/>
  <c r="BL21" i="8"/>
  <c r="BL24" i="8"/>
  <c r="BL39" i="8"/>
  <c r="BL6" i="8"/>
  <c r="BL16" i="8"/>
  <c r="BL8" i="8"/>
  <c r="AP20" i="8"/>
  <c r="Q12" i="13"/>
  <c r="AP24" i="8"/>
  <c r="G13" i="13"/>
  <c r="M17" i="8"/>
  <c r="O17" i="12"/>
  <c r="O12" i="13"/>
  <c r="AX37" i="8"/>
  <c r="G17" i="13"/>
  <c r="AU10" i="8"/>
  <c r="B6" i="8"/>
  <c r="B39" i="8"/>
  <c r="H30" i="8"/>
  <c r="AI23" i="9"/>
  <c r="AX22" i="8"/>
  <c r="H26" i="8"/>
  <c r="B68" i="4"/>
  <c r="AP40" i="8"/>
  <c r="B31" i="8"/>
  <c r="O20" i="13"/>
  <c r="P40" i="8"/>
  <c r="AG7" i="8"/>
  <c r="Y7" i="8"/>
  <c r="M7" i="12"/>
  <c r="O12" i="12"/>
  <c r="AU16" i="8"/>
  <c r="E13" i="13"/>
  <c r="AX12" i="8"/>
  <c r="AD30" i="8"/>
  <c r="V31" i="8"/>
  <c r="AM24" i="8"/>
  <c r="AD36" i="8"/>
  <c r="B60" i="4"/>
  <c r="Y33" i="8"/>
  <c r="AC41" i="9"/>
  <c r="B23" i="8"/>
  <c r="M21" i="8"/>
  <c r="AD10" i="8"/>
  <c r="G15" i="13"/>
  <c r="H22" i="8"/>
  <c r="E30" i="8"/>
  <c r="O15" i="12"/>
  <c r="AD24" i="8"/>
  <c r="Q20" i="13"/>
  <c r="AG21" i="8"/>
  <c r="Q18" i="13"/>
  <c r="AD9" i="8"/>
  <c r="AO35" i="9"/>
  <c r="V21" i="8"/>
  <c r="P27" i="8"/>
  <c r="V24" i="8"/>
  <c r="AD18" i="8"/>
  <c r="AG19" i="8"/>
  <c r="AX30" i="8"/>
  <c r="B20" i="4"/>
  <c r="AU18" i="8"/>
  <c r="AX35" i="8"/>
  <c r="E19" i="12"/>
  <c r="E40" i="8"/>
  <c r="E12" i="12"/>
  <c r="AI36" i="9"/>
  <c r="O13" i="12"/>
  <c r="E16" i="13"/>
  <c r="AM12" i="8"/>
  <c r="E15" i="12"/>
  <c r="AI10" i="9"/>
  <c r="AU31" i="8"/>
  <c r="AM20" i="8"/>
  <c r="Y14" i="8"/>
  <c r="AU39" i="8"/>
  <c r="E18" i="8"/>
  <c r="AO41" i="9"/>
  <c r="B8" i="4"/>
  <c r="G14" i="13"/>
  <c r="AU7" i="8"/>
  <c r="AM23" i="8"/>
  <c r="AC34" i="9"/>
  <c r="AD7" i="8"/>
  <c r="Y27" i="8"/>
  <c r="AG12" i="8"/>
  <c r="E32" i="8"/>
  <c r="AI41" i="9"/>
  <c r="P11" i="8"/>
  <c r="AM6" i="8"/>
  <c r="P8" i="8"/>
  <c r="AP35" i="8"/>
  <c r="P12" i="8"/>
  <c r="M38" i="8"/>
  <c r="H7" i="8"/>
  <c r="B37" i="8"/>
  <c r="AO34" i="9"/>
  <c r="P39" i="8"/>
  <c r="AP38" i="8"/>
  <c r="B33" i="8"/>
  <c r="V22" i="8"/>
  <c r="C23" i="13"/>
  <c r="V37" i="8"/>
  <c r="E20" i="8"/>
  <c r="P35" i="8"/>
  <c r="Y36" i="8"/>
  <c r="Y38" i="8"/>
  <c r="AG30" i="8"/>
  <c r="AG20" i="8"/>
  <c r="AP21" i="8"/>
  <c r="B32" i="8"/>
  <c r="AO36" i="9"/>
  <c r="AG33" i="8"/>
  <c r="AP6" i="8"/>
  <c r="M15" i="8"/>
  <c r="AM29" i="8"/>
  <c r="C7" i="13"/>
  <c r="AD33" i="8"/>
  <c r="Y19" i="8"/>
  <c r="I32" i="9"/>
  <c r="AD6" i="8"/>
  <c r="AD25" i="8"/>
  <c r="AM33" i="8"/>
  <c r="AP27" i="8"/>
  <c r="AI21" i="9"/>
  <c r="P25" i="8"/>
  <c r="AM26" i="8"/>
  <c r="E27" i="8"/>
  <c r="M32" i="8"/>
  <c r="B40" i="4"/>
  <c r="H25" i="8"/>
  <c r="AC35" i="9"/>
  <c r="Y25" i="8"/>
  <c r="Y26" i="8"/>
  <c r="B34" i="8"/>
  <c r="B46" i="4"/>
  <c r="AP8" i="8"/>
  <c r="AD20" i="8"/>
  <c r="V19" i="8"/>
  <c r="Y35" i="8"/>
  <c r="AX15" i="8"/>
  <c r="H29" i="8"/>
  <c r="AP32" i="8"/>
  <c r="Y30" i="8"/>
  <c r="Y24" i="8"/>
  <c r="O14" i="13"/>
  <c r="AI9" i="9"/>
  <c r="B76" i="4"/>
  <c r="AX6" i="8"/>
  <c r="E38" i="8"/>
  <c r="AG15" i="8"/>
  <c r="AI22" i="9"/>
  <c r="M40" i="8"/>
  <c r="AU32" i="8"/>
  <c r="V36" i="8"/>
  <c r="Q14" i="13"/>
  <c r="B44" i="4"/>
  <c r="P33" i="8"/>
  <c r="B16" i="4"/>
  <c r="AD37" i="8"/>
  <c r="AM15" i="8"/>
  <c r="Y40" i="8"/>
  <c r="AU6" i="8"/>
  <c r="AD31" i="8"/>
  <c r="AU17" i="8"/>
  <c r="B16" i="8"/>
  <c r="AP18" i="8"/>
  <c r="AP30" i="8"/>
  <c r="E35" i="8"/>
  <c r="V27" i="8"/>
  <c r="AP7" i="8"/>
  <c r="AP12" i="8"/>
  <c r="P21" i="8"/>
  <c r="M23" i="8"/>
  <c r="E29" i="8"/>
  <c r="H23" i="8"/>
  <c r="M33" i="8"/>
  <c r="V26" i="8"/>
  <c r="AM13" i="8"/>
  <c r="E34" i="8"/>
  <c r="AU35" i="8"/>
  <c r="G16" i="13"/>
  <c r="Q13" i="13"/>
  <c r="O20" i="12"/>
  <c r="B12" i="8"/>
  <c r="V40" i="8"/>
  <c r="G20" i="13"/>
  <c r="O16" i="12"/>
  <c r="H14" i="8"/>
  <c r="C7" i="12"/>
  <c r="AM8" i="8"/>
  <c r="B22" i="8"/>
  <c r="AG27" i="8"/>
  <c r="V13" i="8"/>
  <c r="AD11" i="8"/>
  <c r="AM37" i="8"/>
  <c r="AX27" i="8"/>
  <c r="V35" i="8"/>
  <c r="Q34" i="9"/>
  <c r="AU13" i="8"/>
  <c r="M28" i="8"/>
  <c r="AP11" i="8"/>
  <c r="V7" i="8"/>
  <c r="V34" i="8"/>
  <c r="AM32" i="8"/>
  <c r="H34" i="8"/>
  <c r="AX10" i="8"/>
  <c r="AG25" i="8"/>
  <c r="AD13" i="8"/>
  <c r="H12" i="8"/>
  <c r="H13" i="8"/>
  <c r="AU8" i="8"/>
  <c r="AG16" i="8"/>
  <c r="E12" i="8"/>
  <c r="V14" i="8"/>
  <c r="E19" i="13"/>
  <c r="AP31" i="8"/>
  <c r="B29" i="8"/>
  <c r="E26" i="8"/>
  <c r="H40" i="8"/>
  <c r="AX40" i="8"/>
  <c r="B14" i="8"/>
  <c r="V16" i="8"/>
  <c r="Y10" i="8"/>
  <c r="AP17" i="8"/>
  <c r="P38" i="8"/>
  <c r="O18" i="12"/>
  <c r="AI18" i="9"/>
  <c r="E18" i="12"/>
  <c r="Y13" i="8"/>
  <c r="AG40" i="8"/>
  <c r="AP34" i="8"/>
  <c r="AD23" i="8"/>
  <c r="M23" i="13"/>
  <c r="E37" i="8"/>
  <c r="AU9" i="8"/>
  <c r="AG31" i="8"/>
  <c r="AG34" i="8"/>
  <c r="AG22" i="8"/>
  <c r="AP13" i="8"/>
  <c r="P28" i="8"/>
  <c r="B21" i="8"/>
  <c r="AX25" i="8"/>
  <c r="AM9" i="8"/>
  <c r="AI35" i="9"/>
  <c r="AU36" i="8"/>
  <c r="H24" i="8"/>
  <c r="Y16" i="8"/>
  <c r="B54" i="4"/>
  <c r="AX31" i="8"/>
  <c r="AP36" i="8"/>
  <c r="E14" i="12"/>
  <c r="M35" i="8"/>
  <c r="AM18" i="8"/>
  <c r="M26" i="8"/>
  <c r="E13" i="8"/>
  <c r="P14" i="8"/>
  <c r="H16" i="8"/>
  <c r="AP29" i="8"/>
  <c r="H18" i="8"/>
  <c r="P34" i="8"/>
  <c r="AP14" i="8"/>
  <c r="P9" i="8"/>
  <c r="Y32" i="8"/>
  <c r="E36" i="8"/>
  <c r="AG32" i="8"/>
  <c r="B74" i="4"/>
  <c r="M36" i="8"/>
  <c r="AG13" i="8"/>
  <c r="Q23" i="13"/>
  <c r="E17" i="13"/>
  <c r="AP19" i="8"/>
  <c r="E15" i="13"/>
  <c r="M6" i="8"/>
  <c r="E6" i="8"/>
  <c r="AP39" i="8"/>
  <c r="E25" i="8"/>
  <c r="V6" i="8"/>
  <c r="P26" i="8"/>
  <c r="V18" i="8"/>
  <c r="AG39" i="8"/>
  <c r="AU19" i="8"/>
  <c r="V8" i="8"/>
  <c r="P31" i="8"/>
  <c r="AM28" i="8"/>
  <c r="E13" i="12"/>
  <c r="B24" i="8"/>
  <c r="Y11" i="8"/>
  <c r="Q19" i="13"/>
  <c r="AM10" i="8"/>
  <c r="O18" i="13"/>
  <c r="V9" i="8"/>
  <c r="AD21" i="8"/>
  <c r="AU27" i="8"/>
  <c r="AP37" i="8"/>
  <c r="V29" i="8"/>
  <c r="E14" i="8"/>
  <c r="M12" i="8"/>
  <c r="AD16" i="8"/>
  <c r="AU25" i="8"/>
  <c r="E21" i="8"/>
  <c r="B70" i="4"/>
  <c r="M10" i="8"/>
  <c r="H31" i="8"/>
  <c r="H6" i="8"/>
  <c r="AG9" i="8"/>
  <c r="H35" i="8"/>
  <c r="B38" i="8"/>
  <c r="AX33" i="8"/>
  <c r="E10" i="8"/>
  <c r="B42" i="4"/>
  <c r="B28" i="4"/>
  <c r="AX11" i="8"/>
  <c r="AP10" i="8"/>
  <c r="AI12" i="9"/>
  <c r="B48" i="4"/>
  <c r="V20" i="8"/>
  <c r="B62" i="4"/>
  <c r="AX38" i="8"/>
  <c r="H9" i="8"/>
  <c r="H19" i="8"/>
  <c r="V28" i="8"/>
  <c r="E8" i="8"/>
  <c r="AX28" i="8"/>
  <c r="AG38" i="8"/>
  <c r="M20" i="8"/>
  <c r="AD32" i="8"/>
  <c r="AG17" i="8"/>
  <c r="AU14" i="8"/>
  <c r="M29" i="8"/>
  <c r="B40" i="8"/>
  <c r="M34" i="8"/>
  <c r="AG35" i="8"/>
  <c r="E23" i="8"/>
  <c r="AX34" i="8"/>
  <c r="V11" i="8"/>
  <c r="M30" i="8"/>
  <c r="E33" i="8"/>
  <c r="AU22" i="8"/>
  <c r="Y31" i="8"/>
  <c r="M11" i="8"/>
  <c r="AD14" i="8"/>
  <c r="M14" i="8"/>
  <c r="P15" i="8"/>
  <c r="AX17" i="8"/>
  <c r="E24" i="8"/>
  <c r="P7" i="8"/>
  <c r="M9" i="8"/>
  <c r="M31" i="8"/>
  <c r="O17" i="13"/>
  <c r="AU24" i="8"/>
  <c r="AU26" i="8"/>
  <c r="AM16" i="8"/>
  <c r="H37" i="8"/>
  <c r="B36" i="4"/>
  <c r="M18" i="8"/>
  <c r="AU23" i="8"/>
  <c r="B35" i="8"/>
  <c r="AU12" i="8"/>
  <c r="H10" i="8"/>
  <c r="Y28" i="8"/>
  <c r="P22" i="8"/>
  <c r="AI14" i="9"/>
  <c r="AU11" i="8"/>
  <c r="M16" i="8"/>
  <c r="G18" i="13"/>
  <c r="B36" i="8"/>
  <c r="H20" i="8"/>
  <c r="M7" i="13"/>
  <c r="P29" i="8"/>
  <c r="E28" i="8"/>
  <c r="AX20" i="8"/>
  <c r="AM17" i="8"/>
  <c r="H38" i="8"/>
  <c r="AU30" i="8"/>
  <c r="AD29" i="8"/>
  <c r="B34" i="4"/>
  <c r="B15" i="8"/>
  <c r="B30" i="4"/>
  <c r="AU28" i="8"/>
  <c r="H21" i="8"/>
  <c r="AD28" i="8"/>
  <c r="AX23" i="8"/>
  <c r="Y29" i="8"/>
  <c r="AM31" i="8"/>
  <c r="G23" i="13"/>
  <c r="H11" i="8"/>
  <c r="B8" i="8"/>
  <c r="B26" i="8"/>
  <c r="B26" i="4"/>
  <c r="AP9" i="8"/>
  <c r="B56" i="4"/>
  <c r="AU20" i="8"/>
  <c r="AM22" i="8"/>
  <c r="P16" i="8"/>
  <c r="B7" i="8"/>
  <c r="AX9" i="8"/>
  <c r="Y21" i="8"/>
  <c r="AP22" i="8"/>
  <c r="P36" i="8"/>
  <c r="AU21" i="8"/>
  <c r="E20" i="13"/>
  <c r="H17" i="8"/>
  <c r="Q15" i="13"/>
  <c r="AI29" i="9"/>
  <c r="B27" i="8"/>
  <c r="E20" i="12"/>
  <c r="B19" i="8"/>
  <c r="M13" i="8"/>
  <c r="P30" i="8"/>
  <c r="V33" i="8"/>
  <c r="H8" i="8"/>
  <c r="V25" i="8"/>
  <c r="AX18" i="8"/>
  <c r="I34" i="9"/>
  <c r="E15" i="8"/>
  <c r="Y15" i="8"/>
  <c r="O134" i="9"/>
  <c r="P20" i="8"/>
  <c r="B38" i="4"/>
  <c r="AP16" i="8"/>
  <c r="AP25" i="8"/>
  <c r="P6" i="8"/>
  <c r="AI34" i="9"/>
  <c r="V23" i="8"/>
  <c r="M37" i="8"/>
  <c r="AX14" i="8"/>
  <c r="B14" i="4"/>
  <c r="M27" i="8"/>
  <c r="V15" i="8"/>
  <c r="Y37" i="8"/>
  <c r="AD15" i="8"/>
  <c r="M25" i="8"/>
  <c r="AX21" i="8"/>
  <c r="E16" i="8"/>
  <c r="Y34" i="8"/>
  <c r="Y39" i="8"/>
  <c r="AU15" i="8"/>
  <c r="AX26" i="8"/>
  <c r="H15" i="8"/>
  <c r="Y22" i="8"/>
  <c r="M39" i="8"/>
  <c r="P24" i="8"/>
  <c r="M24" i="8"/>
  <c r="E39" i="8"/>
  <c r="AX8" i="8"/>
  <c r="AI13" i="9"/>
  <c r="M22" i="8"/>
  <c r="AD19" i="8"/>
  <c r="AI25" i="9"/>
  <c r="AM40" i="8"/>
  <c r="B11" i="8"/>
  <c r="AD22" i="8"/>
  <c r="P23" i="8"/>
  <c r="AG26" i="8"/>
  <c r="M7" i="8"/>
  <c r="AD40" i="8"/>
  <c r="H32" i="8"/>
  <c r="AM35" i="8"/>
  <c r="AG29" i="8"/>
  <c r="AG11" i="8"/>
  <c r="Y23" i="8"/>
  <c r="B20" i="8"/>
  <c r="F134" i="9"/>
  <c r="AX32" i="8"/>
  <c r="E17" i="8"/>
  <c r="AM14" i="8"/>
  <c r="Y8" i="8"/>
  <c r="AM19" i="8"/>
  <c r="P19" i="8"/>
  <c r="V39" i="8"/>
  <c r="V38" i="8"/>
  <c r="AG37" i="8"/>
  <c r="E22" i="8"/>
  <c r="AP23" i="8"/>
  <c r="B66" i="4"/>
  <c r="AX36" i="8"/>
  <c r="AU34" i="8"/>
  <c r="AI11" i="9"/>
  <c r="AG8" i="8"/>
  <c r="AG6" i="8"/>
  <c r="Y18" i="8"/>
  <c r="H36" i="8"/>
  <c r="B18" i="4"/>
  <c r="E11" i="8"/>
  <c r="AG36" i="8"/>
  <c r="AI28" i="9"/>
  <c r="B25" i="8"/>
  <c r="AM11" i="8"/>
  <c r="AG18" i="8"/>
  <c r="AG23" i="8"/>
  <c r="H33" i="8"/>
  <c r="B13" i="8"/>
  <c r="P13" i="8"/>
  <c r="B50" i="4"/>
  <c r="V32" i="8"/>
  <c r="V12" i="8"/>
  <c r="AI26" i="9"/>
  <c r="AX24" i="8"/>
  <c r="AD34" i="8"/>
  <c r="AI27" i="9"/>
  <c r="AI30" i="9"/>
  <c r="H28" i="8"/>
  <c r="V30" i="8"/>
  <c r="P32" i="8"/>
  <c r="AM7" i="8"/>
  <c r="AI24" i="9"/>
  <c r="Y9" i="8"/>
  <c r="AX16" i="8"/>
  <c r="B9" i="8"/>
  <c r="H27" i="8"/>
  <c r="E19" i="8"/>
  <c r="P18" i="8"/>
  <c r="B12" i="4"/>
  <c r="AM39" i="8"/>
  <c r="AD38" i="8"/>
  <c r="AD8" i="8"/>
  <c r="E9" i="8"/>
  <c r="O19" i="12"/>
  <c r="AP26" i="8"/>
  <c r="B58" i="4"/>
  <c r="B17" i="8"/>
  <c r="AD27" i="8"/>
  <c r="AX19" i="8"/>
  <c r="AM27" i="8"/>
  <c r="AG28" i="8"/>
  <c r="AD35" i="8"/>
  <c r="E31" i="8"/>
  <c r="Q17" i="13"/>
  <c r="B30" i="8"/>
  <c r="AM34" i="8"/>
  <c r="O15" i="13"/>
  <c r="B18" i="8"/>
  <c r="G12" i="13"/>
  <c r="AG10" i="8"/>
  <c r="AP33" i="8"/>
  <c r="AG14" i="8"/>
  <c r="AX29" i="8"/>
  <c r="AP28" i="8"/>
  <c r="AX13" i="8"/>
  <c r="P17" i="8"/>
  <c r="AM25" i="8"/>
  <c r="AD17" i="8"/>
  <c r="M8" i="8"/>
  <c r="AM21" i="8"/>
  <c r="O16" i="13"/>
  <c r="AX7" i="8"/>
  <c r="E12" i="13"/>
  <c r="B28" i="8"/>
  <c r="AP15" i="8"/>
  <c r="Y6" i="8"/>
  <c r="B10" i="8"/>
  <c r="E7" i="8"/>
  <c r="O13" i="13"/>
  <c r="B22" i="4"/>
  <c r="AU33" i="8"/>
  <c r="AI15" i="9"/>
  <c r="AU29" i="8"/>
  <c r="AU38" i="8"/>
  <c r="AU40" i="8"/>
  <c r="AM36" i="8"/>
  <c r="E16" i="12"/>
  <c r="O19" i="13"/>
  <c r="B72" i="4"/>
  <c r="B24" i="4"/>
  <c r="AD12" i="8"/>
  <c r="B32" i="4"/>
  <c r="P37" i="8"/>
  <c r="Q16" i="13"/>
  <c r="AC36" i="9"/>
  <c r="H39" i="8"/>
  <c r="AM38" i="8"/>
  <c r="B10" i="4"/>
  <c r="Y12" i="8"/>
  <c r="B52" i="4"/>
  <c r="AX39" i="8"/>
  <c r="M19" i="8"/>
  <c r="E14" i="13"/>
  <c r="AD26" i="8"/>
  <c r="Y20" i="8"/>
  <c r="P10" i="8"/>
  <c r="B64" i="4"/>
  <c r="V17" i="8"/>
  <c r="E18" i="13"/>
  <c r="V10" i="8"/>
  <c r="Y17" i="8"/>
  <c r="G19" i="13"/>
  <c r="AD39" i="8"/>
  <c r="AI7" i="9"/>
  <c r="AU37" i="8"/>
  <c r="AG24" i="8"/>
  <c r="AM30" i="8"/>
  <c r="O14" i="12"/>
  <c r="E17" i="12"/>
  <c r="AS7" i="21" l="1"/>
  <c r="AO25" i="20"/>
  <c r="AT25" i="21"/>
  <c r="AO27" i="20"/>
  <c r="AN39" i="20"/>
  <c r="AT35" i="21"/>
  <c r="AT37" i="21"/>
  <c r="AN30" i="20"/>
  <c r="AT20" i="21"/>
  <c r="AO24" i="20"/>
  <c r="AO28" i="20"/>
  <c r="AS19" i="21"/>
  <c r="AO29" i="20"/>
  <c r="AO20" i="20"/>
  <c r="AO26" i="20"/>
  <c r="AO11" i="20"/>
  <c r="AS28" i="21"/>
  <c r="AT18" i="21"/>
  <c r="AT24" i="21"/>
  <c r="AN15" i="20"/>
  <c r="AN19" i="20"/>
  <c r="AS16" i="21"/>
  <c r="AT15" i="21"/>
  <c r="AN13" i="20"/>
  <c r="AT39" i="21"/>
  <c r="AO17" i="20"/>
  <c r="AN33" i="20"/>
  <c r="AT27" i="21"/>
  <c r="AT22" i="21"/>
  <c r="AS22" i="21"/>
  <c r="AB10" i="8"/>
  <c r="AC10" i="8" s="1"/>
  <c r="S10" i="8"/>
  <c r="T10" i="8" s="1"/>
  <c r="AB26" i="8"/>
  <c r="AC26" i="8" s="1"/>
  <c r="K28" i="8"/>
  <c r="BA10" i="8"/>
  <c r="BB10" i="8" s="1"/>
  <c r="S17" i="8"/>
  <c r="T17" i="8" s="1"/>
  <c r="AJ26" i="8"/>
  <c r="AK26" i="8" s="1"/>
  <c r="K21" i="8"/>
  <c r="AS30" i="8"/>
  <c r="AT30" i="8" s="1"/>
  <c r="BA16" i="8"/>
  <c r="BB16" i="8" s="1"/>
  <c r="S18" i="8"/>
  <c r="T18" i="8" s="1"/>
  <c r="AJ32" i="8"/>
  <c r="AK32" i="8" s="1"/>
  <c r="AB28" i="8"/>
  <c r="AC28" i="8" s="1"/>
  <c r="S13" i="8"/>
  <c r="T13" i="8" s="1"/>
  <c r="S19" i="8"/>
  <c r="T19" i="8" s="1"/>
  <c r="BA33" i="8"/>
  <c r="BB33" i="8" s="1"/>
  <c r="BA40" i="8"/>
  <c r="BB40" i="8" s="1"/>
  <c r="AJ37" i="8"/>
  <c r="AK37" i="8" s="1"/>
  <c r="AS28" i="8"/>
  <c r="AT28" i="8" s="1"/>
  <c r="K7" i="8"/>
  <c r="S33" i="8"/>
  <c r="T33" i="8" s="1"/>
  <c r="K8" i="8"/>
  <c r="K36" i="8"/>
  <c r="AS34" i="8"/>
  <c r="AT34" i="8" s="1"/>
  <c r="S31" i="8"/>
  <c r="T31" i="8" s="1"/>
  <c r="AS10" i="8"/>
  <c r="AT10" i="8" s="1"/>
  <c r="S14" i="8"/>
  <c r="T14" i="8" s="1"/>
  <c r="AB8" i="8"/>
  <c r="AC8" i="8" s="1"/>
  <c r="S20" i="8"/>
  <c r="T20" i="8" s="1"/>
  <c r="S36" i="8"/>
  <c r="T36" i="8" s="1"/>
  <c r="AS15" i="8"/>
  <c r="AT15" i="8" s="1"/>
  <c r="AS36" i="8"/>
  <c r="AT36" i="8" s="1"/>
  <c r="AB36" i="8"/>
  <c r="AC36" i="8" s="1"/>
  <c r="AS26" i="8"/>
  <c r="AT26" i="8" s="1"/>
  <c r="K37" i="8"/>
  <c r="BA22" i="8"/>
  <c r="BB22" i="8" s="1"/>
  <c r="S35" i="8"/>
  <c r="T35" i="8" s="1"/>
  <c r="AJ11" i="8"/>
  <c r="AK11" i="8" s="1"/>
  <c r="BA36" i="8"/>
  <c r="BB36" i="8" s="1"/>
  <c r="K33" i="8"/>
  <c r="AJ23" i="8"/>
  <c r="AK23" i="8" s="1"/>
  <c r="K27" i="8"/>
  <c r="S40" i="8"/>
  <c r="T40" i="8" s="1"/>
  <c r="AB35" i="8"/>
  <c r="AC35" i="8" s="1"/>
  <c r="AS18" i="8"/>
  <c r="AT18" i="8" s="1"/>
  <c r="AS8" i="8"/>
  <c r="AT8" i="8" s="1"/>
  <c r="K12" i="8"/>
  <c r="AJ13" i="8"/>
  <c r="AK13" i="8" s="1"/>
  <c r="AS29" i="8"/>
  <c r="AT29" i="8" s="1"/>
  <c r="AB13" i="8"/>
  <c r="AC13" i="8" s="1"/>
  <c r="S32" i="8"/>
  <c r="T32" i="8" s="1"/>
  <c r="AS37" i="8"/>
  <c r="AT37" i="8" s="1"/>
  <c r="BA8" i="8"/>
  <c r="BB8" i="8" s="1"/>
  <c r="AB14" i="8"/>
  <c r="AC14" i="8" s="1"/>
  <c r="S38" i="8"/>
  <c r="T38" i="8" s="1"/>
  <c r="K38" i="8"/>
  <c r="AS11" i="8"/>
  <c r="AT11" i="8" s="1"/>
  <c r="AJ18" i="8"/>
  <c r="AK18" i="8" s="1"/>
  <c r="AJ9" i="8"/>
  <c r="AK9" i="8" s="1"/>
  <c r="AJ19" i="8"/>
  <c r="AK19" i="8" s="1"/>
  <c r="K11" i="8"/>
  <c r="S15" i="8"/>
  <c r="T15" i="8" s="1"/>
  <c r="AS20" i="8"/>
  <c r="AT20" i="8" s="1"/>
  <c r="AS7" i="8"/>
  <c r="AT7" i="8" s="1"/>
  <c r="AS38" i="8"/>
  <c r="AT38" i="8" s="1"/>
  <c r="K17" i="8"/>
  <c r="K18" i="8"/>
  <c r="K15" i="8"/>
  <c r="AB24" i="8"/>
  <c r="AC24" i="8" s="1"/>
  <c r="AJ22" i="8"/>
  <c r="AK22" i="8" s="1"/>
  <c r="S22" i="8"/>
  <c r="T22" i="8" s="1"/>
  <c r="AB30" i="8"/>
  <c r="AC30" i="8" s="1"/>
  <c r="AB39" i="8"/>
  <c r="AC39" i="8" s="1"/>
  <c r="AJ30" i="8"/>
  <c r="AK30" i="8" s="1"/>
  <c r="AB21" i="8"/>
  <c r="AC21" i="8" s="1"/>
  <c r="K22" i="8"/>
  <c r="AS19" i="8"/>
  <c r="AT19" i="8" s="1"/>
  <c r="AS40" i="8"/>
  <c r="AT40" i="8" s="1"/>
  <c r="AJ36" i="8"/>
  <c r="AK36" i="8" s="1"/>
  <c r="BA31" i="8"/>
  <c r="BB31" i="8" s="1"/>
  <c r="S25" i="8"/>
  <c r="T25" i="8" s="1"/>
  <c r="K16" i="8"/>
  <c r="BA39" i="8"/>
  <c r="BB39" i="8" s="1"/>
  <c r="AI8" i="9"/>
  <c r="AB38" i="8"/>
  <c r="AC38" i="8" s="1"/>
  <c r="AS14" i="8"/>
  <c r="AT14" i="8" s="1"/>
  <c r="S21" i="8"/>
  <c r="T21" i="8" s="1"/>
  <c r="AB31" i="8"/>
  <c r="AC31" i="8" s="1"/>
  <c r="BA28" i="8"/>
  <c r="BB28" i="8" s="1"/>
  <c r="BA30" i="8"/>
  <c r="BB30" i="8" s="1"/>
  <c r="AB20" i="8"/>
  <c r="AC20" i="8" s="1"/>
  <c r="AB33" i="8"/>
  <c r="AC33" i="8" s="1"/>
  <c r="K10" i="8"/>
  <c r="AB25" i="8"/>
  <c r="AC25" i="8" s="1"/>
  <c r="S27" i="8"/>
  <c r="T27" i="8" s="1"/>
  <c r="AB11" i="8"/>
  <c r="AC11" i="8" s="1"/>
  <c r="BA14" i="8"/>
  <c r="BB14" i="8" s="1"/>
  <c r="AS17" i="8"/>
  <c r="AT17" i="8" s="1"/>
  <c r="AB18" i="8"/>
  <c r="AC18" i="8" s="1"/>
  <c r="AJ15" i="8"/>
  <c r="AK15" i="8" s="1"/>
  <c r="AS24" i="8"/>
  <c r="AT24" i="8" s="1"/>
  <c r="AJ29" i="8"/>
  <c r="AK29" i="8" s="1"/>
  <c r="K23" i="8"/>
  <c r="BA35" i="8"/>
  <c r="BB35" i="8" s="1"/>
  <c r="AS22" i="8"/>
  <c r="AT22" i="8" s="1"/>
  <c r="AS13" i="8"/>
  <c r="AT13" i="8" s="1"/>
  <c r="AB6" i="8"/>
  <c r="AC6" i="8" s="1"/>
  <c r="AB15" i="8"/>
  <c r="AC15" i="8" s="1"/>
  <c r="BA18" i="8"/>
  <c r="BB18" i="8" s="1"/>
  <c r="S34" i="8"/>
  <c r="T34" i="8" s="1"/>
  <c r="K34" i="8"/>
  <c r="K14" i="8"/>
  <c r="AB9" i="8"/>
  <c r="AC9" i="8" s="1"/>
  <c r="S6" i="8"/>
  <c r="T6" i="8" s="1"/>
  <c r="AJ16" i="8"/>
  <c r="AK16" i="8" s="1"/>
  <c r="BA20" i="8"/>
  <c r="BB20" i="8" s="1"/>
  <c r="S29" i="8"/>
  <c r="T29" i="8" s="1"/>
  <c r="BA11" i="8"/>
  <c r="BB11" i="8" s="1"/>
  <c r="AB40" i="8"/>
  <c r="AC40" i="8" s="1"/>
  <c r="AJ12" i="8"/>
  <c r="AK12" i="8" s="1"/>
  <c r="K6" i="8"/>
  <c r="BA25" i="8"/>
  <c r="BB25" i="8" s="1"/>
  <c r="BA19" i="8"/>
  <c r="BB19" i="8" s="1"/>
  <c r="K25" i="8"/>
  <c r="AJ21" i="8"/>
  <c r="AK21" i="8" s="1"/>
  <c r="BA24" i="8"/>
  <c r="BB24" i="8" s="1"/>
  <c r="BA9" i="8"/>
  <c r="BB9" i="8" s="1"/>
  <c r="AB29" i="8"/>
  <c r="AC29" i="8" s="1"/>
  <c r="K35" i="8"/>
  <c r="AB17" i="8"/>
  <c r="AC17" i="8" s="1"/>
  <c r="BA37" i="8"/>
  <c r="BB37" i="8" s="1"/>
  <c r="AJ39" i="8"/>
  <c r="AK39" i="8" s="1"/>
  <c r="S12" i="8"/>
  <c r="T12" i="8" s="1"/>
  <c r="S26" i="8"/>
  <c r="T26" i="8" s="1"/>
  <c r="AB27" i="8"/>
  <c r="AC27" i="8" s="1"/>
  <c r="BA23" i="8"/>
  <c r="BB23" i="8" s="1"/>
  <c r="K29" i="8"/>
  <c r="BA27" i="8"/>
  <c r="BB27" i="8" s="1"/>
  <c r="BA26" i="8"/>
  <c r="BB26" i="8" s="1"/>
  <c r="AS9" i="8"/>
  <c r="AT9" i="8" s="1"/>
  <c r="BA12" i="8"/>
  <c r="BB12" i="8" s="1"/>
  <c r="S23" i="8"/>
  <c r="T23" i="8" s="1"/>
  <c r="AB34" i="8"/>
  <c r="AC34" i="8" s="1"/>
  <c r="K13" i="8"/>
  <c r="AS16" i="8"/>
  <c r="AT16" i="8" s="1"/>
  <c r="AB16" i="8"/>
  <c r="AC16" i="8" s="1"/>
  <c r="BA13" i="8"/>
  <c r="BB13" i="8" s="1"/>
  <c r="BA17" i="8"/>
  <c r="BB17" i="8" s="1"/>
  <c r="K24" i="8"/>
  <c r="AB12" i="8"/>
  <c r="AC12" i="8" s="1"/>
  <c r="AB7" i="8"/>
  <c r="AC7" i="8" s="1"/>
  <c r="AJ14" i="8"/>
  <c r="AK14" i="8" s="1"/>
  <c r="AJ34" i="8"/>
  <c r="AK34" i="8" s="1"/>
  <c r="AS32" i="8"/>
  <c r="AT32" i="8" s="1"/>
  <c r="BA6" i="8"/>
  <c r="BB6" i="8" s="1"/>
  <c r="K9" i="8"/>
  <c r="S11" i="8"/>
  <c r="T11" i="8" s="1"/>
  <c r="K26" i="8"/>
  <c r="S28" i="8"/>
  <c r="T28" i="8" s="1"/>
  <c r="BA29" i="8"/>
  <c r="BB29" i="8" s="1"/>
  <c r="AJ17" i="8"/>
  <c r="AK17" i="8" s="1"/>
  <c r="AJ35" i="8"/>
  <c r="AK35" i="8" s="1"/>
  <c r="BA38" i="8"/>
  <c r="BB38" i="8" s="1"/>
  <c r="AJ38" i="8"/>
  <c r="AK38" i="8" s="1"/>
  <c r="AB32" i="8"/>
  <c r="AC32" i="8" s="1"/>
  <c r="S9" i="8"/>
  <c r="T9" i="8" s="1"/>
  <c r="AS27" i="8"/>
  <c r="AT27" i="8" s="1"/>
  <c r="S7" i="8"/>
  <c r="T7" i="8" s="1"/>
  <c r="K19" i="8"/>
  <c r="AI6" i="9"/>
  <c r="K31" i="8"/>
  <c r="AJ31" i="8"/>
  <c r="AK31" i="8" s="1"/>
  <c r="AJ8" i="8"/>
  <c r="AK8" i="8" s="1"/>
  <c r="S8" i="8"/>
  <c r="T8" i="8" s="1"/>
  <c r="AS33" i="8"/>
  <c r="AT33" i="8" s="1"/>
  <c r="AJ27" i="8"/>
  <c r="AK27" i="8" s="1"/>
  <c r="AS35" i="8"/>
  <c r="AT35" i="8" s="1"/>
  <c r="AJ33" i="8"/>
  <c r="AK33" i="8" s="1"/>
  <c r="S30" i="8"/>
  <c r="T30" i="8" s="1"/>
  <c r="AS39" i="8"/>
  <c r="AT39" i="8" s="1"/>
  <c r="AJ40" i="8"/>
  <c r="AK40" i="8" s="1"/>
  <c r="AS25" i="8"/>
  <c r="AT25" i="8" s="1"/>
  <c r="AJ6" i="8"/>
  <c r="AK6" i="8" s="1"/>
  <c r="AB19" i="8"/>
  <c r="AC19" i="8" s="1"/>
  <c r="AS21" i="8"/>
  <c r="AT21" i="8" s="1"/>
  <c r="BA32" i="8"/>
  <c r="BB32" i="8" s="1"/>
  <c r="BA34" i="8"/>
  <c r="BB34" i="8" s="1"/>
  <c r="AJ7" i="8"/>
  <c r="AK7" i="8" s="1"/>
  <c r="S24" i="8"/>
  <c r="T24" i="8" s="1"/>
  <c r="S37" i="8"/>
  <c r="T37" i="8" s="1"/>
  <c r="AJ25" i="8"/>
  <c r="AK25" i="8" s="1"/>
  <c r="AS23" i="8"/>
  <c r="AT23" i="8" s="1"/>
  <c r="S39" i="8"/>
  <c r="T39" i="8" s="1"/>
  <c r="K32" i="8"/>
  <c r="AJ20" i="8"/>
  <c r="AK20" i="8" s="1"/>
  <c r="K39" i="8"/>
  <c r="BA15" i="8"/>
  <c r="BB15" i="8" s="1"/>
  <c r="AB37" i="8"/>
  <c r="AC37" i="8" s="1"/>
  <c r="AJ28" i="8"/>
  <c r="AK28" i="8" s="1"/>
  <c r="AB23" i="8"/>
  <c r="AC23" i="8" s="1"/>
  <c r="AS6" i="8"/>
  <c r="AT6" i="8" s="1"/>
  <c r="AB22" i="8"/>
  <c r="AC22" i="8" s="1"/>
  <c r="AS31" i="8"/>
  <c r="AT31" i="8" s="1"/>
  <c r="BA21" i="8"/>
  <c r="BB21" i="8" s="1"/>
  <c r="AJ24" i="8"/>
  <c r="AK24" i="8" s="1"/>
  <c r="AJ10" i="8"/>
  <c r="AK10" i="8" s="1"/>
  <c r="K20" i="8"/>
  <c r="BA7" i="8"/>
  <c r="BB7" i="8" s="1"/>
  <c r="K30" i="8"/>
  <c r="S16" i="8"/>
  <c r="T16" i="8" s="1"/>
  <c r="AS12" i="8"/>
  <c r="AT12" i="8" s="1"/>
  <c r="K40" i="8"/>
  <c r="BU31" i="8" l="1"/>
  <c r="L31" i="8"/>
  <c r="BU19" i="8"/>
  <c r="L19" i="8"/>
  <c r="BU24" i="8"/>
  <c r="L24" i="8"/>
  <c r="BU29" i="8"/>
  <c r="L29" i="8"/>
  <c r="BU35" i="8"/>
  <c r="L35" i="8"/>
  <c r="BU6" i="8"/>
  <c r="L6" i="8"/>
  <c r="BU34" i="8"/>
  <c r="L34" i="8"/>
  <c r="BU23" i="8"/>
  <c r="L23" i="8"/>
  <c r="BU10" i="8"/>
  <c r="L10" i="8"/>
  <c r="BU18" i="8"/>
  <c r="L18" i="8"/>
  <c r="BU11" i="8"/>
  <c r="L11" i="8"/>
  <c r="BU12" i="8"/>
  <c r="L12" i="8"/>
  <c r="BU37" i="8"/>
  <c r="L37" i="8"/>
  <c r="BU36" i="8"/>
  <c r="L36" i="8"/>
  <c r="BU30" i="8"/>
  <c r="L30" i="8"/>
  <c r="BU20" i="8"/>
  <c r="L20" i="8"/>
  <c r="BU40" i="8"/>
  <c r="L40" i="8"/>
  <c r="BU39" i="8"/>
  <c r="L39" i="8"/>
  <c r="BU32" i="8"/>
  <c r="L32" i="8"/>
  <c r="BU26" i="8"/>
  <c r="L26" i="8"/>
  <c r="BU9" i="8"/>
  <c r="L9" i="8"/>
  <c r="BU13" i="8"/>
  <c r="L13" i="8"/>
  <c r="BU25" i="8"/>
  <c r="L25" i="8"/>
  <c r="BU14" i="8"/>
  <c r="L14" i="8"/>
  <c r="BU16" i="8"/>
  <c r="L16" i="8"/>
  <c r="BU22" i="8"/>
  <c r="L22" i="8"/>
  <c r="BU15" i="8"/>
  <c r="L15" i="8"/>
  <c r="BU17" i="8"/>
  <c r="L17" i="8"/>
  <c r="BU38" i="8"/>
  <c r="L38" i="8"/>
  <c r="BU27" i="8"/>
  <c r="L27" i="8"/>
  <c r="BU33" i="8"/>
  <c r="L33" i="8"/>
  <c r="BU8" i="8"/>
  <c r="L8" i="8"/>
  <c r="BU7" i="8"/>
  <c r="L7" i="8"/>
  <c r="BU21" i="8"/>
  <c r="L21" i="8"/>
  <c r="BU28" i="8"/>
  <c r="L28" i="8"/>
  <c r="BW28" i="8" l="1"/>
  <c r="BV28" i="8"/>
  <c r="BV21" i="8"/>
  <c r="BW21" i="8"/>
  <c r="BW7" i="8"/>
  <c r="BV7" i="8"/>
  <c r="BW8" i="8"/>
  <c r="BV8" i="8"/>
  <c r="BW33" i="8"/>
  <c r="BV33" i="8"/>
  <c r="BV27" i="8"/>
  <c r="BW27" i="8"/>
  <c r="BW38" i="8"/>
  <c r="BV38" i="8"/>
  <c r="BW17" i="8"/>
  <c r="BV17" i="8"/>
  <c r="BV15" i="8"/>
  <c r="BW15" i="8"/>
  <c r="BW22" i="8"/>
  <c r="BV22" i="8"/>
  <c r="BW16" i="8"/>
  <c r="BV16" i="8"/>
  <c r="BW14" i="8"/>
  <c r="BV14" i="8"/>
  <c r="BV25" i="8"/>
  <c r="BW25" i="8"/>
  <c r="BW13" i="8"/>
  <c r="BV13" i="8"/>
  <c r="BV9" i="8"/>
  <c r="BW9" i="8"/>
  <c r="BW26" i="8"/>
  <c r="BV26" i="8"/>
  <c r="BV32" i="8"/>
  <c r="BW32" i="8"/>
  <c r="BW39" i="8"/>
  <c r="BV39" i="8"/>
  <c r="BW40" i="8"/>
  <c r="BV40" i="8"/>
  <c r="BW20" i="8"/>
  <c r="BV20" i="8"/>
  <c r="BW30" i="8"/>
  <c r="BV30" i="8"/>
  <c r="BW36" i="8"/>
  <c r="BV36" i="8"/>
  <c r="BV37" i="8"/>
  <c r="BW37" i="8"/>
  <c r="BW12" i="8"/>
  <c r="BV12" i="8"/>
  <c r="BW11" i="8"/>
  <c r="BV11" i="8"/>
  <c r="BV18" i="8"/>
  <c r="BW18" i="8"/>
  <c r="BV10" i="8"/>
  <c r="BW10" i="8"/>
  <c r="BW23" i="8"/>
  <c r="BV23" i="8"/>
  <c r="BV34" i="8"/>
  <c r="BW34" i="8"/>
  <c r="BW6" i="8"/>
  <c r="BV6" i="8"/>
  <c r="BV35" i="8"/>
  <c r="BW35" i="8"/>
  <c r="BV29" i="8"/>
  <c r="BW29" i="8"/>
  <c r="BV24" i="8"/>
  <c r="BW24" i="8"/>
  <c r="BV19" i="8"/>
  <c r="BW19" i="8"/>
  <c r="BW31" i="8"/>
  <c r="BV31" i="8"/>
</calcChain>
</file>

<file path=xl/comments1.xml><?xml version="1.0" encoding="utf-8"?>
<comments xmlns="http://schemas.openxmlformats.org/spreadsheetml/2006/main">
  <authors>
    <author>aashu</author>
  </authors>
  <commentList>
    <comment ref="B2" authorId="0">
      <text>
        <r>
          <rPr>
            <b/>
            <sz val="11"/>
            <color indexed="81"/>
            <rFont val="Tahoma"/>
            <family val="2"/>
          </rPr>
          <t xml:space="preserve">આ શીટમાં ફક્ત હેતુઓ(મુદ્દાઓ) અને તેને સંબંધિત નિશાની જ ઉમેરવાની છે. બાકીની ગણતરીઓ આપોઆપ થશે. </t>
        </r>
      </text>
    </comment>
    <comment ref="R2" authorId="0">
      <text>
        <r>
          <rPr>
            <b/>
            <sz val="12"/>
            <color indexed="81"/>
            <rFont val="Tahoma"/>
            <family val="2"/>
          </rPr>
          <t>વિષય ક્લિક કરો</t>
        </r>
      </text>
    </comment>
  </commentList>
</comments>
</file>

<file path=xl/comments10.xml><?xml version="1.0" encoding="utf-8"?>
<comments xmlns="http://schemas.openxmlformats.org/spreadsheetml/2006/main">
  <authors>
    <author>aashu</author>
  </authors>
  <commentList>
    <comment ref="G8" authorId="0">
      <text>
        <r>
          <rPr>
            <sz val="12"/>
            <color indexed="81"/>
            <rFont val="Tahoma"/>
            <family val="2"/>
          </rPr>
          <t>અનુક્રમ નંબર સિલેક્ટ કરો</t>
        </r>
      </text>
    </comment>
    <comment ref="Q8" authorId="0">
      <text>
        <r>
          <rPr>
            <b/>
            <sz val="12"/>
            <color indexed="81"/>
            <rFont val="Tahoma"/>
            <family val="2"/>
          </rPr>
          <t>અનુક્રમ નંબર સિલેક્ટ કરો</t>
        </r>
        <r>
          <rPr>
            <sz val="9"/>
            <color indexed="81"/>
            <rFont val="Tahoma"/>
            <family val="2"/>
          </rPr>
          <t xml:space="preserve">
</t>
        </r>
      </text>
    </comment>
  </commentList>
</comments>
</file>

<file path=xl/comments2.xml><?xml version="1.0" encoding="utf-8"?>
<comments xmlns="http://schemas.openxmlformats.org/spreadsheetml/2006/main">
  <authors>
    <author>aashu</author>
  </authors>
  <commentList>
    <comment ref="B1" authorId="0">
      <text>
        <r>
          <rPr>
            <b/>
            <sz val="9"/>
            <color indexed="81"/>
            <rFont val="Tahoma"/>
            <family val="2"/>
          </rPr>
          <t>વિકાસાત્મક મૂલ્યાંકનમાં બંને સત્રમાં 40 વિધાનો માટે 5માંથી ગુણ આપો.  Legal પેપરમાં પ્રિન્ટ કરો...</t>
        </r>
        <r>
          <rPr>
            <sz val="9"/>
            <color indexed="81"/>
            <rFont val="Tahoma"/>
            <family val="2"/>
          </rPr>
          <t xml:space="preserve">
</t>
        </r>
      </text>
    </comment>
  </commentList>
</comments>
</file>

<file path=xl/comments3.xml><?xml version="1.0" encoding="utf-8"?>
<comments xmlns="http://schemas.openxmlformats.org/spreadsheetml/2006/main">
  <authors>
    <author>aashu</author>
  </authors>
  <commentList>
    <comment ref="B1" authorId="0">
      <text>
        <r>
          <rPr>
            <b/>
            <sz val="9"/>
            <color indexed="81"/>
            <rFont val="Tahoma"/>
            <family val="2"/>
          </rPr>
          <t>વિકાસાત્મક મૂલ્યાંકનમાં બંને સત્રમાં 40 વિધાનો માટે 10માંથી ગુણ આપો.  Legal પેપરમાં પ્રિન્ટ કરો...</t>
        </r>
      </text>
    </comment>
  </commentList>
</comments>
</file>

<file path=xl/comments4.xml><?xml version="1.0" encoding="utf-8"?>
<comments xmlns="http://schemas.openxmlformats.org/spreadsheetml/2006/main">
  <authors>
    <author>aashu</author>
  </authors>
  <commentList>
    <comment ref="C20" authorId="0">
      <text>
        <r>
          <rPr>
            <b/>
            <sz val="12"/>
            <color indexed="81"/>
            <rFont val="Tahoma"/>
            <family val="2"/>
          </rPr>
          <t>પરિણામ પત્રક મુખપૃષ્ઠમાં ફક્ત પરિણામની તારીજ ઉમેરો. Legal પેપરમાં પ્રિન્ટ કરો...</t>
        </r>
      </text>
    </comment>
  </commentList>
</comments>
</file>

<file path=xl/comments5.xml><?xml version="1.0" encoding="utf-8"?>
<comments xmlns="http://schemas.openxmlformats.org/spreadsheetml/2006/main">
  <authors>
    <author>aashu</author>
  </authors>
  <commentList>
    <comment ref="B1" authorId="0">
      <text>
        <r>
          <rPr>
            <b/>
            <sz val="14"/>
            <color indexed="81"/>
            <rFont val="Tahoma"/>
            <family val="2"/>
          </rPr>
          <t xml:space="preserve">આ પેઇઝને ટાઇટલ પેઇઝની પાછળ પ્રિન્ટ કરો. </t>
        </r>
      </text>
    </comment>
    <comment ref="T1" authorId="0">
      <text>
        <r>
          <rPr>
            <b/>
            <sz val="12"/>
            <color indexed="81"/>
            <rFont val="Tahoma"/>
            <family val="2"/>
          </rPr>
          <t>પછીના બે પેઇઝને આગળ- પાછળ પ્રિન્ટ કરો.ત્યારબાદ હિન્દી અને સા.વિ. વિષયો બહાર રહે તેમ વચ્ચેથી વાળી દો.</t>
        </r>
      </text>
    </comment>
  </commentList>
</comments>
</file>

<file path=xl/comments6.xml><?xml version="1.0" encoding="utf-8"?>
<comments xmlns="http://schemas.openxmlformats.org/spreadsheetml/2006/main">
  <authors>
    <author>aashu</author>
  </authors>
  <commentList>
    <comment ref="B1" authorId="0">
      <text>
        <r>
          <rPr>
            <b/>
            <sz val="14"/>
            <color indexed="81"/>
            <rFont val="Tahoma"/>
            <family val="2"/>
          </rPr>
          <t xml:space="preserve">આ પેઇઝને ટાઇટલ પેઇઝની પાછળ પ્રિન્ટ કરો. </t>
        </r>
      </text>
    </comment>
    <comment ref="T1" authorId="0">
      <text>
        <r>
          <rPr>
            <b/>
            <sz val="12"/>
            <color indexed="81"/>
            <rFont val="Tahoma"/>
            <family val="2"/>
          </rPr>
          <t>પછીના બે પેઇઝને આગળ- પાછળ પ્રિન્ટ કરો.ત્યારબાદ હિન્દી અને સા.વિ. વિષયો બહાર રહે તેમ વચ્ચેથી વાળી દો.</t>
        </r>
      </text>
    </comment>
  </commentList>
</comments>
</file>

<file path=xl/comments7.xml><?xml version="1.0" encoding="utf-8"?>
<comments xmlns="http://schemas.openxmlformats.org/spreadsheetml/2006/main">
  <authors>
    <author>aashu</author>
  </authors>
  <commentList>
    <comment ref="B1" authorId="0">
      <text>
        <r>
          <rPr>
            <b/>
            <sz val="14"/>
            <color indexed="81"/>
            <rFont val="Tahoma"/>
            <family val="2"/>
          </rPr>
          <t xml:space="preserve">આ પેઇઝને ટાઇટલ પેઇઝની પાછળ પ્રિન્ટ કરો. </t>
        </r>
      </text>
    </comment>
    <comment ref="T1" authorId="0">
      <text>
        <r>
          <rPr>
            <b/>
            <sz val="12"/>
            <color indexed="81"/>
            <rFont val="Tahoma"/>
            <family val="2"/>
          </rPr>
          <t>પછીના બે પેઇઝને આગળ- પાછળ પ્રિન્ટ કરો.ત્યારબાદ હિન્દી અને સા.વિ. વિષયો બહાર રહે તેમ વચ્ચેથી વાળી દો.</t>
        </r>
      </text>
    </comment>
    <comment ref="U1" authorId="0">
      <text/>
    </comment>
    <comment ref="BC1" authorId="0">
      <text>
        <r>
          <rPr>
            <b/>
            <sz val="11"/>
            <color indexed="81"/>
            <rFont val="Tahoma"/>
            <family val="2"/>
          </rPr>
          <t xml:space="preserve">પેઇઝને પ્રિન્ટ કરી આ ક્રમમાં ગોઠવો.
1. ટાઇટલ
2. વાળેલુ પેઇઝ
3. છેલ્લુ પેઇઝ </t>
        </r>
      </text>
    </comment>
  </commentList>
</comments>
</file>

<file path=xl/comments8.xml><?xml version="1.0" encoding="utf-8"?>
<comments xmlns="http://schemas.openxmlformats.org/spreadsheetml/2006/main">
  <authors>
    <author>aashu</author>
  </authors>
  <commentList>
    <comment ref="C20" authorId="0">
      <text>
        <r>
          <rPr>
            <b/>
            <sz val="12"/>
            <color indexed="81"/>
            <rFont val="Tahoma"/>
            <family val="2"/>
          </rPr>
          <t xml:space="preserve"> આ શીટમાં ફક્ત પરીણામની તારીજ ઉમેરવી</t>
        </r>
      </text>
    </comment>
  </commentList>
</comments>
</file>

<file path=xl/comments9.xml><?xml version="1.0" encoding="utf-8"?>
<comments xmlns="http://schemas.openxmlformats.org/spreadsheetml/2006/main">
  <authors>
    <author>aashu</author>
  </authors>
  <commentList>
    <comment ref="C20" authorId="0">
      <text>
        <r>
          <rPr>
            <b/>
            <sz val="12"/>
            <color indexed="81"/>
            <rFont val="Tahoma"/>
            <family val="2"/>
          </rPr>
          <t xml:space="preserve"> આ શીટમાં ફક્ત પરીણામની તારીજ ઉમેરવી</t>
        </r>
      </text>
    </comment>
  </commentList>
</comments>
</file>

<file path=xl/sharedStrings.xml><?xml version="1.0" encoding="utf-8"?>
<sst xmlns="http://schemas.openxmlformats.org/spreadsheetml/2006/main" count="7937" uniqueCount="524">
  <si>
    <t>શાળાનું નામ</t>
  </si>
  <si>
    <t>તાલુકો</t>
  </si>
  <si>
    <t>જિલ્લો</t>
  </si>
  <si>
    <t>શાળા કોડ (DISE)</t>
  </si>
  <si>
    <t>સી.અર.સી.</t>
  </si>
  <si>
    <t>પે.સેન્ટર</t>
  </si>
  <si>
    <t>ગામ/શહેર</t>
  </si>
  <si>
    <t>નામ</t>
  </si>
  <si>
    <t>સામાન્ય માહિતી</t>
  </si>
  <si>
    <t>કૌટુંબિક માહિતી</t>
  </si>
  <si>
    <t>શારીરિક વિકાસ</t>
  </si>
  <si>
    <t xml:space="preserve">ધોરણ </t>
  </si>
  <si>
    <t>ધોરણ</t>
  </si>
  <si>
    <t>કુલ દિવસો</t>
  </si>
  <si>
    <t>હાજરી</t>
  </si>
  <si>
    <t>નોંધ</t>
  </si>
  <si>
    <t>વિષય</t>
  </si>
  <si>
    <t>ગ્રેડ</t>
  </si>
  <si>
    <t>સારા પાસાં</t>
  </si>
  <si>
    <t>સુધારાત્મક પાસાં</t>
  </si>
  <si>
    <t>ધોરણ - 8</t>
  </si>
  <si>
    <t>વિશેષ સિદ્ધિઓ</t>
  </si>
  <si>
    <t>પ્રવૃત્તિ</t>
  </si>
  <si>
    <t>મેળવેલ સિદ્ધિ</t>
  </si>
  <si>
    <t>કક્ષા</t>
  </si>
  <si>
    <t>તારીખ</t>
  </si>
  <si>
    <t>ઇતર પરિક્ષા પરિણામ</t>
  </si>
  <si>
    <t>પરિક્ષા</t>
  </si>
  <si>
    <t>કુલ ગુણ</t>
  </si>
  <si>
    <t>મેળવેલ ગુણ</t>
  </si>
  <si>
    <t>સમગ્ર છાપ</t>
  </si>
  <si>
    <t>સારી બાબતો</t>
  </si>
  <si>
    <t>સુધારાત્મક બાબતો</t>
  </si>
  <si>
    <t>જાતિ</t>
  </si>
  <si>
    <t>જન્મતારીખ</t>
  </si>
  <si>
    <t>જન્મસ્થળ</t>
  </si>
  <si>
    <t>ધર્મ, જ્ઞાતિ, પેટાજ્ઞાતિ</t>
  </si>
  <si>
    <t>ઓળખની નિશાની</t>
  </si>
  <si>
    <t>વતનનું સરનામું</t>
  </si>
  <si>
    <t>હાલનું સરનામું</t>
  </si>
  <si>
    <t>કુટુંબની ભાષા</t>
  </si>
  <si>
    <t>જ.તા. શબ્દમાં</t>
  </si>
  <si>
    <t>જ.ર.નંબર</t>
  </si>
  <si>
    <t>પિતાનું નામ</t>
  </si>
  <si>
    <t>અભ્યાસ</t>
  </si>
  <si>
    <t>વ્યવસાયનું સ્થળ</t>
  </si>
  <si>
    <t>સંપર્ક નંબર</t>
  </si>
  <si>
    <t>માતાનું નામ</t>
  </si>
  <si>
    <t>માતાનો વ્યવસાય</t>
  </si>
  <si>
    <t>ભાઇ</t>
  </si>
  <si>
    <t>બહેન</t>
  </si>
  <si>
    <t>ગુજરાતી</t>
  </si>
  <si>
    <t>ગણિત</t>
  </si>
  <si>
    <t>હિન્દી</t>
  </si>
  <si>
    <t>અંગ્રેજી</t>
  </si>
  <si>
    <t>સા. વિ.</t>
  </si>
  <si>
    <t>વિ. અને ટેક્.</t>
  </si>
  <si>
    <t>સંસ્કૃત</t>
  </si>
  <si>
    <t>ચિત્ર</t>
  </si>
  <si>
    <t>સંગીત</t>
  </si>
  <si>
    <t>શા.શિ.</t>
  </si>
  <si>
    <t>કાર્યાનુભવ</t>
  </si>
  <si>
    <t>વ્યવસાય (વાર્ષિક આવક)</t>
  </si>
  <si>
    <t>રોલ નંબર</t>
  </si>
  <si>
    <t>કુમાર</t>
  </si>
  <si>
    <t>કન્યા</t>
  </si>
  <si>
    <t>પંદરમી એપ્રિલ ઓગ. છન્નુ</t>
  </si>
  <si>
    <t>ખારા</t>
  </si>
  <si>
    <t>હિન્દુ, પટેલ</t>
  </si>
  <si>
    <t>ધનેશભાઇ વીરજીભાઇ વિરપરા</t>
  </si>
  <si>
    <t>ઉમર (વર્ષ)</t>
  </si>
  <si>
    <t>ખેતી (50,000)</t>
  </si>
  <si>
    <t>વજન (કિગ્રા)</t>
  </si>
  <si>
    <t>ઉંચાઇ (સેમી)</t>
  </si>
  <si>
    <t>છાતી (સેમી)</t>
  </si>
  <si>
    <t>વિદ્યાર્થી પ્રોફાઇલ</t>
  </si>
  <si>
    <t>શાળા પ્રોફાઇલ</t>
  </si>
  <si>
    <t>શ્રી ખારા પ્રાથમિક શાળા</t>
  </si>
  <si>
    <t>લીલીયા</t>
  </si>
  <si>
    <t>અમરેલી</t>
  </si>
  <si>
    <t>પાંચતલાવડા</t>
  </si>
  <si>
    <t>રચનાત્મક મૂલ્યાંકન</t>
  </si>
  <si>
    <t>વિદ્યાર્થીનું નામ</t>
  </si>
  <si>
    <t>A</t>
  </si>
  <si>
    <t>sfgsgsfg</t>
  </si>
  <si>
    <t>dhjkghk</t>
  </si>
  <si>
    <t>શાળા બદલીની નોંધ</t>
  </si>
  <si>
    <t>સરનામું</t>
  </si>
  <si>
    <t>પ્રવેશ તારીખ</t>
  </si>
  <si>
    <t>શા. છો.તારીખ</t>
  </si>
  <si>
    <t>શા. છો. કારણ</t>
  </si>
  <si>
    <t>LC નંબર</t>
  </si>
  <si>
    <t>સત્ર</t>
  </si>
  <si>
    <t>ક્ષેત્ર - 1</t>
  </si>
  <si>
    <t>વ્યક્તિગત અને સામાજિક ગુણો</t>
  </si>
  <si>
    <t>ક્ષેત્ર - 2</t>
  </si>
  <si>
    <t>વિદ્યાર્થી અભિગમ</t>
  </si>
  <si>
    <t>સાહિત્ય</t>
  </si>
  <si>
    <t>સંગીત અને કલા</t>
  </si>
  <si>
    <t>શા.શિ. અને યોગ</t>
  </si>
  <si>
    <t>સાંસ્કૃતિક કાર્યક્રમ અને સમાજસેવા</t>
  </si>
  <si>
    <t>ક્ષેત્ર - 3</t>
  </si>
  <si>
    <t>સહશૈક્ષણિક પ્રવૃત્તિઓ</t>
  </si>
  <si>
    <t>ક્ષેત્ર - 4</t>
  </si>
  <si>
    <t>કુલ</t>
  </si>
  <si>
    <t>પરિશિષ્ટ - B</t>
  </si>
  <si>
    <t>શાળામાં નિયમિત આવે છે.</t>
  </si>
  <si>
    <t>પ્રાર્થના સમેલનમાં નિયમિત સામેલ થાય છે.</t>
  </si>
  <si>
    <t>દરેક કાર્યમાં સમયનું પાલન કરે છે.</t>
  </si>
  <si>
    <t>શાળાની સ્વચ્છતા જાળવે છે.</t>
  </si>
  <si>
    <t>બીજા વિદ્યાર્થીને હદદરૂપ થાય છે.</t>
  </si>
  <si>
    <t>જૂથકાર્ય સારી રીતે કરે છે.</t>
  </si>
  <si>
    <t>કોઇપણ કાર્ય કરવામાં તત્પરતા દાખવે છે.</t>
  </si>
  <si>
    <t>નવીન બાબત ઉત્સાહપૂર્વક શીખે છે.</t>
  </si>
  <si>
    <t>શિક્ષકે સોંપેલ કાર્ય રસપૂર્વક કરે છે.</t>
  </si>
  <si>
    <t>શિક્ષકને માનપૂર્વક બોલાવે છે.</t>
  </si>
  <si>
    <t>શાળા મિલકતની જાળવણી રાખે છે.</t>
  </si>
  <si>
    <t>સ્વયંશિસ્ત જાળવે છે.</t>
  </si>
  <si>
    <t>વ્યક્તિગત સ્વચ્છતા અને સુઘડતા જાળવે છે.</t>
  </si>
  <si>
    <t>પર્યાવરણની સમતુલા જાળવવામાં ઉપયોગી થાય છે.</t>
  </si>
  <si>
    <t>ઇતર વાંચન</t>
  </si>
  <si>
    <t>ભાષાશુદ્ધિ સાથેનું મરોડદાર અક્ષરલેખન</t>
  </si>
  <si>
    <t>મૌલિક વાર્તાકથન, વક્તવ્ય</t>
  </si>
  <si>
    <t>સર્જનાત્મક લેખન</t>
  </si>
  <si>
    <t>ગાન/વાદન (અભિનય,બાળગીત વગેરે)</t>
  </si>
  <si>
    <t>ચિત્રકલા</t>
  </si>
  <si>
    <t>કાગળકામ/ટીએલએમ નિર્માણમાં સહયોગ</t>
  </si>
  <si>
    <t>માટીકામ/બાગકામ/શાળાસુશોભન</t>
  </si>
  <si>
    <t>યૌગિક ક્રિયાઓ ઉત્સાહપૂર્વક કરે છે.</t>
  </si>
  <si>
    <t>સરળ આસનો યોગ્ય સ્થિતિમાં કરે છે.</t>
  </si>
  <si>
    <t>સાંઘિક રમતો કૌશલ્યપૂર્વક રમે છે.</t>
  </si>
  <si>
    <t>ખેલકૂદ અને જિમ્નાસ્ટિક ગતિમેળ અને લયબદ્ધ રીતે કરે છે.</t>
  </si>
  <si>
    <t xml:space="preserve">પ્રતિનય,રીલે અને પ્રાદેશિક રમતોકુશળતાપૂર્વક રમે છે. </t>
  </si>
  <si>
    <t>ઉત્સવ ઉજવણી</t>
  </si>
  <si>
    <t>વિશેષદિન ઉજવણી</t>
  </si>
  <si>
    <t>નાટ્ય/નૃત્ય/વેશભૂષા/અભિનય</t>
  </si>
  <si>
    <t>વડીલબ,અશક્તો અને બીમાર વ્યક્તિઓને મદદરૂપ થાય છે.</t>
  </si>
  <si>
    <t>વિશિષ્ટ કૌશલ્યની અભિવ્યક્તિ</t>
  </si>
  <si>
    <t>પ્રશ્નમંચ(ક્વિઝ)માં ભાગીદારી</t>
  </si>
  <si>
    <t>મૂલ્યશિક્ષણની પ્રવૃત્તિમાં ભાગીદારી</t>
  </si>
  <si>
    <t>વિવિધ સ્પર્ધાઓ</t>
  </si>
  <si>
    <t>સંગ્રહ પ્રવૃત્તિ</t>
  </si>
  <si>
    <t>વિવિધ આલ્બમ</t>
  </si>
  <si>
    <t>ઇકો ક્લબની પ્રવૃત્તિમાં સહભાગિતા</t>
  </si>
  <si>
    <t>પ્રવાસ-પર્યટન/મુલાકાત</t>
  </si>
  <si>
    <t>હસ્તલિખિત અંક બનાવવા અને પ્રદર્શનમાં ભાગીદારી</t>
  </si>
  <si>
    <t>સરેરાશ ગુણ (બંને સત્રના આધારે વર્ષાંતે)</t>
  </si>
  <si>
    <t>કુલ ગુણઃ</t>
  </si>
  <si>
    <t>વર્ગ</t>
  </si>
  <si>
    <t>વર્ગશિક્ષકનું નામ</t>
  </si>
  <si>
    <t>વર્ષ</t>
  </si>
  <si>
    <t>પરિણામની તારીખ</t>
  </si>
  <si>
    <t xml:space="preserve"> ---</t>
  </si>
  <si>
    <t>નરેશભાઇ કે. ઢાકેચા</t>
  </si>
  <si>
    <t>2012-13</t>
  </si>
  <si>
    <t>વર્ગ પ્રોફાઇલ</t>
  </si>
  <si>
    <t xml:space="preserve">ધોરણ - </t>
  </si>
  <si>
    <t xml:space="preserve">વર્ગ - </t>
  </si>
  <si>
    <t>વર્ષ -</t>
  </si>
  <si>
    <t>સામા. વિજ્ઞાન</t>
  </si>
  <si>
    <t>વ્યક્તિત્વ વિકાસ</t>
  </si>
  <si>
    <t>C</t>
  </si>
  <si>
    <t>વર્ગશિક્ષક</t>
  </si>
  <si>
    <t>આચાર્યશ્રી</t>
  </si>
  <si>
    <t>ચકાસણી કરનાર</t>
  </si>
  <si>
    <t>અન્ય</t>
  </si>
  <si>
    <t>બક્ષીપંચ</t>
  </si>
  <si>
    <t>અ.જ.જા.</t>
  </si>
  <si>
    <t>અ.જા.</t>
  </si>
  <si>
    <t>ક</t>
  </si>
  <si>
    <t>કુ</t>
  </si>
  <si>
    <t>E</t>
  </si>
  <si>
    <t>D</t>
  </si>
  <si>
    <t>B</t>
  </si>
  <si>
    <t>મેળવેલ એકંદર ગ્રેડ</t>
  </si>
  <si>
    <t>રજી. સંખ્યા</t>
  </si>
  <si>
    <t xml:space="preserve"> </t>
  </si>
  <si>
    <t>પરિણામની તા.</t>
  </si>
  <si>
    <t>પે-સેન્ટર</t>
  </si>
  <si>
    <t>સીઆરસી</t>
  </si>
  <si>
    <t>વર્ગ શિક્ષક</t>
  </si>
  <si>
    <t>ગામ</t>
  </si>
  <si>
    <t>શાળા</t>
  </si>
  <si>
    <t>જિલ્લા પંચાયત શિક્ષણ સમિતિ, અમરેલી</t>
  </si>
  <si>
    <t xml:space="preserve">          </t>
  </si>
  <si>
    <t>સમગ્ર વ્યક્તિવિકાસ(વર્ષાંતે)</t>
  </si>
  <si>
    <t>વિજ્ઞાન અને ટેક્.</t>
  </si>
  <si>
    <t>સામાજિક વિજ્ઞાન</t>
  </si>
  <si>
    <t>સ્વા. શા. શિ.</t>
  </si>
  <si>
    <t>અભ્યાસિક તેમજ સહઅભ્યાસિક વિષયોના એકંદર ગુણ</t>
  </si>
  <si>
    <t>ટકાવારી</t>
  </si>
  <si>
    <t>સરેરાશ ગ્રેડ</t>
  </si>
  <si>
    <t>જ.ર.નં.</t>
  </si>
  <si>
    <t>પ્રથમ</t>
  </si>
  <si>
    <t>દ્વિતિય</t>
  </si>
  <si>
    <t>કસોટીનો પ્રકાર</t>
  </si>
  <si>
    <t>સ્વ-અધ્યયનકાર્યને આધારે મૂલ્યાંકન</t>
  </si>
  <si>
    <t>જન્મ તારીખ</t>
  </si>
  <si>
    <t>પરિણામની તારીજ</t>
  </si>
  <si>
    <t>પરિશિષ્ટ - C</t>
  </si>
  <si>
    <t>સત્રાન્તે મૂલ્યાંકન</t>
  </si>
  <si>
    <t>વિજ્ઞાન અને ટેક્નોલોજી</t>
  </si>
  <si>
    <t>અહીં વિદ્યાર્થીની સામાન્ય માહિતી ઉમેરો. આપે ફક્ત સફેદ ખાના ભરવાના છે. આ માહિતી અન્ય પત્રકોમાં ઉપયોગમાં લેવાશે. આ ફક્ત ડેટા-એન્ટ્રી શીટ છે. પ્રિન્ટ કરશો નહી.</t>
  </si>
  <si>
    <t>ગાંધીનગર</t>
  </si>
  <si>
    <t>ગુજરાત શૈક્ષણિક સંશોધન અને તાલીમ પરિષદ,</t>
  </si>
  <si>
    <t>સર્વગ્રાહી વિકાસાત્મક સંગૃહિત પ્રગતિપત્રક</t>
  </si>
  <si>
    <t>ધો-6માં પ્રવેશ તારીખ</t>
  </si>
  <si>
    <t>રોલ નંબર સિલેક્ટ કરો</t>
  </si>
  <si>
    <t>પરિશિષ્ટ - F</t>
  </si>
  <si>
    <t>સંચાલક</t>
  </si>
  <si>
    <t>સારા પાસાંઓ</t>
  </si>
  <si>
    <t>સુધારાત્મક પાસાંઓ</t>
  </si>
  <si>
    <t>શિક્ષકની સહી</t>
  </si>
  <si>
    <t>પ્રવૃત્તિની વિગત</t>
  </si>
  <si>
    <t>કક્ષા/સ્થળ</t>
  </si>
  <si>
    <t>પરિક્ષાનું નામ</t>
  </si>
  <si>
    <t>પરિક્ષાની તારીખ</t>
  </si>
  <si>
    <t>ઇતર પરિક્ષાનું પરિણામ</t>
  </si>
  <si>
    <t>ધોરણના સંદર્ભમાં જોવા મળેલ સારી બાબતો</t>
  </si>
  <si>
    <t>ધોરણના સંદર્ભમાં જોવા મળેલ સુધારાત્મક બાબતો</t>
  </si>
  <si>
    <t>નોંધ કરનારની સહી</t>
  </si>
  <si>
    <t>વાલીની સહી</t>
  </si>
  <si>
    <t>વાંચન સારુ</t>
  </si>
  <si>
    <t>ધોરણ 6 થી 8 સુધીમા શાળા બદલીની નોંધ</t>
  </si>
  <si>
    <t>LC નં.</t>
  </si>
  <si>
    <t>ગોહેલ રાજેશભાઇ ચીથરભાઇ</t>
  </si>
  <si>
    <t>ખિમસુરીયા સાહિલકુમાર અરજણભાઇ</t>
  </si>
  <si>
    <t>ગરણિયા મયુરકુમાર અશોકભાઇ</t>
  </si>
  <si>
    <t>ગરણિયા અલ્પેશકુમાર મેરામભાઇ</t>
  </si>
  <si>
    <t>ગરણિયા મિલન પોપટભાઇ</t>
  </si>
  <si>
    <t>ગરણિયા મોહિત રાવતભાઇ</t>
  </si>
  <si>
    <t>ગરણિયા સુમિત પોપટભાઇ</t>
  </si>
  <si>
    <t>ગરણિયા રામકુભાઇ સાર્દૂળભાઇ</t>
  </si>
  <si>
    <t>ડેર હિતેષકુમાર પ્રતાપભાઇ</t>
  </si>
  <si>
    <t>વેકરીયા વિશાલકુમાર દિપકભાઇ</t>
  </si>
  <si>
    <t>માણસુરીયા મહેન્દ્રભાઇ ભૂપતભાઇ</t>
  </si>
  <si>
    <t>પરમાર અજયકુમાર રમેશભાઇ</t>
  </si>
  <si>
    <t>કંડોળીયા અલ્પેશકુમાર ભરતભાઇ</t>
  </si>
  <si>
    <t>મકવાણા તરંગકુમાર કિશોરભાઇ</t>
  </si>
  <si>
    <t>ઢીમેચા સતીષ હનુભાઇ</t>
  </si>
  <si>
    <t>ખુમાણ શિવરાજભાઇ બાબુભાઇ</t>
  </si>
  <si>
    <t>માથાસુરીયા દિનેશભાઇ અમરાભાઇ</t>
  </si>
  <si>
    <t>વાઘેલા હરેશ જીલુભાઇ</t>
  </si>
  <si>
    <t>પરમાર દિલીપકુમાર મધુભાઇ</t>
  </si>
  <si>
    <t>વિરપરા કૃણાલ હરેશભાઇ</t>
  </si>
  <si>
    <t>મકરૂબિયા જીજ્ઞેશભાઇ અશોકભાઇ</t>
  </si>
  <si>
    <t>ખિમસુરીયા જ્યોત્સના મુકેશભાઇ</t>
  </si>
  <si>
    <t>ગરણિયા રાજલબેન સામતભાઇ</t>
  </si>
  <si>
    <t>ગરણિયા નિરાલીબેન પ્રદીપભાઇ</t>
  </si>
  <si>
    <t>ગરણિયા રાધાબેન લક્ષ્મણભાઇ</t>
  </si>
  <si>
    <t>ગૌસ્વામિ મયુરીબેન રમેશગીરી</t>
  </si>
  <si>
    <t>બતાડા જાનકી વાલાભાઇ</t>
  </si>
  <si>
    <t>બતાડા ક્રિષ્નાબેન દેવશીભાઇ</t>
  </si>
  <si>
    <t>પરમાર અનિષા રમેશભાઇ</t>
  </si>
  <si>
    <t>મકરૂબિયા નમ્રતા વશરામભાઇ</t>
  </si>
  <si>
    <t>કટેગરી</t>
  </si>
  <si>
    <t>અનુક્રમણિકા</t>
  </si>
  <si>
    <t>શાળા અને વર્ગ માહિતી</t>
  </si>
  <si>
    <t>વિદ્યાર્થી માહિતી</t>
  </si>
  <si>
    <t>પરિશિષ્ટ A રચનાત્મક મૂલ્યાંકન</t>
  </si>
  <si>
    <t>ફક્ત પ્રિન્ટ માટે. રોલ નં. સિલેક્ટ કરો અને A4 પેપરમાં પ્રિન્ટ કરો...</t>
  </si>
  <si>
    <t>Created By</t>
  </si>
  <si>
    <t>વિદ્યાર્થીઓની વિગતવાર માહિતી આપો. આ શીટ ફક્ત ડેટા-એન્ટ્રી માટે જ છે. પ્રિન્ટ કરશો નહી.</t>
  </si>
  <si>
    <t>વર્ગ શિક્ષકની સહી</t>
  </si>
  <si>
    <t>આચાર્યની સહી</t>
  </si>
  <si>
    <t>NARESH K. DHAKECHA</t>
  </si>
  <si>
    <t>Primary Teacher At Khara Primary School Ta: Liliya Dist: Amreli</t>
  </si>
  <si>
    <t>Published At: www.shalasetu.co.in</t>
  </si>
  <si>
    <t>SchoolPro Primary By Naresh Dhakecha - A Primary School Software</t>
  </si>
  <si>
    <t>પ્રગતિપત્રક</t>
  </si>
  <si>
    <t>ધોરણ -</t>
  </si>
  <si>
    <t>જ.ર.નં. -</t>
  </si>
  <si>
    <t>વિદ્યાર્થીનું નામ -</t>
  </si>
  <si>
    <t>અનુંક્રમ નં -</t>
  </si>
  <si>
    <t>જન્મતારીખ -</t>
  </si>
  <si>
    <t>વિજ્ઞાન &amp; ટેક્.</t>
  </si>
  <si>
    <t>વ્યક્તિગત વિકાસ</t>
  </si>
  <si>
    <t>વિદ્યાર્થીને ઉપલા ધોરણમાં ચઢાવેલ છે.</t>
  </si>
  <si>
    <t>વર્ગશિક્ષકની સહી</t>
  </si>
  <si>
    <t>એકંદર ગ્રેડ</t>
  </si>
  <si>
    <t>ગુણપત્રક ધોરણ - 6 અને 7</t>
  </si>
  <si>
    <t>ગુણપત્રક ધોરણ - 8</t>
  </si>
  <si>
    <t>વર્ષાંતે વિદ્યાર્થીને આપવાનું ગુણપત્રક</t>
  </si>
  <si>
    <t>આ શીટમાં ફક્ત હેતુઓ(મુદ્દાઓ) અને તેને સંબંધિત નિશાની જ કરવાની છે. બાકીની ગણતરીઓ આપોઆપ થશે. Legal પેપરમાં પ્રિન્ટ કરો...</t>
  </si>
  <si>
    <t>પરિશિષ્ટ - A</t>
  </si>
  <si>
    <t>વિજ્ઞાન- ટેક્</t>
  </si>
  <si>
    <t>^</t>
  </si>
  <si>
    <t xml:space="preserve"> વિષય-ગુજરાતી  </t>
  </si>
  <si>
    <t xml:space="preserve"> સત્ર-પ્રથમ  </t>
  </si>
  <si>
    <t>સત્રની કુલ ક્ષમતા-</t>
  </si>
  <si>
    <t xml:space="preserve"> સત્ર-દ્વિતિય</t>
  </si>
  <si>
    <t xml:space="preserve">અનુક્રમ નંબર </t>
  </si>
  <si>
    <t>અભ્યાસક્રમ પ્રમાણે પ્રતિનિધિત્વરૂપે હેતુઓ (મહત્તમ 20)</t>
  </si>
  <si>
    <t>સત્રાંતે મેળવેલ નિશાનીની કુલ સંખ્યા</t>
  </si>
  <si>
    <t>40 માંથી મેળવેલ ગુણ</t>
  </si>
  <si>
    <t>5.3.3</t>
  </si>
  <si>
    <t>5.3.4</t>
  </si>
  <si>
    <t>5.3.5</t>
  </si>
  <si>
    <t>5.3.6</t>
  </si>
  <si>
    <t>5.3.7</t>
  </si>
  <si>
    <t>5.3.8</t>
  </si>
  <si>
    <t>5.3.9</t>
  </si>
  <si>
    <t>5.3.10</t>
  </si>
  <si>
    <t>5.3.11</t>
  </si>
  <si>
    <t>5.3.12</t>
  </si>
  <si>
    <t>5.3.13</t>
  </si>
  <si>
    <t>5.3.14</t>
  </si>
  <si>
    <t>5.3.15</t>
  </si>
  <si>
    <t>5.5.12</t>
  </si>
  <si>
    <t>5.6.14</t>
  </si>
  <si>
    <t>√</t>
  </si>
  <si>
    <t xml:space="preserve"> ?</t>
  </si>
  <si>
    <t>X</t>
  </si>
  <si>
    <t xml:space="preserve"> વિષય-ગણિત  </t>
  </si>
  <si>
    <t>2.3.3</t>
  </si>
  <si>
    <t xml:space="preserve"> વિષય-હિન્દી  </t>
  </si>
  <si>
    <t xml:space="preserve"> વિષય-સામા. વિજ્ઞાન  </t>
  </si>
  <si>
    <t xml:space="preserve"> વિષય-અંગ્રેજી </t>
  </si>
  <si>
    <t>GUJ SEM-1</t>
  </si>
  <si>
    <t>GUJ SEM-2</t>
  </si>
  <si>
    <t>MATHS SEM-1</t>
  </si>
  <si>
    <t>MATHS SEM-2</t>
  </si>
  <si>
    <t>SCIENCE SEM-1</t>
  </si>
  <si>
    <t>SCIENCE SEM-2</t>
  </si>
  <si>
    <t>HINDI SEM-1</t>
  </si>
  <si>
    <t>HINDI SEM-2</t>
  </si>
  <si>
    <t>SS SEM-1</t>
  </si>
  <si>
    <t>SS SEM-2</t>
  </si>
  <si>
    <t>ENG SEM-1</t>
  </si>
  <si>
    <t>ENG SEM-2</t>
  </si>
  <si>
    <t>SAN SEM-1</t>
  </si>
  <si>
    <t>SAN SEM-2</t>
  </si>
  <si>
    <t>ધોરણ - 1</t>
  </si>
  <si>
    <t>શ્રવણ</t>
  </si>
  <si>
    <t>કથન</t>
  </si>
  <si>
    <t>વાંચન</t>
  </si>
  <si>
    <t>લેખન</t>
  </si>
  <si>
    <t>ગણન</t>
  </si>
  <si>
    <t>સર્જ. પ્રવૃત્તિ</t>
  </si>
  <si>
    <t>સ્વચ્છતા</t>
  </si>
  <si>
    <t>પર્યાવરણ પ્રેમ</t>
  </si>
  <si>
    <t>નિયમિતતા</t>
  </si>
  <si>
    <t>ધોરણ - 2</t>
  </si>
  <si>
    <t>ધોરણ - 3</t>
  </si>
  <si>
    <t>પર્યાવરણ</t>
  </si>
  <si>
    <t>ધોરણ - 4</t>
  </si>
  <si>
    <t>ધોરણ -5</t>
  </si>
  <si>
    <t xml:space="preserve"> વિષય-પર્યાવરણ</t>
  </si>
  <si>
    <t>સ્વા.શા.શિ.</t>
  </si>
  <si>
    <t xml:space="preserve"> વિષય-સ્વાસ્થ્ય અને શા.શિ.</t>
  </si>
  <si>
    <t>પરિણામપત્રક</t>
  </si>
  <si>
    <t>વર્ષ દરમિયાન કરાવેલ શાળા તત્પરતાની પ્રવૃત્તિ</t>
  </si>
  <si>
    <t>સંખ્યા</t>
  </si>
  <si>
    <t>શિક્ષણ અન્વયે વર્ષ દરમિયાન કરાવેલ પ્રવૃત્તિઓ</t>
  </si>
  <si>
    <t>બાલનાટકો</t>
  </si>
  <si>
    <t>માટીકામ</t>
  </si>
  <si>
    <t>પર્યટનો</t>
  </si>
  <si>
    <t>કાગળકામ</t>
  </si>
  <si>
    <t>રમતો</t>
  </si>
  <si>
    <t>બાલવાર્તાઓ</t>
  </si>
  <si>
    <t>રંગપૂરણી</t>
  </si>
  <si>
    <t>અવલોકન પ્રવૃત્તિઓ</t>
  </si>
  <si>
    <t>જોડકણાં</t>
  </si>
  <si>
    <t>વર્ગીકરણ પ્રવૃત્તિઓ</t>
  </si>
  <si>
    <t>ગીતો</t>
  </si>
  <si>
    <t>કુતૂહલ પ્રેરક પ્રવૃત્તિઓ</t>
  </si>
  <si>
    <t>ચિત્રો-આકૃતિઓ</t>
  </si>
  <si>
    <t>અખતરા-અનુભવજન્ય પ્રવૃત્તિઓ</t>
  </si>
  <si>
    <t>સંગ્રહ પ્રવૃત્તિઓ</t>
  </si>
  <si>
    <t>ગુણ-લક્ષણ ઓળખ પ્રવૃત્તિઓ</t>
  </si>
  <si>
    <t>પ્રવાસ પર્યટન</t>
  </si>
  <si>
    <t>નાટ્ય પ્રવૃત્તિઓ</t>
  </si>
  <si>
    <t>યાદશક્તિ વિકાસ પ્રવૃત્તિઓ</t>
  </si>
  <si>
    <t>વાર્તા કથન</t>
  </si>
  <si>
    <t>વિચારશક્તિ વિકાસ પ્રવૃત્તિઓ</t>
  </si>
  <si>
    <t>સર્જનાત્મક પ્રવૃત્તિઓ</t>
  </si>
  <si>
    <t>તરાહની પ્રવૃત્તિઓ</t>
  </si>
  <si>
    <t>ક્રમ</t>
  </si>
  <si>
    <t>1 થી 20 સુધીની સંખ્યાનુ સમજપૂર્વક જ્ઞાન છે.</t>
  </si>
  <si>
    <t>21 થી 50 સુધીની સંખ્યાનુ સમજપૂર્વક જ્ઞાન છે.</t>
  </si>
  <si>
    <t>સરળ વાક્યો વાંચે છે.</t>
  </si>
  <si>
    <t>બોલાયેલા ટૂંકા વાક્યો સાંભળીને લખે છે.</t>
  </si>
  <si>
    <t>પોતાના કુટુંબના સભ્યોને ઓળખે છે.</t>
  </si>
  <si>
    <t>આસપાસના પર્યાવરણથી પરિચિત થાય છે.</t>
  </si>
  <si>
    <t>જોડકણા આવડે છે / ગાય છે.</t>
  </si>
  <si>
    <t>ગીતો આવડે છે / ગાય છે.</t>
  </si>
  <si>
    <t>રમતો રમતાં આવડે છે.</t>
  </si>
  <si>
    <t>ચિત્રો દોરે છે/આકૃતિ દોરે છે.</t>
  </si>
  <si>
    <t>ચિત્રોમાં રંગપૂરણી કરે છે.</t>
  </si>
  <si>
    <t>સંગ્રહપ્રવૃત્તિ કરે છે.</t>
  </si>
  <si>
    <t>વાર્તાઓ આવડે છે.</t>
  </si>
  <si>
    <t>વાર્તાઓ કહી શકે છે.</t>
  </si>
  <si>
    <t>માટીકામની પ્રવૃત્તિઓ કરી શકે છે.</t>
  </si>
  <si>
    <t>કાગળકામ/કાર્ડપેપરની પ્રવૃત્તિઓ કરે છે.</t>
  </si>
  <si>
    <t>પ્રવાસ / પર્યટનમાં ભાગ લે છે.</t>
  </si>
  <si>
    <t>નાટકમાં ભાગ લે છે.</t>
  </si>
  <si>
    <t>ગણનકાર્ય કરવું ગમે છે.</t>
  </si>
  <si>
    <t>મૂર્ત પદાર્થો વડે ગાણિતિક પ્રવૃત્તિઓ કરે છે.</t>
  </si>
  <si>
    <t>એકાગ્રતાપૂર્વક સાંભળે છે અને સમજે છે.</t>
  </si>
  <si>
    <t>મૂળાક્ષરોને ઓળખે છે.</t>
  </si>
  <si>
    <t>મૂળાક્ષરોને લખે છે.</t>
  </si>
  <si>
    <t>વિવિધ પદાર્થોથી બનતા શબ્દો સાંભળીને લખે છે.</t>
  </si>
  <si>
    <t>જવાબ સ્પષ્ટ રીતે આપે છે.</t>
  </si>
  <si>
    <t>પુસ્તકકાર્ય (રંગપૂરણી અને લેખન) કરે છે.</t>
  </si>
  <si>
    <t>શરીરના ભાગોને જાણે છે.</t>
  </si>
  <si>
    <t>ગામના કારીગરો અને તેના વ્યવસાયને ઓળખે છે.</t>
  </si>
  <si>
    <t>શાળાએ નિયમિત અને સમયસર આવે છે.</t>
  </si>
  <si>
    <t>શરીર અને કપડાં સ્વચ્છ રાખે છે.</t>
  </si>
  <si>
    <t>સમૂહમાં હળીમળીને રહે છે.</t>
  </si>
  <si>
    <t>વડીલો પ્રત્યે આદર ધરાવે છે.</t>
  </si>
  <si>
    <t>શાળાકીય કાર્યક્રમોમાં સહકાર આપે છે.</t>
  </si>
  <si>
    <t>સત્ય બોલવાનું વલણ દાખવે છે.</t>
  </si>
  <si>
    <t>શિસ્તપૂર્વક વર્તે છે.</t>
  </si>
  <si>
    <t>પૂસ્તકો/સાધનો વ્યવસ્થિત રાખે છે.</t>
  </si>
  <si>
    <t>નવું જાણવાની જિજ્ઞાસા ધરાવે છે.</t>
  </si>
  <si>
    <t>પ્રાણીઓ પ્રત્યે કરૂણા દાખવે છે.</t>
  </si>
  <si>
    <t>જ્રથકાર્યમાં સક્રિયપણે ભાગ લે છે.</t>
  </si>
  <si>
    <t>ધો-1માં પ્રવેશ તારીખ</t>
  </si>
  <si>
    <t>પરિશિષ્ટ - D</t>
  </si>
  <si>
    <t>ક્રમાંક</t>
  </si>
  <si>
    <t>હાજર દિવસ</t>
  </si>
  <si>
    <t>કાર્ય દિવસ</t>
  </si>
  <si>
    <t>ભાષા/પર્યાવરણ/ગણિતના વિષયવસ્તુના સંદર્ભે કરેલી પ્રવૃત્તિ</t>
  </si>
  <si>
    <t>વિધાન</t>
  </si>
  <si>
    <t>સારું A</t>
  </si>
  <si>
    <t>મધ્યમ B</t>
  </si>
  <si>
    <t>નબળું C</t>
  </si>
  <si>
    <t>હંમેશા A</t>
  </si>
  <si>
    <t>મોટેભાગે B</t>
  </si>
  <si>
    <t>ભાગ્યે C</t>
  </si>
  <si>
    <t>વાલીને સૂચના</t>
  </si>
  <si>
    <t xml:space="preserve">આ વિકાસપત્રક છે. તમારા બાળકે શાળામાં એક વર્ષ દરમિયાન વિવિધ બાબતોમાં કેટલા પ્રમાણમાં વિકાસ સાધ્યો છે તેની નોંધ આ પત્રકમાં છે. </t>
  </si>
  <si>
    <t>પત્રકમાં જ્યાં નબળું એવો ઉલ્લેખ છે. ત્યાં બાળક ઠોઠ છે તેમ માની ન લેશો. આવી નોંધ તેને તમારી કે ઘરના ભણેલા અન્ય સભ્યોની મદદની ક્યાં જરૂર છે તે સૂચવવા માટે કરેલ છે. વેકેશનમાં તેની કચાસ દૂર કરવા પ્રયત્ન કરજો.</t>
  </si>
  <si>
    <t>વેકેશનમાં બાળકને ખુબ રમવા દેજો. પણ વર્ષ દરમિયાન શીખેલું ભૂલી ન જાય તે માટે તેણે શીખેલી બાબતો યાદ કરાવવા રોજ થોડો સમય તમારી પાસે બેસાડજો.</t>
  </si>
  <si>
    <t>ઘરની નાની મોટી ખરીદીના કામ તેને સોંપજો અથવા તેને તમારી સાથે રાખજો. એ દ્વારા પણ તેણે શીખેલી બાબતો દ્રઢ થશે.</t>
  </si>
  <si>
    <t>તમારા બાળકની પ્રગતિ માટે કઇ કઇ બાબતોની કાળજી તમારે લેવાની છે એ નીચેના વિભાગમાં વર્ગશિક્ષકે જણાવ્યું છે. શિક્ષકે સૂચવેલી બાબતો અંગે વેકેશનમાં વિશેષ કાળજી લેશો.</t>
  </si>
  <si>
    <t>વેકેશન ખૂલે ત્યારે તમારું બાળક ઉત્સાહભેર શાળાએ જાય એ માટે તમે તેને પ્રોત્સાહન આપશો. બને તો આવતા વર્ષે અવારનવાર વર્ગશિક્ષકને બાળકની પ્રગતિ અંગે પૂછતા રહેશો.</t>
  </si>
  <si>
    <t>શિક્ષકે વાલીને આપવાની સૂચના</t>
  </si>
  <si>
    <t>વર્ગશિક્ષકનું નામ અને સહી</t>
  </si>
  <si>
    <t>આચાર્યનું નામ અને સહી</t>
  </si>
  <si>
    <t>ભાષા/પર્યાવરણ/ગણિતનું વિષયવસ્તુ</t>
  </si>
  <si>
    <t>DFGD DFGD FDGD SFG FGDF</t>
  </si>
  <si>
    <t>ગીતો/જોડકણા/રાષ્ટ્રગીત આવડે છે / ગાય છે.</t>
  </si>
  <si>
    <t>સર્જનાત્મક પ્રવૃત્તિઓ - ચિત્રકામ, માટીકામ, કાગળકામ વગેરે કરે છે.</t>
  </si>
  <si>
    <t>રમતો રમે છે.</t>
  </si>
  <si>
    <t>વર્ગીકરણ કરે છે.</t>
  </si>
  <si>
    <t>દિશાઓ ઓળખે છે અને કહી શકે છે.</t>
  </si>
  <si>
    <t>સાંભળેલી વિગતોમાંથી મુખ્ય વિચાર સમજે છે.</t>
  </si>
  <si>
    <t>અપરિચિત વાતચીત સમજે છે.</t>
  </si>
  <si>
    <t>પ્રશ્નોના જવાબ આપે છે.</t>
  </si>
  <si>
    <t>પાઠનું વાંચન મોટેથી કરી શકે છે.</t>
  </si>
  <si>
    <t>અપરિચિત વાક્યોનું અનુલેખન કરે છે.</t>
  </si>
  <si>
    <t>પરિચિત શબ્દો અને વાક્યોનું શ્રુતલેખન કરે છે.</t>
  </si>
  <si>
    <t>શિક્ષકની મદદથી સરળ વર્ણનાત્મક વાક્યો લખે છે.</t>
  </si>
  <si>
    <t>શબ્દભંડોળમાં યોગ્ય વિકાસ જણાય છે.</t>
  </si>
  <si>
    <t>સ્વાધ્યાયકાર્ય આપેલી સૂચના મુજબ કરે છે.</t>
  </si>
  <si>
    <t>પશુઓ, પક્ષીઓ અને જંતુઓના રહેઠાણો વિશે લખે છે.</t>
  </si>
  <si>
    <t>વિવિધ વ્યવસાયો વિશે જાણે છે.</t>
  </si>
  <si>
    <t>સ્થાનિક વિસ્તારના વૃક્ષો, પશુઓ અને ખેતીના પાક વિશે જાણે છે.</t>
  </si>
  <si>
    <t>રાષ્ટ્રીય પર્વોની ઉજવણીમાં ભાગ લે છે અને તે અંગેની વિગતો જાણે છે.</t>
  </si>
  <si>
    <t>વનસ્પતિના વિવિધ ભાગોને ઓળખે છે.</t>
  </si>
  <si>
    <t>1 થી 100 સુધીની સમજપૂર્વકનું સંખ્યાજ્ઞાન ધરાવે છે.</t>
  </si>
  <si>
    <t>1 થી 100 સુધીની સંખ્યાઓની વિવિધ રીતે સરખામણી કરે છે.</t>
  </si>
  <si>
    <t>સંખ્યાઓને ચડતા/ઉતરતા ક્રમમાં ગોઠવે છે.</t>
  </si>
  <si>
    <t>10 થી 99 સુધીની સંખ્યાના અંકોની સ્થાનકિંમત સમજે છે.</t>
  </si>
  <si>
    <t>બે અંકની સંખ્યાના સાદા સરવાળા કરે છે.</t>
  </si>
  <si>
    <t>બે અંકની બે સંખ્યાના વદીવાળા સરવાળા કરે છે.</t>
  </si>
  <si>
    <t>બે અંકની બે સંખ્યાની સાદી બાદબાકી કરે છે.</t>
  </si>
  <si>
    <t>બે, ત્રણ, ચાર, પાંચ અને દસના ઘડીયા આવડે છે.</t>
  </si>
  <si>
    <t>ઇસવીસન તેમજ વિક્રમ સવંત પ્રમાણેના મહિનાઓના નામ અને ક્રમ જાણે છે.</t>
  </si>
  <si>
    <t>પુસ્તકનું કાર્ય વ્યવસ્થિત રીતે કરે છે.</t>
  </si>
  <si>
    <t>ચલણી નોટો અને ચલણી સિક્કાઓને ઓળખે છે, તેમજ તેમની વચ્ચેનો સહસંબંધ જાણે છે.</t>
  </si>
  <si>
    <t>ટી.એલ.એમ. બનાવે છે.</t>
  </si>
  <si>
    <t>પ્રદર્શનમાં ભાગ લે છે.</t>
  </si>
  <si>
    <t>પર્યાવરણ/ગણિતનું વિષયવસ્તુ</t>
  </si>
  <si>
    <t>ભાષા/પર્યાવરણનું વિષયવસ્તુ</t>
  </si>
  <si>
    <t>ભાષા/પર્યાવરણના વિષયવસ્તુના સંદર્ભે કરેલી પ્રવૃત્તિ</t>
  </si>
  <si>
    <t>પર્યાવરણ/ગણિતના વિષયવસ્તુના સંદર્ભે કરેલી પ્રવૃત્તિ</t>
  </si>
  <si>
    <t>વર્ગમાં અન્ય બાળકો સાથે હળીમળીને રહે છે.</t>
  </si>
  <si>
    <t>વર્ગ અને શાળાની સફાઇમાં ભાગ લે છે.</t>
  </si>
  <si>
    <t>ઉત્સવો અને રાષ્ટ્રીય પર્વોની ઉજવણીમાં ભાગ લે છે.</t>
  </si>
  <si>
    <t>રમતો અને પ્રવૃત્તિમાં હોંશથી ભાગ લે છે.</t>
  </si>
  <si>
    <t>પ્રાર્થના સંમેલનમાં યોગદાન આપે છે.</t>
  </si>
  <si>
    <t>રસપૂર્વક અવલોકન કરે છે.</t>
  </si>
  <si>
    <t>જિજ્ઞાસુ છે. નવું નવું જાણવા પ્રયત્ન કરે છે.</t>
  </si>
  <si>
    <t>પશુ-પંખીઓ તરફ પ્રેમભાવ રાખે છે.</t>
  </si>
  <si>
    <t>પોતાને ભાગે આવેલું કાર્ય હોંશથી કરે છે.</t>
  </si>
  <si>
    <t>ધોરણ - 5</t>
  </si>
  <si>
    <t>કમાન નજા</t>
  </si>
  <si>
    <t>DFSDF SG</t>
  </si>
  <si>
    <t>SFDF SFDGS GHKG ADF</t>
  </si>
  <si>
    <t>શાળા અને વર્ગ વિશેની માહિતીની ડેટાએન્ટ્રી કરો.</t>
  </si>
  <si>
    <t>INDEX</t>
  </si>
  <si>
    <t>પરિશિષ્ટ B  વિકાસાત્મક મૂલ્યાંકન (ધોરણ 3 અને 4 માટે)</t>
  </si>
  <si>
    <r>
      <t xml:space="preserve">વિકાસાત્મક મૂલ્યાંકનમાં બંને સત્રમાં 40 વિધાનો માટે 5માંથી ગુણ આપો.  </t>
    </r>
    <r>
      <rPr>
        <sz val="11"/>
        <color rgb="FFFF0000"/>
        <rFont val="Calibri"/>
        <family val="2"/>
        <scheme val="minor"/>
      </rPr>
      <t>Legal પેપરમાં પ્રિન્ટ કરો...</t>
    </r>
  </si>
  <si>
    <t>પરિશિષ્ટ B  વિકાસાત્મક મૂલ્યાંકન (ધોરણ 5 માટે)</t>
  </si>
  <si>
    <r>
      <t xml:space="preserve">વિકાસાત્મક મૂલ્યાંકનમાં બંને સત્રમાં 40 વિધાનો માટે 10માંથી ગુણ આપો.  </t>
    </r>
    <r>
      <rPr>
        <sz val="11"/>
        <color rgb="FFFF0000"/>
        <rFont val="Calibri"/>
        <family val="2"/>
        <scheme val="minor"/>
      </rPr>
      <t>Legal પેપરમાં પ્રિન્ટ કરો...</t>
    </r>
  </si>
  <si>
    <t>IN</t>
  </si>
  <si>
    <r>
      <t>પરિણામ પત્રક મુખપૃષ્ઠમાં ફક્ત પરિણામની તારીજ ઉમેરો.</t>
    </r>
    <r>
      <rPr>
        <b/>
        <sz val="11"/>
        <color rgb="FFFF0000"/>
        <rFont val="Calibri"/>
        <family val="2"/>
        <scheme val="minor"/>
      </rPr>
      <t xml:space="preserve"> Legal પેપરમાં પ્રિન્ટ કરો...</t>
    </r>
  </si>
  <si>
    <r>
      <t>પરિણામ પત્રકમાં ફક્ત સત્રાંતે લેખિત મૂલ્યાંકન અને સ્વ-અધ્યયનના આધારે મૂલ્યાંકનના ગુણ ઉમેરો.</t>
    </r>
    <r>
      <rPr>
        <b/>
        <sz val="11"/>
        <color rgb="FFFF0000"/>
        <rFont val="Calibri"/>
        <family val="2"/>
        <scheme val="minor"/>
      </rPr>
      <t xml:space="preserve"> Legal પેપરમાં પ્રિન્ટ કરો...</t>
    </r>
  </si>
  <si>
    <t>પરિશિષ્ટ C  પરિણામ પત્રક(ધોરણ 3 માટે)</t>
  </si>
  <si>
    <t>પરિશિષ્ટ C  પરિણામ પત્રક(ધોરણ 4 માટે)</t>
  </si>
  <si>
    <t>પરિશિષ્ટ C  પરિણામ પત્રક(ધોરણ 5 માટે)</t>
  </si>
  <si>
    <t>પરિશિષ્ટ C  પરિણામ પત્રક મુખપૃષ્ઠ(ધો-3-4-5 માટે)</t>
  </si>
  <si>
    <t>પરિશિષ્ટ C  પરિણામ પત્રક મુખપૃષ્ઠ(ધો-1 માટે)</t>
  </si>
  <si>
    <t>પરિશિષ્ટ C  પરિણામ પત્રક(ધોરણ 1 માટે)</t>
  </si>
  <si>
    <r>
      <t xml:space="preserve">પરિણામ પત્રકમાં ફક્ત દરેક વિધાન માટે ગ્રેડ  આપો. </t>
    </r>
    <r>
      <rPr>
        <b/>
        <sz val="11"/>
        <color rgb="FFFF0000"/>
        <rFont val="Calibri"/>
        <family val="2"/>
        <scheme val="minor"/>
      </rPr>
      <t>Legal પેપરમાં પ્રિન્ટ કરો...</t>
    </r>
  </si>
  <si>
    <t>પરિશિષ્ટ D  પ્રગતિપત્રક (ધોરણ 1 માટે)</t>
  </si>
  <si>
    <t>ભાષા/પર્યાવરણ/ગણિત શિક્ષણ અન્વયે વર્ષ દરમિયાન કરાવેલ શાળા તત્પરતાની પ્રવૃત્તિ</t>
  </si>
  <si>
    <t>ભાષા/પર્યાવરણની સંખ્યા</t>
  </si>
  <si>
    <t>ગણિત/પર્યાવરણની સંખ્યા</t>
  </si>
  <si>
    <t>રમત</t>
  </si>
  <si>
    <t>બાળગીતો</t>
  </si>
  <si>
    <t>ચિત્રો - આકૃતિઓ</t>
  </si>
  <si>
    <t>પ્રવાસ / પર્યટન</t>
  </si>
  <si>
    <t>નાટ્ય પ્રવૃત્તિ</t>
  </si>
  <si>
    <t>વાર્તાકથન</t>
  </si>
  <si>
    <t>પરિશિષ્ટ C  પરિણામ પત્રક મુખપૃષ્ઠ(ધો-2 માટે)</t>
  </si>
  <si>
    <t>પરિશિષ્ટ C  પરિણામ પત્રક(ધોરણ 2 માટે)</t>
  </si>
  <si>
    <t>પરિશિષ્ટ D  પ્રગતિપત્રક (ધોરણ 2 માટે)</t>
  </si>
  <si>
    <t>પરિશિષ્ટ E  સર્વગ્રાહી વિકાસાત્મક સંગૃહીત પ્રગતિપત્રક</t>
  </si>
  <si>
    <r>
      <t>પરિણામ પત્રક મુખપૃષ્ઠમાં ફક્ત પરિણામની તારીજ અને પ્રવૃત્તિની સંખ્યા ઉમેરો.</t>
    </r>
    <r>
      <rPr>
        <b/>
        <sz val="11"/>
        <color rgb="FFFF0000"/>
        <rFont val="Calibri"/>
        <family val="2"/>
        <scheme val="minor"/>
      </rPr>
      <t xml:space="preserve"> Legal પેપરમાં પ્રિન્ટ કરો...</t>
    </r>
  </si>
  <si>
    <t>(ધોરણ 1 થી 5)</t>
  </si>
  <si>
    <t>પરિશિષ્ટ - E</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</si>
</sst>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1" formatCode="_ * #,##0_ ;_ * \-#,##0_ ;_ * &quot;-&quot;_ ;_ @_ "/>
    <numFmt numFmtId="43" formatCode="_ * #,##0.00_ ;_ * \-#,##0.00_ ;_ * &quot;-&quot;??_ ;_ @_ "/>
    <numFmt numFmtId="164" formatCode="&quot;$&quot;#,##0_);\(&quot;$&quot;#,##0\)"/>
    <numFmt numFmtId="165" formatCode="dd/mm/yyyy;@"/>
    <numFmt numFmtId="166" formatCode="&quot;$&quot;#,##0.00;[Red]\-&quot;$&quot;#,##0.00"/>
    <numFmt numFmtId="167" formatCode="_-* #,##0.00\ &quot;€&quot;_-;\-* #,##0.00\ &quot;€&quot;_-;_-* &quot;-&quot;??\ &quot;€&quot;_-;_-@_-"/>
    <numFmt numFmtId="168" formatCode="_-* #,##0\ _F_-;\-* #,##0\ _F_-;_-* &quot;-&quot;\ _F_-;_-@_-"/>
    <numFmt numFmtId="169" formatCode="_-* #,##0.00\ _F_-;\-* #,##0.00\ _F_-;_-* &quot;-&quot;??\ _F_-;_-@_-"/>
    <numFmt numFmtId="170" formatCode="#,##0.00000000;[Red]\-#,##0.00000000"/>
    <numFmt numFmtId="171" formatCode="_ &quot;Fr.&quot;\ * #,##0_ ;_ &quot;Fr.&quot;\ * \-#,##0_ ;_ &quot;Fr.&quot;\ * &quot;-&quot;_ ;_ @_ "/>
    <numFmt numFmtId="172" formatCode="_ &quot;Fr.&quot;\ * #,##0.00_ ;_ &quot;Fr.&quot;\ * \-#,##0.00_ ;_ &quot;Fr.&quot;\ * &quot;-&quot;??_ ;_ @_ "/>
    <numFmt numFmtId="173" formatCode="_-&quot;$&quot;* #,##0_-;\-&quot;$&quot;* #,##0_-;_-&quot;$&quot;* &quot;-&quot;_-;_-@_-"/>
    <numFmt numFmtId="174" formatCode="_-&quot;$&quot;* #,##0.00_-;\-&quot;$&quot;* #,##0.00_-;_-&quot;$&quot;* &quot;-&quot;??_-;_-@_-"/>
    <numFmt numFmtId="175" formatCode="&quot;\&quot;#,##0.00;[Red]&quot;\&quot;\-#,##0.00"/>
    <numFmt numFmtId="176" formatCode="&quot;\&quot;#,##0;[Red]&quot;\&quot;\-#,##0"/>
  </numFmts>
  <fonts count="132">
    <font>
      <sz val="11"/>
      <color theme="1"/>
      <name val="Calibri"/>
      <family val="2"/>
      <scheme val="minor"/>
    </font>
    <font>
      <u/>
      <sz val="10"/>
      <color indexed="12"/>
      <name val="Arial"/>
      <family val="2"/>
    </font>
    <font>
      <b/>
      <sz val="10"/>
      <name val="Arial"/>
      <family val="2"/>
    </font>
    <font>
      <sz val="10"/>
      <name val="Arial"/>
      <family val="2"/>
    </font>
    <font>
      <sz val="9"/>
      <name val="Arial"/>
      <family val="2"/>
    </font>
    <font>
      <sz val="11"/>
      <name val="Arial"/>
      <family val="2"/>
    </font>
    <font>
      <sz val="12"/>
      <name val="Arial"/>
      <family val="2"/>
    </font>
    <font>
      <b/>
      <sz val="12"/>
      <name val="Arial"/>
      <family val="2"/>
    </font>
    <font>
      <sz val="8"/>
      <name val="Arial"/>
      <family val="2"/>
    </font>
    <font>
      <b/>
      <sz val="9"/>
      <name val="Arial"/>
      <family val="2"/>
    </font>
    <font>
      <sz val="12"/>
      <name val="TERAFONT-TRILOCHAN"/>
      <family val="2"/>
      <charset val="2"/>
    </font>
    <font>
      <sz val="9"/>
      <name val="TERAFONT-TRILOCHAN"/>
      <family val="2"/>
      <charset val="2"/>
    </font>
    <font>
      <sz val="12"/>
      <name val="Times New Roman"/>
      <family val="1"/>
    </font>
    <font>
      <b/>
      <i/>
      <sz val="10"/>
      <name val="Arial"/>
      <family val="2"/>
    </font>
    <font>
      <b/>
      <sz val="12"/>
      <name val="TERAFONT-TRILOCHAN"/>
      <family val="2"/>
      <charset val="2"/>
    </font>
    <font>
      <b/>
      <sz val="14"/>
      <name val="Arial"/>
      <family val="2"/>
    </font>
    <font>
      <sz val="14"/>
      <name val="Arial"/>
      <family val="2"/>
    </font>
    <font>
      <i/>
      <sz val="24"/>
      <name val="TERAFONT-MENKA"/>
      <family val="2"/>
      <charset val="2"/>
    </font>
    <font>
      <sz val="14"/>
      <name val="TERAFONT-TRILOCHAN"/>
      <family val="2"/>
      <charset val="2"/>
    </font>
    <font>
      <sz val="22"/>
      <name val="TERAFONT-MENKA"/>
      <family val="2"/>
      <charset val="2"/>
    </font>
    <font>
      <i/>
      <sz val="18"/>
      <name val="TERAFONT-TRILOCHAN"/>
      <family val="2"/>
      <charset val="2"/>
    </font>
    <font>
      <sz val="10"/>
      <name val="TERAFONT-TRILOCHAN"/>
      <family val="2"/>
      <charset val="2"/>
    </font>
    <font>
      <sz val="16"/>
      <name val="TERAFONT-TRILOCHAN"/>
      <family val="2"/>
      <charset val="2"/>
    </font>
    <font>
      <b/>
      <sz val="13"/>
      <name val="Arial"/>
      <family val="2"/>
    </font>
    <font>
      <b/>
      <i/>
      <sz val="11"/>
      <name val="Arial"/>
      <family val="2"/>
    </font>
    <font>
      <b/>
      <sz val="8"/>
      <name val="Arial"/>
      <family val="2"/>
    </font>
    <font>
      <sz val="10"/>
      <name val="Times New Roman"/>
      <family val="1"/>
    </font>
    <font>
      <sz val="13"/>
      <name val="Arial"/>
      <family val="2"/>
    </font>
    <font>
      <b/>
      <sz val="12"/>
      <name val="Times New Roman"/>
      <family val="1"/>
    </font>
    <font>
      <b/>
      <sz val="13"/>
      <name val="Times New Roman"/>
      <family val="1"/>
    </font>
    <font>
      <b/>
      <sz val="11"/>
      <name val="Times New Roman"/>
      <family val="1"/>
    </font>
    <font>
      <b/>
      <sz val="14"/>
      <color indexed="81"/>
      <name val="Tahoma"/>
      <family val="2"/>
    </font>
    <font>
      <b/>
      <sz val="12"/>
      <color indexed="81"/>
      <name val="Tahoma"/>
      <family val="2"/>
    </font>
    <font>
      <b/>
      <sz val="11"/>
      <color indexed="81"/>
      <name val="Tahoma"/>
      <family val="2"/>
    </font>
    <font>
      <b/>
      <i/>
      <sz val="24"/>
      <name val="Arial"/>
      <family val="2"/>
    </font>
    <font>
      <b/>
      <sz val="16"/>
      <name val="Arial"/>
      <family val="2"/>
    </font>
    <font>
      <b/>
      <i/>
      <sz val="10"/>
      <name val="Times New Roman"/>
      <family val="1"/>
    </font>
    <font>
      <sz val="11"/>
      <color theme="1"/>
      <name val="Calibri"/>
      <family val="2"/>
      <scheme val="minor"/>
    </font>
    <font>
      <sz val="10"/>
      <color theme="1"/>
      <name val="Calibri"/>
      <family val="2"/>
      <scheme val="minor"/>
    </font>
    <font>
      <i/>
      <sz val="10"/>
      <color theme="2" tint="-0.89999084444715716"/>
      <name val="Calibri"/>
      <family val="2"/>
      <scheme val="minor"/>
    </font>
    <font>
      <b/>
      <sz val="10"/>
      <color theme="9" tint="-0.499984740745262"/>
      <name val="Calibri"/>
      <family val="2"/>
      <scheme val="minor"/>
    </font>
    <font>
      <sz val="11"/>
      <color theme="5" tint="-0.249977111117893"/>
      <name val="Calibri"/>
      <family val="2"/>
      <scheme val="minor"/>
    </font>
    <font>
      <i/>
      <sz val="11"/>
      <color theme="1"/>
      <name val="Calibri"/>
      <family val="2"/>
      <scheme val="minor"/>
    </font>
    <font>
      <i/>
      <sz val="10"/>
      <color theme="1"/>
      <name val="Calibri"/>
      <family val="2"/>
      <scheme val="minor"/>
    </font>
    <font>
      <sz val="10"/>
      <color theme="9" tint="-0.499984740745262"/>
      <name val="Calibri"/>
      <family val="2"/>
      <scheme val="minor"/>
    </font>
    <font>
      <b/>
      <sz val="10"/>
      <color theme="1"/>
      <name val="Calibri"/>
      <family val="2"/>
      <scheme val="minor"/>
    </font>
    <font>
      <sz val="7"/>
      <color theme="1"/>
      <name val="Calibri"/>
      <family val="2"/>
      <scheme val="minor"/>
    </font>
    <font>
      <sz val="8"/>
      <color theme="1"/>
      <name val="Calibri"/>
      <family val="2"/>
      <scheme val="minor"/>
    </font>
    <font>
      <sz val="9"/>
      <color theme="1"/>
      <name val="Calibri"/>
      <family val="2"/>
      <scheme val="minor"/>
    </font>
    <font>
      <b/>
      <sz val="12"/>
      <color theme="9" tint="-0.499984740745262"/>
      <name val="Arial"/>
      <family val="2"/>
    </font>
    <font>
      <b/>
      <sz val="11"/>
      <color theme="9" tint="-0.499984740745262"/>
      <name val="Arial"/>
      <family val="2"/>
    </font>
    <font>
      <sz val="16"/>
      <color theme="1"/>
      <name val="Calibri"/>
      <family val="2"/>
      <scheme val="minor"/>
    </font>
    <font>
      <sz val="11"/>
      <name val="Calibri"/>
      <family val="2"/>
      <scheme val="minor"/>
    </font>
    <font>
      <i/>
      <sz val="9"/>
      <color theme="2" tint="-0.89999084444715716"/>
      <name val="Calibri"/>
      <family val="2"/>
      <scheme val="minor"/>
    </font>
    <font>
      <b/>
      <sz val="9"/>
      <color theme="9" tint="-0.499984740745262"/>
      <name val="Calibri"/>
      <family val="2"/>
      <scheme val="minor"/>
    </font>
    <font>
      <sz val="14"/>
      <color theme="1"/>
      <name val="Calibri"/>
      <family val="2"/>
      <scheme val="minor"/>
    </font>
    <font>
      <u/>
      <sz val="14"/>
      <color theme="5" tint="-0.249977111117893"/>
      <name val="Arial"/>
      <family val="2"/>
    </font>
    <font>
      <b/>
      <sz val="12"/>
      <color rgb="FF7030A0"/>
      <name val="Calibri"/>
      <family val="2"/>
      <scheme val="minor"/>
    </font>
    <font>
      <i/>
      <sz val="14"/>
      <color theme="2" tint="-0.89999084444715716"/>
      <name val="Calibri"/>
      <family val="2"/>
      <scheme val="minor"/>
    </font>
    <font>
      <b/>
      <sz val="12"/>
      <color rgb="FFFF0000"/>
      <name val="Calibri"/>
      <family val="2"/>
      <scheme val="minor"/>
    </font>
    <font>
      <b/>
      <sz val="12"/>
      <color theme="7" tint="0.79998168889431442"/>
      <name val="Calibri"/>
      <family val="2"/>
      <scheme val="minor"/>
    </font>
    <font>
      <sz val="18"/>
      <color theme="9" tint="-0.499984740745262"/>
      <name val="Calibri"/>
      <family val="2"/>
      <scheme val="minor"/>
    </font>
    <font>
      <sz val="12"/>
      <name val="Calibri"/>
      <family val="2"/>
      <scheme val="minor"/>
    </font>
    <font>
      <sz val="10"/>
      <name val="Calibri"/>
      <family val="2"/>
      <scheme val="minor"/>
    </font>
    <font>
      <b/>
      <sz val="11"/>
      <name val="Calibri"/>
      <family val="2"/>
      <scheme val="minor"/>
    </font>
    <font>
      <b/>
      <sz val="18"/>
      <color theme="1"/>
      <name val="Calibri"/>
      <family val="2"/>
      <scheme val="minor"/>
    </font>
    <font>
      <b/>
      <sz val="16"/>
      <color theme="0"/>
      <name val="Calibri"/>
      <family val="2"/>
      <scheme val="minor"/>
    </font>
    <font>
      <b/>
      <i/>
      <sz val="22"/>
      <color theme="9" tint="-0.499984740745262"/>
      <name val="Times New Roman"/>
      <family val="1"/>
    </font>
    <font>
      <b/>
      <sz val="16"/>
      <color theme="7" tint="-0.499984740745262"/>
      <name val="Calibri"/>
      <family val="2"/>
      <scheme val="minor"/>
    </font>
    <font>
      <b/>
      <sz val="18"/>
      <color theme="7" tint="-0.499984740745262"/>
      <name val="Calibri"/>
      <family val="2"/>
      <scheme val="minor"/>
    </font>
    <font>
      <b/>
      <sz val="11"/>
      <color theme="9" tint="-0.499984740745262"/>
      <name val="Calibri"/>
      <family val="2"/>
      <scheme val="minor"/>
    </font>
    <font>
      <b/>
      <sz val="14"/>
      <color theme="9" tint="-0.499984740745262"/>
      <name val="Times New Roman"/>
      <family val="1"/>
    </font>
    <font>
      <b/>
      <sz val="18"/>
      <color rgb="FF7030A0"/>
      <name val="Calibri"/>
      <family val="2"/>
      <scheme val="minor"/>
    </font>
    <font>
      <b/>
      <sz val="18"/>
      <color rgb="FFFF0000"/>
      <name val="Calibri"/>
      <family val="2"/>
      <scheme val="minor"/>
    </font>
    <font>
      <b/>
      <sz val="16"/>
      <color theme="9" tint="-0.499984740745262"/>
      <name val="Times New Roman"/>
      <family val="1"/>
    </font>
    <font>
      <b/>
      <sz val="14"/>
      <color theme="9" tint="-0.499984740745262"/>
      <name val="Calibri"/>
      <family val="2"/>
      <scheme val="minor"/>
    </font>
    <font>
      <u/>
      <sz val="18"/>
      <color indexed="12"/>
      <name val="Arial"/>
      <family val="2"/>
    </font>
    <font>
      <sz val="14"/>
      <color theme="6" tint="-0.499984740745262"/>
      <name val="Calibri"/>
      <family val="2"/>
      <scheme val="minor"/>
    </font>
    <font>
      <b/>
      <sz val="18"/>
      <color theme="9" tint="-0.249977111117893"/>
      <name val="Calibri"/>
      <family val="2"/>
      <scheme val="minor"/>
    </font>
    <font>
      <b/>
      <sz val="24"/>
      <color theme="5" tint="-0.249977111117893"/>
      <name val="Arial"/>
      <family val="2"/>
    </font>
    <font>
      <b/>
      <u/>
      <sz val="20"/>
      <color rgb="FF7030A0"/>
      <name val="Arial"/>
      <family val="2"/>
    </font>
    <font>
      <b/>
      <sz val="16"/>
      <color theme="9" tint="0.59999389629810485"/>
      <name val="Calibri"/>
      <family val="2"/>
      <scheme val="minor"/>
    </font>
    <font>
      <b/>
      <sz val="11"/>
      <color theme="1"/>
      <name val="Calibri"/>
      <family val="2"/>
      <scheme val="minor"/>
    </font>
    <font>
      <b/>
      <sz val="12"/>
      <color theme="1"/>
      <name val="Calibri"/>
      <family val="2"/>
      <scheme val="minor"/>
    </font>
    <font>
      <b/>
      <u/>
      <sz val="14"/>
      <color theme="5" tint="-0.249977111117893"/>
      <name val="Arial"/>
      <family val="2"/>
    </font>
    <font>
      <sz val="10"/>
      <name val="Arial"/>
    </font>
    <font>
      <sz val="16"/>
      <name val="Latest-Bhola"/>
    </font>
    <font>
      <b/>
      <sz val="14"/>
      <name val="Cambria"/>
      <family val="1"/>
      <scheme val="major"/>
    </font>
    <font>
      <sz val="11"/>
      <name val="Latest-Bhola"/>
    </font>
    <font>
      <sz val="12"/>
      <name val="¹UAAA¼"/>
      <family val="3"/>
      <charset val="129"/>
    </font>
    <font>
      <sz val="7"/>
      <name val="Helv"/>
    </font>
    <font>
      <b/>
      <sz val="10"/>
      <name val="MS Sans Serif"/>
      <family val="2"/>
    </font>
    <font>
      <sz val="10"/>
      <name val="Courier"/>
      <family val="3"/>
    </font>
    <font>
      <sz val="7"/>
      <color indexed="10"/>
      <name val="Helv"/>
    </font>
    <font>
      <sz val="14"/>
      <name val="뼻뮝"/>
      <family val="3"/>
      <charset val="129"/>
    </font>
    <font>
      <sz val="12"/>
      <name val="뼻뮝"/>
      <family val="1"/>
      <charset val="129"/>
    </font>
    <font>
      <sz val="12"/>
      <name val="바탕체"/>
      <family val="1"/>
      <charset val="129"/>
    </font>
    <font>
      <sz val="10"/>
      <name val="굴림체"/>
      <family val="3"/>
      <charset val="129"/>
    </font>
    <font>
      <sz val="16"/>
      <name val="TERAFONT-AAKASH"/>
      <family val="2"/>
      <charset val="2"/>
    </font>
    <font>
      <sz val="18"/>
      <name val="Arial"/>
      <family val="2"/>
    </font>
    <font>
      <sz val="16"/>
      <name val="Arial"/>
      <family val="2"/>
    </font>
    <font>
      <b/>
      <sz val="18"/>
      <name val="Arial"/>
      <family val="2"/>
    </font>
    <font>
      <sz val="22"/>
      <name val="Arial"/>
      <family val="2"/>
    </font>
    <font>
      <i/>
      <sz val="16"/>
      <name val="Arial"/>
      <family val="2"/>
    </font>
    <font>
      <b/>
      <sz val="22"/>
      <name val="Arial"/>
      <family val="2"/>
    </font>
    <font>
      <sz val="9"/>
      <color indexed="81"/>
      <name val="Tahoma"/>
      <family val="2"/>
    </font>
    <font>
      <sz val="12"/>
      <color indexed="81"/>
      <name val="Tahoma"/>
      <family val="2"/>
    </font>
    <font>
      <b/>
      <sz val="14"/>
      <color rgb="FFFF0000"/>
      <name val="Calibri"/>
      <family val="2"/>
      <scheme val="minor"/>
    </font>
    <font>
      <u/>
      <sz val="12"/>
      <color theme="5" tint="-0.499984740745262"/>
      <name val="Arial"/>
      <family val="2"/>
    </font>
    <font>
      <sz val="12"/>
      <color theme="5" tint="-0.499984740745262"/>
      <name val="Calibri"/>
      <family val="2"/>
      <scheme val="minor"/>
    </font>
    <font>
      <sz val="14"/>
      <color theme="5" tint="-0.249977111117893"/>
      <name val="Arial"/>
      <family val="2"/>
    </font>
    <font>
      <sz val="18"/>
      <color theme="5" tint="-0.249977111117893"/>
      <name val="Arial"/>
      <family val="2"/>
    </font>
    <font>
      <sz val="12"/>
      <color theme="5" tint="-0.249977111117893"/>
      <name val="Arial"/>
      <family val="2"/>
    </font>
    <font>
      <b/>
      <sz val="24"/>
      <color theme="1"/>
      <name val="Calibri"/>
      <family val="2"/>
      <scheme val="minor"/>
    </font>
    <font>
      <b/>
      <sz val="11"/>
      <name val="Arial"/>
      <family val="2"/>
    </font>
    <font>
      <i/>
      <sz val="11"/>
      <name val="Arial"/>
      <family val="2"/>
    </font>
    <font>
      <b/>
      <i/>
      <sz val="12"/>
      <name val="Arial"/>
      <family val="2"/>
    </font>
    <font>
      <sz val="12"/>
      <color theme="9" tint="-0.499984740745262"/>
      <name val="Calibri"/>
      <family val="2"/>
      <scheme val="minor"/>
    </font>
    <font>
      <b/>
      <sz val="12"/>
      <color theme="0"/>
      <name val="Calibri"/>
      <family val="2"/>
      <scheme val="minor"/>
    </font>
    <font>
      <b/>
      <sz val="14"/>
      <name val="Calibri"/>
      <family val="2"/>
      <scheme val="minor"/>
    </font>
    <font>
      <i/>
      <sz val="10"/>
      <name val="Times New Roman"/>
      <family val="1"/>
    </font>
    <font>
      <b/>
      <i/>
      <sz val="11"/>
      <color theme="1"/>
      <name val="Calibri"/>
      <family val="2"/>
      <scheme val="minor"/>
    </font>
    <font>
      <strike/>
      <sz val="10"/>
      <name val="Arial"/>
      <family val="2"/>
    </font>
    <font>
      <sz val="11"/>
      <color rgb="FFFF0000"/>
      <name val="Calibri"/>
      <family val="2"/>
      <scheme val="minor"/>
    </font>
    <font>
      <sz val="12"/>
      <color theme="1"/>
      <name val="Calibri"/>
      <family val="2"/>
      <scheme val="minor"/>
    </font>
    <font>
      <u/>
      <sz val="12"/>
      <color indexed="12"/>
      <name val="Arial"/>
      <family val="2"/>
    </font>
    <font>
      <b/>
      <sz val="9"/>
      <color indexed="81"/>
      <name val="Tahoma"/>
      <family val="2"/>
    </font>
    <font>
      <b/>
      <sz val="11"/>
      <color rgb="FFFF0000"/>
      <name val="Calibri"/>
      <family val="2"/>
      <scheme val="minor"/>
    </font>
    <font>
      <b/>
      <u/>
      <sz val="10"/>
      <color indexed="12"/>
      <name val="Arial"/>
      <family val="2"/>
    </font>
    <font>
      <b/>
      <u/>
      <sz val="10"/>
      <color rgb="FFFF0000"/>
      <name val="Arial"/>
      <family val="2"/>
    </font>
    <font>
      <u/>
      <sz val="10"/>
      <color rgb="FFFF0000"/>
      <name val="Arial"/>
      <family val="2"/>
    </font>
    <font>
      <u/>
      <sz val="14"/>
      <color theme="9" tint="-0.499984740745262"/>
      <name val="Arial"/>
      <family val="2"/>
    </font>
  </fonts>
  <fills count="18">
    <fill>
      <patternFill patternType="none"/>
    </fill>
    <fill>
      <patternFill patternType="gray125"/>
    </fill>
    <fill>
      <patternFill patternType="solid">
        <fgColor theme="5"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indexed="22"/>
        <bgColor indexed="64"/>
      </patternFill>
    </fill>
    <fill>
      <patternFill patternType="solid">
        <fgColor indexed="26"/>
        <bgColor indexed="64"/>
      </patternFill>
    </fill>
    <fill>
      <patternFill patternType="lightGray">
        <bgColor theme="0" tint="-0.14996795556505021"/>
      </patternFill>
    </fill>
    <fill>
      <patternFill patternType="lightGray">
        <bgColor theme="0" tint="-0.14993743705557422"/>
      </patternFill>
    </fill>
    <fill>
      <patternFill patternType="solid">
        <fgColor rgb="FFFFC000"/>
        <bgColor indexed="64"/>
      </patternFill>
    </fill>
    <fill>
      <patternFill patternType="solid">
        <fgColor theme="0"/>
        <bgColor indexed="64"/>
      </patternFill>
    </fill>
    <fill>
      <patternFill patternType="solid">
        <fgColor theme="0" tint="-0.14999847407452621"/>
        <bgColor indexed="64"/>
      </patternFill>
    </fill>
  </fills>
  <borders count="244">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indexed="64"/>
      </left>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theme="0" tint="-0.14996795556505021"/>
      </left>
      <right style="thin">
        <color indexed="64"/>
      </right>
      <top style="thin">
        <color theme="0" tint="-0.14996795556505021"/>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theme="0" tint="-0.14990691854609822"/>
      </left>
      <right/>
      <top style="thin">
        <color theme="0" tint="-0.14993743705557422"/>
      </top>
      <bottom style="thin">
        <color theme="0" tint="-0.14990691854609822"/>
      </bottom>
      <diagonal/>
    </border>
    <border>
      <left style="thin">
        <color theme="0" tint="-0.14990691854609822"/>
      </left>
      <right/>
      <top style="thin">
        <color theme="0" tint="-0.14990691854609822"/>
      </top>
      <bottom style="thin">
        <color theme="0" tint="-0.14990691854609822"/>
      </bottom>
      <diagonal/>
    </border>
    <border>
      <left style="thin">
        <color theme="0" tint="-0.14990691854609822"/>
      </left>
      <right/>
      <top style="thin">
        <color theme="0" tint="-0.14990691854609822"/>
      </top>
      <bottom style="thin">
        <color indexed="64"/>
      </bottom>
      <diagonal/>
    </border>
    <border>
      <left style="thin">
        <color theme="0" tint="-0.14990691854609822"/>
      </left>
      <right style="thin">
        <color indexed="64"/>
      </right>
      <top style="thin">
        <color theme="0" tint="-0.14993743705557422"/>
      </top>
      <bottom style="thin">
        <color theme="0" tint="-0.14990691854609822"/>
      </bottom>
      <diagonal/>
    </border>
    <border>
      <left style="thin">
        <color theme="0" tint="-0.14990691854609822"/>
      </left>
      <right style="thin">
        <color indexed="64"/>
      </right>
      <top style="thin">
        <color theme="0" tint="-0.14990691854609822"/>
      </top>
      <bottom style="thin">
        <color theme="0" tint="-0.14990691854609822"/>
      </bottom>
      <diagonal/>
    </border>
    <border>
      <left style="thin">
        <color theme="0" tint="-0.14990691854609822"/>
      </left>
      <right style="thin">
        <color indexed="64"/>
      </right>
      <top style="thin">
        <color theme="0" tint="-0.14990691854609822"/>
      </top>
      <bottom style="thin">
        <color indexed="64"/>
      </bottom>
      <diagonal/>
    </border>
    <border>
      <left style="thin">
        <color theme="0" tint="-0.14996795556505021"/>
      </left>
      <right style="thin">
        <color theme="0" tint="-0.14996795556505021"/>
      </right>
      <top/>
      <bottom style="thin">
        <color indexed="64"/>
      </bottom>
      <diagonal/>
    </border>
    <border>
      <left style="thin">
        <color theme="0" tint="-0.14996795556505021"/>
      </left>
      <right style="thin">
        <color indexed="64"/>
      </right>
      <top/>
      <bottom style="thin">
        <color indexed="64"/>
      </bottom>
      <diagonal/>
    </border>
    <border>
      <left style="thin">
        <color indexed="64"/>
      </left>
      <right style="thin">
        <color theme="0" tint="-0.14996795556505021"/>
      </right>
      <top/>
      <bottom style="thin">
        <color indexed="64"/>
      </bottom>
      <diagonal/>
    </border>
    <border>
      <left/>
      <right style="thin">
        <color theme="0" tint="-0.14993743705557422"/>
      </right>
      <top style="thin">
        <color indexed="64"/>
      </top>
      <bottom style="thin">
        <color theme="0" tint="-0.14996795556505021"/>
      </bottom>
      <diagonal/>
    </border>
    <border>
      <left style="thin">
        <color theme="0" tint="-0.14993743705557422"/>
      </left>
      <right style="thin">
        <color theme="0" tint="-0.14993743705557422"/>
      </right>
      <top style="thin">
        <color indexed="64"/>
      </top>
      <bottom style="thin">
        <color theme="0" tint="-0.14996795556505021"/>
      </bottom>
      <diagonal/>
    </border>
    <border>
      <left style="thin">
        <color theme="0" tint="-0.14993743705557422"/>
      </left>
      <right style="thin">
        <color indexed="64"/>
      </right>
      <top style="thin">
        <color indexed="64"/>
      </top>
      <bottom style="thin">
        <color theme="0" tint="-0.14996795556505021"/>
      </bottom>
      <diagonal/>
    </border>
    <border>
      <left/>
      <right style="thin">
        <color theme="0" tint="-0.14993743705557422"/>
      </right>
      <top style="thin">
        <color theme="0" tint="-0.14996795556505021"/>
      </top>
      <bottom style="thin">
        <color indexed="64"/>
      </bottom>
      <diagonal/>
    </border>
    <border>
      <left style="thin">
        <color theme="0" tint="-0.14993743705557422"/>
      </left>
      <right style="thin">
        <color theme="0" tint="-0.14993743705557422"/>
      </right>
      <top style="thin">
        <color theme="0" tint="-0.14996795556505021"/>
      </top>
      <bottom style="thin">
        <color indexed="64"/>
      </bottom>
      <diagonal/>
    </border>
    <border>
      <left style="thin">
        <color theme="0" tint="-0.14993743705557422"/>
      </left>
      <right style="thin">
        <color indexed="64"/>
      </right>
      <top style="thin">
        <color theme="0" tint="-0.14996795556505021"/>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slantDashDot">
        <color theme="5"/>
      </left>
      <right/>
      <top style="slantDashDot">
        <color theme="5"/>
      </top>
      <bottom/>
      <diagonal/>
    </border>
    <border>
      <left/>
      <right style="slantDashDot">
        <color theme="5"/>
      </right>
      <top style="slantDashDot">
        <color theme="5"/>
      </top>
      <bottom/>
      <diagonal/>
    </border>
    <border>
      <left style="slantDashDot">
        <color theme="5"/>
      </left>
      <right/>
      <top/>
      <bottom/>
      <diagonal/>
    </border>
    <border>
      <left/>
      <right style="slantDashDot">
        <color theme="5"/>
      </right>
      <top/>
      <bottom/>
      <diagonal/>
    </border>
    <border>
      <left style="slantDashDot">
        <color theme="5"/>
      </left>
      <right/>
      <top/>
      <bottom style="slantDashDot">
        <color theme="5"/>
      </bottom>
      <diagonal/>
    </border>
    <border>
      <left/>
      <right/>
      <top/>
      <bottom style="slantDashDot">
        <color theme="5"/>
      </bottom>
      <diagonal/>
    </border>
    <border>
      <left/>
      <right style="slantDashDot">
        <color theme="5"/>
      </right>
      <top/>
      <bottom style="slantDashDot">
        <color theme="5"/>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mediumDashDot">
        <color theme="5"/>
      </left>
      <right/>
      <top style="mediumDashDot">
        <color theme="5"/>
      </top>
      <bottom/>
      <diagonal/>
    </border>
    <border>
      <left/>
      <right/>
      <top style="mediumDashDot">
        <color theme="5"/>
      </top>
      <bottom/>
      <diagonal/>
    </border>
    <border>
      <left/>
      <right style="mediumDashDot">
        <color theme="5"/>
      </right>
      <top style="mediumDashDot">
        <color theme="5"/>
      </top>
      <bottom/>
      <diagonal/>
    </border>
    <border>
      <left style="mediumDashDot">
        <color theme="5"/>
      </left>
      <right/>
      <top/>
      <bottom/>
      <diagonal/>
    </border>
    <border>
      <left/>
      <right style="mediumDashDot">
        <color theme="5"/>
      </right>
      <top/>
      <bottom/>
      <diagonal/>
    </border>
    <border>
      <left style="mediumDashDot">
        <color theme="5"/>
      </left>
      <right/>
      <top/>
      <bottom style="mediumDashDot">
        <color theme="5"/>
      </bottom>
      <diagonal/>
    </border>
    <border>
      <left/>
      <right/>
      <top/>
      <bottom style="mediumDashDot">
        <color theme="5"/>
      </bottom>
      <diagonal/>
    </border>
    <border>
      <left/>
      <right style="mediumDashDot">
        <color theme="5"/>
      </right>
      <top/>
      <bottom style="mediumDashDot">
        <color theme="5"/>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theme="0" tint="-0.14996795556505021"/>
      </left>
      <right/>
      <top style="thin">
        <color theme="0" tint="-0.14996795556505021"/>
      </top>
      <bottom style="thin">
        <color theme="0" tint="-0.14993743705557422"/>
      </bottom>
      <diagonal/>
    </border>
    <border>
      <left/>
      <right style="thin">
        <color indexed="64"/>
      </right>
      <top style="thin">
        <color theme="0" tint="-0.14996795556505021"/>
      </top>
      <bottom style="thin">
        <color theme="0" tint="-0.14993743705557422"/>
      </bottom>
      <diagonal/>
    </border>
    <border>
      <left style="thin">
        <color theme="0" tint="-0.14993743705557422"/>
      </left>
      <right style="thin">
        <color indexed="64"/>
      </right>
      <top style="thin">
        <color theme="0" tint="-0.14996795556505021"/>
      </top>
      <bottom style="thin">
        <color theme="0" tint="-0.14993743705557422"/>
      </bottom>
      <diagonal/>
    </border>
    <border>
      <left/>
      <right style="thin">
        <color theme="0" tint="-0.14993743705557422"/>
      </right>
      <top style="thin">
        <color theme="0" tint="-0.14996795556505021"/>
      </top>
      <bottom/>
      <diagonal/>
    </border>
    <border>
      <left style="thin">
        <color indexed="64"/>
      </left>
      <right style="thin">
        <color theme="0" tint="-0.14996795556505021"/>
      </right>
      <top style="thin">
        <color theme="0" tint="-0.14996795556505021"/>
      </top>
      <bottom/>
      <diagonal/>
    </border>
    <border>
      <left style="thin">
        <color indexed="64"/>
      </left>
      <right/>
      <top style="thin">
        <color theme="0" tint="-0.14996795556505021"/>
      </top>
      <bottom/>
      <diagonal/>
    </border>
    <border>
      <left style="thin">
        <color indexed="64"/>
      </left>
      <right style="thin">
        <color theme="5" tint="0.39994506668294322"/>
      </right>
      <top style="thin">
        <color indexed="64"/>
      </top>
      <bottom style="thin">
        <color theme="5" tint="0.39994506668294322"/>
      </bottom>
      <diagonal/>
    </border>
    <border>
      <left style="thin">
        <color indexed="64"/>
      </left>
      <right style="thin">
        <color theme="5" tint="0.39994506668294322"/>
      </right>
      <top style="thin">
        <color theme="5" tint="0.39994506668294322"/>
      </top>
      <bottom style="thin">
        <color theme="5" tint="0.39994506668294322"/>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right/>
      <top style="slantDashDot">
        <color theme="5"/>
      </top>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indexed="64"/>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style="thin">
        <color indexed="64"/>
      </right>
      <top style="thin">
        <color theme="0" tint="-0.24994659260841701"/>
      </top>
      <bottom/>
      <diagonal/>
    </border>
    <border>
      <left style="thin">
        <color theme="0" tint="-0.24994659260841701"/>
      </left>
      <right/>
      <top/>
      <bottom style="thin">
        <color indexed="64"/>
      </bottom>
      <diagonal/>
    </border>
    <border>
      <left/>
      <right style="thin">
        <color theme="0" tint="-0.24994659260841701"/>
      </right>
      <top/>
      <bottom style="thin">
        <color indexed="64"/>
      </bottom>
      <diagonal/>
    </border>
    <border>
      <left/>
      <right style="thin">
        <color indexed="64"/>
      </right>
      <top/>
      <bottom style="thin">
        <color theme="0" tint="-0.24994659260841701"/>
      </bottom>
      <diagonal/>
    </border>
    <border>
      <left style="thin">
        <color indexed="64"/>
      </left>
      <right/>
      <top style="thin">
        <color indexed="64"/>
      </top>
      <bottom style="thin">
        <color theme="0" tint="-0.24994659260841701"/>
      </bottom>
      <diagonal/>
    </border>
    <border>
      <left style="thin">
        <color theme="0" tint="-0.24994659260841701"/>
      </left>
      <right style="thin">
        <color theme="0" tint="-0.24994659260841701"/>
      </right>
      <top/>
      <bottom style="thin">
        <color indexed="64"/>
      </bottom>
      <diagonal/>
    </border>
    <border>
      <left/>
      <right style="thin">
        <color theme="0" tint="-0.24994659260841701"/>
      </right>
      <top style="thin">
        <color indexed="64"/>
      </top>
      <bottom/>
      <diagonal/>
    </border>
    <border>
      <left style="thin">
        <color theme="0" tint="-0.24994659260841701"/>
      </left>
      <right/>
      <top style="thin">
        <color indexed="64"/>
      </top>
      <bottom/>
      <diagonal/>
    </border>
    <border>
      <left style="thin">
        <color theme="5" tint="0.39994506668294322"/>
      </left>
      <right style="thin">
        <color theme="1"/>
      </right>
      <top style="thin">
        <color indexed="64"/>
      </top>
      <bottom style="thin">
        <color theme="0" tint="-0.24994659260841701"/>
      </bottom>
      <diagonal/>
    </border>
    <border>
      <left style="thin">
        <color theme="5" tint="0.39994506668294322"/>
      </left>
      <right style="thin">
        <color theme="1"/>
      </right>
      <top style="thin">
        <color theme="0" tint="-0.24994659260841701"/>
      </top>
      <bottom style="thin">
        <color theme="0" tint="-0.24994659260841701"/>
      </bottom>
      <diagonal/>
    </border>
    <border>
      <left style="thin">
        <color theme="5" tint="0.39994506668294322"/>
      </left>
      <right style="thin">
        <color theme="1"/>
      </right>
      <top style="thin">
        <color theme="0" tint="-0.24994659260841701"/>
      </top>
      <bottom style="thin">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indexed="64"/>
      </bottom>
      <diagonal/>
    </border>
    <border>
      <left/>
      <right style="thin">
        <color theme="0" tint="-0.24994659260841701"/>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indexed="64"/>
      </bottom>
      <diagonal/>
    </border>
    <border>
      <left/>
      <right style="thin">
        <color indexed="64"/>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theme="0" tint="-0.34998626667073579"/>
      </left>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right style="thin">
        <color indexed="64"/>
      </right>
      <top style="thin">
        <color indexed="64"/>
      </top>
      <bottom style="thin">
        <color theme="0" tint="-0.34998626667073579"/>
      </bottom>
      <diagonal/>
    </border>
    <border>
      <left style="thin">
        <color indexed="64"/>
      </left>
      <right style="thin">
        <color theme="5" tint="0.59996337778862885"/>
      </right>
      <top style="thin">
        <color indexed="64"/>
      </top>
      <bottom style="thin">
        <color theme="5" tint="0.59996337778862885"/>
      </bottom>
      <diagonal/>
    </border>
    <border>
      <left style="thin">
        <color theme="5" tint="0.59996337778862885"/>
      </left>
      <right style="thin">
        <color theme="5" tint="0.59996337778862885"/>
      </right>
      <top style="thin">
        <color indexed="64"/>
      </top>
      <bottom style="thin">
        <color theme="5" tint="0.59996337778862885"/>
      </bottom>
      <diagonal/>
    </border>
    <border>
      <left style="thin">
        <color theme="5" tint="0.59996337778862885"/>
      </left>
      <right style="thin">
        <color indexed="64"/>
      </right>
      <top style="thin">
        <color indexed="64"/>
      </top>
      <bottom style="thin">
        <color theme="5" tint="0.59996337778862885"/>
      </bottom>
      <diagonal/>
    </border>
    <border>
      <left style="thin">
        <color indexed="64"/>
      </left>
      <right style="thin">
        <color theme="5" tint="0.59996337778862885"/>
      </right>
      <top style="thin">
        <color theme="5" tint="0.59996337778862885"/>
      </top>
      <bottom style="thin">
        <color theme="5" tint="0.59996337778862885"/>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style="thin">
        <color indexed="64"/>
      </right>
      <top style="thin">
        <color theme="5" tint="0.59996337778862885"/>
      </top>
      <bottom style="thin">
        <color theme="5" tint="0.59996337778862885"/>
      </bottom>
      <diagonal/>
    </border>
    <border>
      <left style="thin">
        <color indexed="64"/>
      </left>
      <right style="thin">
        <color theme="5" tint="0.59996337778862885"/>
      </right>
      <top style="thin">
        <color theme="5"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indexed="64"/>
      </right>
      <top style="thin">
        <color theme="5" tint="0.59996337778862885"/>
      </top>
      <bottom/>
      <diagonal/>
    </border>
    <border>
      <left/>
      <right style="thin">
        <color theme="0" tint="-0.14996795556505021"/>
      </right>
      <top style="thin">
        <color theme="0" tint="-0.14996795556505021"/>
      </top>
      <bottom/>
      <diagonal/>
    </border>
    <border>
      <left/>
      <right style="thin">
        <color indexed="64"/>
      </right>
      <top style="thin">
        <color theme="0" tint="-0.14996795556505021"/>
      </top>
      <bottom/>
      <diagonal/>
    </border>
    <border>
      <left style="thin">
        <color indexed="64"/>
      </left>
      <right style="thin">
        <color theme="0" tint="-0.14996795556505021"/>
      </right>
      <top/>
      <bottom/>
      <diagonal/>
    </border>
    <border>
      <left/>
      <right style="thin">
        <color theme="0" tint="-0.14996795556505021"/>
      </right>
      <top/>
      <bottom/>
      <diagonal/>
    </border>
    <border>
      <left/>
      <right style="thin">
        <color theme="0" tint="-0.14996795556505021"/>
      </right>
      <top/>
      <bottom style="thin">
        <color theme="0" tint="-0.14996795556505021"/>
      </bottom>
      <diagonal/>
    </border>
    <border>
      <left/>
      <right style="thin">
        <color indexed="64"/>
      </right>
      <top/>
      <bottom style="thin">
        <color theme="0" tint="-0.14996795556505021"/>
      </bottom>
      <diagonal/>
    </border>
    <border>
      <left style="thin">
        <color indexed="64"/>
      </left>
      <right/>
      <top style="thin">
        <color indexed="64"/>
      </top>
      <bottom style="thin">
        <color theme="5" tint="0.59996337778862885"/>
      </bottom>
      <diagonal/>
    </border>
    <border>
      <left/>
      <right/>
      <top style="thin">
        <color indexed="64"/>
      </top>
      <bottom style="thin">
        <color theme="5" tint="0.59996337778862885"/>
      </bottom>
      <diagonal/>
    </border>
    <border>
      <left/>
      <right style="thin">
        <color indexed="64"/>
      </right>
      <top style="thin">
        <color indexed="64"/>
      </top>
      <bottom style="thin">
        <color theme="5" tint="0.59996337778862885"/>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theme="0" tint="-0.14996795556505021"/>
      </right>
      <top style="thin">
        <color indexed="64"/>
      </top>
      <bottom/>
      <diagonal/>
    </border>
    <border>
      <left style="thin">
        <color theme="0" tint="-0.14996795556505021"/>
      </left>
      <right style="thin">
        <color theme="0" tint="-0.14996795556505021"/>
      </right>
      <top style="thin">
        <color indexed="64"/>
      </top>
      <bottom/>
      <diagonal/>
    </border>
    <border>
      <left style="thin">
        <color theme="0" tint="-0.14996795556505021"/>
      </left>
      <right style="thin">
        <color theme="0" tint="-0.14996795556505021"/>
      </right>
      <top/>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diagonal/>
    </border>
    <border>
      <left style="thin">
        <color theme="0" tint="-0.14996795556505021"/>
      </left>
      <right style="thin">
        <color indexed="64"/>
      </right>
      <top style="thin">
        <color theme="0" tint="-0.14996795556505021"/>
      </top>
      <bottom/>
      <diagonal/>
    </border>
    <border>
      <left style="thin">
        <color indexed="64"/>
      </left>
      <right style="thin">
        <color theme="0" tint="-0.14996795556505021"/>
      </right>
      <top/>
      <bottom style="thin">
        <color theme="0" tint="-0.24994659260841701"/>
      </bottom>
      <diagonal/>
    </border>
    <border>
      <left style="thin">
        <color theme="0" tint="-0.14996795556505021"/>
      </left>
      <right style="thin">
        <color theme="0" tint="-0.14996795556505021"/>
      </right>
      <top/>
      <bottom style="thin">
        <color theme="0" tint="-0.24994659260841701"/>
      </bottom>
      <diagonal/>
    </border>
    <border>
      <left style="thin">
        <color theme="0" tint="-0.14996795556505021"/>
      </left>
      <right style="thin">
        <color indexed="64"/>
      </right>
      <top/>
      <bottom style="thin">
        <color theme="0" tint="-0.24994659260841701"/>
      </bottom>
      <diagonal/>
    </border>
    <border>
      <left style="thin">
        <color theme="0" tint="-0.24994659260841701"/>
      </left>
      <right style="thin">
        <color indexed="64"/>
      </right>
      <top style="thin">
        <color theme="0" tint="-0.24994659260841701"/>
      </top>
      <bottom/>
      <diagonal/>
    </border>
    <border>
      <left style="thin">
        <color theme="0" tint="-0.24994659260841701"/>
      </left>
      <right style="thin">
        <color indexed="64"/>
      </right>
      <top/>
      <bottom style="thin">
        <color indexed="64"/>
      </bottom>
      <diagonal/>
    </border>
    <border>
      <left style="thin">
        <color theme="0" tint="-0.24994659260841701"/>
      </left>
      <right/>
      <top style="thin">
        <color theme="0" tint="-0.24994659260841701"/>
      </top>
      <bottom style="thin">
        <color theme="0" tint="-0.24994659260841701"/>
      </bottom>
      <diagonal/>
    </border>
    <border>
      <left style="mediumDashDot">
        <color theme="5" tint="-0.24994659260841701"/>
      </left>
      <right style="medium">
        <color indexed="64"/>
      </right>
      <top/>
      <bottom/>
      <diagonal/>
    </border>
    <border>
      <left style="thin">
        <color indexed="64"/>
      </left>
      <right style="thin">
        <color theme="0" tint="-0.24994659260841701"/>
      </right>
      <top style="thin">
        <color indexed="64"/>
      </top>
      <bottom/>
      <diagonal/>
    </border>
    <border>
      <left style="thin">
        <color indexed="64"/>
      </left>
      <right style="thin">
        <color theme="0" tint="-0.24994659260841701"/>
      </right>
      <top/>
      <bottom/>
      <diagonal/>
    </border>
    <border>
      <left style="thin">
        <color indexed="64"/>
      </left>
      <right style="thin">
        <color theme="0" tint="-0.24994659260841701"/>
      </right>
      <top/>
      <bottom style="thin">
        <color indexed="64"/>
      </bottom>
      <diagonal/>
    </border>
    <border>
      <left style="medium">
        <color indexed="64"/>
      </left>
      <right/>
      <top style="medium">
        <color indexed="64"/>
      </top>
      <bottom style="thin">
        <color theme="0" tint="-0.24994659260841701"/>
      </bottom>
      <diagonal/>
    </border>
    <border>
      <left/>
      <right/>
      <top style="medium">
        <color indexed="64"/>
      </top>
      <bottom style="thin">
        <color theme="0" tint="-0.24994659260841701"/>
      </bottom>
      <diagonal/>
    </border>
    <border>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medium">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theme="0" tint="-0.24994659260841701"/>
      </top>
      <bottom style="thin">
        <color indexed="64"/>
      </bottom>
      <diagonal/>
    </border>
    <border>
      <left/>
      <right/>
      <top style="thin">
        <color theme="0" tint="-0.34998626667073579"/>
      </top>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top style="thin">
        <color indexed="64"/>
      </top>
      <bottom style="thin">
        <color indexed="64"/>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style="thin">
        <color indexed="64"/>
      </left>
      <right style="thin">
        <color theme="0" tint="-0.34998626667073579"/>
      </right>
      <top style="thin">
        <color indexed="64"/>
      </top>
      <bottom style="thin">
        <color indexed="64"/>
      </bottom>
      <diagonal/>
    </border>
    <border>
      <left style="thin">
        <color theme="0" tint="-0.24994659260841701"/>
      </left>
      <right style="thin">
        <color theme="0" tint="-0.34998626667073579"/>
      </right>
      <top style="thin">
        <color indexed="64"/>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34998626667073579"/>
      </right>
      <top style="thin">
        <color theme="0" tint="-0.34998626667073579"/>
      </top>
      <bottom style="thin">
        <color indexed="64"/>
      </bottom>
      <diagonal/>
    </border>
    <border>
      <left style="thin">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theme="0" tint="-0.34998626667073579"/>
      </right>
      <top style="thin">
        <color indexed="64"/>
      </top>
      <bottom style="thin">
        <color indexed="64"/>
      </bottom>
      <diagonal/>
    </border>
    <border>
      <left style="thin">
        <color theme="0" tint="-0.34998626667073579"/>
      </left>
      <right style="thin">
        <color indexed="64"/>
      </right>
      <top style="thin">
        <color theme="0" tint="-0.34998626667073579"/>
      </top>
      <bottom/>
      <diagonal/>
    </border>
    <border>
      <left style="thin">
        <color theme="0" tint="-0.24994659260841701"/>
      </left>
      <right/>
      <top style="thin">
        <color indexed="64"/>
      </top>
      <bottom style="thin">
        <color theme="0" tint="-0.34998626667073579"/>
      </bottom>
      <diagonal/>
    </border>
    <border>
      <left style="thin">
        <color theme="0" tint="-0.24994659260841701"/>
      </left>
      <right/>
      <top style="thin">
        <color theme="0" tint="-0.34998626667073579"/>
      </top>
      <bottom style="thin">
        <color theme="0" tint="-0.34998626667073579"/>
      </bottom>
      <diagonal/>
    </border>
    <border>
      <left style="thin">
        <color theme="0" tint="-0.24994659260841701"/>
      </left>
      <right/>
      <top style="medium">
        <color indexed="64"/>
      </top>
      <bottom style="thin">
        <color theme="0" tint="-0.24994659260841701"/>
      </bottom>
      <diagonal/>
    </border>
    <border>
      <left/>
      <right style="medium">
        <color indexed="64"/>
      </right>
      <top style="medium">
        <color indexed="64"/>
      </top>
      <bottom style="thin">
        <color theme="0" tint="-0.24994659260841701"/>
      </bottom>
      <diagonal/>
    </border>
    <border>
      <left style="thin">
        <color theme="0" tint="-0.24994659260841701"/>
      </left>
      <right/>
      <top style="thin">
        <color theme="0" tint="-0.34998626667073579"/>
      </top>
      <bottom style="thin">
        <color indexed="64"/>
      </bottom>
      <diagonal/>
    </border>
    <border>
      <left/>
      <right style="thin">
        <color theme="0" tint="-0.34998626667073579"/>
      </right>
      <top style="thin">
        <color theme="0" tint="-0.34998626667073579"/>
      </top>
      <bottom/>
      <diagonal/>
    </border>
    <border>
      <left/>
      <right/>
      <top/>
      <bottom style="thin">
        <color theme="0" tint="-0.34998626667073579"/>
      </bottom>
      <diagonal/>
    </border>
    <border>
      <left style="thin">
        <color theme="0" tint="-0.34998626667073579"/>
      </left>
      <right/>
      <top/>
      <bottom style="thin">
        <color indexed="64"/>
      </bottom>
      <diagonal/>
    </border>
    <border>
      <left/>
      <right style="thin">
        <color theme="0" tint="-0.34998626667073579"/>
      </right>
      <top/>
      <bottom style="thin">
        <color indexed="64"/>
      </bottom>
      <diagonal/>
    </border>
    <border>
      <left/>
      <right style="thin">
        <color indexed="64"/>
      </right>
      <top style="medium">
        <color indexed="64"/>
      </top>
      <bottom/>
      <diagonal/>
    </border>
    <border>
      <left style="mediumDashDot">
        <color theme="5" tint="-0.24994659260841701"/>
      </left>
      <right style="thin">
        <color indexed="64"/>
      </right>
      <top/>
      <bottom/>
      <diagonal/>
    </border>
    <border>
      <left/>
      <right style="thin">
        <color indexed="64"/>
      </right>
      <top/>
      <bottom style="medium">
        <color indexed="64"/>
      </bottom>
      <diagonal/>
    </border>
  </borders>
  <cellStyleXfs count="43">
    <xf numFmtId="0" fontId="0" fillId="0" borderId="0"/>
    <xf numFmtId="0" fontId="1" fillId="0" borderId="0" applyNumberFormat="0" applyFill="0" applyBorder="0" applyAlignment="0" applyProtection="0">
      <alignment vertical="top"/>
      <protection locked="0"/>
    </xf>
    <xf numFmtId="9" fontId="37" fillId="0" borderId="0" applyFont="0" applyFill="0" applyBorder="0" applyAlignment="0" applyProtection="0"/>
    <xf numFmtId="0" fontId="85" fillId="0" borderId="0"/>
    <xf numFmtId="0" fontId="3" fillId="0" borderId="0"/>
    <xf numFmtId="0" fontId="89"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3" fontId="90" fillId="0" borderId="0"/>
    <xf numFmtId="164" fontId="91" fillId="0" borderId="8" applyAlignment="0" applyProtection="0"/>
    <xf numFmtId="0" fontId="89" fillId="0" borderId="0"/>
    <xf numFmtId="0" fontId="89" fillId="0" borderId="0"/>
    <xf numFmtId="3" fontId="3" fillId="0" borderId="0" applyFont="0" applyFill="0" applyBorder="0" applyAlignment="0" applyProtection="0"/>
    <xf numFmtId="166" fontId="85" fillId="0" borderId="0" applyFont="0" applyFill="0" applyBorder="0" applyAlignment="0" applyProtection="0"/>
    <xf numFmtId="0" fontId="3" fillId="0" borderId="0" applyFont="0" applyFill="0" applyBorder="0" applyAlignment="0" applyProtection="0"/>
    <xf numFmtId="41" fontId="85" fillId="0" borderId="0" applyFont="0" applyFill="0" applyBorder="0" applyAlignment="0" applyProtection="0"/>
    <xf numFmtId="43" fontId="85" fillId="0" borderId="0" applyFont="0" applyFill="0" applyBorder="0" applyAlignment="0" applyProtection="0"/>
    <xf numFmtId="167" fontId="85" fillId="0" borderId="0" applyFont="0" applyFill="0" applyBorder="0" applyAlignment="0" applyProtection="0"/>
    <xf numFmtId="2" fontId="3" fillId="0" borderId="0" applyFont="0" applyFill="0" applyBorder="0" applyAlignment="0" applyProtection="0"/>
    <xf numFmtId="38" fontId="8" fillId="11" borderId="0" applyNumberFormat="0" applyBorder="0" applyAlignment="0" applyProtection="0"/>
    <xf numFmtId="10" fontId="8" fillId="12" borderId="13" applyNumberFormat="0" applyBorder="0" applyAlignment="0" applyProtection="0"/>
    <xf numFmtId="168" fontId="85" fillId="0" borderId="0" applyFont="0" applyFill="0" applyBorder="0" applyAlignment="0" applyProtection="0"/>
    <xf numFmtId="169" fontId="85" fillId="0" borderId="0" applyFont="0" applyFill="0" applyBorder="0" applyAlignment="0" applyProtection="0"/>
    <xf numFmtId="0" fontId="92" fillId="0" borderId="0"/>
    <xf numFmtId="170" fontId="85" fillId="0" borderId="0"/>
    <xf numFmtId="10" fontId="85" fillId="0" borderId="0" applyFont="0" applyFill="0" applyBorder="0" applyAlignment="0" applyProtection="0"/>
    <xf numFmtId="3" fontId="93" fillId="0" borderId="0"/>
    <xf numFmtId="0" fontId="3" fillId="13" borderId="133" applyBorder="0">
      <alignment horizontal="center" vertical="center"/>
    </xf>
    <xf numFmtId="0" fontId="3" fillId="14" borderId="133" applyBorder="0">
      <alignment horizontal="center" vertical="center"/>
    </xf>
    <xf numFmtId="171" fontId="85" fillId="0" borderId="0" applyFont="0" applyFill="0" applyBorder="0" applyAlignment="0" applyProtection="0"/>
    <xf numFmtId="172" fontId="85" fillId="0" borderId="0" applyFont="0" applyFill="0" applyBorder="0" applyAlignment="0" applyProtection="0"/>
    <xf numFmtId="40" fontId="94" fillId="0" borderId="0" applyFont="0" applyFill="0" applyBorder="0" applyAlignment="0" applyProtection="0"/>
    <xf numFmtId="38" fontId="94" fillId="0" borderId="0" applyFont="0" applyFill="0" applyBorder="0" applyAlignment="0" applyProtection="0"/>
    <xf numFmtId="0" fontId="94" fillId="0" borderId="0" applyFont="0" applyFill="0" applyBorder="0" applyAlignment="0" applyProtection="0"/>
    <xf numFmtId="0" fontId="94" fillId="0" borderId="0" applyFont="0" applyFill="0" applyBorder="0" applyAlignment="0" applyProtection="0"/>
    <xf numFmtId="10" fontId="3" fillId="0" borderId="0" applyFont="0" applyFill="0" applyBorder="0" applyAlignment="0" applyProtection="0"/>
    <xf numFmtId="0" fontId="95" fillId="0" borderId="0"/>
    <xf numFmtId="173" fontId="85" fillId="0" borderId="0" applyFont="0" applyFill="0" applyBorder="0" applyAlignment="0" applyProtection="0"/>
    <xf numFmtId="174" fontId="85" fillId="0" borderId="0" applyFont="0" applyFill="0" applyBorder="0" applyAlignment="0" applyProtection="0"/>
    <xf numFmtId="175" fontId="96" fillId="0" borderId="0" applyFont="0" applyFill="0" applyBorder="0" applyAlignment="0" applyProtection="0"/>
    <xf numFmtId="176" fontId="96" fillId="0" borderId="0" applyFont="0" applyFill="0" applyBorder="0" applyAlignment="0" applyProtection="0"/>
    <xf numFmtId="0" fontId="97" fillId="0" borderId="0"/>
  </cellStyleXfs>
  <cellXfs count="1176">
    <xf numFmtId="0" fontId="0" fillId="0" borderId="0" xfId="0"/>
    <xf numFmtId="0" fontId="38" fillId="0" borderId="0" xfId="0" applyFont="1" applyAlignment="1">
      <alignment horizontal="left" vertical="center" wrapText="1"/>
    </xf>
    <xf numFmtId="0" fontId="38" fillId="0" borderId="0" xfId="0" applyFont="1" applyAlignment="1">
      <alignment wrapText="1"/>
    </xf>
    <xf numFmtId="0" fontId="38" fillId="0" borderId="0" xfId="0" applyFont="1" applyAlignment="1">
      <alignment horizontal="left" wrapText="1"/>
    </xf>
    <xf numFmtId="0" fontId="39" fillId="2" borderId="2"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40" fillId="0" borderId="17" xfId="0" applyFont="1" applyFill="1" applyBorder="1" applyAlignment="1" applyProtection="1">
      <alignment horizontal="center" vertical="center" wrapText="1"/>
      <protection locked="0"/>
    </xf>
    <xf numFmtId="0" fontId="40" fillId="0" borderId="19" xfId="0" applyFont="1" applyFill="1" applyBorder="1" applyAlignment="1" applyProtection="1">
      <alignment horizontal="center" wrapText="1"/>
      <protection locked="0"/>
    </xf>
    <xf numFmtId="0" fontId="39" fillId="3" borderId="5" xfId="0" applyFont="1" applyFill="1" applyBorder="1" applyAlignment="1">
      <alignment horizontal="left" vertical="center" wrapText="1"/>
    </xf>
    <xf numFmtId="0" fontId="39" fillId="3" borderId="6" xfId="0" applyFont="1" applyFill="1" applyBorder="1" applyAlignment="1">
      <alignment horizontal="left" wrapText="1"/>
    </xf>
    <xf numFmtId="0" fontId="39" fillId="3" borderId="7" xfId="0" applyFont="1" applyFill="1" applyBorder="1" applyAlignment="1">
      <alignment horizontal="left" wrapText="1"/>
    </xf>
    <xf numFmtId="0" fontId="40" fillId="0" borderId="22" xfId="0" applyFont="1" applyFill="1" applyBorder="1" applyAlignment="1" applyProtection="1">
      <alignment horizontal="left" vertical="center" wrapText="1"/>
      <protection locked="0"/>
    </xf>
    <xf numFmtId="0" fontId="40" fillId="0" borderId="23" xfId="0" applyFont="1" applyFill="1" applyBorder="1" applyAlignment="1" applyProtection="1">
      <alignment horizontal="left" wrapText="1"/>
      <protection locked="0"/>
    </xf>
    <xf numFmtId="0" fontId="40" fillId="0" borderId="24" xfId="0" applyFont="1" applyFill="1" applyBorder="1" applyAlignment="1" applyProtection="1">
      <alignment horizontal="left" wrapText="1"/>
      <protection locked="0"/>
    </xf>
    <xf numFmtId="14" fontId="40" fillId="0" borderId="24" xfId="0" applyNumberFormat="1" applyFont="1" applyFill="1" applyBorder="1" applyAlignment="1" applyProtection="1">
      <alignment horizontal="left" wrapText="1"/>
      <protection locked="0"/>
    </xf>
    <xf numFmtId="0" fontId="40" fillId="0" borderId="25" xfId="0" applyFont="1" applyFill="1" applyBorder="1" applyAlignment="1" applyProtection="1">
      <alignment horizontal="left" wrapText="1"/>
      <protection locked="0"/>
    </xf>
    <xf numFmtId="0" fontId="40" fillId="0" borderId="26" xfId="0" applyFont="1" applyFill="1" applyBorder="1" applyAlignment="1" applyProtection="1">
      <alignment horizontal="center" wrapText="1"/>
      <protection locked="0"/>
    </xf>
    <xf numFmtId="0" fontId="39" fillId="3" borderId="7" xfId="0" applyFont="1" applyFill="1" applyBorder="1" applyAlignment="1">
      <alignment wrapText="1"/>
    </xf>
    <xf numFmtId="0" fontId="40" fillId="0" borderId="18" xfId="0" applyFont="1" applyFill="1" applyBorder="1" applyAlignment="1" applyProtection="1">
      <alignment horizontal="left" vertical="center" wrapText="1"/>
      <protection locked="0"/>
    </xf>
    <xf numFmtId="0" fontId="40" fillId="0" borderId="29" xfId="0" applyFont="1" applyFill="1" applyBorder="1" applyAlignment="1" applyProtection="1">
      <alignment horizontal="left" vertical="center" wrapText="1"/>
      <protection locked="0"/>
    </xf>
    <xf numFmtId="0" fontId="40" fillId="0" borderId="20" xfId="0" applyFont="1" applyFill="1" applyBorder="1" applyAlignment="1" applyProtection="1">
      <alignment horizontal="left" wrapText="1"/>
      <protection locked="0"/>
    </xf>
    <xf numFmtId="0" fontId="40" fillId="0" borderId="30" xfId="0" applyFont="1" applyFill="1" applyBorder="1" applyAlignment="1" applyProtection="1">
      <alignment horizontal="left" wrapText="1"/>
      <protection locked="0"/>
    </xf>
    <xf numFmtId="0" fontId="40" fillId="0" borderId="27" xfId="0" applyFont="1" applyFill="1" applyBorder="1" applyAlignment="1" applyProtection="1">
      <alignment wrapText="1"/>
      <protection locked="0"/>
    </xf>
    <xf numFmtId="0" fontId="40" fillId="0" borderId="31" xfId="0" applyFont="1" applyFill="1" applyBorder="1" applyAlignment="1" applyProtection="1">
      <alignment wrapText="1"/>
      <protection locked="0"/>
    </xf>
    <xf numFmtId="0" fontId="40" fillId="0" borderId="32" xfId="0" applyFont="1" applyFill="1" applyBorder="1" applyAlignment="1" applyProtection="1">
      <alignment horizontal="left" vertical="center" wrapText="1"/>
      <protection locked="0"/>
    </xf>
    <xf numFmtId="0" fontId="43" fillId="3" borderId="8" xfId="0" applyFont="1" applyFill="1" applyBorder="1" applyAlignment="1">
      <alignment horizontal="left" vertical="center" wrapText="1"/>
    </xf>
    <xf numFmtId="0" fontId="43" fillId="3" borderId="0" xfId="0" applyFont="1" applyFill="1" applyBorder="1" applyAlignment="1">
      <alignment horizontal="left" wrapText="1"/>
    </xf>
    <xf numFmtId="0" fontId="43" fillId="3" borderId="2" xfId="0" applyFont="1" applyFill="1" applyBorder="1" applyAlignment="1">
      <alignment horizontal="left" wrapText="1"/>
    </xf>
    <xf numFmtId="0" fontId="44" fillId="0" borderId="33" xfId="0" applyFont="1" applyBorder="1" applyAlignment="1" applyProtection="1">
      <alignment horizontal="left" wrapText="1"/>
      <protection locked="0"/>
    </xf>
    <xf numFmtId="0" fontId="44" fillId="0" borderId="34" xfId="0" applyFont="1" applyBorder="1" applyAlignment="1" applyProtection="1">
      <alignment horizontal="left" wrapText="1"/>
      <protection locked="0"/>
    </xf>
    <xf numFmtId="0" fontId="44" fillId="0" borderId="35" xfId="0" applyFont="1" applyBorder="1" applyAlignment="1" applyProtection="1">
      <alignment horizontal="left" wrapText="1"/>
      <protection locked="0"/>
    </xf>
    <xf numFmtId="0" fontId="44" fillId="0" borderId="36" xfId="0" applyFont="1" applyBorder="1" applyAlignment="1" applyProtection="1">
      <alignment horizontal="left" wrapText="1"/>
      <protection locked="0"/>
    </xf>
    <xf numFmtId="0" fontId="44" fillId="0" borderId="37" xfId="0" applyFont="1" applyBorder="1" applyAlignment="1" applyProtection="1">
      <alignment horizontal="left" wrapText="1"/>
      <protection locked="0"/>
    </xf>
    <xf numFmtId="0" fontId="44" fillId="0" borderId="38" xfId="0" applyFont="1" applyBorder="1" applyAlignment="1" applyProtection="1">
      <alignment horizontal="left" wrapText="1"/>
      <protection locked="0"/>
    </xf>
    <xf numFmtId="0" fontId="16" fillId="0" borderId="0" xfId="0" applyFont="1" applyFill="1" applyBorder="1" applyAlignment="1" applyProtection="1">
      <alignment horizontal="center" textRotation="90"/>
      <protection hidden="1"/>
    </xf>
    <xf numFmtId="0" fontId="4" fillId="0" borderId="0" xfId="0" applyFont="1" applyFill="1" applyBorder="1" applyAlignment="1" applyProtection="1">
      <alignment horizontal="center" vertical="center"/>
      <protection hidden="1"/>
    </xf>
    <xf numFmtId="9" fontId="29" fillId="0" borderId="0" xfId="0" applyNumberFormat="1" applyFont="1" applyFill="1" applyBorder="1" applyAlignment="1" applyProtection="1">
      <alignment horizontal="center" vertical="center"/>
      <protection hidden="1"/>
    </xf>
    <xf numFmtId="0" fontId="12" fillId="0" borderId="48" xfId="0" applyFont="1" applyFill="1" applyBorder="1" applyAlignment="1" applyProtection="1">
      <alignment horizontal="center" vertical="center"/>
      <protection locked="0"/>
    </xf>
    <xf numFmtId="0" fontId="12" fillId="3" borderId="48" xfId="0" applyFont="1" applyFill="1" applyBorder="1" applyAlignment="1" applyProtection="1">
      <alignment horizontal="center" vertical="center"/>
      <protection hidden="1"/>
    </xf>
    <xf numFmtId="0" fontId="12" fillId="2" borderId="48" xfId="0" applyFont="1" applyFill="1" applyBorder="1" applyAlignment="1" applyProtection="1">
      <alignment horizontal="center" vertical="center"/>
      <protection hidden="1"/>
    </xf>
    <xf numFmtId="0" fontId="12" fillId="5" borderId="48" xfId="0" applyFont="1" applyFill="1" applyBorder="1" applyAlignment="1" applyProtection="1">
      <alignment horizontal="center" vertical="center"/>
      <protection hidden="1"/>
    </xf>
    <xf numFmtId="0" fontId="0" fillId="0" borderId="0" xfId="0" applyProtection="1"/>
    <xf numFmtId="0" fontId="0" fillId="0" borderId="0" xfId="0" applyFill="1" applyBorder="1" applyProtection="1">
      <protection hidden="1"/>
    </xf>
    <xf numFmtId="0" fontId="2" fillId="2" borderId="48" xfId="0" applyFont="1" applyFill="1" applyBorder="1" applyAlignment="1" applyProtection="1">
      <alignment horizontal="center" vertical="center"/>
      <protection hidden="1"/>
    </xf>
    <xf numFmtId="0" fontId="2" fillId="3" borderId="48" xfId="0" applyFont="1" applyFill="1" applyBorder="1" applyAlignment="1" applyProtection="1">
      <alignment horizontal="center" vertical="center"/>
      <protection hidden="1"/>
    </xf>
    <xf numFmtId="0" fontId="13" fillId="3" borderId="48" xfId="0" applyFont="1" applyFill="1" applyBorder="1" applyAlignment="1" applyProtection="1">
      <alignment horizontal="center" vertical="center"/>
      <protection hidden="1"/>
    </xf>
    <xf numFmtId="0" fontId="6" fillId="0" borderId="48" xfId="0" applyFont="1" applyFill="1" applyBorder="1" applyAlignment="1" applyProtection="1">
      <alignment horizontal="center" vertical="center"/>
    </xf>
    <xf numFmtId="0" fontId="13" fillId="5" borderId="48" xfId="0" applyFont="1" applyFill="1" applyBorder="1" applyAlignment="1" applyProtection="1">
      <alignment horizontal="center" vertical="center"/>
      <protection hidden="1"/>
    </xf>
    <xf numFmtId="0" fontId="10" fillId="0" borderId="0" xfId="0" applyFont="1" applyFill="1" applyBorder="1" applyAlignment="1" applyProtection="1">
      <protection hidden="1"/>
    </xf>
    <xf numFmtId="0" fontId="0" fillId="0" borderId="0" xfId="0" applyFill="1" applyProtection="1"/>
    <xf numFmtId="0" fontId="0" fillId="0" borderId="10" xfId="0" applyFill="1" applyBorder="1" applyProtection="1">
      <protection hidden="1"/>
    </xf>
    <xf numFmtId="0" fontId="0" fillId="0" borderId="8" xfId="0" applyFill="1" applyBorder="1" applyProtection="1">
      <protection hidden="1"/>
    </xf>
    <xf numFmtId="0" fontId="22" fillId="0" borderId="8" xfId="0" applyFont="1" applyFill="1" applyBorder="1" applyAlignment="1" applyProtection="1">
      <protection hidden="1"/>
    </xf>
    <xf numFmtId="0" fontId="0" fillId="0" borderId="11" xfId="0" applyFill="1" applyBorder="1" applyProtection="1">
      <protection hidden="1"/>
    </xf>
    <xf numFmtId="0" fontId="21" fillId="0" borderId="4" xfId="0" applyFont="1" applyFill="1" applyBorder="1" applyProtection="1">
      <protection hidden="1"/>
    </xf>
    <xf numFmtId="0" fontId="0" fillId="0" borderId="9" xfId="0" applyFill="1" applyBorder="1" applyProtection="1">
      <protection hidden="1"/>
    </xf>
    <xf numFmtId="0" fontId="0" fillId="0" borderId="4" xfId="0" applyFill="1" applyBorder="1" applyProtection="1">
      <protection hidden="1"/>
    </xf>
    <xf numFmtId="0" fontId="0" fillId="0" borderId="0" xfId="0" applyBorder="1" applyProtection="1">
      <protection hidden="1"/>
    </xf>
    <xf numFmtId="0" fontId="16" fillId="0" borderId="4" xfId="0" applyFont="1" applyFill="1" applyBorder="1" applyProtection="1">
      <protection hidden="1"/>
    </xf>
    <xf numFmtId="0" fontId="16" fillId="0" borderId="9" xfId="0" applyFont="1" applyFill="1" applyBorder="1" applyProtection="1">
      <protection hidden="1"/>
    </xf>
    <xf numFmtId="0" fontId="0" fillId="0" borderId="1" xfId="0" applyFill="1" applyBorder="1" applyProtection="1">
      <protection hidden="1"/>
    </xf>
    <xf numFmtId="0" fontId="0" fillId="0" borderId="2" xfId="0" applyFill="1" applyBorder="1" applyProtection="1">
      <protection hidden="1"/>
    </xf>
    <xf numFmtId="0" fontId="0" fillId="0" borderId="3" xfId="0" applyFill="1" applyBorder="1" applyProtection="1">
      <protection hidden="1"/>
    </xf>
    <xf numFmtId="0" fontId="21" fillId="0" borderId="49" xfId="0" applyFont="1" applyFill="1" applyBorder="1" applyProtection="1">
      <protection hidden="1"/>
    </xf>
    <xf numFmtId="0" fontId="20" fillId="0" borderId="50" xfId="0" applyFont="1" applyFill="1" applyBorder="1" applyAlignment="1" applyProtection="1">
      <alignment horizontal="center"/>
      <protection hidden="1"/>
    </xf>
    <xf numFmtId="0" fontId="0" fillId="0" borderId="51" xfId="0" applyFill="1" applyBorder="1" applyProtection="1">
      <protection hidden="1"/>
    </xf>
    <xf numFmtId="0" fontId="19" fillId="0" borderId="52" xfId="0" applyFont="1" applyFill="1" applyBorder="1" applyAlignment="1" applyProtection="1">
      <alignment horizontal="center"/>
      <protection hidden="1"/>
    </xf>
    <xf numFmtId="0" fontId="0" fillId="0" borderId="52" xfId="0" applyFill="1" applyBorder="1" applyProtection="1">
      <protection hidden="1"/>
    </xf>
    <xf numFmtId="0" fontId="18" fillId="0" borderId="52" xfId="0" applyFont="1" applyFill="1" applyBorder="1" applyAlignment="1" applyProtection="1">
      <protection hidden="1"/>
    </xf>
    <xf numFmtId="0" fontId="16" fillId="0" borderId="52" xfId="0" applyFont="1" applyFill="1" applyBorder="1" applyProtection="1">
      <protection hidden="1"/>
    </xf>
    <xf numFmtId="0" fontId="16" fillId="0" borderId="51" xfId="0" applyFont="1" applyFill="1" applyBorder="1" applyProtection="1">
      <protection hidden="1"/>
    </xf>
    <xf numFmtId="0" fontId="17" fillId="0" borderId="52" xfId="0" applyFont="1" applyFill="1" applyBorder="1" applyAlignment="1" applyProtection="1">
      <alignment horizontal="center"/>
      <protection hidden="1"/>
    </xf>
    <xf numFmtId="0" fontId="14" fillId="0" borderId="52" xfId="0" applyFont="1" applyFill="1" applyBorder="1" applyAlignment="1" applyProtection="1">
      <alignment horizontal="center" vertical="center"/>
      <protection hidden="1"/>
    </xf>
    <xf numFmtId="0" fontId="6" fillId="0" borderId="52" xfId="0" applyFont="1" applyFill="1" applyBorder="1" applyAlignment="1" applyProtection="1">
      <alignment horizontal="center"/>
      <protection hidden="1"/>
    </xf>
    <xf numFmtId="0" fontId="6" fillId="0" borderId="52" xfId="0" applyFont="1" applyFill="1" applyBorder="1" applyProtection="1">
      <protection hidden="1"/>
    </xf>
    <xf numFmtId="0" fontId="0" fillId="0" borderId="53" xfId="0" applyFill="1" applyBorder="1" applyProtection="1">
      <protection hidden="1"/>
    </xf>
    <xf numFmtId="0" fontId="0" fillId="0" borderId="54" xfId="0" applyFill="1" applyBorder="1" applyProtection="1">
      <protection hidden="1"/>
    </xf>
    <xf numFmtId="0" fontId="0" fillId="0" borderId="55" xfId="0" applyFill="1" applyBorder="1" applyProtection="1">
      <protection hidden="1"/>
    </xf>
    <xf numFmtId="0" fontId="4" fillId="2" borderId="12" xfId="0" applyFont="1" applyFill="1" applyBorder="1" applyAlignment="1" applyProtection="1">
      <alignment horizontal="center" vertical="center"/>
      <protection hidden="1"/>
    </xf>
    <xf numFmtId="0" fontId="3" fillId="3" borderId="56" xfId="0" applyFont="1" applyFill="1" applyBorder="1" applyAlignment="1" applyProtection="1">
      <alignment horizontal="center" textRotation="90" wrapText="1"/>
      <protection hidden="1"/>
    </xf>
    <xf numFmtId="0" fontId="8" fillId="3" borderId="56" xfId="0" applyFont="1" applyFill="1" applyBorder="1" applyAlignment="1" applyProtection="1">
      <alignment horizontal="center" textRotation="90" wrapText="1"/>
      <protection hidden="1"/>
    </xf>
    <xf numFmtId="9" fontId="29" fillId="3" borderId="61" xfId="0" applyNumberFormat="1" applyFont="1" applyFill="1" applyBorder="1" applyAlignment="1" applyProtection="1">
      <alignment horizontal="center" vertical="center"/>
      <protection hidden="1"/>
    </xf>
    <xf numFmtId="9" fontId="29" fillId="3" borderId="62" xfId="0" applyNumberFormat="1" applyFont="1" applyFill="1" applyBorder="1" applyAlignment="1" applyProtection="1">
      <alignment horizontal="center" vertical="center"/>
      <protection hidden="1"/>
    </xf>
    <xf numFmtId="9" fontId="29" fillId="3" borderId="63" xfId="0" applyNumberFormat="1" applyFont="1" applyFill="1" applyBorder="1" applyAlignment="1" applyProtection="1">
      <alignment horizontal="center" vertical="center"/>
      <protection hidden="1"/>
    </xf>
    <xf numFmtId="0" fontId="4" fillId="2" borderId="64" xfId="0" applyFont="1" applyFill="1" applyBorder="1" applyAlignment="1" applyProtection="1">
      <alignment horizontal="center" vertical="center"/>
      <protection hidden="1"/>
    </xf>
    <xf numFmtId="0" fontId="4" fillId="2" borderId="65" xfId="0" applyFont="1" applyFill="1" applyBorder="1" applyAlignment="1" applyProtection="1">
      <alignment horizontal="center" vertical="center"/>
      <protection hidden="1"/>
    </xf>
    <xf numFmtId="0" fontId="4" fillId="2" borderId="66" xfId="0" applyFont="1" applyFill="1" applyBorder="1" applyAlignment="1" applyProtection="1">
      <alignment horizontal="center" vertical="center"/>
      <protection hidden="1"/>
    </xf>
    <xf numFmtId="1" fontId="30" fillId="3" borderId="7" xfId="0" applyNumberFormat="1" applyFont="1" applyFill="1" applyBorder="1" applyAlignment="1" applyProtection="1">
      <alignment horizontal="center" vertical="center"/>
      <protection hidden="1"/>
    </xf>
    <xf numFmtId="1" fontId="30" fillId="3" borderId="13" xfId="0" applyNumberFormat="1" applyFont="1" applyFill="1" applyBorder="1" applyAlignment="1" applyProtection="1">
      <alignment horizontal="center" vertical="center"/>
      <protection hidden="1"/>
    </xf>
    <xf numFmtId="0" fontId="4" fillId="2" borderId="67" xfId="0" applyFont="1" applyFill="1" applyBorder="1" applyAlignment="1" applyProtection="1">
      <alignment horizontal="center" vertical="center"/>
      <protection hidden="1"/>
    </xf>
    <xf numFmtId="0" fontId="4" fillId="2" borderId="68" xfId="0" applyFont="1" applyFill="1" applyBorder="1" applyAlignment="1" applyProtection="1">
      <alignment horizontal="center" vertical="center"/>
      <protection hidden="1"/>
    </xf>
    <xf numFmtId="0" fontId="3" fillId="3" borderId="59" xfId="0" applyFont="1" applyFill="1" applyBorder="1" applyAlignment="1" applyProtection="1">
      <alignment horizontal="center" textRotation="90" wrapText="1"/>
      <protection hidden="1"/>
    </xf>
    <xf numFmtId="9" fontId="29" fillId="0" borderId="6" xfId="0" applyNumberFormat="1" applyFont="1" applyFill="1" applyBorder="1" applyAlignment="1" applyProtection="1">
      <alignment horizontal="center" vertical="center"/>
      <protection hidden="1"/>
    </xf>
    <xf numFmtId="0" fontId="15" fillId="2" borderId="9" xfId="0" applyFont="1" applyFill="1" applyBorder="1" applyAlignment="1" applyProtection="1">
      <alignment vertical="center" wrapText="1"/>
      <protection hidden="1"/>
    </xf>
    <xf numFmtId="0" fontId="23" fillId="4" borderId="57" xfId="0" applyFont="1" applyFill="1" applyBorder="1" applyProtection="1">
      <protection hidden="1"/>
    </xf>
    <xf numFmtId="0" fontId="15" fillId="4" borderId="60" xfId="0" applyFont="1" applyFill="1" applyBorder="1" applyProtection="1">
      <protection hidden="1"/>
    </xf>
    <xf numFmtId="0" fontId="9" fillId="4" borderId="61" xfId="0" applyFont="1" applyFill="1" applyBorder="1" applyAlignment="1" applyProtection="1">
      <alignment horizontal="center" vertical="center"/>
      <protection hidden="1"/>
    </xf>
    <xf numFmtId="0" fontId="9" fillId="2" borderId="62" xfId="0" applyFont="1" applyFill="1" applyBorder="1" applyAlignment="1" applyProtection="1">
      <alignment horizontal="center" vertical="center"/>
      <protection hidden="1"/>
    </xf>
    <xf numFmtId="0" fontId="2" fillId="4" borderId="63" xfId="0" applyFont="1" applyFill="1" applyBorder="1" applyAlignment="1" applyProtection="1">
      <alignment horizontal="center" vertical="center" wrapText="1"/>
      <protection hidden="1"/>
    </xf>
    <xf numFmtId="9" fontId="8" fillId="2" borderId="65" xfId="0" applyNumberFormat="1" applyFont="1" applyFill="1" applyBorder="1" applyAlignment="1" applyProtection="1">
      <alignment horizontal="center" vertical="center"/>
      <protection hidden="1"/>
    </xf>
    <xf numFmtId="9" fontId="9" fillId="2" borderId="68" xfId="0" applyNumberFormat="1" applyFont="1" applyFill="1" applyBorder="1" applyAlignment="1" applyProtection="1">
      <alignment horizontal="center" vertical="center"/>
      <protection hidden="1"/>
    </xf>
    <xf numFmtId="1" fontId="28" fillId="2" borderId="57" xfId="0" applyNumberFormat="1" applyFont="1" applyFill="1" applyBorder="1" applyAlignment="1" applyProtection="1">
      <alignment horizontal="center" vertical="center"/>
      <protection hidden="1"/>
    </xf>
    <xf numFmtId="1" fontId="28" fillId="2" borderId="58" xfId="0" applyNumberFormat="1" applyFont="1" applyFill="1" applyBorder="1" applyAlignment="1" applyProtection="1">
      <alignment horizontal="center" vertical="center"/>
      <protection hidden="1"/>
    </xf>
    <xf numFmtId="0" fontId="26" fillId="4" borderId="48" xfId="0" applyNumberFormat="1" applyFont="1" applyFill="1" applyBorder="1" applyAlignment="1" applyProtection="1">
      <alignment horizontal="center" vertical="center"/>
      <protection hidden="1"/>
    </xf>
    <xf numFmtId="1" fontId="28" fillId="2" borderId="59" xfId="0" applyNumberFormat="1" applyFont="1" applyFill="1" applyBorder="1" applyAlignment="1" applyProtection="1">
      <alignment horizontal="center" vertical="center"/>
      <protection hidden="1"/>
    </xf>
    <xf numFmtId="0" fontId="26" fillId="4" borderId="56" xfId="0" applyNumberFormat="1" applyFont="1" applyFill="1" applyBorder="1" applyAlignment="1" applyProtection="1">
      <alignment horizontal="center" vertical="center"/>
      <protection hidden="1"/>
    </xf>
    <xf numFmtId="0" fontId="49" fillId="0" borderId="0" xfId="0" applyFont="1" applyFill="1" applyBorder="1" applyAlignment="1" applyProtection="1">
      <alignment horizontal="center" vertical="center"/>
      <protection hidden="1"/>
    </xf>
    <xf numFmtId="0" fontId="26" fillId="4" borderId="60" xfId="2" applyNumberFormat="1" applyFont="1" applyFill="1" applyBorder="1" applyAlignment="1" applyProtection="1">
      <alignment horizontal="center" vertical="center"/>
      <protection hidden="1"/>
    </xf>
    <xf numFmtId="0" fontId="38" fillId="0" borderId="0" xfId="0" applyFont="1" applyAlignment="1">
      <alignment horizontal="center" wrapText="1"/>
    </xf>
    <xf numFmtId="0" fontId="13" fillId="0" borderId="0" xfId="0" applyFont="1" applyFill="1" applyBorder="1" applyAlignment="1" applyProtection="1">
      <alignment vertical="center"/>
      <protection hidden="1"/>
    </xf>
    <xf numFmtId="0" fontId="39" fillId="3" borderId="5" xfId="0" applyFont="1" applyFill="1" applyBorder="1" applyAlignment="1">
      <alignment horizontal="center" vertical="center" wrapText="1"/>
    </xf>
    <xf numFmtId="0" fontId="39" fillId="3" borderId="6" xfId="0" applyFont="1" applyFill="1" applyBorder="1" applyAlignment="1">
      <alignment horizontal="center" vertical="center" wrapText="1"/>
    </xf>
    <xf numFmtId="0" fontId="39" fillId="3" borderId="7" xfId="0" applyFont="1" applyFill="1" applyBorder="1" applyAlignment="1">
      <alignment horizontal="center" vertical="center" wrapText="1"/>
    </xf>
    <xf numFmtId="0" fontId="38" fillId="6" borderId="15" xfId="0" applyFont="1" applyFill="1" applyBorder="1" applyAlignment="1">
      <alignment wrapText="1"/>
    </xf>
    <xf numFmtId="0" fontId="38" fillId="6" borderId="16" xfId="0" applyFont="1" applyFill="1" applyBorder="1" applyAlignment="1">
      <alignment wrapText="1"/>
    </xf>
    <xf numFmtId="0" fontId="40" fillId="6" borderId="41" xfId="0" applyFont="1" applyFill="1" applyBorder="1" applyAlignment="1" applyProtection="1">
      <alignment horizontal="center" wrapText="1"/>
      <protection locked="0"/>
    </xf>
    <xf numFmtId="0" fontId="40" fillId="6" borderId="39" xfId="0" applyFont="1" applyFill="1" applyBorder="1" applyAlignment="1" applyProtection="1">
      <alignment wrapText="1"/>
      <protection locked="0"/>
    </xf>
    <xf numFmtId="0" fontId="40" fillId="6" borderId="39" xfId="0" applyFont="1" applyFill="1" applyBorder="1" applyAlignment="1" applyProtection="1">
      <alignment horizontal="center" wrapText="1"/>
      <protection locked="0"/>
    </xf>
    <xf numFmtId="0" fontId="40" fillId="6" borderId="40" xfId="0" applyFont="1" applyFill="1" applyBorder="1" applyAlignment="1" applyProtection="1">
      <alignment wrapText="1"/>
      <protection locked="0"/>
    </xf>
    <xf numFmtId="0" fontId="40" fillId="6" borderId="26" xfId="0" applyFont="1" applyFill="1" applyBorder="1" applyAlignment="1" applyProtection="1">
      <alignment horizontal="center" wrapText="1"/>
      <protection locked="0"/>
    </xf>
    <xf numFmtId="0" fontId="40" fillId="6" borderId="27" xfId="0" applyFont="1" applyFill="1" applyBorder="1" applyAlignment="1" applyProtection="1">
      <alignment wrapText="1"/>
      <protection locked="0"/>
    </xf>
    <xf numFmtId="0" fontId="40" fillId="6" borderId="27" xfId="0" applyFont="1" applyFill="1" applyBorder="1" applyAlignment="1" applyProtection="1">
      <alignment horizontal="center" wrapText="1"/>
      <protection locked="0"/>
    </xf>
    <xf numFmtId="0" fontId="40" fillId="6" borderId="31" xfId="0" applyFont="1" applyFill="1" applyBorder="1" applyAlignment="1" applyProtection="1">
      <alignment wrapText="1"/>
      <protection locked="0"/>
    </xf>
    <xf numFmtId="0" fontId="38" fillId="6" borderId="14" xfId="0" applyFont="1" applyFill="1" applyBorder="1" applyAlignment="1">
      <alignment wrapText="1"/>
    </xf>
    <xf numFmtId="0" fontId="44" fillId="0" borderId="80" xfId="0" applyFont="1" applyBorder="1" applyAlignment="1" applyProtection="1">
      <alignment wrapText="1"/>
      <protection locked="0"/>
    </xf>
    <xf numFmtId="0" fontId="44" fillId="0" borderId="81" xfId="0" applyFont="1" applyBorder="1" applyAlignment="1" applyProtection="1">
      <alignment wrapText="1"/>
      <protection locked="0"/>
    </xf>
    <xf numFmtId="0" fontId="44" fillId="0" borderId="82" xfId="0" applyFont="1" applyBorder="1" applyAlignment="1" applyProtection="1">
      <alignment wrapText="1"/>
      <protection locked="0"/>
    </xf>
    <xf numFmtId="0" fontId="43" fillId="3" borderId="83" xfId="0" applyFont="1" applyFill="1" applyBorder="1" applyAlignment="1">
      <alignment horizontal="left" wrapText="1"/>
    </xf>
    <xf numFmtId="0" fontId="53" fillId="2" borderId="2" xfId="0" applyFont="1" applyFill="1" applyBorder="1" applyAlignment="1">
      <alignment horizontal="center" vertical="center" wrapText="1"/>
    </xf>
    <xf numFmtId="0" fontId="48" fillId="0" borderId="0" xfId="0" applyFont="1" applyAlignment="1">
      <alignment wrapText="1"/>
    </xf>
    <xf numFmtId="0" fontId="39" fillId="3" borderId="13" xfId="0" applyFont="1" applyFill="1" applyBorder="1" applyAlignment="1">
      <alignment horizontal="left" wrapText="1"/>
    </xf>
    <xf numFmtId="0" fontId="40" fillId="0" borderId="13" xfId="0" applyFont="1" applyFill="1" applyBorder="1" applyAlignment="1" applyProtection="1">
      <alignment horizontal="left" wrapText="1"/>
      <protection locked="0"/>
    </xf>
    <xf numFmtId="0" fontId="40" fillId="0" borderId="85" xfId="0" applyFont="1" applyFill="1" applyBorder="1" applyAlignment="1" applyProtection="1">
      <alignment horizontal="left" wrapText="1"/>
      <protection locked="0"/>
    </xf>
    <xf numFmtId="1" fontId="30" fillId="0" borderId="57" xfId="0" applyNumberFormat="1" applyFont="1" applyFill="1" applyBorder="1" applyAlignment="1" applyProtection="1">
      <alignment horizontal="center" vertical="center"/>
      <protection hidden="1"/>
    </xf>
    <xf numFmtId="1" fontId="30" fillId="0" borderId="58" xfId="0" applyNumberFormat="1" applyFont="1" applyFill="1" applyBorder="1" applyAlignment="1" applyProtection="1">
      <alignment horizontal="center" vertical="center"/>
      <protection hidden="1"/>
    </xf>
    <xf numFmtId="1" fontId="30" fillId="0" borderId="59" xfId="0" applyNumberFormat="1" applyFont="1" applyFill="1" applyBorder="1" applyAlignment="1" applyProtection="1">
      <alignment horizontal="center" vertical="center"/>
      <protection hidden="1"/>
    </xf>
    <xf numFmtId="0" fontId="25" fillId="2" borderId="9" xfId="0" applyFont="1" applyFill="1" applyBorder="1" applyAlignment="1" applyProtection="1">
      <alignment horizontal="center" vertical="center" wrapText="1"/>
      <protection hidden="1"/>
    </xf>
    <xf numFmtId="0" fontId="15" fillId="2" borderId="64" xfId="0" applyFont="1" applyFill="1" applyBorder="1" applyAlignment="1" applyProtection="1">
      <alignment vertical="center" wrapText="1"/>
      <protection hidden="1"/>
    </xf>
    <xf numFmtId="0" fontId="0" fillId="0" borderId="0" xfId="0" applyProtection="1">
      <protection hidden="1"/>
    </xf>
    <xf numFmtId="0" fontId="0" fillId="0" borderId="10" xfId="0" applyBorder="1" applyProtection="1">
      <protection hidden="1"/>
    </xf>
    <xf numFmtId="0" fontId="0" fillId="0" borderId="8" xfId="0" applyBorder="1" applyProtection="1">
      <protection hidden="1"/>
    </xf>
    <xf numFmtId="0" fontId="0" fillId="0" borderId="11" xfId="0" applyBorder="1" applyProtection="1">
      <protection hidden="1"/>
    </xf>
    <xf numFmtId="0" fontId="0" fillId="0" borderId="4" xfId="0" applyBorder="1" applyProtection="1">
      <protection hidden="1"/>
    </xf>
    <xf numFmtId="0" fontId="0" fillId="0" borderId="69" xfId="0" applyBorder="1" applyProtection="1">
      <protection hidden="1"/>
    </xf>
    <xf numFmtId="0" fontId="0" fillId="0" borderId="70" xfId="0" applyBorder="1" applyProtection="1">
      <protection hidden="1"/>
    </xf>
    <xf numFmtId="0" fontId="0" fillId="0" borderId="71" xfId="0" applyBorder="1" applyProtection="1">
      <protection hidden="1"/>
    </xf>
    <xf numFmtId="0" fontId="0" fillId="0" borderId="9" xfId="0" applyBorder="1" applyProtection="1">
      <protection hidden="1"/>
    </xf>
    <xf numFmtId="0" fontId="0" fillId="0" borderId="72" xfId="0" applyBorder="1" applyProtection="1">
      <protection hidden="1"/>
    </xf>
    <xf numFmtId="0" fontId="0" fillId="0" borderId="73" xfId="0" applyBorder="1" applyProtection="1">
      <protection hidden="1"/>
    </xf>
    <xf numFmtId="0" fontId="50" fillId="0" borderId="0" xfId="0" applyFont="1" applyFill="1" applyBorder="1" applyAlignment="1" applyProtection="1">
      <alignment vertical="center"/>
      <protection hidden="1"/>
    </xf>
    <xf numFmtId="0" fontId="51" fillId="0" borderId="0" xfId="0" applyFont="1" applyBorder="1" applyAlignment="1" applyProtection="1">
      <protection hidden="1"/>
    </xf>
    <xf numFmtId="0" fontId="0" fillId="0" borderId="74" xfId="0" applyBorder="1" applyProtection="1">
      <protection hidden="1"/>
    </xf>
    <xf numFmtId="0" fontId="0" fillId="0" borderId="75" xfId="0" applyBorder="1" applyProtection="1">
      <protection hidden="1"/>
    </xf>
    <xf numFmtId="0" fontId="0" fillId="0" borderId="76" xfId="0" applyBorder="1" applyProtection="1">
      <protection hidden="1"/>
    </xf>
    <xf numFmtId="0" fontId="0" fillId="0" borderId="1" xfId="0" applyBorder="1" applyProtection="1">
      <protection hidden="1"/>
    </xf>
    <xf numFmtId="0" fontId="0" fillId="0" borderId="2" xfId="0" applyBorder="1" applyProtection="1">
      <protection hidden="1"/>
    </xf>
    <xf numFmtId="0" fontId="0" fillId="0" borderId="3" xfId="0" applyBorder="1" applyProtection="1">
      <protection hidden="1"/>
    </xf>
    <xf numFmtId="0" fontId="52" fillId="2" borderId="8" xfId="0" applyFont="1" applyFill="1" applyBorder="1" applyAlignment="1" applyProtection="1">
      <alignment vertical="center"/>
      <protection hidden="1"/>
    </xf>
    <xf numFmtId="0" fontId="0" fillId="0" borderId="0" xfId="0" applyFill="1" applyBorder="1" applyAlignment="1" applyProtection="1">
      <alignment vertical="center" wrapText="1"/>
      <protection hidden="1"/>
    </xf>
    <xf numFmtId="0" fontId="0" fillId="0" borderId="0" xfId="0" applyFill="1" applyBorder="1" applyAlignment="1" applyProtection="1">
      <alignment vertical="center"/>
      <protection hidden="1"/>
    </xf>
    <xf numFmtId="0" fontId="0" fillId="0" borderId="0" xfId="0" applyFill="1" applyBorder="1" applyAlignment="1" applyProtection="1">
      <alignment vertical="top"/>
      <protection hidden="1"/>
    </xf>
    <xf numFmtId="0" fontId="38" fillId="0" borderId="0" xfId="0" applyFont="1" applyFill="1" applyBorder="1" applyAlignment="1" applyProtection="1">
      <alignment vertical="top" wrapText="1"/>
      <protection hidden="1"/>
    </xf>
    <xf numFmtId="0" fontId="38" fillId="0" borderId="0" xfId="0" applyFont="1" applyFill="1" applyBorder="1" applyAlignment="1" applyProtection="1">
      <alignment vertical="center" wrapText="1"/>
      <protection hidden="1"/>
    </xf>
    <xf numFmtId="0" fontId="0" fillId="0" borderId="0" xfId="0" applyFill="1" applyBorder="1" applyProtection="1">
      <protection locked="0" hidden="1"/>
    </xf>
    <xf numFmtId="0" fontId="0" fillId="0" borderId="0" xfId="0" applyFill="1" applyBorder="1" applyAlignment="1" applyProtection="1">
      <alignment horizontal="center"/>
      <protection locked="0" hidden="1"/>
    </xf>
    <xf numFmtId="0" fontId="12" fillId="3" borderId="60" xfId="0" applyNumberFormat="1" applyFont="1" applyFill="1" applyBorder="1" applyAlignment="1" applyProtection="1">
      <alignment horizontal="center" vertical="center" wrapText="1"/>
      <protection hidden="1"/>
    </xf>
    <xf numFmtId="14" fontId="12" fillId="3" borderId="61" xfId="0" applyNumberFormat="1" applyFont="1" applyFill="1" applyBorder="1" applyAlignment="1" applyProtection="1">
      <alignment horizontal="center" vertical="center" wrapText="1"/>
      <protection hidden="1"/>
    </xf>
    <xf numFmtId="0" fontId="12" fillId="3" borderId="48" xfId="0" applyNumberFormat="1" applyFont="1" applyFill="1" applyBorder="1" applyAlignment="1" applyProtection="1">
      <alignment horizontal="center" vertical="center" wrapText="1"/>
      <protection hidden="1"/>
    </xf>
    <xf numFmtId="14" fontId="12" fillId="3" borderId="62" xfId="0" applyNumberFormat="1" applyFont="1" applyFill="1" applyBorder="1" applyAlignment="1" applyProtection="1">
      <alignment horizontal="center" vertical="center" wrapText="1"/>
      <protection hidden="1"/>
    </xf>
    <xf numFmtId="0" fontId="12" fillId="3" borderId="56" xfId="0" applyNumberFormat="1" applyFont="1" applyFill="1" applyBorder="1" applyAlignment="1" applyProtection="1">
      <alignment horizontal="center" vertical="center" wrapText="1"/>
      <protection hidden="1"/>
    </xf>
    <xf numFmtId="14" fontId="12" fillId="3" borderId="63" xfId="0" applyNumberFormat="1" applyFont="1" applyFill="1" applyBorder="1" applyAlignment="1" applyProtection="1">
      <alignment horizontal="center" vertical="center" wrapText="1"/>
      <protection hidden="1"/>
    </xf>
    <xf numFmtId="0" fontId="38" fillId="0" borderId="0" xfId="0" applyFont="1" applyAlignment="1" applyProtection="1">
      <alignment vertical="center" wrapText="1"/>
      <protection hidden="1"/>
    </xf>
    <xf numFmtId="0" fontId="1" fillId="0" borderId="0" xfId="1" applyFill="1" applyAlignment="1" applyProtection="1">
      <alignment horizontal="center" vertical="center" wrapText="1"/>
      <protection hidden="1"/>
    </xf>
    <xf numFmtId="0" fontId="0" fillId="0" borderId="0" xfId="0" applyFont="1" applyAlignment="1" applyProtection="1">
      <alignment horizontal="right" vertical="center" wrapText="1"/>
      <protection hidden="1"/>
    </xf>
    <xf numFmtId="0" fontId="0" fillId="0" borderId="2" xfId="0" applyFont="1" applyBorder="1" applyAlignment="1" applyProtection="1">
      <alignment vertical="center" wrapText="1"/>
      <protection hidden="1"/>
    </xf>
    <xf numFmtId="0" fontId="0" fillId="0" borderId="0" xfId="0" applyFont="1" applyAlignment="1" applyProtection="1">
      <alignment vertical="center" wrapText="1"/>
      <protection hidden="1"/>
    </xf>
    <xf numFmtId="0" fontId="38" fillId="0" borderId="0" xfId="0" applyFont="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0" xfId="0" applyFont="1" applyBorder="1" applyAlignment="1" applyProtection="1">
      <alignment horizontal="right" vertical="center" wrapText="1"/>
      <protection hidden="1"/>
    </xf>
    <xf numFmtId="0" fontId="38" fillId="3" borderId="41" xfId="0" applyFont="1" applyFill="1" applyBorder="1" applyAlignment="1" applyProtection="1">
      <alignment horizontal="center" textRotation="90" wrapText="1"/>
      <protection hidden="1"/>
    </xf>
    <xf numFmtId="0" fontId="48" fillId="3" borderId="39" xfId="0" applyFont="1" applyFill="1" applyBorder="1" applyAlignment="1" applyProtection="1">
      <alignment horizontal="center" textRotation="90" wrapText="1"/>
      <protection hidden="1"/>
    </xf>
    <xf numFmtId="0" fontId="38" fillId="3" borderId="39" xfId="0" applyFont="1" applyFill="1" applyBorder="1" applyAlignment="1" applyProtection="1">
      <alignment horizontal="center" textRotation="90" wrapText="1"/>
      <protection hidden="1"/>
    </xf>
    <xf numFmtId="0" fontId="38" fillId="3" borderId="40" xfId="0" applyFont="1" applyFill="1" applyBorder="1" applyAlignment="1" applyProtection="1">
      <alignment horizontal="center" textRotation="90" wrapText="1"/>
      <protection hidden="1"/>
    </xf>
    <xf numFmtId="0" fontId="47" fillId="3" borderId="40" xfId="0" applyFont="1" applyFill="1" applyBorder="1" applyAlignment="1" applyProtection="1">
      <alignment horizontal="center" textRotation="90" wrapText="1"/>
      <protection hidden="1"/>
    </xf>
    <xf numFmtId="0" fontId="46" fillId="3" borderId="39" xfId="0" applyFont="1" applyFill="1" applyBorder="1" applyAlignment="1" applyProtection="1">
      <alignment horizontal="center" textRotation="90" wrapText="1"/>
      <protection hidden="1"/>
    </xf>
    <xf numFmtId="0" fontId="45" fillId="2" borderId="1" xfId="0" applyFont="1" applyFill="1" applyBorder="1" applyAlignment="1" applyProtection="1">
      <alignment horizontal="center" textRotation="90" wrapText="1"/>
      <protection hidden="1"/>
    </xf>
    <xf numFmtId="0" fontId="45" fillId="5" borderId="3" xfId="0" applyFont="1" applyFill="1" applyBorder="1" applyAlignment="1" applyProtection="1">
      <alignment horizontal="center" textRotation="90" wrapText="1"/>
      <protection hidden="1"/>
    </xf>
    <xf numFmtId="0" fontId="38" fillId="3" borderId="5" xfId="0" applyFont="1" applyFill="1" applyBorder="1" applyAlignment="1" applyProtection="1">
      <alignment horizontal="center" vertical="center" wrapText="1"/>
      <protection hidden="1"/>
    </xf>
    <xf numFmtId="0" fontId="38" fillId="0" borderId="42" xfId="0" applyFont="1" applyBorder="1" applyAlignment="1" applyProtection="1">
      <alignment horizontal="center" vertical="center" wrapText="1"/>
      <protection locked="0" hidden="1"/>
    </xf>
    <xf numFmtId="0" fontId="38" fillId="0" borderId="43" xfId="0" applyFont="1" applyBorder="1" applyAlignment="1" applyProtection="1">
      <alignment horizontal="center" vertical="center" wrapText="1"/>
      <protection locked="0" hidden="1"/>
    </xf>
    <xf numFmtId="0" fontId="38" fillId="0" borderId="44" xfId="0" applyFont="1" applyBorder="1" applyAlignment="1" applyProtection="1">
      <alignment horizontal="center" vertical="center" wrapText="1"/>
      <protection locked="0" hidden="1"/>
    </xf>
    <xf numFmtId="0" fontId="38" fillId="0" borderId="17" xfId="0" applyFont="1" applyBorder="1" applyAlignment="1" applyProtection="1">
      <alignment horizontal="center" vertical="center" wrapText="1"/>
      <protection locked="0" hidden="1"/>
    </xf>
    <xf numFmtId="0" fontId="38" fillId="0" borderId="18" xfId="0" applyFont="1" applyBorder="1" applyAlignment="1" applyProtection="1">
      <alignment horizontal="center" vertical="center" wrapText="1"/>
      <protection locked="0" hidden="1"/>
    </xf>
    <xf numFmtId="0" fontId="38" fillId="0" borderId="29" xfId="0" applyFont="1" applyBorder="1" applyAlignment="1" applyProtection="1">
      <alignment horizontal="center" vertical="center" wrapText="1"/>
      <protection locked="0" hidden="1"/>
    </xf>
    <xf numFmtId="0" fontId="38" fillId="4" borderId="17" xfId="0" applyFont="1" applyFill="1" applyBorder="1" applyAlignment="1" applyProtection="1">
      <alignment horizontal="center" vertical="center" wrapText="1"/>
      <protection hidden="1"/>
    </xf>
    <xf numFmtId="0" fontId="38" fillId="3" borderId="7" xfId="0" applyFont="1" applyFill="1" applyBorder="1" applyAlignment="1" applyProtection="1">
      <alignment horizontal="center" vertical="center" wrapText="1"/>
      <protection hidden="1"/>
    </xf>
    <xf numFmtId="0" fontId="38" fillId="0" borderId="45" xfId="0" applyFont="1" applyBorder="1" applyAlignment="1" applyProtection="1">
      <alignment horizontal="center" vertical="center" wrapText="1"/>
      <protection locked="0" hidden="1"/>
    </xf>
    <xf numFmtId="0" fontId="38" fillId="0" borderId="46" xfId="0" applyFont="1" applyBorder="1" applyAlignment="1" applyProtection="1">
      <alignment horizontal="center" vertical="center" wrapText="1"/>
      <protection locked="0" hidden="1"/>
    </xf>
    <xf numFmtId="0" fontId="38" fillId="0" borderId="47" xfId="0" applyFont="1" applyBorder="1" applyAlignment="1" applyProtection="1">
      <alignment horizontal="center" vertical="center" wrapText="1"/>
      <protection locked="0" hidden="1"/>
    </xf>
    <xf numFmtId="0" fontId="38" fillId="0" borderId="26" xfId="0" applyFont="1" applyBorder="1" applyAlignment="1" applyProtection="1">
      <alignment horizontal="center" vertical="center" wrapText="1"/>
      <protection locked="0" hidden="1"/>
    </xf>
    <xf numFmtId="0" fontId="38" fillId="0" borderId="27" xfId="0" applyFont="1" applyBorder="1" applyAlignment="1" applyProtection="1">
      <alignment horizontal="center" vertical="center" wrapText="1"/>
      <protection locked="0" hidden="1"/>
    </xf>
    <xf numFmtId="0" fontId="38" fillId="0" borderId="31" xfId="0" applyFont="1" applyBorder="1" applyAlignment="1" applyProtection="1">
      <alignment horizontal="center" vertical="center" wrapText="1"/>
      <protection locked="0" hidden="1"/>
    </xf>
    <xf numFmtId="0" fontId="38" fillId="4" borderId="26" xfId="0" applyFont="1" applyFill="1" applyBorder="1" applyAlignment="1" applyProtection="1">
      <alignment horizontal="center" vertical="center" wrapText="1"/>
      <protection hidden="1"/>
    </xf>
    <xf numFmtId="0" fontId="41" fillId="0" borderId="32" xfId="0" applyFont="1" applyBorder="1" applyAlignment="1" applyProtection="1">
      <alignment vertical="center"/>
      <protection locked="0"/>
    </xf>
    <xf numFmtId="0" fontId="41" fillId="0" borderId="24" xfId="0" applyFont="1" applyBorder="1" applyAlignment="1" applyProtection="1">
      <alignment vertical="center"/>
      <protection locked="0"/>
    </xf>
    <xf numFmtId="0" fontId="41" fillId="0" borderId="25" xfId="0" applyFont="1" applyBorder="1" applyAlignment="1" applyProtection="1">
      <alignment vertical="center"/>
      <protection locked="0"/>
    </xf>
    <xf numFmtId="0" fontId="41" fillId="0" borderId="32" xfId="0" applyFont="1" applyBorder="1" applyAlignment="1" applyProtection="1">
      <alignment horizontal="left" vertical="center"/>
      <protection locked="0"/>
    </xf>
    <xf numFmtId="0" fontId="3" fillId="3" borderId="123" xfId="0" applyFont="1" applyFill="1" applyBorder="1" applyAlignment="1" applyProtection="1">
      <alignment horizontal="center" textRotation="90" wrapText="1"/>
      <protection hidden="1"/>
    </xf>
    <xf numFmtId="0" fontId="4" fillId="2" borderId="124" xfId="0" applyFont="1" applyFill="1" applyBorder="1" applyAlignment="1" applyProtection="1">
      <alignment horizontal="center" vertical="center"/>
      <protection hidden="1"/>
    </xf>
    <xf numFmtId="0" fontId="15" fillId="0" borderId="10" xfId="0" applyFont="1" applyFill="1" applyBorder="1" applyAlignment="1" applyProtection="1">
      <alignment horizontal="center"/>
      <protection hidden="1"/>
    </xf>
    <xf numFmtId="0" fontId="4" fillId="0" borderId="6" xfId="0" applyFont="1" applyFill="1" applyBorder="1" applyAlignment="1" applyProtection="1">
      <alignment horizontal="center"/>
      <protection hidden="1"/>
    </xf>
    <xf numFmtId="0" fontId="0" fillId="0" borderId="57" xfId="0" applyBorder="1" applyAlignment="1" applyProtection="1">
      <alignment horizontal="center" vertical="center"/>
      <protection hidden="1"/>
    </xf>
    <xf numFmtId="0" fontId="0" fillId="0" borderId="58" xfId="0" applyBorder="1" applyAlignment="1" applyProtection="1">
      <alignment horizontal="center" vertical="center"/>
      <protection hidden="1"/>
    </xf>
    <xf numFmtId="0" fontId="0" fillId="0" borderId="59" xfId="0" applyBorder="1" applyAlignment="1" applyProtection="1">
      <alignment horizontal="center" vertical="center"/>
      <protection hidden="1"/>
    </xf>
    <xf numFmtId="0" fontId="0" fillId="0" borderId="125" xfId="0" applyFill="1" applyBorder="1" applyProtection="1">
      <protection hidden="1"/>
    </xf>
    <xf numFmtId="0" fontId="0" fillId="0" borderId="126" xfId="0" applyFill="1" applyBorder="1" applyProtection="1">
      <protection hidden="1"/>
    </xf>
    <xf numFmtId="0" fontId="22" fillId="0" borderId="126" xfId="0" applyFont="1" applyFill="1" applyBorder="1" applyAlignment="1" applyProtection="1">
      <protection hidden="1"/>
    </xf>
    <xf numFmtId="0" fontId="0" fillId="0" borderId="127" xfId="0" applyFill="1" applyBorder="1" applyProtection="1">
      <protection hidden="1"/>
    </xf>
    <xf numFmtId="0" fontId="21" fillId="0" borderId="128" xfId="0" applyFont="1" applyFill="1" applyBorder="1" applyProtection="1">
      <protection hidden="1"/>
    </xf>
    <xf numFmtId="0" fontId="0" fillId="0" borderId="129" xfId="0" applyFill="1" applyBorder="1" applyProtection="1">
      <protection hidden="1"/>
    </xf>
    <xf numFmtId="0" fontId="0" fillId="0" borderId="128" xfId="0" applyFill="1" applyBorder="1" applyProtection="1">
      <protection hidden="1"/>
    </xf>
    <xf numFmtId="0" fontId="16" fillId="0" borderId="128" xfId="0" applyFont="1" applyFill="1" applyBorder="1" applyProtection="1">
      <protection hidden="1"/>
    </xf>
    <xf numFmtId="0" fontId="16" fillId="0" borderId="129" xfId="0" applyFont="1" applyFill="1" applyBorder="1" applyProtection="1">
      <protection hidden="1"/>
    </xf>
    <xf numFmtId="0" fontId="0" fillId="0" borderId="130" xfId="0" applyFill="1" applyBorder="1" applyProtection="1">
      <protection hidden="1"/>
    </xf>
    <xf numFmtId="0" fontId="0" fillId="0" borderId="131" xfId="0" applyFill="1" applyBorder="1" applyProtection="1">
      <protection hidden="1"/>
    </xf>
    <xf numFmtId="0" fontId="0" fillId="0" borderId="132" xfId="0" applyFill="1" applyBorder="1" applyProtection="1">
      <protection hidden="1"/>
    </xf>
    <xf numFmtId="0" fontId="0" fillId="0" borderId="0" xfId="0" applyFont="1" applyBorder="1" applyAlignment="1" applyProtection="1">
      <alignment vertical="center" wrapText="1"/>
      <protection hidden="1"/>
    </xf>
    <xf numFmtId="0" fontId="38" fillId="0" borderId="0" xfId="0" applyFont="1" applyBorder="1" applyAlignment="1" applyProtection="1">
      <alignment vertical="center" wrapText="1"/>
      <protection hidden="1"/>
    </xf>
    <xf numFmtId="0" fontId="83" fillId="0" borderId="0" xfId="0" applyFont="1" applyAlignment="1" applyProtection="1">
      <alignment horizontal="center" vertical="center" wrapText="1"/>
      <protection hidden="1"/>
    </xf>
    <xf numFmtId="0" fontId="55" fillId="3" borderId="0" xfId="0" applyFont="1" applyFill="1" applyAlignment="1" applyProtection="1">
      <alignment horizontal="center" vertical="center"/>
    </xf>
    <xf numFmtId="0" fontId="56" fillId="2" borderId="87" xfId="1" applyFont="1" applyFill="1" applyBorder="1" applyAlignment="1" applyProtection="1">
      <alignment horizontal="left" vertical="center"/>
    </xf>
    <xf numFmtId="0" fontId="0" fillId="0" borderId="119" xfId="0" applyBorder="1" applyAlignment="1" applyProtection="1">
      <alignment horizontal="left" vertical="center" wrapText="1"/>
    </xf>
    <xf numFmtId="0" fontId="0" fillId="0" borderId="120" xfId="0" applyBorder="1" applyAlignment="1" applyProtection="1">
      <alignment horizontal="left" vertical="center" wrapText="1"/>
    </xf>
    <xf numFmtId="0" fontId="42" fillId="3" borderId="5" xfId="0" applyFont="1" applyFill="1" applyBorder="1" applyAlignment="1" applyProtection="1">
      <alignment horizontal="left" vertical="center"/>
    </xf>
    <xf numFmtId="0" fontId="42" fillId="3" borderId="6" xfId="0" applyFont="1" applyFill="1" applyBorder="1" applyAlignment="1" applyProtection="1">
      <alignment horizontal="left" vertical="center"/>
    </xf>
    <xf numFmtId="0" fontId="42" fillId="3" borderId="7" xfId="0" applyFont="1" applyFill="1" applyBorder="1" applyAlignment="1" applyProtection="1">
      <alignment horizontal="left" vertical="center"/>
    </xf>
    <xf numFmtId="0" fontId="38" fillId="0" borderId="0" xfId="0" applyFont="1" applyAlignment="1" applyProtection="1">
      <alignment wrapText="1"/>
    </xf>
    <xf numFmtId="0" fontId="38" fillId="0" borderId="0" xfId="0" applyFont="1" applyAlignment="1" applyProtection="1">
      <alignment horizontal="left" wrapText="1"/>
    </xf>
    <xf numFmtId="0" fontId="38" fillId="0" borderId="0" xfId="0" applyFont="1" applyAlignment="1" applyProtection="1">
      <alignment horizontal="center" vertical="center" wrapText="1"/>
    </xf>
    <xf numFmtId="0" fontId="39" fillId="2" borderId="4" xfId="0" applyFont="1" applyFill="1" applyBorder="1" applyAlignment="1" applyProtection="1">
      <alignment horizontal="center" vertical="center" wrapText="1"/>
    </xf>
    <xf numFmtId="0" fontId="53" fillId="2" borderId="2" xfId="0" applyFont="1" applyFill="1" applyBorder="1" applyAlignment="1" applyProtection="1">
      <alignment horizontal="center" vertical="center" wrapText="1"/>
    </xf>
    <xf numFmtId="0" fontId="39" fillId="2" borderId="2"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0" fontId="27" fillId="0" borderId="17" xfId="0" applyFont="1" applyFill="1" applyBorder="1" applyAlignment="1" applyProtection="1">
      <alignment horizontal="center" vertical="center"/>
      <protection hidden="1"/>
    </xf>
    <xf numFmtId="0" fontId="27" fillId="0" borderId="18" xfId="0" applyFont="1" applyFill="1" applyBorder="1" applyAlignment="1" applyProtection="1">
      <alignment horizontal="center" vertical="center"/>
      <protection locked="0" hidden="1"/>
    </xf>
    <xf numFmtId="0" fontId="27" fillId="0" borderId="18" xfId="0" applyFont="1" applyFill="1" applyBorder="1" applyAlignment="1" applyProtection="1">
      <alignment horizontal="center" vertical="center"/>
      <protection hidden="1"/>
    </xf>
    <xf numFmtId="1" fontId="28" fillId="3" borderId="18" xfId="0" applyNumberFormat="1" applyFont="1" applyFill="1" applyBorder="1" applyAlignment="1" applyProtection="1">
      <alignment horizontal="center" vertical="center"/>
      <protection hidden="1"/>
    </xf>
    <xf numFmtId="9" fontId="29" fillId="3" borderId="29" xfId="0" applyNumberFormat="1" applyFont="1" applyFill="1" applyBorder="1" applyAlignment="1" applyProtection="1">
      <alignment horizontal="center" vertical="center"/>
      <protection hidden="1"/>
    </xf>
    <xf numFmtId="0" fontId="27" fillId="0" borderId="19" xfId="0" applyFont="1" applyFill="1" applyBorder="1" applyAlignment="1" applyProtection="1">
      <alignment horizontal="center" vertical="center"/>
      <protection hidden="1"/>
    </xf>
    <xf numFmtId="0" fontId="27" fillId="0" borderId="20" xfId="0" applyFont="1" applyFill="1" applyBorder="1" applyAlignment="1" applyProtection="1">
      <alignment horizontal="center" vertical="center"/>
      <protection locked="0" hidden="1"/>
    </xf>
    <xf numFmtId="0" fontId="27" fillId="0" borderId="20" xfId="0" applyFont="1" applyFill="1" applyBorder="1" applyAlignment="1" applyProtection="1">
      <alignment horizontal="center" vertical="center"/>
      <protection hidden="1"/>
    </xf>
    <xf numFmtId="1" fontId="28" fillId="3" borderId="20" xfId="0" applyNumberFormat="1" applyFont="1" applyFill="1" applyBorder="1" applyAlignment="1" applyProtection="1">
      <alignment horizontal="center" vertical="center"/>
      <protection hidden="1"/>
    </xf>
    <xf numFmtId="9" fontId="29" fillId="3" borderId="30" xfId="0" applyNumberFormat="1" applyFont="1" applyFill="1" applyBorder="1" applyAlignment="1" applyProtection="1">
      <alignment horizontal="center" vertical="center"/>
      <protection hidden="1"/>
    </xf>
    <xf numFmtId="0" fontId="27" fillId="0" borderId="26" xfId="0" applyFont="1" applyFill="1" applyBorder="1" applyAlignment="1" applyProtection="1">
      <alignment horizontal="center" vertical="center"/>
      <protection hidden="1"/>
    </xf>
    <xf numFmtId="0" fontId="27" fillId="0" borderId="27" xfId="0" applyFont="1" applyFill="1" applyBorder="1" applyAlignment="1" applyProtection="1">
      <alignment horizontal="center" vertical="center"/>
      <protection locked="0" hidden="1"/>
    </xf>
    <xf numFmtId="0" fontId="27" fillId="0" borderId="27" xfId="0" applyFont="1" applyFill="1" applyBorder="1" applyAlignment="1" applyProtection="1">
      <alignment horizontal="center" vertical="center"/>
      <protection hidden="1"/>
    </xf>
    <xf numFmtId="1" fontId="28" fillId="3" borderId="27" xfId="0" applyNumberFormat="1" applyFont="1" applyFill="1" applyBorder="1" applyAlignment="1" applyProtection="1">
      <alignment horizontal="center" vertical="center"/>
      <protection hidden="1"/>
    </xf>
    <xf numFmtId="9" fontId="29" fillId="3" borderId="31" xfId="0" applyNumberFormat="1" applyFont="1" applyFill="1" applyBorder="1" applyAlignment="1" applyProtection="1">
      <alignment horizontal="center" vertical="center"/>
      <protection hidden="1"/>
    </xf>
    <xf numFmtId="0" fontId="6" fillId="0" borderId="134" xfId="0" applyFont="1" applyFill="1" applyBorder="1" applyAlignment="1" applyProtection="1">
      <alignment horizontal="center" vertical="center"/>
      <protection locked="0" hidden="1"/>
    </xf>
    <xf numFmtId="0" fontId="6" fillId="0" borderId="135" xfId="0" applyFont="1" applyFill="1" applyBorder="1" applyAlignment="1" applyProtection="1">
      <alignment horizontal="center" vertical="center"/>
      <protection locked="0" hidden="1"/>
    </xf>
    <xf numFmtId="0" fontId="26" fillId="3" borderId="57" xfId="0" applyNumberFormat="1" applyFont="1" applyFill="1" applyBorder="1" applyAlignment="1" applyProtection="1">
      <alignment horizontal="left" vertical="center" wrapText="1"/>
      <protection hidden="1"/>
    </xf>
    <xf numFmtId="0" fontId="26" fillId="3" borderId="58" xfId="0" applyNumberFormat="1" applyFont="1" applyFill="1" applyBorder="1" applyAlignment="1" applyProtection="1">
      <alignment horizontal="left" vertical="center" wrapText="1"/>
      <protection hidden="1"/>
    </xf>
    <xf numFmtId="0" fontId="26" fillId="3" borderId="59" xfId="0" applyNumberFormat="1" applyFont="1" applyFill="1" applyBorder="1" applyAlignment="1" applyProtection="1">
      <alignment horizontal="left" vertical="center" wrapText="1"/>
      <protection hidden="1"/>
    </xf>
    <xf numFmtId="0" fontId="3" fillId="0" borderId="136" xfId="3" applyFont="1" applyBorder="1" applyProtection="1">
      <protection hidden="1"/>
    </xf>
    <xf numFmtId="0" fontId="3" fillId="0" borderId="137" xfId="3" applyFont="1" applyBorder="1" applyProtection="1">
      <protection hidden="1"/>
    </xf>
    <xf numFmtId="0" fontId="85" fillId="0" borderId="138" xfId="3" applyBorder="1" applyProtection="1">
      <protection hidden="1"/>
    </xf>
    <xf numFmtId="0" fontId="85" fillId="0" borderId="0" xfId="3" applyProtection="1">
      <protection hidden="1"/>
    </xf>
    <xf numFmtId="0" fontId="3" fillId="0" borderId="139" xfId="3" applyFont="1" applyBorder="1" applyProtection="1">
      <protection hidden="1"/>
    </xf>
    <xf numFmtId="0" fontId="85" fillId="0" borderId="140" xfId="3" applyBorder="1" applyProtection="1">
      <protection hidden="1"/>
    </xf>
    <xf numFmtId="0" fontId="100" fillId="0" borderId="0" xfId="3" applyFont="1" applyBorder="1" applyAlignment="1" applyProtection="1">
      <protection hidden="1"/>
    </xf>
    <xf numFmtId="0" fontId="100" fillId="0" borderId="0" xfId="3" applyFont="1" applyBorder="1" applyProtection="1">
      <protection hidden="1"/>
    </xf>
    <xf numFmtId="0" fontId="3" fillId="0" borderId="0" xfId="3" applyFont="1" applyBorder="1" applyProtection="1">
      <protection hidden="1"/>
    </xf>
    <xf numFmtId="0" fontId="16" fillId="3" borderId="0" xfId="3" applyFont="1" applyFill="1" applyBorder="1" applyAlignment="1" applyProtection="1">
      <protection hidden="1"/>
    </xf>
    <xf numFmtId="0" fontId="16" fillId="3" borderId="0" xfId="3" applyFont="1" applyFill="1" applyBorder="1" applyProtection="1">
      <protection hidden="1"/>
    </xf>
    <xf numFmtId="0" fontId="103" fillId="5" borderId="13" xfId="3" applyFont="1" applyFill="1" applyBorder="1" applyAlignment="1" applyProtection="1">
      <alignment horizontal="center" vertical="center"/>
      <protection hidden="1"/>
    </xf>
    <xf numFmtId="0" fontId="3" fillId="0" borderId="139" xfId="3" applyFont="1" applyBorder="1" applyAlignment="1" applyProtection="1">
      <alignment vertical="center"/>
      <protection hidden="1"/>
    </xf>
    <xf numFmtId="0" fontId="100" fillId="3" borderId="144" xfId="3" applyFont="1" applyFill="1" applyBorder="1" applyAlignment="1" applyProtection="1">
      <alignment vertical="center"/>
      <protection hidden="1"/>
    </xf>
    <xf numFmtId="0" fontId="85" fillId="0" borderId="140" xfId="3" applyBorder="1" applyAlignment="1" applyProtection="1">
      <alignment vertical="center"/>
      <protection hidden="1"/>
    </xf>
    <xf numFmtId="0" fontId="85" fillId="0" borderId="0" xfId="3" applyAlignment="1" applyProtection="1">
      <alignment vertical="center"/>
      <protection hidden="1"/>
    </xf>
    <xf numFmtId="0" fontId="100" fillId="3" borderId="147" xfId="3" applyFont="1" applyFill="1" applyBorder="1" applyAlignment="1" applyProtection="1">
      <alignment vertical="center"/>
      <protection hidden="1"/>
    </xf>
    <xf numFmtId="0" fontId="100" fillId="3" borderId="150" xfId="3" applyFont="1" applyFill="1" applyBorder="1" applyAlignment="1" applyProtection="1">
      <alignment vertical="center"/>
      <protection hidden="1"/>
    </xf>
    <xf numFmtId="0" fontId="98" fillId="0" borderId="15" xfId="3" applyFont="1" applyBorder="1" applyAlignment="1" applyProtection="1">
      <alignment vertical="center"/>
      <protection hidden="1"/>
    </xf>
    <xf numFmtId="0" fontId="6" fillId="3" borderId="144" xfId="3" applyFont="1" applyFill="1" applyBorder="1" applyAlignment="1" applyProtection="1">
      <alignment vertical="center"/>
      <protection hidden="1"/>
    </xf>
    <xf numFmtId="0" fontId="85" fillId="0" borderId="141" xfId="3" applyBorder="1" applyProtection="1">
      <protection hidden="1"/>
    </xf>
    <xf numFmtId="0" fontId="86" fillId="0" borderId="142" xfId="3" applyFont="1" applyBorder="1" applyProtection="1">
      <protection hidden="1"/>
    </xf>
    <xf numFmtId="0" fontId="85" fillId="0" borderId="142" xfId="3" applyBorder="1" applyProtection="1">
      <protection hidden="1"/>
    </xf>
    <xf numFmtId="0" fontId="85" fillId="0" borderId="143" xfId="3" applyBorder="1" applyProtection="1">
      <protection hidden="1"/>
    </xf>
    <xf numFmtId="0" fontId="86" fillId="0" borderId="0" xfId="3" applyFont="1" applyProtection="1">
      <protection hidden="1"/>
    </xf>
    <xf numFmtId="0" fontId="86" fillId="0" borderId="0" xfId="3" applyFont="1" applyBorder="1" applyAlignment="1" applyProtection="1">
      <alignment vertical="center"/>
      <protection hidden="1"/>
    </xf>
    <xf numFmtId="0" fontId="87" fillId="0" borderId="0" xfId="3" applyFont="1" applyBorder="1" applyAlignment="1" applyProtection="1">
      <alignment horizontal="center" vertical="center" wrapText="1"/>
      <protection hidden="1"/>
    </xf>
    <xf numFmtId="0" fontId="15" fillId="0" borderId="0" xfId="3" applyFont="1" applyBorder="1" applyAlignment="1" applyProtection="1">
      <alignment horizontal="center" vertical="center"/>
      <protection hidden="1"/>
    </xf>
    <xf numFmtId="0" fontId="86" fillId="0" borderId="0" xfId="4" applyFont="1" applyBorder="1" applyProtection="1">
      <protection hidden="1"/>
    </xf>
    <xf numFmtId="0" fontId="88" fillId="0" borderId="0" xfId="4" applyFont="1" applyBorder="1" applyAlignment="1" applyProtection="1">
      <alignment wrapText="1"/>
      <protection hidden="1"/>
    </xf>
    <xf numFmtId="0" fontId="85" fillId="0" borderId="0" xfId="3" applyBorder="1" applyProtection="1">
      <protection hidden="1"/>
    </xf>
    <xf numFmtId="0" fontId="0" fillId="0" borderId="0" xfId="0" applyAlignment="1" applyProtection="1">
      <alignment vertical="center"/>
      <protection hidden="1"/>
    </xf>
    <xf numFmtId="0" fontId="1" fillId="15" borderId="0" xfId="1" quotePrefix="1" applyFill="1" applyBorder="1" applyAlignment="1" applyProtection="1">
      <alignment horizontal="center" vertical="center"/>
      <protection hidden="1"/>
    </xf>
    <xf numFmtId="0" fontId="3" fillId="0" borderId="0" xfId="0" applyFont="1" applyFill="1" applyBorder="1" applyProtection="1">
      <protection hidden="1"/>
    </xf>
    <xf numFmtId="0" fontId="3" fillId="0" borderId="0" xfId="0" applyFont="1" applyFill="1" applyBorder="1" applyAlignment="1" applyProtection="1">
      <alignment horizontal="center" vertical="center"/>
      <protection hidden="1"/>
    </xf>
    <xf numFmtId="0" fontId="112" fillId="0" borderId="0"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3" fillId="0" borderId="0" xfId="0" applyFont="1" applyFill="1" applyBorder="1" applyProtection="1">
      <protection locked="0" hidden="1"/>
    </xf>
    <xf numFmtId="0" fontId="3" fillId="2" borderId="171" xfId="0" applyFont="1" applyFill="1" applyBorder="1" applyAlignment="1" applyProtection="1">
      <alignment horizontal="center" vertical="center"/>
      <protection hidden="1"/>
    </xf>
    <xf numFmtId="0" fontId="3" fillId="2" borderId="172" xfId="0" applyFont="1" applyFill="1" applyBorder="1" applyAlignment="1" applyProtection="1">
      <alignment horizontal="center" vertical="center"/>
      <protection hidden="1"/>
    </xf>
    <xf numFmtId="0" fontId="3" fillId="2" borderId="173" xfId="0" applyFont="1" applyFill="1" applyBorder="1" applyAlignment="1" applyProtection="1">
      <alignment horizontal="center" vertical="center"/>
      <protection hidden="1"/>
    </xf>
    <xf numFmtId="0" fontId="4" fillId="0" borderId="174" xfId="0" applyFont="1" applyFill="1" applyBorder="1" applyAlignment="1" applyProtection="1">
      <alignment horizontal="center" textRotation="90"/>
      <protection locked="0" hidden="1"/>
    </xf>
    <xf numFmtId="0" fontId="4" fillId="0" borderId="175" xfId="0" applyFont="1" applyFill="1" applyBorder="1" applyAlignment="1" applyProtection="1">
      <alignment horizontal="center" textRotation="90"/>
      <protection locked="0" hidden="1"/>
    </xf>
    <xf numFmtId="0" fontId="4" fillId="0" borderId="176" xfId="0" applyFont="1" applyFill="1" applyBorder="1" applyAlignment="1" applyProtection="1">
      <alignment horizontal="center" textRotation="90"/>
      <protection locked="0" hidden="1"/>
    </xf>
    <xf numFmtId="0" fontId="6" fillId="2" borderId="1" xfId="0" applyFont="1" applyFill="1" applyBorder="1" applyAlignment="1" applyProtection="1">
      <alignment horizontal="center" vertical="center"/>
      <protection hidden="1"/>
    </xf>
    <xf numFmtId="0" fontId="6" fillId="2" borderId="2" xfId="0" applyFont="1" applyFill="1" applyBorder="1" applyAlignment="1" applyProtection="1">
      <alignment horizontal="center" vertical="center"/>
      <protection hidden="1"/>
    </xf>
    <xf numFmtId="0" fontId="6" fillId="2" borderId="3" xfId="0" applyFont="1" applyFill="1" applyBorder="1" applyAlignment="1" applyProtection="1">
      <alignment horizontal="center" vertical="center"/>
      <protection hidden="1"/>
    </xf>
    <xf numFmtId="0" fontId="25" fillId="0" borderId="84" xfId="0" applyFont="1" applyFill="1" applyBorder="1" applyAlignment="1" applyProtection="1">
      <alignment horizontal="center" vertical="center"/>
      <protection locked="0" hidden="1"/>
    </xf>
    <xf numFmtId="0" fontId="25" fillId="0" borderId="177" xfId="0" applyFont="1" applyFill="1" applyBorder="1" applyAlignment="1" applyProtection="1">
      <alignment horizontal="center" vertical="center"/>
      <protection locked="0" hidden="1"/>
    </xf>
    <xf numFmtId="0" fontId="25" fillId="0" borderId="178" xfId="0" applyFont="1" applyFill="1" applyBorder="1" applyAlignment="1" applyProtection="1">
      <alignment horizontal="center" vertical="center"/>
      <protection locked="0" hidden="1"/>
    </xf>
    <xf numFmtId="0" fontId="25" fillId="0" borderId="179" xfId="0" applyFont="1" applyFill="1" applyBorder="1" applyAlignment="1" applyProtection="1">
      <alignment horizontal="center" vertical="center"/>
      <protection locked="0" hidden="1"/>
    </xf>
    <xf numFmtId="0" fontId="25" fillId="0" borderId="180" xfId="0" applyFont="1" applyFill="1" applyBorder="1" applyAlignment="1" applyProtection="1">
      <alignment horizontal="center" vertical="center"/>
      <protection locked="0" hidden="1"/>
    </xf>
    <xf numFmtId="0" fontId="25" fillId="0" borderId="9" xfId="0" applyFont="1" applyFill="1" applyBorder="1" applyAlignment="1" applyProtection="1">
      <alignment horizontal="center" vertical="center"/>
      <protection locked="0" hidden="1"/>
    </xf>
    <xf numFmtId="0" fontId="25" fillId="0" borderId="77" xfId="0" applyFont="1" applyFill="1" applyBorder="1" applyAlignment="1" applyProtection="1">
      <alignment horizontal="center" vertical="center"/>
      <protection locked="0" hidden="1"/>
    </xf>
    <xf numFmtId="0" fontId="25" fillId="0" borderId="181" xfId="0" applyFont="1" applyFill="1" applyBorder="1" applyAlignment="1" applyProtection="1">
      <alignment horizontal="center" vertical="center"/>
      <protection locked="0" hidden="1"/>
    </xf>
    <xf numFmtId="0" fontId="25" fillId="0" borderId="182" xfId="0" applyFont="1" applyFill="1" applyBorder="1" applyAlignment="1" applyProtection="1">
      <alignment horizontal="center" vertical="center"/>
      <protection locked="0" hidden="1"/>
    </xf>
    <xf numFmtId="0" fontId="3" fillId="0" borderId="0" xfId="0" applyFont="1" applyFill="1" applyBorder="1" applyAlignment="1" applyProtection="1">
      <alignment horizontal="center" vertical="center"/>
      <protection locked="0" hidden="1"/>
    </xf>
    <xf numFmtId="0" fontId="3" fillId="0" borderId="0" xfId="0" applyFont="1" applyFill="1" applyBorder="1" applyAlignment="1" applyProtection="1">
      <alignment vertical="center"/>
      <protection locked="0" hidden="1"/>
    </xf>
    <xf numFmtId="0" fontId="5" fillId="16" borderId="186" xfId="0" applyFont="1" applyFill="1" applyBorder="1" applyAlignment="1" applyProtection="1">
      <alignment horizontal="center" vertical="center"/>
      <protection hidden="1"/>
    </xf>
    <xf numFmtId="0" fontId="3" fillId="16" borderId="186" xfId="0" applyFont="1" applyFill="1" applyBorder="1" applyAlignment="1" applyProtection="1">
      <alignment horizontal="left" vertical="center"/>
      <protection hidden="1"/>
    </xf>
    <xf numFmtId="0" fontId="2" fillId="16" borderId="186" xfId="0" applyFont="1" applyFill="1" applyBorder="1" applyAlignment="1" applyProtection="1">
      <alignment horizontal="center" vertical="center"/>
      <protection locked="0" hidden="1"/>
    </xf>
    <xf numFmtId="0" fontId="6" fillId="16" borderId="186" xfId="0" applyFont="1" applyFill="1" applyBorder="1" applyAlignment="1" applyProtection="1">
      <alignment horizontal="center"/>
      <protection hidden="1"/>
    </xf>
    <xf numFmtId="0" fontId="7" fillId="16" borderId="186" xfId="0" applyFont="1" applyFill="1" applyBorder="1" applyAlignment="1" applyProtection="1">
      <alignment horizontal="center" vertical="center"/>
      <protection hidden="1"/>
    </xf>
    <xf numFmtId="0" fontId="3" fillId="16" borderId="187" xfId="0" applyFont="1" applyFill="1" applyBorder="1" applyProtection="1">
      <protection locked="0" hidden="1"/>
    </xf>
    <xf numFmtId="0" fontId="3" fillId="0" borderId="187" xfId="0" applyFont="1" applyFill="1" applyBorder="1" applyProtection="1">
      <protection locked="0" hidden="1"/>
    </xf>
    <xf numFmtId="0" fontId="0" fillId="0" borderId="187" xfId="0" applyBorder="1" applyProtection="1">
      <protection hidden="1"/>
    </xf>
    <xf numFmtId="0" fontId="0" fillId="0" borderId="0" xfId="0" applyAlignment="1">
      <alignment vertical="center"/>
    </xf>
    <xf numFmtId="0" fontId="0" fillId="0" borderId="0" xfId="0" applyAlignment="1"/>
    <xf numFmtId="0" fontId="0" fillId="0" borderId="0" xfId="0" applyFont="1" applyBorder="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0" xfId="0" applyFont="1" applyBorder="1" applyAlignment="1" applyProtection="1">
      <alignment horizontal="right" vertical="center" wrapText="1"/>
      <protection hidden="1"/>
    </xf>
    <xf numFmtId="0" fontId="54" fillId="0" borderId="144" xfId="0" applyFont="1" applyFill="1" applyBorder="1" applyAlignment="1" applyProtection="1">
      <alignment horizontal="center" vertical="center" wrapText="1"/>
      <protection locked="0"/>
    </xf>
    <xf numFmtId="0" fontId="40" fillId="0" borderId="145" xfId="0" applyFont="1" applyFill="1" applyBorder="1" applyAlignment="1" applyProtection="1">
      <alignment horizontal="center" vertical="center" wrapText="1"/>
      <protection locked="0"/>
    </xf>
    <xf numFmtId="0" fontId="40" fillId="0" borderId="146" xfId="0"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wrapText="1"/>
      <protection locked="0"/>
    </xf>
    <xf numFmtId="0" fontId="40" fillId="0" borderId="148" xfId="0" applyFont="1" applyFill="1" applyBorder="1" applyAlignment="1" applyProtection="1">
      <alignment horizontal="center" wrapText="1"/>
      <protection locked="0"/>
    </xf>
    <xf numFmtId="0" fontId="40" fillId="0" borderId="149" xfId="0" applyFont="1" applyFill="1" applyBorder="1" applyAlignment="1" applyProtection="1">
      <alignment horizontal="center" wrapText="1"/>
      <protection locked="0"/>
    </xf>
    <xf numFmtId="0" fontId="48" fillId="0" borderId="147" xfId="0" applyFont="1" applyFill="1" applyBorder="1" applyAlignment="1">
      <alignment horizontal="left" wrapText="1"/>
    </xf>
    <xf numFmtId="0" fontId="38" fillId="0" borderId="148" xfId="0" applyFont="1" applyFill="1" applyBorder="1" applyAlignment="1">
      <alignment horizontal="left" wrapText="1"/>
    </xf>
    <xf numFmtId="0" fontId="38" fillId="0" borderId="149" xfId="0" applyFont="1" applyFill="1" applyBorder="1" applyAlignment="1">
      <alignment horizontal="left" wrapText="1"/>
    </xf>
    <xf numFmtId="0" fontId="38" fillId="0" borderId="150" xfId="0" applyFont="1" applyBorder="1" applyAlignment="1">
      <alignment horizontal="left" wrapText="1"/>
    </xf>
    <xf numFmtId="0" fontId="38" fillId="0" borderId="151" xfId="0" applyFont="1" applyBorder="1" applyAlignment="1">
      <alignment horizontal="left" wrapText="1"/>
    </xf>
    <xf numFmtId="0" fontId="38" fillId="0" borderId="152" xfId="0" applyFont="1" applyBorder="1" applyAlignment="1">
      <alignment horizontal="left" wrapText="1"/>
    </xf>
    <xf numFmtId="0" fontId="38" fillId="0" borderId="147" xfId="0" applyFont="1" applyBorder="1" applyAlignment="1">
      <alignment horizontal="left" wrapText="1"/>
    </xf>
    <xf numFmtId="0" fontId="38" fillId="0" borderId="148" xfId="0" applyFont="1" applyBorder="1" applyAlignment="1">
      <alignment horizontal="left" wrapText="1"/>
    </xf>
    <xf numFmtId="0" fontId="38" fillId="0" borderId="149" xfId="0" applyFont="1" applyBorder="1" applyAlignment="1">
      <alignment horizontal="left" wrapText="1"/>
    </xf>
    <xf numFmtId="0" fontId="48" fillId="16" borderId="150" xfId="0" applyFont="1" applyFill="1" applyBorder="1" applyAlignment="1">
      <alignment wrapText="1"/>
    </xf>
    <xf numFmtId="0" fontId="38" fillId="16" borderId="151" xfId="0" applyFont="1" applyFill="1" applyBorder="1" applyAlignment="1">
      <alignment wrapText="1"/>
    </xf>
    <xf numFmtId="0" fontId="38" fillId="16" borderId="152" xfId="0" applyFont="1" applyFill="1" applyBorder="1" applyAlignment="1">
      <alignment wrapText="1"/>
    </xf>
    <xf numFmtId="0" fontId="53" fillId="3" borderId="6" xfId="0" applyFont="1" applyFill="1" applyBorder="1" applyAlignment="1">
      <alignment horizontal="left" wrapText="1"/>
    </xf>
    <xf numFmtId="0" fontId="39" fillId="3" borderId="5" xfId="0" applyFont="1" applyFill="1" applyBorder="1" applyAlignment="1">
      <alignment horizontal="center" vertical="center" wrapText="1"/>
    </xf>
    <xf numFmtId="0" fontId="39" fillId="3" borderId="6" xfId="0" applyFont="1" applyFill="1" applyBorder="1" applyAlignment="1">
      <alignment horizontal="center" vertical="center" wrapText="1"/>
    </xf>
    <xf numFmtId="0" fontId="39" fillId="3" borderId="7" xfId="0" applyFont="1" applyFill="1" applyBorder="1" applyAlignment="1">
      <alignment horizontal="center" vertical="center" wrapText="1"/>
    </xf>
    <xf numFmtId="0" fontId="40" fillId="0" borderId="146" xfId="0" applyFont="1" applyFill="1" applyBorder="1" applyAlignment="1" applyProtection="1">
      <alignment horizontal="center" vertical="center" wrapText="1"/>
      <protection locked="0"/>
    </xf>
    <xf numFmtId="0" fontId="3" fillId="0" borderId="0" xfId="0" applyFont="1" applyProtection="1">
      <protection locked="0"/>
    </xf>
    <xf numFmtId="0" fontId="0" fillId="16" borderId="4" xfId="0" applyFont="1" applyFill="1" applyBorder="1" applyAlignment="1" applyProtection="1">
      <alignment vertical="center"/>
      <protection hidden="1"/>
    </xf>
    <xf numFmtId="0" fontId="16" fillId="0" borderId="200" xfId="0" applyFont="1" applyFill="1" applyBorder="1" applyProtection="1">
      <protection hidden="1"/>
    </xf>
    <xf numFmtId="0" fontId="3" fillId="3" borderId="144" xfId="0" applyFont="1" applyFill="1" applyBorder="1" applyAlignment="1" applyProtection="1">
      <alignment horizontal="center"/>
      <protection locked="0"/>
    </xf>
    <xf numFmtId="0" fontId="3" fillId="3" borderId="147" xfId="0" applyFont="1" applyFill="1" applyBorder="1" applyAlignment="1" applyProtection="1">
      <alignment horizontal="center"/>
      <protection locked="0"/>
    </xf>
    <xf numFmtId="0" fontId="3" fillId="3" borderId="150" xfId="0" applyFont="1" applyFill="1" applyBorder="1" applyAlignment="1" applyProtection="1">
      <alignment horizontal="center"/>
      <protection locked="0"/>
    </xf>
    <xf numFmtId="0" fontId="0" fillId="0" borderId="149" xfId="0" applyFill="1" applyBorder="1" applyProtection="1">
      <protection hidden="1"/>
    </xf>
    <xf numFmtId="0" fontId="0" fillId="0" borderId="152" xfId="0" applyFill="1" applyBorder="1" applyProtection="1">
      <protection hidden="1"/>
    </xf>
    <xf numFmtId="0" fontId="0" fillId="5" borderId="13" xfId="0" applyFont="1" applyFill="1" applyBorder="1" applyAlignment="1" applyProtection="1">
      <alignment horizontal="center" vertical="center"/>
      <protection hidden="1"/>
    </xf>
    <xf numFmtId="0" fontId="0" fillId="0" borderId="146" xfId="0" applyFill="1" applyBorder="1" applyProtection="1">
      <protection locked="0" hidden="1"/>
    </xf>
    <xf numFmtId="0" fontId="0" fillId="0" borderId="149" xfId="0" applyFill="1" applyBorder="1" applyProtection="1">
      <protection locked="0" hidden="1"/>
    </xf>
    <xf numFmtId="0" fontId="3" fillId="0" borderId="0" xfId="3" applyFont="1"/>
    <xf numFmtId="0" fontId="3" fillId="0" borderId="0" xfId="3" applyFont="1" applyAlignment="1">
      <alignment textRotation="90"/>
    </xf>
    <xf numFmtId="0" fontId="3" fillId="0" borderId="0" xfId="3" applyFont="1" applyAlignment="1">
      <alignment vertical="center"/>
    </xf>
    <xf numFmtId="0" fontId="3" fillId="5" borderId="151" xfId="3" applyFont="1" applyFill="1" applyBorder="1" applyAlignment="1">
      <alignment horizontal="center" vertical="center"/>
    </xf>
    <xf numFmtId="0" fontId="3" fillId="5" borderId="152" xfId="3" applyFont="1" applyFill="1" applyBorder="1" applyAlignment="1">
      <alignment horizontal="center" vertical="center"/>
    </xf>
    <xf numFmtId="0" fontId="3" fillId="3" borderId="147" xfId="3" applyFont="1" applyFill="1" applyBorder="1" applyAlignment="1">
      <alignment vertical="center"/>
    </xf>
    <xf numFmtId="0" fontId="3" fillId="3" borderId="150" xfId="3" applyFont="1" applyFill="1" applyBorder="1" applyAlignment="1">
      <alignment vertical="center"/>
    </xf>
    <xf numFmtId="0" fontId="68" fillId="0" borderId="0" xfId="0" applyFont="1" applyFill="1" applyBorder="1" applyAlignment="1" applyProtection="1">
      <alignment vertical="center"/>
      <protection hidden="1"/>
    </xf>
    <xf numFmtId="0" fontId="61" fillId="0" borderId="0" xfId="0" applyFont="1" applyBorder="1" applyAlignment="1" applyProtection="1">
      <alignment vertical="center"/>
      <protection hidden="1"/>
    </xf>
    <xf numFmtId="14" fontId="71" fillId="0" borderId="0" xfId="0" applyNumberFormat="1" applyFont="1" applyFill="1" applyBorder="1" applyAlignment="1" applyProtection="1">
      <alignment vertical="center" wrapText="1"/>
      <protection locked="0" hidden="1"/>
    </xf>
    <xf numFmtId="0" fontId="0" fillId="16" borderId="0" xfId="0" applyFill="1" applyBorder="1" applyProtection="1">
      <protection hidden="1"/>
    </xf>
    <xf numFmtId="0" fontId="3" fillId="3" borderId="201" xfId="3" applyFont="1" applyFill="1" applyBorder="1" applyAlignment="1">
      <alignment vertical="center"/>
    </xf>
    <xf numFmtId="0" fontId="3" fillId="3" borderId="202" xfId="3" applyFont="1" applyFill="1" applyBorder="1" applyAlignment="1">
      <alignment vertical="center"/>
    </xf>
    <xf numFmtId="0" fontId="3" fillId="3" borderId="203" xfId="3" applyFont="1" applyFill="1" applyBorder="1" applyAlignment="1">
      <alignment vertical="center"/>
    </xf>
    <xf numFmtId="0" fontId="0" fillId="5" borderId="0" xfId="0" applyFill="1" applyBorder="1" applyProtection="1">
      <protection hidden="1"/>
    </xf>
    <xf numFmtId="0" fontId="0" fillId="0" borderId="54" xfId="0" applyBorder="1" applyProtection="1">
      <protection hidden="1"/>
    </xf>
    <xf numFmtId="0" fontId="0" fillId="5" borderId="0" xfId="0" applyFill="1" applyBorder="1" applyAlignment="1" applyProtection="1">
      <alignment vertical="center"/>
      <protection hidden="1"/>
    </xf>
    <xf numFmtId="0" fontId="0" fillId="0" borderId="8" xfId="0" applyBorder="1" applyAlignment="1" applyProtection="1">
      <alignment horizontal="center" vertical="center"/>
      <protection hidden="1"/>
    </xf>
    <xf numFmtId="0" fontId="70" fillId="0" borderId="8" xfId="0" applyFont="1" applyBorder="1" applyAlignment="1" applyProtection="1">
      <alignment vertical="center"/>
      <protection hidden="1"/>
    </xf>
    <xf numFmtId="0" fontId="0" fillId="16" borderId="8" xfId="0" applyFill="1" applyBorder="1" applyAlignment="1" applyProtection="1">
      <alignment vertical="center"/>
      <protection hidden="1"/>
    </xf>
    <xf numFmtId="0" fontId="3" fillId="4" borderId="153" xfId="3" applyFont="1" applyFill="1" applyBorder="1" applyAlignment="1">
      <alignment horizontal="left" textRotation="90"/>
    </xf>
    <xf numFmtId="0" fontId="3" fillId="4" borderId="148" xfId="3" applyFont="1" applyFill="1" applyBorder="1" applyAlignment="1">
      <alignment horizontal="left" textRotation="90"/>
    </xf>
    <xf numFmtId="0" fontId="3" fillId="4" borderId="151" xfId="3" applyFont="1" applyFill="1" applyBorder="1" applyAlignment="1">
      <alignment horizontal="left" textRotation="90"/>
    </xf>
    <xf numFmtId="0" fontId="3" fillId="4" borderId="152" xfId="3" applyFont="1" applyFill="1" applyBorder="1" applyAlignment="1">
      <alignment horizontal="left" textRotation="90"/>
    </xf>
    <xf numFmtId="0" fontId="3" fillId="4" borderId="162" xfId="3" applyFont="1" applyFill="1" applyBorder="1" applyAlignment="1">
      <alignment horizontal="left" textRotation="90"/>
    </xf>
    <xf numFmtId="0" fontId="3" fillId="5" borderId="158" xfId="3" applyFont="1" applyFill="1" applyBorder="1" applyAlignment="1">
      <alignment horizontal="center" vertical="center"/>
    </xf>
    <xf numFmtId="0" fontId="5" fillId="16" borderId="6" xfId="3" applyNumberFormat="1" applyFont="1" applyFill="1" applyBorder="1" applyAlignment="1" applyProtection="1">
      <alignment horizontal="left" textRotation="90" wrapText="1"/>
    </xf>
    <xf numFmtId="0" fontId="3" fillId="16" borderId="6" xfId="3" applyFont="1" applyFill="1" applyBorder="1" applyAlignment="1">
      <alignment horizontal="center" vertical="center"/>
    </xf>
    <xf numFmtId="0" fontId="2" fillId="16" borderId="6" xfId="3" applyFont="1" applyFill="1" applyBorder="1" applyAlignment="1">
      <alignment horizontal="center" vertical="center"/>
    </xf>
    <xf numFmtId="0" fontId="5" fillId="3" borderId="13" xfId="3" applyFont="1" applyFill="1" applyBorder="1" applyAlignment="1">
      <alignment horizontal="center" vertical="center"/>
    </xf>
    <xf numFmtId="0" fontId="3" fillId="4" borderId="216" xfId="3" applyFont="1" applyFill="1" applyBorder="1" applyAlignment="1">
      <alignment horizontal="center" textRotation="90"/>
    </xf>
    <xf numFmtId="0" fontId="3" fillId="4" borderId="215" xfId="3" applyFont="1" applyFill="1" applyBorder="1" applyAlignment="1">
      <alignment horizontal="center" textRotation="90"/>
    </xf>
    <xf numFmtId="0" fontId="0" fillId="16" borderId="0" xfId="0" applyFill="1" applyBorder="1" applyAlignment="1" applyProtection="1">
      <protection hidden="1"/>
    </xf>
    <xf numFmtId="0" fontId="0" fillId="16" borderId="0" xfId="0" applyFill="1" applyBorder="1" applyAlignment="1" applyProtection="1">
      <alignment horizontal="center" vertical="center"/>
      <protection hidden="1"/>
    </xf>
    <xf numFmtId="0" fontId="0" fillId="0" borderId="0" xfId="0" applyAlignment="1" applyProtection="1">
      <alignment horizontal="right" vertical="center"/>
      <protection hidden="1"/>
    </xf>
    <xf numFmtId="0" fontId="0" fillId="0" borderId="0" xfId="0" applyBorder="1" applyAlignment="1" applyProtection="1">
      <alignment horizontal="right" vertical="center"/>
      <protection hidden="1"/>
    </xf>
    <xf numFmtId="0" fontId="114" fillId="2" borderId="0" xfId="3" applyFont="1" applyFill="1" applyAlignment="1">
      <alignment horizontal="center" vertical="center"/>
    </xf>
    <xf numFmtId="0" fontId="3" fillId="16" borderId="0" xfId="3" applyFont="1" applyFill="1"/>
    <xf numFmtId="0" fontId="15" fillId="16" borderId="0" xfId="3" applyFont="1" applyFill="1" applyAlignment="1">
      <alignment vertical="center"/>
    </xf>
    <xf numFmtId="0" fontId="3" fillId="3" borderId="161" xfId="3" applyFont="1" applyFill="1" applyBorder="1" applyAlignment="1">
      <alignment vertical="center"/>
    </xf>
    <xf numFmtId="0" fontId="3" fillId="3" borderId="163" xfId="3" applyFont="1" applyFill="1" applyBorder="1" applyAlignment="1">
      <alignment vertical="center"/>
    </xf>
    <xf numFmtId="0" fontId="3" fillId="4" borderId="144" xfId="3" applyFont="1" applyFill="1" applyBorder="1" applyAlignment="1">
      <alignment vertical="center"/>
    </xf>
    <xf numFmtId="0" fontId="3" fillId="4" borderId="147" xfId="3" applyFont="1" applyFill="1" applyBorder="1" applyAlignment="1">
      <alignment vertical="center"/>
    </xf>
    <xf numFmtId="0" fontId="3" fillId="4" borderId="150" xfId="3" applyFont="1" applyFill="1" applyBorder="1" applyAlignment="1">
      <alignment vertical="center"/>
    </xf>
    <xf numFmtId="0" fontId="6" fillId="5" borderId="222" xfId="3" applyFont="1" applyFill="1" applyBorder="1" applyAlignment="1">
      <alignment horizontal="center" vertical="center"/>
    </xf>
    <xf numFmtId="0" fontId="3" fillId="3" borderId="220" xfId="3" applyFont="1" applyFill="1" applyBorder="1" applyAlignment="1">
      <alignment vertical="center"/>
    </xf>
    <xf numFmtId="0" fontId="3" fillId="3" borderId="221" xfId="3" applyFont="1" applyFill="1" applyBorder="1" applyAlignment="1">
      <alignment vertical="center"/>
    </xf>
    <xf numFmtId="0" fontId="122" fillId="0" borderId="0" xfId="3" applyFont="1"/>
    <xf numFmtId="0" fontId="13" fillId="5" borderId="218" xfId="3" applyFont="1" applyFill="1" applyBorder="1" applyAlignment="1">
      <alignment horizontal="center" vertical="center"/>
    </xf>
    <xf numFmtId="0" fontId="3" fillId="4" borderId="4" xfId="3" applyFont="1" applyFill="1" applyBorder="1" applyAlignment="1">
      <alignment horizontal="center" textRotation="90" wrapText="1"/>
    </xf>
    <xf numFmtId="0" fontId="3" fillId="4" borderId="0" xfId="3" applyFont="1" applyFill="1" applyBorder="1" applyAlignment="1">
      <alignment horizontal="center" textRotation="90" wrapText="1"/>
    </xf>
    <xf numFmtId="0" fontId="3" fillId="4" borderId="9" xfId="3" applyFont="1" applyFill="1" applyBorder="1" applyAlignment="1">
      <alignment horizontal="center" textRotation="90" wrapText="1"/>
    </xf>
    <xf numFmtId="0" fontId="3" fillId="5" borderId="150" xfId="3" applyFont="1" applyFill="1" applyBorder="1" applyAlignment="1">
      <alignment horizontal="center" vertical="center"/>
    </xf>
    <xf numFmtId="0" fontId="3" fillId="4" borderId="4" xfId="3" applyFont="1" applyFill="1" applyBorder="1" applyAlignment="1">
      <alignment textRotation="90"/>
    </xf>
    <xf numFmtId="0" fontId="3" fillId="4" borderId="0" xfId="3" applyFont="1" applyFill="1" applyBorder="1" applyAlignment="1">
      <alignment textRotation="90"/>
    </xf>
    <xf numFmtId="0" fontId="3" fillId="4" borderId="9" xfId="3" applyFont="1" applyFill="1" applyBorder="1" applyAlignment="1">
      <alignment textRotation="90"/>
    </xf>
    <xf numFmtId="0" fontId="3" fillId="4" borderId="149" xfId="3" applyFont="1" applyFill="1" applyBorder="1" applyAlignment="1">
      <alignment horizontal="center" vertical="center"/>
    </xf>
    <xf numFmtId="0" fontId="3" fillId="4" borderId="152" xfId="3" applyFont="1" applyFill="1" applyBorder="1" applyAlignment="1">
      <alignment horizontal="center" vertical="center"/>
    </xf>
    <xf numFmtId="0" fontId="3" fillId="4" borderId="144" xfId="3" applyFont="1" applyFill="1" applyBorder="1" applyAlignment="1">
      <alignment horizontal="center" vertical="center"/>
    </xf>
    <xf numFmtId="0" fontId="3" fillId="4" borderId="148" xfId="3" applyFont="1" applyFill="1" applyBorder="1" applyAlignment="1">
      <alignment vertical="center"/>
    </xf>
    <xf numFmtId="0" fontId="3" fillId="4" borderId="151" xfId="3" applyFont="1" applyFill="1" applyBorder="1" applyAlignment="1">
      <alignment vertical="center"/>
    </xf>
    <xf numFmtId="0" fontId="3" fillId="3" borderId="226" xfId="3" applyFont="1" applyFill="1" applyBorder="1" applyAlignment="1">
      <alignment vertical="center"/>
    </xf>
    <xf numFmtId="0" fontId="3" fillId="4" borderId="227" xfId="3" applyFont="1" applyFill="1" applyBorder="1" applyAlignment="1">
      <alignment vertical="center"/>
    </xf>
    <xf numFmtId="0" fontId="3" fillId="4" borderId="229" xfId="3" applyFont="1" applyFill="1" applyBorder="1" applyAlignment="1">
      <alignment horizontal="center" vertical="center"/>
    </xf>
    <xf numFmtId="0" fontId="5" fillId="5" borderId="222" xfId="3" applyFont="1" applyFill="1" applyBorder="1" applyAlignment="1">
      <alignment horizontal="center" vertical="center"/>
    </xf>
    <xf numFmtId="0" fontId="6" fillId="5" borderId="230" xfId="3" applyFont="1" applyFill="1" applyBorder="1" applyAlignment="1">
      <alignment horizontal="center" vertical="center"/>
    </xf>
    <xf numFmtId="0" fontId="3" fillId="4" borderId="10" xfId="3" applyFont="1" applyFill="1" applyBorder="1" applyAlignment="1">
      <alignment horizontal="center" textRotation="90"/>
    </xf>
    <xf numFmtId="0" fontId="3" fillId="4" borderId="231" xfId="3" applyFont="1" applyFill="1" applyBorder="1" applyAlignment="1">
      <alignment horizontal="center" textRotation="90"/>
    </xf>
    <xf numFmtId="0" fontId="3" fillId="4" borderId="161" xfId="3" applyFont="1" applyFill="1" applyBorder="1" applyAlignment="1">
      <alignment horizontal="left" textRotation="90"/>
    </xf>
    <xf numFmtId="0" fontId="0" fillId="0" borderId="0" xfId="0"/>
    <xf numFmtId="0" fontId="0" fillId="16" borderId="0" xfId="0" applyFill="1" applyBorder="1" applyAlignment="1" applyProtection="1">
      <alignment horizontal="center" vertical="top"/>
      <protection hidden="1"/>
    </xf>
    <xf numFmtId="0" fontId="0" fillId="3" borderId="4" xfId="0" applyFill="1" applyBorder="1" applyAlignment="1" applyProtection="1">
      <alignment vertical="center" wrapText="1"/>
      <protection hidden="1"/>
    </xf>
    <xf numFmtId="0" fontId="0" fillId="3" borderId="0" xfId="0" applyFill="1" applyBorder="1" applyAlignment="1" applyProtection="1">
      <alignment vertical="center" wrapText="1"/>
      <protection hidden="1"/>
    </xf>
    <xf numFmtId="0" fontId="0" fillId="3" borderId="100" xfId="0" applyFill="1" applyBorder="1" applyAlignment="1" applyProtection="1">
      <alignment vertical="center" wrapText="1"/>
      <protection hidden="1"/>
    </xf>
    <xf numFmtId="0" fontId="0" fillId="0" borderId="105" xfId="0" applyFill="1" applyBorder="1" applyAlignment="1" applyProtection="1">
      <alignment vertical="center"/>
      <protection hidden="1"/>
    </xf>
    <xf numFmtId="0" fontId="38" fillId="0" borderId="108" xfId="0" applyFont="1" applyFill="1" applyBorder="1" applyAlignment="1" applyProtection="1">
      <alignment vertical="top"/>
      <protection hidden="1"/>
    </xf>
    <xf numFmtId="0" fontId="38" fillId="0" borderId="0" xfId="0" applyFont="1" applyFill="1" applyBorder="1" applyAlignment="1" applyProtection="1">
      <alignment vertical="top"/>
      <protection hidden="1"/>
    </xf>
    <xf numFmtId="0" fontId="38" fillId="0" borderId="100" xfId="0" applyFont="1" applyFill="1" applyBorder="1" applyAlignment="1" applyProtection="1">
      <alignment vertical="top"/>
      <protection hidden="1"/>
    </xf>
    <xf numFmtId="0" fontId="38" fillId="0" borderId="9" xfId="0" applyFont="1" applyFill="1" applyBorder="1" applyAlignment="1" applyProtection="1">
      <alignment vertical="top"/>
      <protection hidden="1"/>
    </xf>
    <xf numFmtId="0" fontId="0" fillId="3" borderId="1" xfId="0" applyFill="1" applyBorder="1" applyAlignment="1" applyProtection="1">
      <alignment vertical="center" wrapText="1"/>
      <protection hidden="1"/>
    </xf>
    <xf numFmtId="0" fontId="0" fillId="3" borderId="2" xfId="0" applyFill="1" applyBorder="1" applyAlignment="1" applyProtection="1">
      <alignment vertical="center" wrapText="1"/>
      <protection hidden="1"/>
    </xf>
    <xf numFmtId="0" fontId="0" fillId="3" borderId="112" xfId="0" applyFill="1" applyBorder="1" applyAlignment="1" applyProtection="1">
      <alignment vertical="center" wrapText="1"/>
      <protection hidden="1"/>
    </xf>
    <xf numFmtId="0" fontId="0" fillId="0" borderId="115" xfId="0" applyFill="1" applyBorder="1" applyAlignment="1" applyProtection="1">
      <alignment vertical="center"/>
      <protection hidden="1"/>
    </xf>
    <xf numFmtId="0" fontId="38" fillId="0" borderId="111" xfId="0" applyFont="1" applyFill="1" applyBorder="1" applyAlignment="1" applyProtection="1">
      <alignment vertical="top"/>
      <protection hidden="1"/>
    </xf>
    <xf numFmtId="0" fontId="38" fillId="0" borderId="2" xfId="0" applyFont="1" applyFill="1" applyBorder="1" applyAlignment="1" applyProtection="1">
      <alignment vertical="top"/>
      <protection hidden="1"/>
    </xf>
    <xf numFmtId="0" fontId="38" fillId="0" borderId="112" xfId="0" applyFont="1" applyFill="1" applyBorder="1" applyAlignment="1" applyProtection="1">
      <alignment vertical="top"/>
      <protection hidden="1"/>
    </xf>
    <xf numFmtId="0" fontId="38" fillId="0" borderId="3" xfId="0" applyFont="1" applyFill="1" applyBorder="1" applyAlignment="1" applyProtection="1">
      <alignment vertical="top"/>
      <protection hidden="1"/>
    </xf>
    <xf numFmtId="0" fontId="39" fillId="6" borderId="6" xfId="0" applyFont="1" applyFill="1" applyBorder="1" applyAlignment="1">
      <alignment horizontal="left" wrapText="1"/>
    </xf>
    <xf numFmtId="0" fontId="40" fillId="6" borderId="19" xfId="0" applyFont="1" applyFill="1" applyBorder="1" applyAlignment="1" applyProtection="1">
      <alignment horizontal="center" wrapText="1"/>
    </xf>
    <xf numFmtId="0" fontId="40" fillId="6" borderId="20" xfId="0" applyFont="1" applyFill="1" applyBorder="1" applyAlignment="1" applyProtection="1">
      <alignment horizontal="left" wrapText="1"/>
    </xf>
    <xf numFmtId="0" fontId="40" fillId="6" borderId="30" xfId="0" applyFont="1" applyFill="1" applyBorder="1" applyAlignment="1" applyProtection="1">
      <alignment horizontal="left" wrapText="1"/>
    </xf>
    <xf numFmtId="0" fontId="124" fillId="0" borderId="0" xfId="0" applyFont="1" applyFill="1" applyBorder="1" applyAlignment="1" applyProtection="1">
      <alignment vertical="center" wrapText="1"/>
      <protection hidden="1"/>
    </xf>
    <xf numFmtId="0" fontId="0" fillId="0" borderId="118" xfId="0" applyBorder="1" applyAlignment="1" applyProtection="1">
      <alignment horizontal="left" vertical="center" wrapText="1"/>
    </xf>
    <xf numFmtId="0" fontId="60" fillId="7" borderId="2" xfId="0" applyFont="1" applyFill="1" applyBorder="1" applyAlignment="1" applyProtection="1">
      <alignment horizontal="center" vertical="center" wrapText="1"/>
    </xf>
    <xf numFmtId="0" fontId="125" fillId="0" borderId="0" xfId="1" applyFont="1" applyAlignment="1" applyProtection="1">
      <alignment horizontal="center" vertical="center"/>
    </xf>
    <xf numFmtId="0" fontId="128" fillId="0" borderId="0" xfId="1" applyFont="1" applyFill="1" applyAlignment="1" applyProtection="1">
      <alignment horizontal="center" vertical="center" wrapText="1"/>
      <protection hidden="1"/>
    </xf>
    <xf numFmtId="0" fontId="1" fillId="0" borderId="0" xfId="1" applyFill="1" applyBorder="1" applyAlignment="1" applyProtection="1">
      <alignment horizontal="center" vertical="center"/>
      <protection locked="0" hidden="1"/>
    </xf>
    <xf numFmtId="0" fontId="128" fillId="0" borderId="0" xfId="1" applyFont="1" applyFill="1" applyBorder="1" applyAlignment="1" applyProtection="1">
      <alignment horizontal="center" vertical="center"/>
      <protection locked="0" hidden="1"/>
    </xf>
    <xf numFmtId="0" fontId="3" fillId="16" borderId="0" xfId="0" applyFont="1" applyFill="1" applyBorder="1" applyAlignment="1" applyProtection="1">
      <alignment horizontal="center"/>
      <protection locked="0"/>
    </xf>
    <xf numFmtId="0" fontId="0" fillId="0" borderId="241" xfId="0" applyFill="1" applyBorder="1" applyProtection="1">
      <protection hidden="1"/>
    </xf>
    <xf numFmtId="0" fontId="16" fillId="0" borderId="242" xfId="0" applyFont="1" applyFill="1" applyBorder="1" applyProtection="1">
      <protection hidden="1"/>
    </xf>
    <xf numFmtId="0" fontId="0" fillId="0" borderId="243" xfId="0" applyFill="1" applyBorder="1" applyProtection="1">
      <protection hidden="1"/>
    </xf>
    <xf numFmtId="0" fontId="116" fillId="16" borderId="4" xfId="3" applyFont="1" applyFill="1" applyBorder="1" applyAlignment="1">
      <alignment vertical="center" textRotation="90"/>
    </xf>
    <xf numFmtId="0" fontId="116" fillId="16" borderId="9" xfId="3" applyFont="1" applyFill="1" applyBorder="1" applyAlignment="1">
      <alignment vertical="center" textRotation="90"/>
    </xf>
    <xf numFmtId="0" fontId="116" fillId="16" borderId="1" xfId="3" applyFont="1" applyFill="1" applyBorder="1" applyAlignment="1">
      <alignment vertical="center" textRotation="90"/>
    </xf>
    <xf numFmtId="0" fontId="116" fillId="16" borderId="2" xfId="3" applyFont="1" applyFill="1" applyBorder="1" applyAlignment="1">
      <alignment vertical="center" textRotation="90"/>
    </xf>
    <xf numFmtId="0" fontId="116" fillId="16" borderId="3" xfId="3" applyFont="1" applyFill="1" applyBorder="1" applyAlignment="1">
      <alignment vertical="center" textRotation="90"/>
    </xf>
    <xf numFmtId="0" fontId="1" fillId="16" borderId="0" xfId="1" applyFill="1" applyBorder="1" applyAlignment="1" applyProtection="1">
      <alignment vertical="top"/>
    </xf>
    <xf numFmtId="0" fontId="130" fillId="16" borderId="0" xfId="1" applyFont="1" applyFill="1" applyBorder="1" applyAlignment="1" applyProtection="1">
      <alignment vertical="top"/>
    </xf>
    <xf numFmtId="0" fontId="131" fillId="2" borderId="86" xfId="1" applyFont="1" applyFill="1" applyBorder="1" applyAlignment="1" applyProtection="1">
      <alignment horizontal="left" vertical="center"/>
    </xf>
    <xf numFmtId="0" fontId="131" fillId="2" borderId="87" xfId="1" applyFont="1" applyFill="1" applyBorder="1" applyAlignment="1" applyProtection="1">
      <alignment horizontal="left" vertical="center"/>
    </xf>
    <xf numFmtId="0" fontId="2" fillId="0" borderId="144" xfId="3" applyFont="1" applyBorder="1" applyAlignment="1" applyProtection="1">
      <alignment horizontal="center" vertical="center"/>
      <protection locked="0"/>
    </xf>
    <xf numFmtId="0" fontId="2" fillId="0" borderId="145" xfId="3" applyFont="1" applyBorder="1" applyAlignment="1" applyProtection="1">
      <alignment horizontal="center" vertical="center"/>
      <protection locked="0"/>
    </xf>
    <xf numFmtId="0" fontId="2" fillId="0" borderId="146" xfId="3" applyFont="1" applyBorder="1" applyAlignment="1" applyProtection="1">
      <alignment horizontal="center" vertical="center"/>
      <protection locked="0"/>
    </xf>
    <xf numFmtId="0" fontId="2" fillId="0" borderId="147" xfId="3" applyFont="1" applyBorder="1" applyAlignment="1" applyProtection="1">
      <alignment horizontal="center" vertical="center"/>
      <protection locked="0"/>
    </xf>
    <xf numFmtId="0" fontId="2" fillId="0" borderId="148" xfId="3" applyFont="1" applyBorder="1" applyAlignment="1" applyProtection="1">
      <alignment horizontal="center" vertical="center"/>
      <protection locked="0"/>
    </xf>
    <xf numFmtId="0" fontId="2" fillId="0" borderId="149" xfId="3" applyFont="1" applyBorder="1" applyAlignment="1" applyProtection="1">
      <alignment horizontal="center" vertical="center"/>
      <protection locked="0"/>
    </xf>
    <xf numFmtId="0" fontId="2" fillId="0" borderId="150" xfId="3" applyFont="1" applyBorder="1" applyAlignment="1" applyProtection="1">
      <alignment horizontal="center" vertical="center"/>
      <protection locked="0"/>
    </xf>
    <xf numFmtId="0" fontId="2" fillId="0" borderId="151" xfId="3" applyFont="1" applyBorder="1" applyAlignment="1" applyProtection="1">
      <alignment horizontal="center" vertical="center"/>
      <protection locked="0"/>
    </xf>
    <xf numFmtId="0" fontId="2" fillId="0" borderId="152" xfId="3" applyFont="1" applyBorder="1" applyAlignment="1" applyProtection="1">
      <alignment horizontal="center" vertical="center"/>
      <protection locked="0"/>
    </xf>
    <xf numFmtId="0" fontId="3" fillId="0" borderId="0" xfId="3" applyFont="1" applyProtection="1">
      <protection locked="0"/>
    </xf>
    <xf numFmtId="0" fontId="3" fillId="0" borderId="219" xfId="3" applyFont="1" applyBorder="1" applyAlignment="1" applyProtection="1">
      <alignment vertical="center"/>
      <protection locked="0"/>
    </xf>
    <xf numFmtId="0" fontId="3" fillId="0" borderId="220" xfId="3" applyFont="1" applyBorder="1" applyAlignment="1" applyProtection="1">
      <alignment vertical="center"/>
      <protection locked="0"/>
    </xf>
    <xf numFmtId="0" fontId="3" fillId="0" borderId="220" xfId="3" applyFont="1" applyBorder="1" applyProtection="1">
      <protection locked="0"/>
    </xf>
    <xf numFmtId="0" fontId="3" fillId="0" borderId="221" xfId="3" applyFont="1" applyBorder="1" applyProtection="1">
      <protection locked="0"/>
    </xf>
    <xf numFmtId="0" fontId="3" fillId="3" borderId="147" xfId="0" applyFont="1" applyFill="1" applyBorder="1" applyAlignment="1" applyProtection="1">
      <alignment horizontal="center"/>
    </xf>
    <xf numFmtId="0" fontId="3" fillId="3" borderId="150" xfId="0" applyFont="1" applyFill="1" applyBorder="1" applyAlignment="1" applyProtection="1">
      <alignment horizontal="center"/>
    </xf>
    <xf numFmtId="0" fontId="2" fillId="0" borderId="160" xfId="3" applyFont="1" applyBorder="1" applyAlignment="1" applyProtection="1">
      <alignment horizontal="center" vertical="center"/>
      <protection locked="0"/>
    </xf>
    <xf numFmtId="0" fontId="2" fillId="0" borderId="159" xfId="3" applyFont="1" applyBorder="1" applyAlignment="1" applyProtection="1">
      <alignment horizontal="center" vertical="center"/>
      <protection locked="0"/>
    </xf>
    <xf numFmtId="0" fontId="2" fillId="0" borderId="155" xfId="3" applyFont="1" applyBorder="1" applyAlignment="1" applyProtection="1">
      <alignment horizontal="center" vertical="center"/>
      <protection locked="0"/>
    </xf>
    <xf numFmtId="0" fontId="2" fillId="0" borderId="153" xfId="3" applyFont="1" applyBorder="1" applyAlignment="1" applyProtection="1">
      <alignment horizontal="center" vertical="center"/>
      <protection locked="0"/>
    </xf>
    <xf numFmtId="0" fontId="2" fillId="0" borderId="226" xfId="3" applyFont="1" applyBorder="1" applyAlignment="1" applyProtection="1">
      <alignment horizontal="center" vertical="center"/>
      <protection locked="0"/>
    </xf>
    <xf numFmtId="0" fontId="2" fillId="0" borderId="227" xfId="3" applyFont="1" applyBorder="1" applyAlignment="1" applyProtection="1">
      <alignment horizontal="center" vertical="center"/>
      <protection locked="0"/>
    </xf>
    <xf numFmtId="0" fontId="2" fillId="0" borderId="229" xfId="3" applyFont="1" applyBorder="1" applyAlignment="1" applyProtection="1">
      <alignment horizontal="center" vertical="center"/>
      <protection locked="0"/>
    </xf>
    <xf numFmtId="0" fontId="2" fillId="0" borderId="228" xfId="3" applyFont="1" applyBorder="1" applyAlignment="1" applyProtection="1">
      <alignment horizontal="center" vertical="center"/>
      <protection locked="0"/>
    </xf>
    <xf numFmtId="0" fontId="2" fillId="0" borderId="217" xfId="3" applyFont="1" applyBorder="1" applyAlignment="1" applyProtection="1">
      <alignment horizontal="center" vertical="center"/>
      <protection locked="0"/>
    </xf>
    <xf numFmtId="0" fontId="38" fillId="0" borderId="0" xfId="0" applyFont="1" applyAlignment="1" applyProtection="1">
      <alignment horizontal="left" wrapText="1"/>
      <protection locked="0"/>
    </xf>
    <xf numFmtId="0" fontId="80" fillId="10" borderId="0" xfId="1" applyFont="1" applyFill="1" applyAlignment="1" applyProtection="1">
      <alignment horizontal="center"/>
    </xf>
    <xf numFmtId="0" fontId="51" fillId="4" borderId="0" xfId="0" applyFont="1" applyFill="1" applyAlignment="1" applyProtection="1">
      <alignment horizontal="center" vertical="center"/>
    </xf>
    <xf numFmtId="0" fontId="77" fillId="4" borderId="0" xfId="0" applyFont="1" applyFill="1" applyAlignment="1" applyProtection="1">
      <alignment horizontal="center"/>
    </xf>
    <xf numFmtId="0" fontId="79" fillId="3" borderId="0" xfId="1" applyFont="1" applyFill="1" applyAlignment="1" applyProtection="1">
      <alignment horizontal="center" vertical="center"/>
    </xf>
    <xf numFmtId="0" fontId="78" fillId="3" borderId="0" xfId="0" applyFont="1" applyFill="1" applyAlignment="1" applyProtection="1">
      <alignment horizontal="center"/>
    </xf>
    <xf numFmtId="0" fontId="76" fillId="3" borderId="0" xfId="1" applyFont="1" applyFill="1" applyAlignment="1" applyProtection="1">
      <alignment horizontal="center"/>
    </xf>
    <xf numFmtId="0" fontId="51" fillId="2" borderId="1" xfId="0" applyFont="1" applyFill="1" applyBorder="1" applyAlignment="1" applyProtection="1">
      <alignment horizontal="center" vertical="center"/>
    </xf>
    <xf numFmtId="0" fontId="51" fillId="2" borderId="3" xfId="0" applyFont="1" applyFill="1" applyBorder="1" applyAlignment="1" applyProtection="1">
      <alignment horizontal="center" vertical="center"/>
    </xf>
    <xf numFmtId="0" fontId="59" fillId="0" borderId="2" xfId="0" applyFont="1" applyBorder="1" applyAlignment="1" applyProtection="1">
      <alignment horizontal="left" vertical="center" wrapText="1"/>
    </xf>
    <xf numFmtId="0" fontId="40" fillId="0" borderId="147" xfId="0" applyFont="1" applyFill="1" applyBorder="1" applyAlignment="1" applyProtection="1">
      <alignment horizontal="center" vertical="center" wrapText="1"/>
      <protection locked="0"/>
    </xf>
    <xf numFmtId="0" fontId="40" fillId="0" borderId="150" xfId="0" applyFont="1" applyFill="1" applyBorder="1" applyAlignment="1" applyProtection="1">
      <alignment horizontal="center" vertical="center" wrapText="1"/>
      <protection locked="0"/>
    </xf>
    <xf numFmtId="0" fontId="40" fillId="0" borderId="149" xfId="0" applyFont="1" applyFill="1" applyBorder="1" applyAlignment="1" applyProtection="1">
      <alignment horizontal="center" vertical="center" wrapText="1"/>
      <protection locked="0"/>
    </xf>
    <xf numFmtId="0" fontId="40" fillId="0" borderId="152" xfId="0" applyFont="1" applyFill="1" applyBorder="1" applyAlignment="1" applyProtection="1">
      <alignment horizontal="center" vertical="center" wrapText="1"/>
      <protection locked="0"/>
    </xf>
    <xf numFmtId="0" fontId="39" fillId="3" borderId="6" xfId="0" applyFont="1" applyFill="1" applyBorder="1" applyAlignment="1">
      <alignment horizontal="center" vertical="center" wrapText="1"/>
    </xf>
    <xf numFmtId="0" fontId="39" fillId="3" borderId="7" xfId="0" applyFont="1" applyFill="1" applyBorder="1" applyAlignment="1">
      <alignment horizontal="center" vertical="center" wrapText="1"/>
    </xf>
    <xf numFmtId="0" fontId="40" fillId="0" borderId="84" xfId="0" applyFont="1" applyFill="1" applyBorder="1" applyAlignment="1" applyProtection="1">
      <alignment horizontal="center" vertical="center" wrapText="1"/>
      <protection locked="0"/>
    </xf>
    <xf numFmtId="0" fontId="40" fillId="0" borderId="41" xfId="0" applyFont="1" applyFill="1" applyBorder="1" applyAlignment="1" applyProtection="1">
      <alignment horizontal="center" vertical="center" wrapText="1"/>
      <protection locked="0"/>
    </xf>
    <xf numFmtId="0" fontId="40" fillId="0" borderId="21" xfId="0" applyFont="1" applyFill="1" applyBorder="1" applyAlignment="1" applyProtection="1">
      <alignment horizontal="center" vertical="center" wrapText="1"/>
      <protection locked="0"/>
    </xf>
    <xf numFmtId="0" fontId="40" fillId="0" borderId="39" xfId="0" applyFont="1" applyFill="1" applyBorder="1" applyAlignment="1" applyProtection="1">
      <alignment horizontal="center" vertical="center" wrapText="1"/>
      <protection locked="0"/>
    </xf>
    <xf numFmtId="0" fontId="40" fillId="0" borderId="193" xfId="0" applyFont="1" applyFill="1" applyBorder="1" applyAlignment="1" applyProtection="1">
      <alignment horizontal="center" vertical="center" wrapText="1"/>
      <protection locked="0"/>
    </xf>
    <xf numFmtId="0" fontId="40" fillId="0" borderId="40" xfId="0" applyFont="1" applyFill="1" applyBorder="1" applyAlignment="1" applyProtection="1">
      <alignment horizontal="center" vertical="center" wrapText="1"/>
      <protection locked="0"/>
    </xf>
    <xf numFmtId="0" fontId="40" fillId="0" borderId="179" xfId="0" applyFont="1" applyFill="1" applyBorder="1" applyAlignment="1" applyProtection="1">
      <alignment horizontal="center" vertical="center" wrapText="1"/>
      <protection locked="0"/>
    </xf>
    <xf numFmtId="0" fontId="40" fillId="0" borderId="190" xfId="0" applyFont="1" applyFill="1" applyBorder="1" applyAlignment="1" applyProtection="1">
      <alignment horizontal="center" vertical="center" wrapText="1"/>
      <protection locked="0"/>
    </xf>
    <xf numFmtId="0" fontId="40" fillId="0" borderId="192" xfId="0" applyFont="1" applyFill="1" applyBorder="1" applyAlignment="1" applyProtection="1">
      <alignment horizontal="center" vertical="center" wrapText="1"/>
      <protection locked="0"/>
    </xf>
    <xf numFmtId="0" fontId="40" fillId="3" borderId="6" xfId="0" applyFont="1" applyFill="1" applyBorder="1" applyAlignment="1" applyProtection="1">
      <alignment horizontal="center" vertical="center" wrapText="1"/>
      <protection locked="0"/>
    </xf>
    <xf numFmtId="0" fontId="40" fillId="3" borderId="7" xfId="0" applyFont="1" applyFill="1" applyBorder="1" applyAlignment="1" applyProtection="1">
      <alignment horizontal="center" vertical="center" wrapText="1"/>
      <protection locked="0"/>
    </xf>
    <xf numFmtId="0" fontId="39" fillId="3" borderId="5" xfId="0" applyFont="1" applyFill="1" applyBorder="1" applyAlignment="1">
      <alignment horizontal="center" vertical="center" wrapText="1"/>
    </xf>
    <xf numFmtId="0" fontId="40" fillId="0" borderId="188" xfId="0" applyFont="1" applyFill="1" applyBorder="1" applyAlignment="1" applyProtection="1">
      <alignment horizontal="center" vertical="center" wrapText="1"/>
      <protection locked="0"/>
    </xf>
    <xf numFmtId="0" fontId="40" fillId="0" borderId="194" xfId="0" applyFont="1" applyFill="1" applyBorder="1" applyAlignment="1" applyProtection="1">
      <alignment horizontal="center" vertical="center" wrapText="1"/>
      <protection locked="0"/>
    </xf>
    <xf numFmtId="0" fontId="40" fillId="0" borderId="189" xfId="0" applyFont="1" applyFill="1" applyBorder="1" applyAlignment="1" applyProtection="1">
      <alignment horizontal="center" vertical="center" wrapText="1"/>
      <protection locked="0"/>
    </xf>
    <xf numFmtId="0" fontId="40" fillId="0" borderId="195" xfId="0" applyFont="1" applyFill="1" applyBorder="1" applyAlignment="1" applyProtection="1">
      <alignment horizontal="center" vertical="center" wrapText="1"/>
      <protection locked="0"/>
    </xf>
    <xf numFmtId="0" fontId="40" fillId="0" borderId="191" xfId="0" applyFont="1" applyFill="1" applyBorder="1" applyAlignment="1" applyProtection="1">
      <alignment horizontal="center" vertical="center" wrapText="1"/>
      <protection locked="0"/>
    </xf>
    <xf numFmtId="0" fontId="40" fillId="0" borderId="196" xfId="0" applyFont="1" applyFill="1" applyBorder="1" applyAlignment="1" applyProtection="1">
      <alignment horizontal="center" vertical="center" wrapText="1"/>
      <protection locked="0"/>
    </xf>
    <xf numFmtId="0" fontId="40" fillId="0" borderId="77" xfId="0" applyFont="1" applyFill="1" applyBorder="1" applyAlignment="1" applyProtection="1">
      <alignment horizontal="center" vertical="center" wrapText="1"/>
      <protection locked="0"/>
    </xf>
    <xf numFmtId="0" fontId="40" fillId="0" borderId="78" xfId="0" applyFont="1" applyFill="1" applyBorder="1" applyAlignment="1" applyProtection="1">
      <alignment horizontal="center" vertical="center" wrapText="1"/>
      <protection locked="0"/>
    </xf>
    <xf numFmtId="0" fontId="40" fillId="0" borderId="79" xfId="0" applyFont="1" applyFill="1" applyBorder="1" applyAlignment="1" applyProtection="1">
      <alignment horizontal="center" vertical="center" wrapText="1"/>
      <protection locked="0"/>
    </xf>
    <xf numFmtId="0" fontId="40" fillId="3" borderId="5" xfId="0" applyFont="1" applyFill="1" applyBorder="1" applyAlignment="1" applyProtection="1">
      <alignment horizontal="center" vertical="center" wrapText="1"/>
      <protection locked="0"/>
    </xf>
    <xf numFmtId="0" fontId="40" fillId="0" borderId="144" xfId="0" applyFont="1" applyFill="1" applyBorder="1" applyAlignment="1" applyProtection="1">
      <alignment horizontal="center" vertical="center" wrapText="1"/>
      <protection locked="0"/>
    </xf>
    <xf numFmtId="0" fontId="40" fillId="0" borderId="146" xfId="0" applyFont="1" applyFill="1" applyBorder="1" applyAlignment="1" applyProtection="1">
      <alignment horizontal="center" vertical="center" wrapText="1"/>
      <protection locked="0"/>
    </xf>
    <xf numFmtId="0" fontId="40" fillId="0" borderId="48" xfId="0" applyFont="1" applyFill="1" applyBorder="1" applyAlignment="1" applyProtection="1">
      <alignment horizontal="center" vertical="center" wrapText="1"/>
      <protection locked="0"/>
    </xf>
    <xf numFmtId="0" fontId="40" fillId="0" borderId="62"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56" xfId="0" applyFont="1" applyFill="1" applyBorder="1" applyAlignment="1" applyProtection="1">
      <alignment horizontal="center" vertical="center" wrapText="1"/>
      <protection locked="0"/>
    </xf>
    <xf numFmtId="0" fontId="40" fillId="0" borderId="63" xfId="0" applyFont="1" applyFill="1" applyBorder="1" applyAlignment="1" applyProtection="1">
      <alignment horizontal="center" vertical="center" wrapText="1"/>
      <protection locked="0"/>
    </xf>
    <xf numFmtId="0" fontId="40" fillId="0" borderId="60" xfId="0" applyFont="1" applyFill="1" applyBorder="1" applyAlignment="1" applyProtection="1">
      <alignment horizontal="center" vertical="center" wrapText="1"/>
      <protection locked="0"/>
    </xf>
    <xf numFmtId="0" fontId="40" fillId="0" borderId="61"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40" fillId="0" borderId="59" xfId="0" applyFont="1" applyFill="1" applyBorder="1" applyAlignment="1" applyProtection="1">
      <alignment horizontal="center" vertical="center" wrapText="1"/>
      <protection locked="0"/>
    </xf>
    <xf numFmtId="0" fontId="38" fillId="4" borderId="10" xfId="0" applyFont="1" applyFill="1" applyBorder="1" applyAlignment="1">
      <alignment horizontal="center" vertical="center" wrapText="1"/>
    </xf>
    <xf numFmtId="0" fontId="38" fillId="4" borderId="4" xfId="0" applyFont="1" applyFill="1" applyBorder="1" applyAlignment="1">
      <alignment horizontal="center" vertical="center" wrapText="1"/>
    </xf>
    <xf numFmtId="0" fontId="38" fillId="4" borderId="1" xfId="0" applyFont="1" applyFill="1" applyBorder="1" applyAlignment="1">
      <alignment horizontal="center" vertical="center" wrapText="1"/>
    </xf>
    <xf numFmtId="0" fontId="44" fillId="0" borderId="28" xfId="0" applyFont="1" applyBorder="1" applyAlignment="1" applyProtection="1">
      <alignment horizontal="left" vertical="center" wrapText="1"/>
      <protection locked="0"/>
    </xf>
    <xf numFmtId="0" fontId="44" fillId="0" borderId="88" xfId="0" applyFont="1" applyBorder="1" applyAlignment="1" applyProtection="1">
      <alignment horizontal="left" vertical="center" wrapText="1"/>
      <protection locked="0"/>
    </xf>
    <xf numFmtId="0" fontId="44" fillId="0" borderId="89" xfId="0" applyFont="1" applyBorder="1" applyAlignment="1" applyProtection="1">
      <alignment horizontal="left" vertical="center" wrapText="1"/>
      <protection locked="0"/>
    </xf>
    <xf numFmtId="0" fontId="58" fillId="3" borderId="13" xfId="0" applyFont="1" applyFill="1" applyBorder="1" applyAlignment="1" applyProtection="1">
      <alignment horizontal="center" vertical="center" wrapText="1"/>
      <protection locked="0"/>
    </xf>
    <xf numFmtId="0" fontId="57" fillId="0" borderId="13" xfId="0" applyFont="1" applyFill="1" applyBorder="1" applyAlignment="1" applyProtection="1">
      <alignment horizontal="center" vertical="center" wrapText="1"/>
      <protection locked="0"/>
    </xf>
    <xf numFmtId="0" fontId="1" fillId="0" borderId="2" xfId="1" applyBorder="1" applyAlignment="1" applyProtection="1">
      <alignment horizontal="center" vertical="center" wrapText="1"/>
    </xf>
    <xf numFmtId="0" fontId="39" fillId="4" borderId="13" xfId="0" applyFont="1" applyFill="1" applyBorder="1" applyAlignment="1" applyProtection="1">
      <alignment horizontal="center" vertical="center" wrapText="1"/>
    </xf>
    <xf numFmtId="0" fontId="39" fillId="4" borderId="5" xfId="0" applyFont="1" applyFill="1" applyBorder="1" applyAlignment="1" applyProtection="1">
      <alignment horizontal="center" vertical="center" wrapText="1"/>
    </xf>
    <xf numFmtId="0" fontId="39" fillId="4" borderId="14" xfId="0" applyFont="1" applyFill="1" applyBorder="1" applyAlignment="1" applyProtection="1">
      <alignment horizontal="center" vertical="center" wrapText="1"/>
    </xf>
    <xf numFmtId="0" fontId="39" fillId="4" borderId="10" xfId="0" applyFont="1" applyFill="1" applyBorder="1" applyAlignment="1" applyProtection="1">
      <alignment horizontal="center" vertical="center" wrapText="1"/>
    </xf>
    <xf numFmtId="0" fontId="39" fillId="4" borderId="8" xfId="0" applyFont="1" applyFill="1" applyBorder="1" applyAlignment="1" applyProtection="1">
      <alignment horizontal="center" vertical="center" wrapText="1"/>
    </xf>
    <xf numFmtId="0" fontId="38" fillId="4" borderId="10" xfId="0" applyFont="1" applyFill="1" applyBorder="1" applyAlignment="1" applyProtection="1">
      <alignment horizontal="center" vertical="center" wrapText="1"/>
    </xf>
    <xf numFmtId="0" fontId="38" fillId="4" borderId="8" xfId="0" applyFont="1" applyFill="1" applyBorder="1" applyAlignment="1" applyProtection="1">
      <alignment horizontal="center" vertical="center" wrapText="1"/>
    </xf>
    <xf numFmtId="0" fontId="38" fillId="4" borderId="11" xfId="0" applyFont="1" applyFill="1" applyBorder="1" applyAlignment="1" applyProtection="1">
      <alignment horizontal="center" vertical="center" wrapText="1"/>
    </xf>
    <xf numFmtId="0" fontId="38" fillId="4" borderId="1" xfId="0" applyFont="1" applyFill="1" applyBorder="1" applyAlignment="1" applyProtection="1">
      <alignment horizontal="center" vertical="center" wrapText="1"/>
    </xf>
    <xf numFmtId="0" fontId="38" fillId="4" borderId="2" xfId="0" applyFont="1" applyFill="1" applyBorder="1" applyAlignment="1" applyProtection="1">
      <alignment horizontal="center" vertical="center" wrapText="1"/>
    </xf>
    <xf numFmtId="0" fontId="38" fillId="4" borderId="3" xfId="0" applyFont="1" applyFill="1" applyBorder="1" applyAlignment="1" applyProtection="1">
      <alignment horizontal="center" vertical="center" wrapText="1"/>
    </xf>
    <xf numFmtId="0" fontId="39" fillId="4" borderId="11" xfId="0" applyFont="1" applyFill="1" applyBorder="1" applyAlignment="1" applyProtection="1">
      <alignment horizontal="center" vertical="center" wrapText="1"/>
    </xf>
    <xf numFmtId="14" fontId="54" fillId="0" borderId="60" xfId="0" applyNumberFormat="1"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112" fillId="0" borderId="0" xfId="0" applyFont="1" applyFill="1" applyBorder="1" applyAlignment="1" applyProtection="1">
      <alignment horizontal="center" vertical="center"/>
      <protection hidden="1"/>
    </xf>
    <xf numFmtId="0" fontId="107" fillId="0" borderId="0" xfId="0" applyFont="1" applyAlignment="1" applyProtection="1">
      <alignment horizontal="center" vertical="center" wrapText="1"/>
      <protection hidden="1"/>
    </xf>
    <xf numFmtId="0" fontId="108" fillId="2" borderId="0" xfId="1" applyFont="1" applyFill="1" applyAlignment="1" applyProtection="1"/>
    <xf numFmtId="0" fontId="109" fillId="2" borderId="0" xfId="0" applyFont="1" applyFill="1" applyAlignment="1" applyProtection="1">
      <alignment horizontal="left" vertical="center"/>
      <protection hidden="1"/>
    </xf>
    <xf numFmtId="0" fontId="110" fillId="0" borderId="0" xfId="0" applyFont="1" applyFill="1" applyBorder="1" applyAlignment="1" applyProtection="1">
      <alignment horizontal="center"/>
      <protection hidden="1"/>
    </xf>
    <xf numFmtId="0" fontId="1" fillId="16" borderId="0" xfId="1" applyFill="1" applyAlignment="1" applyProtection="1">
      <alignment horizontal="center" vertical="center" textRotation="90"/>
      <protection hidden="1"/>
    </xf>
    <xf numFmtId="0" fontId="5" fillId="0" borderId="13" xfId="0" applyFont="1" applyFill="1" applyBorder="1" applyAlignment="1" applyProtection="1">
      <alignment horizontal="center" vertical="center"/>
      <protection hidden="1"/>
    </xf>
    <xf numFmtId="0" fontId="3" fillId="0" borderId="5" xfId="0" applyFont="1" applyFill="1" applyBorder="1" applyAlignment="1" applyProtection="1">
      <alignment horizontal="left" vertical="center"/>
      <protection hidden="1"/>
    </xf>
    <xf numFmtId="0" fontId="3" fillId="0" borderId="6" xfId="0" applyFont="1" applyFill="1" applyBorder="1" applyAlignment="1" applyProtection="1">
      <alignment horizontal="left" vertical="center"/>
      <protection hidden="1"/>
    </xf>
    <xf numFmtId="0" fontId="3" fillId="0" borderId="7" xfId="0" applyFont="1" applyFill="1" applyBorder="1" applyAlignment="1" applyProtection="1">
      <alignment horizontal="left" vertical="center"/>
      <protection hidden="1"/>
    </xf>
    <xf numFmtId="0" fontId="6" fillId="4" borderId="10"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0" fontId="6" fillId="4" borderId="1" xfId="0" applyFont="1" applyFill="1" applyBorder="1" applyAlignment="1" applyProtection="1">
      <alignment horizontal="center" vertical="center"/>
      <protection hidden="1"/>
    </xf>
    <xf numFmtId="0" fontId="6" fillId="4" borderId="8" xfId="0" applyFont="1" applyFill="1" applyBorder="1" applyAlignment="1" applyProtection="1">
      <alignment horizontal="center" vertical="center"/>
      <protection hidden="1"/>
    </xf>
    <xf numFmtId="0" fontId="6" fillId="4" borderId="0"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7" fillId="2" borderId="11" xfId="0" applyFont="1" applyFill="1" applyBorder="1" applyAlignment="1" applyProtection="1">
      <alignment horizontal="center" vertical="center"/>
      <protection hidden="1"/>
    </xf>
    <xf numFmtId="0" fontId="7" fillId="2" borderId="9" xfId="0" applyFont="1" applyFill="1" applyBorder="1" applyAlignment="1" applyProtection="1">
      <alignment horizontal="center" vertical="center"/>
      <protection hidden="1"/>
    </xf>
    <xf numFmtId="0" fontId="6" fillId="4" borderId="13" xfId="0" applyFont="1" applyFill="1" applyBorder="1" applyAlignment="1" applyProtection="1">
      <alignment horizontal="center" vertical="center"/>
      <protection hidden="1"/>
    </xf>
    <xf numFmtId="0" fontId="5" fillId="4" borderId="168" xfId="0" applyFont="1" applyFill="1" applyBorder="1" applyAlignment="1" applyProtection="1">
      <alignment horizontal="center" vertical="center"/>
      <protection hidden="1"/>
    </xf>
    <xf numFmtId="0" fontId="5" fillId="4" borderId="169" xfId="0" applyFont="1" applyFill="1" applyBorder="1" applyAlignment="1" applyProtection="1">
      <alignment horizontal="center" vertical="center"/>
      <protection hidden="1"/>
    </xf>
    <xf numFmtId="0" fontId="5" fillId="4" borderId="170" xfId="0" applyFont="1" applyFill="1" applyBorder="1" applyAlignment="1" applyProtection="1">
      <alignment horizontal="center" vertical="center"/>
      <protection hidden="1"/>
    </xf>
    <xf numFmtId="0" fontId="8" fillId="4" borderId="10" xfId="0" applyFont="1" applyFill="1" applyBorder="1" applyAlignment="1" applyProtection="1">
      <alignment horizontal="center" vertical="center" wrapText="1"/>
      <protection hidden="1"/>
    </xf>
    <xf numFmtId="0" fontId="8" fillId="4" borderId="8" xfId="0" applyFont="1" applyFill="1" applyBorder="1" applyAlignment="1" applyProtection="1">
      <alignment horizontal="center" vertical="center" wrapText="1"/>
      <protection hidden="1"/>
    </xf>
    <xf numFmtId="0" fontId="8" fillId="4" borderId="11" xfId="0" applyFont="1" applyFill="1" applyBorder="1" applyAlignment="1" applyProtection="1">
      <alignment horizontal="center" vertical="center" wrapText="1"/>
      <protection hidden="1"/>
    </xf>
    <xf numFmtId="0" fontId="8" fillId="4" borderId="4" xfId="0" applyFont="1" applyFill="1" applyBorder="1" applyAlignment="1" applyProtection="1">
      <alignment horizontal="center" vertical="center" wrapText="1"/>
      <protection hidden="1"/>
    </xf>
    <xf numFmtId="0" fontId="8" fillId="4" borderId="0" xfId="0" applyFont="1" applyFill="1" applyBorder="1" applyAlignment="1" applyProtection="1">
      <alignment horizontal="center" vertical="center" wrapText="1"/>
      <protection hidden="1"/>
    </xf>
    <xf numFmtId="0" fontId="8" fillId="4" borderId="9" xfId="0" applyFont="1" applyFill="1" applyBorder="1" applyAlignment="1" applyProtection="1">
      <alignment horizontal="center" vertical="center" wrapText="1"/>
      <protection hidden="1"/>
    </xf>
    <xf numFmtId="0" fontId="9" fillId="4" borderId="5" xfId="0" applyFont="1" applyFill="1" applyBorder="1" applyAlignment="1" applyProtection="1">
      <alignment horizontal="center" vertical="center" wrapText="1"/>
      <protection hidden="1"/>
    </xf>
    <xf numFmtId="0" fontId="4" fillId="4" borderId="6" xfId="0" applyFont="1" applyFill="1" applyBorder="1" applyAlignment="1" applyProtection="1">
      <alignment horizontal="center" vertical="center" wrapText="1"/>
      <protection hidden="1"/>
    </xf>
    <xf numFmtId="0" fontId="4" fillId="4" borderId="7" xfId="0" applyFont="1" applyFill="1" applyBorder="1" applyAlignment="1" applyProtection="1">
      <alignment horizontal="center" vertical="center" wrapText="1"/>
      <protection hidden="1"/>
    </xf>
    <xf numFmtId="0" fontId="7" fillId="2" borderId="3" xfId="0" applyFont="1" applyFill="1" applyBorder="1" applyAlignment="1" applyProtection="1">
      <alignment horizontal="center" vertical="center"/>
      <protection hidden="1"/>
    </xf>
    <xf numFmtId="0" fontId="5" fillId="2" borderId="13" xfId="0" applyFont="1" applyFill="1" applyBorder="1" applyAlignment="1" applyProtection="1">
      <alignment horizontal="center" vertical="center" textRotation="90"/>
      <protection locked="0" hidden="1"/>
    </xf>
    <xf numFmtId="0" fontId="51" fillId="2" borderId="0" xfId="0" applyFont="1" applyFill="1" applyAlignment="1" applyProtection="1">
      <alignment horizontal="center" vertical="center"/>
      <protection hidden="1"/>
    </xf>
    <xf numFmtId="0" fontId="108" fillId="2" borderId="0" xfId="1" applyFont="1" applyFill="1" applyAlignment="1" applyProtection="1">
      <alignment horizontal="left" vertical="center"/>
      <protection hidden="1"/>
    </xf>
    <xf numFmtId="0" fontId="111" fillId="0" borderId="0" xfId="0" applyFont="1" applyFill="1" applyBorder="1" applyAlignment="1" applyProtection="1">
      <alignment horizontal="center"/>
      <protection hidden="1"/>
    </xf>
    <xf numFmtId="0" fontId="112" fillId="0" borderId="2" xfId="0" applyFont="1" applyFill="1" applyBorder="1" applyAlignment="1" applyProtection="1">
      <alignment horizontal="center" vertical="center"/>
      <protection hidden="1"/>
    </xf>
    <xf numFmtId="0" fontId="6" fillId="4" borderId="5" xfId="0" applyFont="1" applyFill="1" applyBorder="1" applyAlignment="1" applyProtection="1">
      <alignment horizontal="center" vertical="center"/>
      <protection hidden="1"/>
    </xf>
    <xf numFmtId="0" fontId="6" fillId="4" borderId="6" xfId="0" applyFont="1" applyFill="1" applyBorder="1" applyAlignment="1" applyProtection="1">
      <alignment horizontal="center" vertical="center"/>
      <protection hidden="1"/>
    </xf>
    <xf numFmtId="0" fontId="6" fillId="4" borderId="7" xfId="0" applyFont="1" applyFill="1" applyBorder="1" applyAlignment="1" applyProtection="1">
      <alignment horizontal="center" vertical="center"/>
      <protection hidden="1"/>
    </xf>
    <xf numFmtId="0" fontId="5" fillId="4" borderId="183" xfId="0" applyFont="1" applyFill="1" applyBorder="1" applyAlignment="1" applyProtection="1">
      <alignment horizontal="center" vertical="center"/>
      <protection hidden="1"/>
    </xf>
    <xf numFmtId="0" fontId="5" fillId="4" borderId="184" xfId="0" applyFont="1" applyFill="1" applyBorder="1" applyAlignment="1" applyProtection="1">
      <alignment horizontal="center" vertical="center"/>
      <protection hidden="1"/>
    </xf>
    <xf numFmtId="0" fontId="5" fillId="4" borderId="185" xfId="0" applyFont="1" applyFill="1" applyBorder="1" applyAlignment="1" applyProtection="1">
      <alignment horizontal="center" vertical="center"/>
      <protection hidden="1"/>
    </xf>
    <xf numFmtId="0" fontId="9" fillId="4" borderId="6" xfId="0" applyFont="1" applyFill="1" applyBorder="1" applyAlignment="1" applyProtection="1">
      <alignment horizontal="center" vertical="center" wrapText="1"/>
      <protection hidden="1"/>
    </xf>
    <xf numFmtId="0" fontId="9" fillId="4" borderId="7" xfId="0" applyFont="1" applyFill="1" applyBorder="1" applyAlignment="1" applyProtection="1">
      <alignment horizontal="center" vertical="center" wrapText="1"/>
      <protection hidden="1"/>
    </xf>
    <xf numFmtId="0" fontId="0" fillId="0" borderId="0" xfId="0" applyAlignment="1">
      <alignment horizontal="center" vertical="center"/>
    </xf>
    <xf numFmtId="0" fontId="0" fillId="17" borderId="0" xfId="0" applyFill="1" applyAlignment="1">
      <alignment horizontal="center" vertical="center"/>
    </xf>
    <xf numFmtId="0" fontId="0" fillId="0" borderId="0" xfId="0" applyAlignment="1">
      <alignment horizontal="center"/>
    </xf>
    <xf numFmtId="0" fontId="0" fillId="0" borderId="0" xfId="0" applyFont="1" applyBorder="1" applyAlignment="1" applyProtection="1">
      <alignment horizontal="center" vertical="center" wrapText="1"/>
      <protection hidden="1"/>
    </xf>
    <xf numFmtId="0" fontId="0" fillId="0" borderId="2" xfId="0" applyFont="1" applyBorder="1" applyAlignment="1" applyProtection="1">
      <alignment horizontal="center" vertical="center" wrapText="1"/>
      <protection hidden="1"/>
    </xf>
    <xf numFmtId="0" fontId="0" fillId="4" borderId="5" xfId="0" applyFont="1" applyFill="1" applyBorder="1" applyAlignment="1" applyProtection="1">
      <alignment horizontal="center" vertical="center" wrapText="1"/>
      <protection hidden="1"/>
    </xf>
    <xf numFmtId="0" fontId="0" fillId="4" borderId="6" xfId="0" applyFont="1" applyFill="1" applyBorder="1" applyAlignment="1" applyProtection="1">
      <alignment horizontal="center" vertical="center" wrapText="1"/>
      <protection hidden="1"/>
    </xf>
    <xf numFmtId="0" fontId="0" fillId="4" borderId="7" xfId="0" applyFont="1" applyFill="1" applyBorder="1" applyAlignment="1" applyProtection="1">
      <alignment horizontal="center" vertical="center" wrapText="1"/>
      <protection hidden="1"/>
    </xf>
    <xf numFmtId="0" fontId="38" fillId="4" borderId="5" xfId="0" applyFont="1" applyFill="1" applyBorder="1" applyAlignment="1" applyProtection="1">
      <alignment horizontal="center" vertical="center" textRotation="90" wrapText="1"/>
      <protection hidden="1"/>
    </xf>
    <xf numFmtId="0" fontId="38" fillId="4" borderId="6" xfId="0" applyFont="1" applyFill="1" applyBorder="1" applyAlignment="1" applyProtection="1">
      <alignment horizontal="center" vertical="center" textRotation="90" wrapText="1"/>
      <protection hidden="1"/>
    </xf>
    <xf numFmtId="0" fontId="38" fillId="4" borderId="7" xfId="0" applyFont="1" applyFill="1" applyBorder="1" applyAlignment="1" applyProtection="1">
      <alignment horizontal="center" vertical="center" textRotation="90" wrapText="1"/>
      <protection hidden="1"/>
    </xf>
    <xf numFmtId="0" fontId="38" fillId="4" borderId="10" xfId="0" applyFont="1" applyFill="1" applyBorder="1" applyAlignment="1" applyProtection="1">
      <alignment horizontal="center" vertical="center" wrapText="1"/>
      <protection hidden="1"/>
    </xf>
    <xf numFmtId="0" fontId="38" fillId="4" borderId="8" xfId="0" applyFont="1" applyFill="1" applyBorder="1" applyAlignment="1" applyProtection="1">
      <alignment horizontal="center" vertical="center" wrapText="1"/>
      <protection hidden="1"/>
    </xf>
    <xf numFmtId="0" fontId="38" fillId="4" borderId="11" xfId="0" applyFont="1" applyFill="1" applyBorder="1" applyAlignment="1" applyProtection="1">
      <alignment horizontal="center" vertical="center" wrapText="1"/>
      <protection hidden="1"/>
    </xf>
    <xf numFmtId="0" fontId="84" fillId="0" borderId="0" xfId="0" applyFont="1" applyFill="1" applyBorder="1" applyAlignment="1" applyProtection="1">
      <alignment horizontal="center"/>
      <protection hidden="1"/>
    </xf>
    <xf numFmtId="0" fontId="84" fillId="0" borderId="0" xfId="0" applyFont="1" applyFill="1" applyBorder="1" applyAlignment="1" applyProtection="1">
      <alignment horizontal="center" vertical="center"/>
      <protection hidden="1"/>
    </xf>
    <xf numFmtId="0" fontId="0" fillId="0" borderId="0" xfId="0" applyFont="1" applyBorder="1" applyAlignment="1" applyProtection="1">
      <alignment horizontal="right" vertical="center" wrapText="1"/>
      <protection hidden="1"/>
    </xf>
    <xf numFmtId="0" fontId="38" fillId="4" borderId="4" xfId="0" applyFont="1" applyFill="1" applyBorder="1" applyAlignment="1" applyProtection="1">
      <alignment horizontal="center" vertical="center" wrapText="1"/>
      <protection hidden="1"/>
    </xf>
    <xf numFmtId="0" fontId="38" fillId="4" borderId="9" xfId="0" applyFont="1" applyFill="1" applyBorder="1" applyAlignment="1" applyProtection="1">
      <alignment horizontal="center" vertical="center" wrapText="1"/>
      <protection hidden="1"/>
    </xf>
    <xf numFmtId="0" fontId="38" fillId="2" borderId="4" xfId="0" applyFont="1" applyFill="1" applyBorder="1" applyAlignment="1" applyProtection="1">
      <alignment horizontal="center" vertical="center" wrapText="1"/>
      <protection hidden="1"/>
    </xf>
    <xf numFmtId="0" fontId="38" fillId="2" borderId="0" xfId="0" applyFont="1" applyFill="1" applyBorder="1" applyAlignment="1" applyProtection="1">
      <alignment horizontal="center" vertical="center" wrapText="1"/>
      <protection hidden="1"/>
    </xf>
    <xf numFmtId="0" fontId="38" fillId="2" borderId="9" xfId="0" applyFont="1" applyFill="1" applyBorder="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38" fillId="3" borderId="32" xfId="0" applyFont="1" applyFill="1" applyBorder="1" applyAlignment="1" applyProtection="1">
      <alignment horizontal="left" vertical="center" wrapText="1"/>
      <protection hidden="1"/>
    </xf>
    <xf numFmtId="0" fontId="38" fillId="3" borderId="24" xfId="0" applyFont="1" applyFill="1" applyBorder="1" applyAlignment="1" applyProtection="1">
      <alignment horizontal="left" vertical="center" wrapText="1"/>
      <protection hidden="1"/>
    </xf>
    <xf numFmtId="0" fontId="45" fillId="2" borderId="11" xfId="0" applyFont="1" applyFill="1" applyBorder="1" applyAlignment="1" applyProtection="1">
      <alignment horizontal="center" vertical="center" wrapText="1"/>
      <protection hidden="1"/>
    </xf>
    <xf numFmtId="0" fontId="45" fillId="2" borderId="3" xfId="0" applyFont="1" applyFill="1" applyBorder="1" applyAlignment="1" applyProtection="1">
      <alignment horizontal="center" vertical="center" wrapText="1"/>
      <protection hidden="1"/>
    </xf>
    <xf numFmtId="0" fontId="38" fillId="3" borderId="25" xfId="0" applyFont="1" applyFill="1" applyBorder="1" applyAlignment="1" applyProtection="1">
      <alignment horizontal="left" vertical="center" wrapText="1"/>
      <protection hidden="1"/>
    </xf>
    <xf numFmtId="0" fontId="82" fillId="0" borderId="0" xfId="0" applyFont="1" applyAlignment="1" applyProtection="1">
      <alignment horizontal="center" vertical="center" wrapText="1"/>
      <protection hidden="1"/>
    </xf>
    <xf numFmtId="0" fontId="129" fillId="0" borderId="131" xfId="1" applyFont="1" applyBorder="1" applyAlignment="1" applyProtection="1">
      <alignment horizontal="center" vertical="center"/>
    </xf>
    <xf numFmtId="0" fontId="51" fillId="0" borderId="94" xfId="0" applyFont="1" applyBorder="1" applyAlignment="1" applyProtection="1">
      <alignment horizontal="center"/>
    </xf>
    <xf numFmtId="0" fontId="61" fillId="0" borderId="0" xfId="0" applyFont="1" applyBorder="1" applyAlignment="1" applyProtection="1">
      <alignment horizontal="center" vertical="center"/>
    </xf>
    <xf numFmtId="0" fontId="13" fillId="4" borderId="10" xfId="0" applyFont="1" applyFill="1" applyBorder="1" applyAlignment="1" applyProtection="1">
      <alignment vertical="center"/>
      <protection hidden="1"/>
    </xf>
    <xf numFmtId="0" fontId="13" fillId="4" borderId="8" xfId="0" applyFont="1" applyFill="1" applyBorder="1" applyAlignment="1" applyProtection="1">
      <alignment vertical="center"/>
      <protection hidden="1"/>
    </xf>
    <xf numFmtId="0" fontId="50" fillId="0" borderId="95" xfId="0" applyFont="1" applyFill="1" applyBorder="1" applyAlignment="1" applyProtection="1">
      <alignment vertical="center"/>
    </xf>
    <xf numFmtId="0" fontId="50" fillId="0" borderId="96" xfId="0" applyFont="1" applyFill="1" applyBorder="1" applyAlignment="1" applyProtection="1">
      <alignment vertical="center"/>
    </xf>
    <xf numFmtId="0" fontId="13" fillId="4" borderId="4" xfId="0" applyFont="1" applyFill="1" applyBorder="1" applyAlignment="1" applyProtection="1">
      <alignment vertical="center"/>
      <protection hidden="1"/>
    </xf>
    <xf numFmtId="0" fontId="13" fillId="4" borderId="0" xfId="0" applyFont="1" applyFill="1" applyBorder="1" applyAlignment="1" applyProtection="1">
      <alignment vertical="center"/>
      <protection hidden="1"/>
    </xf>
    <xf numFmtId="0" fontId="50" fillId="0" borderId="90" xfId="0" applyFont="1" applyFill="1" applyBorder="1" applyAlignment="1" applyProtection="1">
      <alignment horizontal="left" vertical="center"/>
    </xf>
    <xf numFmtId="0" fontId="50" fillId="0" borderId="90" xfId="0" applyFont="1" applyFill="1" applyBorder="1" applyAlignment="1" applyProtection="1">
      <alignment vertical="center"/>
    </xf>
    <xf numFmtId="0" fontId="50" fillId="0" borderId="91" xfId="0" applyFont="1" applyFill="1" applyBorder="1" applyAlignment="1" applyProtection="1">
      <alignment vertical="center"/>
    </xf>
    <xf numFmtId="0" fontId="13" fillId="4" borderId="1" xfId="0" applyFont="1" applyFill="1" applyBorder="1" applyAlignment="1" applyProtection="1">
      <alignment vertical="center"/>
      <protection hidden="1"/>
    </xf>
    <xf numFmtId="0" fontId="13" fillId="4" borderId="2" xfId="0" applyFont="1" applyFill="1" applyBorder="1" applyAlignment="1" applyProtection="1">
      <alignment vertical="center"/>
      <protection hidden="1"/>
    </xf>
    <xf numFmtId="0" fontId="50" fillId="0" borderId="92" xfId="0" applyFont="1" applyFill="1" applyBorder="1" applyAlignment="1" applyProtection="1">
      <alignment vertical="center"/>
    </xf>
    <xf numFmtId="165" fontId="50" fillId="0" borderId="92" xfId="0" applyNumberFormat="1" applyFont="1" applyFill="1" applyBorder="1" applyAlignment="1" applyProtection="1">
      <alignment horizontal="center" vertical="center"/>
    </xf>
    <xf numFmtId="165" fontId="50" fillId="0" borderId="93" xfId="0" applyNumberFormat="1" applyFont="1" applyFill="1" applyBorder="1" applyAlignment="1" applyProtection="1">
      <alignment horizontal="center" vertical="center"/>
    </xf>
    <xf numFmtId="0" fontId="34" fillId="0" borderId="0" xfId="0" applyFont="1" applyFill="1" applyBorder="1" applyAlignment="1" applyProtection="1">
      <alignment horizontal="center" vertical="center"/>
      <protection hidden="1"/>
    </xf>
    <xf numFmtId="0" fontId="2" fillId="4" borderId="48" xfId="0" applyFont="1" applyFill="1" applyBorder="1" applyAlignment="1" applyProtection="1">
      <alignment horizontal="center" vertical="center"/>
      <protection hidden="1"/>
    </xf>
    <xf numFmtId="0" fontId="2" fillId="4" borderId="48" xfId="0" applyFont="1" applyFill="1" applyBorder="1" applyAlignment="1" applyProtection="1">
      <alignment horizontal="center" vertical="center" wrapText="1"/>
      <protection hidden="1"/>
    </xf>
    <xf numFmtId="0" fontId="15" fillId="4" borderId="48" xfId="0" applyFont="1" applyFill="1" applyBorder="1" applyAlignment="1" applyProtection="1">
      <alignment horizontal="center" vertical="center"/>
      <protection hidden="1"/>
    </xf>
    <xf numFmtId="0" fontId="6" fillId="0" borderId="0" xfId="0" applyFont="1" applyFill="1" applyBorder="1" applyAlignment="1" applyProtection="1">
      <alignment horizontal="center"/>
      <protection hidden="1"/>
    </xf>
    <xf numFmtId="0" fontId="11" fillId="0" borderId="0" xfId="0" applyFont="1" applyFill="1" applyBorder="1" applyAlignment="1" applyProtection="1">
      <alignment horizontal="center"/>
      <protection hidden="1"/>
    </xf>
    <xf numFmtId="0" fontId="10" fillId="0" borderId="0" xfId="0" applyFont="1" applyFill="1" applyBorder="1" applyAlignment="1" applyProtection="1">
      <alignment horizontal="center"/>
      <protection hidden="1"/>
    </xf>
    <xf numFmtId="0" fontId="49" fillId="4" borderId="57" xfId="0" applyFont="1" applyFill="1" applyBorder="1" applyAlignment="1" applyProtection="1">
      <alignment horizontal="center" vertical="center"/>
      <protection hidden="1"/>
    </xf>
    <xf numFmtId="0" fontId="49" fillId="4" borderId="60" xfId="0" applyFont="1" applyFill="1" applyBorder="1" applyAlignment="1" applyProtection="1">
      <alignment horizontal="center" vertical="center"/>
      <protection hidden="1"/>
    </xf>
    <xf numFmtId="0" fontId="49" fillId="4" borderId="61" xfId="0" applyFont="1" applyFill="1" applyBorder="1" applyAlignment="1" applyProtection="1">
      <alignment horizontal="center" vertical="center"/>
      <protection hidden="1"/>
    </xf>
    <xf numFmtId="0" fontId="49" fillId="4" borderId="121" xfId="0" applyFont="1" applyFill="1" applyBorder="1" applyAlignment="1" applyProtection="1">
      <alignment horizontal="center" vertical="center"/>
      <protection hidden="1"/>
    </xf>
    <xf numFmtId="0" fontId="16" fillId="3" borderId="64" xfId="0" applyFont="1" applyFill="1" applyBorder="1" applyAlignment="1" applyProtection="1">
      <alignment horizontal="center" textRotation="90" wrapText="1"/>
      <protection hidden="1"/>
    </xf>
    <xf numFmtId="0" fontId="16" fillId="4" borderId="68" xfId="0" applyFont="1" applyFill="1" applyBorder="1" applyAlignment="1" applyProtection="1">
      <alignment horizontal="center" textRotation="90" wrapText="1"/>
      <protection hidden="1"/>
    </xf>
    <xf numFmtId="0" fontId="6" fillId="4" borderId="48" xfId="0" applyFont="1" applyFill="1" applyBorder="1" applyAlignment="1" applyProtection="1">
      <alignment horizontal="center" textRotation="90"/>
      <protection hidden="1"/>
    </xf>
    <xf numFmtId="0" fontId="6" fillId="4" borderId="56" xfId="0" applyFont="1" applyFill="1" applyBorder="1" applyAlignment="1" applyProtection="1">
      <alignment horizontal="center" textRotation="90"/>
      <protection hidden="1"/>
    </xf>
    <xf numFmtId="0" fontId="16" fillId="4" borderId="62" xfId="0" applyFont="1" applyFill="1" applyBorder="1" applyAlignment="1" applyProtection="1">
      <alignment horizontal="center" textRotation="90"/>
      <protection hidden="1"/>
    </xf>
    <xf numFmtId="0" fontId="16" fillId="4" borderId="63" xfId="0" applyFont="1" applyFill="1" applyBorder="1" applyAlignment="1" applyProtection="1">
      <alignment horizontal="center" textRotation="90"/>
      <protection hidden="1"/>
    </xf>
    <xf numFmtId="0" fontId="24" fillId="2" borderId="122" xfId="0" applyFont="1" applyFill="1" applyBorder="1" applyAlignment="1" applyProtection="1">
      <alignment horizontal="center" vertical="center"/>
      <protection hidden="1"/>
    </xf>
    <xf numFmtId="0" fontId="24" fillId="2" borderId="48" xfId="0" applyFont="1" applyFill="1" applyBorder="1" applyAlignment="1" applyProtection="1">
      <alignment horizontal="center" vertical="center"/>
      <protection hidden="1"/>
    </xf>
    <xf numFmtId="0" fontId="24" fillId="2" borderId="58" xfId="0" applyFont="1" applyFill="1" applyBorder="1" applyAlignment="1" applyProtection="1">
      <alignment horizontal="center" vertical="center"/>
      <protection hidden="1"/>
    </xf>
    <xf numFmtId="0" fontId="16" fillId="6" borderId="13" xfId="0" applyFont="1" applyFill="1" applyBorder="1" applyAlignment="1" applyProtection="1">
      <alignment horizontal="center" textRotation="90" wrapText="1"/>
      <protection hidden="1"/>
    </xf>
    <xf numFmtId="0" fontId="16" fillId="4" borderId="65" xfId="0" applyFont="1" applyFill="1" applyBorder="1" applyAlignment="1" applyProtection="1">
      <alignment horizontal="center" textRotation="90"/>
      <protection hidden="1"/>
    </xf>
    <xf numFmtId="0" fontId="16" fillId="4" borderId="68" xfId="0" applyFont="1" applyFill="1" applyBorder="1" applyAlignment="1" applyProtection="1">
      <alignment horizontal="center" textRotation="90"/>
      <protection hidden="1"/>
    </xf>
    <xf numFmtId="0" fontId="16" fillId="6" borderId="13" xfId="0" applyFont="1" applyFill="1" applyBorder="1" applyAlignment="1" applyProtection="1">
      <alignment horizontal="center" textRotation="90"/>
      <protection hidden="1"/>
    </xf>
    <xf numFmtId="0" fontId="3" fillId="2" borderId="64" xfId="0" applyFont="1" applyFill="1" applyBorder="1" applyAlignment="1" applyProtection="1">
      <alignment horizontal="center" textRotation="90" wrapText="1"/>
      <protection hidden="1"/>
    </xf>
    <xf numFmtId="0" fontId="7" fillId="0" borderId="4" xfId="0" applyFont="1" applyFill="1" applyBorder="1" applyAlignment="1" applyProtection="1">
      <alignment horizontal="center" vertical="center" wrapText="1"/>
      <protection hidden="1"/>
    </xf>
    <xf numFmtId="0" fontId="15" fillId="4" borderId="58" xfId="0" applyFont="1" applyFill="1" applyBorder="1" applyAlignment="1" applyProtection="1">
      <alignment horizontal="center" vertical="center" wrapText="1"/>
      <protection hidden="1"/>
    </xf>
    <xf numFmtId="0" fontId="15" fillId="4" borderId="59" xfId="0" applyFont="1" applyFill="1" applyBorder="1" applyAlignment="1" applyProtection="1">
      <alignment horizontal="center" vertical="center" wrapText="1"/>
      <protection hidden="1"/>
    </xf>
    <xf numFmtId="0" fontId="7" fillId="4" borderId="48" xfId="0" applyFont="1" applyFill="1" applyBorder="1" applyAlignment="1" applyProtection="1">
      <alignment horizontal="center" vertical="center" wrapText="1"/>
      <protection hidden="1"/>
    </xf>
    <xf numFmtId="0" fontId="7" fillId="4" borderId="56" xfId="0" applyFont="1" applyFill="1" applyBorder="1" applyAlignment="1" applyProtection="1">
      <alignment horizontal="center" vertical="center" wrapText="1"/>
      <protection hidden="1"/>
    </xf>
    <xf numFmtId="0" fontId="49" fillId="4" borderId="114" xfId="0" applyFont="1" applyFill="1" applyBorder="1" applyAlignment="1" applyProtection="1">
      <alignment horizontal="center" vertical="center"/>
      <protection hidden="1"/>
    </xf>
    <xf numFmtId="0" fontId="49" fillId="4" borderId="95" xfId="0" applyFont="1" applyFill="1" applyBorder="1" applyAlignment="1" applyProtection="1">
      <alignment horizontal="center" vertical="center"/>
      <protection hidden="1"/>
    </xf>
    <xf numFmtId="0" fontId="49" fillId="4" borderId="96" xfId="0" applyFont="1" applyFill="1" applyBorder="1" applyAlignment="1" applyProtection="1">
      <alignment horizontal="center" vertical="center"/>
      <protection hidden="1"/>
    </xf>
    <xf numFmtId="0" fontId="24" fillId="2" borderId="134" xfId="0" applyFont="1" applyFill="1" applyBorder="1" applyAlignment="1" applyProtection="1">
      <alignment horizontal="center" vertical="center"/>
      <protection hidden="1"/>
    </xf>
    <xf numFmtId="0" fontId="24" fillId="2" borderId="90" xfId="0" applyFont="1" applyFill="1" applyBorder="1" applyAlignment="1" applyProtection="1">
      <alignment horizontal="center" vertical="center"/>
      <protection hidden="1"/>
    </xf>
    <xf numFmtId="0" fontId="24" fillId="2" borderId="199" xfId="0" applyFont="1" applyFill="1" applyBorder="1" applyAlignment="1" applyProtection="1">
      <alignment horizontal="center" vertical="center"/>
      <protection hidden="1"/>
    </xf>
    <xf numFmtId="0" fontId="6" fillId="4" borderId="104" xfId="0" applyFont="1" applyFill="1" applyBorder="1" applyAlignment="1" applyProtection="1">
      <alignment horizontal="center" textRotation="90"/>
      <protection hidden="1"/>
    </xf>
    <xf numFmtId="0" fontId="6" fillId="4" borderId="115" xfId="0" applyFont="1" applyFill="1" applyBorder="1" applyAlignment="1" applyProtection="1">
      <alignment horizontal="center" textRotation="90"/>
      <protection hidden="1"/>
    </xf>
    <xf numFmtId="0" fontId="16" fillId="4" borderId="197" xfId="0" applyFont="1" applyFill="1" applyBorder="1" applyAlignment="1" applyProtection="1">
      <alignment horizontal="center" textRotation="90"/>
      <protection hidden="1"/>
    </xf>
    <xf numFmtId="0" fontId="16" fillId="4" borderId="198" xfId="0" applyFont="1" applyFill="1" applyBorder="1" applyAlignment="1" applyProtection="1">
      <alignment horizontal="center" textRotation="90"/>
      <protection hidden="1"/>
    </xf>
    <xf numFmtId="0" fontId="1" fillId="0" borderId="131" xfId="1" applyBorder="1" applyAlignment="1" applyProtection="1">
      <alignment horizontal="center"/>
    </xf>
    <xf numFmtId="0" fontId="61" fillId="0" borderId="94" xfId="0" applyFont="1" applyBorder="1" applyAlignment="1" applyProtection="1">
      <alignment horizontal="center"/>
    </xf>
    <xf numFmtId="0" fontId="113" fillId="0" borderId="0" xfId="0" applyFont="1" applyBorder="1" applyAlignment="1" applyProtection="1">
      <alignment horizontal="center" vertical="center"/>
    </xf>
    <xf numFmtId="0" fontId="15" fillId="4" borderId="107" xfId="0" applyFont="1" applyFill="1" applyBorder="1" applyAlignment="1" applyProtection="1">
      <alignment horizontal="center" vertical="center"/>
      <protection hidden="1"/>
    </xf>
    <xf numFmtId="0" fontId="15" fillId="4" borderId="98" xfId="0" applyFont="1" applyFill="1" applyBorder="1" applyAlignment="1" applyProtection="1">
      <alignment horizontal="center" vertical="center"/>
      <protection hidden="1"/>
    </xf>
    <xf numFmtId="0" fontId="15" fillId="4" borderId="99" xfId="0" applyFont="1" applyFill="1" applyBorder="1" applyAlignment="1" applyProtection="1">
      <alignment horizontal="center" vertical="center"/>
      <protection hidden="1"/>
    </xf>
    <xf numFmtId="0" fontId="15" fillId="4" borderId="109" xfId="0" applyFont="1" applyFill="1" applyBorder="1" applyAlignment="1" applyProtection="1">
      <alignment horizontal="center" vertical="center"/>
      <protection hidden="1"/>
    </xf>
    <xf numFmtId="0" fontId="15" fillId="4" borderId="102" xfId="0" applyFont="1" applyFill="1" applyBorder="1" applyAlignment="1" applyProtection="1">
      <alignment horizontal="center" vertical="center"/>
      <protection hidden="1"/>
    </xf>
    <xf numFmtId="0" fontId="15" fillId="4" borderId="103" xfId="0" applyFont="1" applyFill="1" applyBorder="1" applyAlignment="1" applyProtection="1">
      <alignment horizontal="center" vertical="center"/>
      <protection hidden="1"/>
    </xf>
    <xf numFmtId="0" fontId="12" fillId="0" borderId="199" xfId="0" applyFont="1" applyFill="1" applyBorder="1" applyAlignment="1" applyProtection="1">
      <alignment horizontal="center" vertical="center"/>
      <protection locked="0"/>
    </xf>
    <xf numFmtId="0" fontId="12" fillId="0" borderId="90" xfId="0" applyFont="1" applyFill="1" applyBorder="1" applyAlignment="1" applyProtection="1">
      <alignment horizontal="center" vertical="center"/>
      <protection locked="0"/>
    </xf>
    <xf numFmtId="0" fontId="12" fillId="0" borderId="122" xfId="0" applyFont="1" applyFill="1" applyBorder="1" applyAlignment="1" applyProtection="1">
      <alignment horizontal="center" vertical="center"/>
      <protection locked="0"/>
    </xf>
    <xf numFmtId="0" fontId="2" fillId="4" borderId="104" xfId="0" applyFont="1" applyFill="1" applyBorder="1" applyAlignment="1" applyProtection="1">
      <alignment horizontal="center" vertical="center"/>
      <protection hidden="1"/>
    </xf>
    <xf numFmtId="0" fontId="2" fillId="4" borderId="106" xfId="0" applyFont="1" applyFill="1" applyBorder="1" applyAlignment="1" applyProtection="1">
      <alignment horizontal="center" vertical="center"/>
      <protection hidden="1"/>
    </xf>
    <xf numFmtId="0" fontId="15" fillId="4" borderId="48" xfId="0" applyFont="1" applyFill="1" applyBorder="1" applyAlignment="1" applyProtection="1">
      <alignment horizontal="center" vertical="center" wrapText="1"/>
      <protection hidden="1"/>
    </xf>
    <xf numFmtId="0" fontId="0" fillId="0" borderId="148" xfId="0" applyFill="1" applyBorder="1" applyAlignment="1" applyProtection="1">
      <alignment horizontal="center"/>
      <protection locked="0" hidden="1"/>
    </xf>
    <xf numFmtId="0" fontId="0" fillId="0" borderId="149" xfId="0" applyFill="1" applyBorder="1" applyAlignment="1" applyProtection="1">
      <alignment horizontal="center"/>
      <protection locked="0" hidden="1"/>
    </xf>
    <xf numFmtId="0" fontId="115" fillId="4" borderId="148" xfId="0" applyFont="1" applyFill="1" applyBorder="1" applyAlignment="1" applyProtection="1">
      <alignment horizontal="left" vertical="center"/>
      <protection locked="0"/>
    </xf>
    <xf numFmtId="0" fontId="114" fillId="5" borderId="14" xfId="0" applyFont="1" applyFill="1" applyBorder="1" applyAlignment="1" applyProtection="1">
      <alignment horizontal="center" vertical="center" wrapText="1"/>
      <protection locked="0"/>
    </xf>
    <xf numFmtId="0" fontId="114" fillId="5" borderId="15" xfId="0" applyFont="1" applyFill="1" applyBorder="1" applyAlignment="1" applyProtection="1">
      <alignment horizontal="center" vertical="center" wrapText="1"/>
      <protection locked="0"/>
    </xf>
    <xf numFmtId="0" fontId="0" fillId="5" borderId="14" xfId="0" applyFont="1" applyFill="1" applyBorder="1" applyAlignment="1" applyProtection="1">
      <alignment horizontal="center" vertical="center"/>
      <protection hidden="1"/>
    </xf>
    <xf numFmtId="0" fontId="0" fillId="5" borderId="16" xfId="0" applyFont="1" applyFill="1" applyBorder="1" applyAlignment="1" applyProtection="1">
      <alignment horizontal="center" vertical="center"/>
      <protection hidden="1"/>
    </xf>
    <xf numFmtId="0" fontId="0" fillId="0" borderId="145" xfId="0" applyFill="1" applyBorder="1" applyAlignment="1" applyProtection="1">
      <alignment horizontal="center"/>
      <protection locked="0" hidden="1"/>
    </xf>
    <xf numFmtId="0" fontId="0" fillId="0" borderId="146" xfId="0" applyFill="1" applyBorder="1" applyAlignment="1" applyProtection="1">
      <alignment horizontal="center"/>
      <protection locked="0" hidden="1"/>
    </xf>
    <xf numFmtId="0" fontId="115" fillId="4" borderId="145" xfId="0" applyFont="1" applyFill="1" applyBorder="1" applyAlignment="1" applyProtection="1">
      <alignment horizontal="left" vertical="center"/>
      <protection locked="0"/>
    </xf>
    <xf numFmtId="0" fontId="0" fillId="0" borderId="151" xfId="0" applyFill="1" applyBorder="1" applyAlignment="1" applyProtection="1">
      <alignment horizontal="center"/>
      <protection locked="0" hidden="1"/>
    </xf>
    <xf numFmtId="0" fontId="0" fillId="0" borderId="152" xfId="0" applyFill="1" applyBorder="1" applyAlignment="1" applyProtection="1">
      <alignment horizontal="center"/>
      <protection locked="0" hidden="1"/>
    </xf>
    <xf numFmtId="0" fontId="115" fillId="4" borderId="151" xfId="0" applyFont="1" applyFill="1" applyBorder="1" applyAlignment="1" applyProtection="1">
      <alignment horizontal="left" vertical="center"/>
      <protection locked="0"/>
    </xf>
    <xf numFmtId="0" fontId="3" fillId="3" borderId="144" xfId="0" applyFont="1" applyFill="1" applyBorder="1" applyAlignment="1" applyProtection="1">
      <alignment horizontal="center"/>
      <protection locked="0"/>
    </xf>
    <xf numFmtId="0" fontId="3" fillId="3" borderId="145" xfId="0" applyFont="1" applyFill="1" applyBorder="1" applyAlignment="1" applyProtection="1">
      <alignment horizontal="center"/>
      <protection locked="0"/>
    </xf>
    <xf numFmtId="0" fontId="3" fillId="3" borderId="147" xfId="0" applyFont="1" applyFill="1" applyBorder="1" applyAlignment="1" applyProtection="1">
      <alignment horizontal="center"/>
      <protection locked="0"/>
    </xf>
    <xf numFmtId="0" fontId="3" fillId="3" borderId="148" xfId="0" applyFont="1" applyFill="1" applyBorder="1" applyAlignment="1" applyProtection="1">
      <alignment horizontal="center"/>
      <protection locked="0"/>
    </xf>
    <xf numFmtId="0" fontId="3" fillId="3" borderId="150" xfId="0" applyFont="1" applyFill="1" applyBorder="1" applyAlignment="1" applyProtection="1">
      <alignment horizontal="center"/>
      <protection locked="0"/>
    </xf>
    <xf numFmtId="0" fontId="3" fillId="3" borderId="151" xfId="0" applyFont="1" applyFill="1" applyBorder="1" applyAlignment="1" applyProtection="1">
      <alignment horizontal="center"/>
      <protection locked="0"/>
    </xf>
    <xf numFmtId="0" fontId="116" fillId="5" borderId="10" xfId="3" applyNumberFormat="1" applyFont="1" applyFill="1" applyBorder="1" applyAlignment="1" applyProtection="1">
      <alignment horizontal="center" vertical="center" wrapText="1"/>
    </xf>
    <xf numFmtId="0" fontId="116" fillId="5" borderId="8" xfId="3" applyNumberFormat="1" applyFont="1" applyFill="1" applyBorder="1" applyAlignment="1" applyProtection="1">
      <alignment horizontal="center" vertical="center" wrapText="1"/>
    </xf>
    <xf numFmtId="0" fontId="116" fillId="5" borderId="11" xfId="3" applyNumberFormat="1" applyFont="1" applyFill="1" applyBorder="1" applyAlignment="1" applyProtection="1">
      <alignment horizontal="center" vertical="center" wrapText="1"/>
    </xf>
    <xf numFmtId="0" fontId="116" fillId="5" borderId="10" xfId="3" applyFont="1" applyFill="1" applyBorder="1" applyAlignment="1">
      <alignment horizontal="center" vertical="center"/>
    </xf>
    <xf numFmtId="0" fontId="116" fillId="5" borderId="8" xfId="3" applyFont="1" applyFill="1" applyBorder="1" applyAlignment="1">
      <alignment horizontal="center" vertical="center"/>
    </xf>
    <xf numFmtId="0" fontId="116" fillId="5" borderId="11" xfId="3" applyFont="1" applyFill="1" applyBorder="1" applyAlignment="1">
      <alignment horizontal="center" vertical="center"/>
    </xf>
    <xf numFmtId="0" fontId="0" fillId="16" borderId="213" xfId="0" applyFill="1" applyBorder="1" applyAlignment="1" applyProtection="1">
      <alignment horizontal="center" vertical="center"/>
      <protection hidden="1"/>
    </xf>
    <xf numFmtId="0" fontId="0" fillId="16" borderId="95" xfId="0" applyFill="1" applyBorder="1" applyAlignment="1" applyProtection="1">
      <alignment horizontal="center" vertical="center"/>
      <protection hidden="1"/>
    </xf>
    <xf numFmtId="0" fontId="0" fillId="16" borderId="96" xfId="0" applyFill="1" applyBorder="1" applyAlignment="1" applyProtection="1">
      <alignment horizontal="center" vertical="center"/>
      <protection hidden="1"/>
    </xf>
    <xf numFmtId="0" fontId="129" fillId="0" borderId="0" xfId="1" applyFont="1" applyAlignment="1" applyProtection="1">
      <alignment horizontal="center"/>
      <protection hidden="1"/>
    </xf>
    <xf numFmtId="0" fontId="3" fillId="4" borderId="48" xfId="3" applyFont="1" applyFill="1" applyBorder="1" applyAlignment="1">
      <alignment horizontal="left" vertical="center"/>
    </xf>
    <xf numFmtId="0" fontId="0" fillId="16" borderId="224" xfId="0" applyFill="1" applyBorder="1" applyAlignment="1" applyProtection="1">
      <alignment horizontal="center"/>
      <protection hidden="1"/>
    </xf>
    <xf numFmtId="0" fontId="0" fillId="16" borderId="148" xfId="0" applyFill="1" applyBorder="1" applyAlignment="1" applyProtection="1">
      <alignment horizontal="center"/>
      <protection hidden="1"/>
    </xf>
    <xf numFmtId="0" fontId="0" fillId="16" borderId="149" xfId="0" applyFill="1" applyBorder="1" applyAlignment="1" applyProtection="1">
      <alignment horizontal="center"/>
      <protection hidden="1"/>
    </xf>
    <xf numFmtId="0" fontId="0" fillId="16" borderId="224" xfId="0" applyFill="1" applyBorder="1" applyAlignment="1" applyProtection="1">
      <alignment horizontal="center" vertical="center"/>
      <protection hidden="1"/>
    </xf>
    <xf numFmtId="0" fontId="0" fillId="16" borderId="148" xfId="0" applyFill="1" applyBorder="1" applyAlignment="1" applyProtection="1">
      <alignment horizontal="center" vertical="center"/>
      <protection hidden="1"/>
    </xf>
    <xf numFmtId="0" fontId="0" fillId="16" borderId="149" xfId="0" applyFill="1" applyBorder="1" applyAlignment="1" applyProtection="1">
      <alignment horizontal="center" vertical="center"/>
      <protection hidden="1"/>
    </xf>
    <xf numFmtId="0" fontId="74" fillId="0" borderId="211" xfId="0" applyFont="1" applyFill="1" applyBorder="1" applyAlignment="1" applyProtection="1">
      <alignment horizontal="center" vertical="center" wrapText="1"/>
      <protection hidden="1"/>
    </xf>
    <xf numFmtId="0" fontId="74" fillId="0" borderId="212" xfId="0" applyFont="1" applyFill="1" applyBorder="1" applyAlignment="1" applyProtection="1">
      <alignment horizontal="center" vertical="center" wrapText="1"/>
      <protection hidden="1"/>
    </xf>
    <xf numFmtId="0" fontId="3" fillId="4" borderId="213" xfId="3" applyFont="1" applyFill="1" applyBorder="1" applyAlignment="1">
      <alignment horizontal="left" vertical="center"/>
    </xf>
    <xf numFmtId="0" fontId="3" fillId="4" borderId="95" xfId="3" applyFont="1" applyFill="1" applyBorder="1" applyAlignment="1">
      <alignment horizontal="left" vertical="center"/>
    </xf>
    <xf numFmtId="0" fontId="3" fillId="4" borderId="121" xfId="3" applyFont="1" applyFill="1" applyBorder="1" applyAlignment="1">
      <alignment horizontal="left" vertical="center"/>
    </xf>
    <xf numFmtId="0" fontId="0" fillId="16" borderId="121" xfId="0" applyFill="1" applyBorder="1" applyAlignment="1" applyProtection="1">
      <alignment horizontal="center" vertical="center"/>
      <protection hidden="1"/>
    </xf>
    <xf numFmtId="0" fontId="3" fillId="4" borderId="56" xfId="3" applyFont="1" applyFill="1" applyBorder="1" applyAlignment="1">
      <alignment horizontal="left" vertical="center"/>
    </xf>
    <xf numFmtId="0" fontId="73" fillId="3" borderId="0" xfId="0" applyFont="1" applyFill="1" applyAlignment="1" applyProtection="1">
      <alignment horizontal="center" vertical="center"/>
      <protection hidden="1"/>
    </xf>
    <xf numFmtId="0" fontId="72" fillId="9" borderId="0" xfId="0" applyFont="1" applyFill="1" applyAlignment="1" applyProtection="1">
      <alignment horizontal="center" vertical="center"/>
      <protection locked="0" hidden="1"/>
    </xf>
    <xf numFmtId="0" fontId="81" fillId="0" borderId="0" xfId="0" applyFont="1" applyAlignment="1" applyProtection="1">
      <alignment horizontal="center"/>
      <protection hidden="1"/>
    </xf>
    <xf numFmtId="0" fontId="51" fillId="0" borderId="94" xfId="0" applyFont="1" applyBorder="1" applyAlignment="1" applyProtection="1">
      <alignment horizontal="center"/>
      <protection hidden="1"/>
    </xf>
    <xf numFmtId="0" fontId="82" fillId="0" borderId="0" xfId="0" applyFont="1" applyBorder="1" applyAlignment="1" applyProtection="1">
      <alignment horizontal="center" vertical="center"/>
      <protection hidden="1"/>
    </xf>
    <xf numFmtId="0" fontId="36" fillId="4" borderId="210" xfId="0" applyFont="1" applyFill="1" applyBorder="1" applyAlignment="1" applyProtection="1">
      <alignment horizontal="center" vertical="center" wrapText="1"/>
      <protection locked="0" hidden="1"/>
    </xf>
    <xf numFmtId="0" fontId="36" fillId="4" borderId="211" xfId="0" applyFont="1" applyFill="1" applyBorder="1" applyAlignment="1" applyProtection="1">
      <alignment horizontal="center" vertical="center" wrapText="1"/>
      <protection locked="0" hidden="1"/>
    </xf>
    <xf numFmtId="0" fontId="36" fillId="16" borderId="211" xfId="0" applyFont="1" applyFill="1" applyBorder="1" applyAlignment="1" applyProtection="1">
      <alignment horizontal="center" vertical="center" wrapText="1"/>
      <protection locked="0" hidden="1"/>
    </xf>
    <xf numFmtId="14" fontId="120" fillId="4" borderId="211" xfId="0" applyNumberFormat="1" applyFont="1" applyFill="1" applyBorder="1" applyAlignment="1" applyProtection="1">
      <alignment horizontal="center" vertical="center" wrapText="1"/>
      <protection hidden="1"/>
    </xf>
    <xf numFmtId="0" fontId="71" fillId="0" borderId="211" xfId="0" applyNumberFormat="1" applyFont="1" applyFill="1" applyBorder="1" applyAlignment="1" applyProtection="1">
      <alignment horizontal="center" vertical="center" wrapText="1"/>
      <protection hidden="1"/>
    </xf>
    <xf numFmtId="0" fontId="120" fillId="4" borderId="211" xfId="0" applyFont="1" applyFill="1" applyBorder="1" applyAlignment="1" applyProtection="1">
      <alignment horizontal="center" vertical="center" wrapText="1"/>
      <protection hidden="1"/>
    </xf>
    <xf numFmtId="0" fontId="0" fillId="5" borderId="0" xfId="0" applyFill="1" applyBorder="1" applyAlignment="1" applyProtection="1">
      <alignment horizontal="center" vertical="center"/>
      <protection hidden="1"/>
    </xf>
    <xf numFmtId="0" fontId="36" fillId="4" borderId="207" xfId="0" applyFont="1" applyFill="1" applyBorder="1" applyAlignment="1" applyProtection="1">
      <alignment horizontal="center" vertical="center" wrapText="1"/>
      <protection locked="0" hidden="1"/>
    </xf>
    <xf numFmtId="0" fontId="36" fillId="4" borderId="208" xfId="0" applyFont="1" applyFill="1" applyBorder="1" applyAlignment="1" applyProtection="1">
      <alignment horizontal="center" vertical="center" wrapText="1"/>
      <protection locked="0" hidden="1"/>
    </xf>
    <xf numFmtId="0" fontId="71" fillId="0" borderId="208" xfId="0" applyFont="1" applyFill="1" applyBorder="1" applyAlignment="1" applyProtection="1">
      <alignment horizontal="center" vertical="center" wrapText="1"/>
      <protection hidden="1"/>
    </xf>
    <xf numFmtId="0" fontId="118" fillId="8" borderId="0" xfId="0" applyFont="1" applyFill="1" applyBorder="1" applyAlignment="1" applyProtection="1">
      <alignment horizontal="center" vertical="center"/>
      <protection hidden="1"/>
    </xf>
    <xf numFmtId="0" fontId="119" fillId="0" borderId="0" xfId="0" applyFont="1" applyFill="1" applyBorder="1" applyAlignment="1" applyProtection="1">
      <alignment horizontal="center" vertical="center"/>
      <protection hidden="1"/>
    </xf>
    <xf numFmtId="0" fontId="3" fillId="4" borderId="60" xfId="3" applyFont="1" applyFill="1" applyBorder="1" applyAlignment="1">
      <alignment horizontal="left" vertical="center"/>
    </xf>
    <xf numFmtId="0" fontId="0" fillId="0" borderId="0" xfId="0" applyFill="1" applyBorder="1" applyAlignment="1" applyProtection="1">
      <alignment horizontal="center"/>
      <protection hidden="1"/>
    </xf>
    <xf numFmtId="0" fontId="0" fillId="16" borderId="223" xfId="0" applyFill="1" applyBorder="1" applyAlignment="1" applyProtection="1">
      <alignment horizontal="center" vertical="center"/>
      <protection hidden="1"/>
    </xf>
    <xf numFmtId="0" fontId="0" fillId="16" borderId="145" xfId="0" applyFill="1" applyBorder="1" applyAlignment="1" applyProtection="1">
      <alignment horizontal="center" vertical="center"/>
      <protection hidden="1"/>
    </xf>
    <xf numFmtId="0" fontId="0" fillId="16" borderId="146" xfId="0" applyFill="1" applyBorder="1" applyAlignment="1" applyProtection="1">
      <alignment horizontal="center" vertical="center"/>
      <protection hidden="1"/>
    </xf>
    <xf numFmtId="0" fontId="0" fillId="5" borderId="0" xfId="0" applyFill="1" applyBorder="1" applyAlignment="1" applyProtection="1">
      <alignment horizontal="center"/>
      <protection hidden="1"/>
    </xf>
    <xf numFmtId="0" fontId="120" fillId="4" borderId="208" xfId="0" applyFont="1" applyFill="1" applyBorder="1" applyAlignment="1" applyProtection="1">
      <alignment horizontal="center" vertical="center" wrapText="1"/>
      <protection hidden="1"/>
    </xf>
    <xf numFmtId="0" fontId="74" fillId="0" borderId="208" xfId="0" applyFont="1" applyFill="1" applyBorder="1" applyAlignment="1" applyProtection="1">
      <alignment horizontal="center" vertical="center" wrapText="1"/>
      <protection hidden="1"/>
    </xf>
    <xf numFmtId="0" fontId="74" fillId="0" borderId="209" xfId="0" applyFont="1" applyFill="1" applyBorder="1" applyAlignment="1" applyProtection="1">
      <alignment horizontal="center" vertical="center" wrapText="1"/>
      <protection hidden="1"/>
    </xf>
    <xf numFmtId="0" fontId="117" fillId="0" borderId="0" xfId="0" applyFont="1" applyBorder="1" applyAlignment="1" applyProtection="1">
      <alignment horizontal="center" vertical="center"/>
      <protection hidden="1"/>
    </xf>
    <xf numFmtId="0" fontId="66" fillId="8" borderId="0" xfId="0" applyFont="1" applyFill="1" applyBorder="1" applyAlignment="1" applyProtection="1">
      <alignment horizontal="center" vertical="center"/>
      <protection hidden="1"/>
    </xf>
    <xf numFmtId="0" fontId="67" fillId="4" borderId="8" xfId="0" applyFont="1" applyFill="1" applyBorder="1" applyAlignment="1" applyProtection="1">
      <alignment horizontal="center" vertical="center"/>
      <protection locked="0" hidden="1"/>
    </xf>
    <xf numFmtId="0" fontId="67" fillId="4" borderId="0" xfId="0" applyFont="1" applyFill="1" applyBorder="1" applyAlignment="1" applyProtection="1">
      <alignment horizontal="center" vertical="center"/>
      <protection locked="0" hidden="1"/>
    </xf>
    <xf numFmtId="0" fontId="42" fillId="2" borderId="0" xfId="0" applyFont="1" applyFill="1" applyBorder="1" applyAlignment="1" applyProtection="1">
      <alignment horizontal="center" vertical="center"/>
      <protection hidden="1"/>
    </xf>
    <xf numFmtId="0" fontId="0" fillId="3" borderId="0" xfId="0" applyFill="1" applyBorder="1" applyAlignment="1" applyProtection="1">
      <alignment horizontal="center" vertical="center"/>
      <protection hidden="1"/>
    </xf>
    <xf numFmtId="0" fontId="0" fillId="16" borderId="225" xfId="0" applyFill="1" applyBorder="1" applyAlignment="1" applyProtection="1">
      <alignment horizontal="center"/>
      <protection hidden="1"/>
    </xf>
    <xf numFmtId="0" fontId="0" fillId="16" borderId="151" xfId="0" applyFill="1" applyBorder="1" applyAlignment="1" applyProtection="1">
      <alignment horizontal="center"/>
      <protection hidden="1"/>
    </xf>
    <xf numFmtId="0" fontId="0" fillId="16" borderId="152" xfId="0" applyFill="1" applyBorder="1" applyAlignment="1" applyProtection="1">
      <alignment horizontal="center"/>
      <protection hidden="1"/>
    </xf>
    <xf numFmtId="0" fontId="121" fillId="5" borderId="0" xfId="0" applyFont="1" applyFill="1" applyBorder="1" applyAlignment="1" applyProtection="1">
      <alignment horizontal="center" vertical="center"/>
      <protection hidden="1"/>
    </xf>
    <xf numFmtId="0" fontId="0" fillId="16" borderId="0" xfId="0" applyFill="1" applyBorder="1" applyAlignment="1" applyProtection="1">
      <alignment horizontal="left" vertical="top" wrapText="1"/>
      <protection hidden="1"/>
    </xf>
    <xf numFmtId="0" fontId="0" fillId="16" borderId="10" xfId="0" applyFill="1" applyBorder="1" applyAlignment="1" applyProtection="1">
      <alignment vertical="top" wrapText="1"/>
      <protection hidden="1"/>
    </xf>
    <xf numFmtId="0" fontId="0" fillId="16" borderId="8" xfId="0" applyFill="1" applyBorder="1" applyAlignment="1" applyProtection="1">
      <alignment vertical="top" wrapText="1"/>
      <protection hidden="1"/>
    </xf>
    <xf numFmtId="0" fontId="0" fillId="16" borderId="11" xfId="0" applyFill="1" applyBorder="1" applyAlignment="1" applyProtection="1">
      <alignment vertical="top" wrapText="1"/>
      <protection hidden="1"/>
    </xf>
    <xf numFmtId="0" fontId="0" fillId="16" borderId="4" xfId="0" applyFill="1" applyBorder="1" applyAlignment="1" applyProtection="1">
      <alignment vertical="top" wrapText="1"/>
      <protection hidden="1"/>
    </xf>
    <xf numFmtId="0" fontId="0" fillId="16" borderId="0" xfId="0" applyFill="1" applyBorder="1" applyAlignment="1" applyProtection="1">
      <alignment vertical="top" wrapText="1"/>
      <protection hidden="1"/>
    </xf>
    <xf numFmtId="0" fontId="0" fillId="16" borderId="9" xfId="0" applyFill="1" applyBorder="1" applyAlignment="1" applyProtection="1">
      <alignment vertical="top" wrapText="1"/>
      <protection hidden="1"/>
    </xf>
    <xf numFmtId="0" fontId="0" fillId="16" borderId="1" xfId="0" applyFill="1" applyBorder="1" applyAlignment="1" applyProtection="1">
      <alignment vertical="top" wrapText="1"/>
      <protection hidden="1"/>
    </xf>
    <xf numFmtId="0" fontId="0" fillId="16" borderId="2" xfId="0" applyFill="1" applyBorder="1" applyAlignment="1" applyProtection="1">
      <alignment vertical="top" wrapText="1"/>
      <protection hidden="1"/>
    </xf>
    <xf numFmtId="0" fontId="0" fillId="16" borderId="3" xfId="0" applyFill="1" applyBorder="1" applyAlignment="1" applyProtection="1">
      <alignment vertical="top" wrapText="1"/>
      <protection hidden="1"/>
    </xf>
    <xf numFmtId="0" fontId="0" fillId="0" borderId="70" xfId="0" applyBorder="1" applyAlignment="1" applyProtection="1">
      <alignment horizontal="center"/>
      <protection hidden="1"/>
    </xf>
    <xf numFmtId="0" fontId="0" fillId="16" borderId="0" xfId="0" applyFill="1" applyBorder="1" applyAlignment="1" applyProtection="1">
      <alignment horizontal="center" vertical="top"/>
      <protection hidden="1"/>
    </xf>
    <xf numFmtId="0" fontId="0" fillId="16" borderId="0" xfId="0" applyFill="1" applyBorder="1" applyAlignment="1" applyProtection="1">
      <alignment horizontal="center"/>
      <protection locked="0" hidden="1"/>
    </xf>
    <xf numFmtId="0" fontId="115" fillId="16" borderId="0" xfId="0" applyFont="1" applyFill="1" applyBorder="1" applyAlignment="1" applyProtection="1">
      <alignment horizontal="center" vertical="center"/>
      <protection locked="0"/>
    </xf>
    <xf numFmtId="0" fontId="128" fillId="0" borderId="131" xfId="1" applyFont="1" applyBorder="1" applyAlignment="1" applyProtection="1">
      <alignment horizontal="center"/>
    </xf>
    <xf numFmtId="0" fontId="0" fillId="0" borderId="148" xfId="0" applyFill="1" applyBorder="1" applyAlignment="1" applyProtection="1">
      <alignment horizontal="center" vertical="center"/>
      <protection locked="0" hidden="1"/>
    </xf>
    <xf numFmtId="0" fontId="115" fillId="16" borderId="148" xfId="0" applyFont="1" applyFill="1" applyBorder="1" applyAlignment="1" applyProtection="1">
      <alignment horizontal="center" vertical="center"/>
      <protection locked="0"/>
    </xf>
    <xf numFmtId="0" fontId="115" fillId="16" borderId="149" xfId="0" applyFont="1" applyFill="1" applyBorder="1" applyAlignment="1" applyProtection="1">
      <alignment horizontal="center" vertical="center"/>
      <protection locked="0"/>
    </xf>
    <xf numFmtId="0" fontId="115" fillId="16" borderId="0" xfId="0" applyFont="1" applyFill="1" applyBorder="1" applyAlignment="1" applyProtection="1">
      <alignment horizontal="left" vertical="center"/>
      <protection locked="0"/>
    </xf>
    <xf numFmtId="0" fontId="0" fillId="0" borderId="151" xfId="0" applyFill="1" applyBorder="1" applyAlignment="1" applyProtection="1">
      <alignment horizontal="center" vertical="center"/>
      <protection locked="0" hidden="1"/>
    </xf>
    <xf numFmtId="0" fontId="121" fillId="5" borderId="145" xfId="0" applyFont="1" applyFill="1" applyBorder="1" applyAlignment="1" applyProtection="1">
      <alignment horizontal="center" vertical="center"/>
      <protection hidden="1"/>
    </xf>
    <xf numFmtId="0" fontId="24" fillId="5" borderId="145" xfId="0" applyFont="1" applyFill="1" applyBorder="1" applyAlignment="1" applyProtection="1">
      <alignment horizontal="center" vertical="center" wrapText="1"/>
      <protection locked="0"/>
    </xf>
    <xf numFmtId="0" fontId="24" fillId="5" borderId="146" xfId="0" applyFont="1" applyFill="1" applyBorder="1" applyAlignment="1" applyProtection="1">
      <alignment horizontal="center" vertical="center" wrapText="1"/>
      <protection locked="0"/>
    </xf>
    <xf numFmtId="0" fontId="115" fillId="4" borderId="151" xfId="0" applyFont="1" applyFill="1" applyBorder="1" applyAlignment="1" applyProtection="1">
      <alignment horizontal="left" vertical="center"/>
    </xf>
    <xf numFmtId="0" fontId="115" fillId="16" borderId="151" xfId="0" applyFont="1" applyFill="1" applyBorder="1" applyAlignment="1" applyProtection="1">
      <alignment horizontal="center" vertical="center"/>
      <protection locked="0"/>
    </xf>
    <xf numFmtId="0" fontId="115" fillId="16" borderId="152" xfId="0" applyFont="1" applyFill="1" applyBorder="1" applyAlignment="1" applyProtection="1">
      <alignment horizontal="center" vertical="center"/>
      <protection locked="0"/>
    </xf>
    <xf numFmtId="0" fontId="115" fillId="4" borderId="148" xfId="0" applyFont="1" applyFill="1" applyBorder="1" applyAlignment="1" applyProtection="1">
      <alignment horizontal="left" vertical="center"/>
    </xf>
    <xf numFmtId="0" fontId="24" fillId="5" borderId="144" xfId="0" applyFont="1" applyFill="1" applyBorder="1" applyAlignment="1" applyProtection="1">
      <alignment horizontal="center" vertical="center" wrapText="1"/>
      <protection locked="0"/>
    </xf>
    <xf numFmtId="0" fontId="116" fillId="5" borderId="4" xfId="3" applyNumberFormat="1" applyFont="1" applyFill="1" applyBorder="1" applyAlignment="1" applyProtection="1">
      <alignment horizontal="center" vertical="center" wrapText="1"/>
    </xf>
    <xf numFmtId="0" fontId="116" fillId="5" borderId="0" xfId="3" applyNumberFormat="1"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hidden="1"/>
    </xf>
    <xf numFmtId="0" fontId="0" fillId="16" borderId="233" xfId="0" applyFill="1" applyBorder="1" applyAlignment="1" applyProtection="1">
      <alignment horizontal="center"/>
      <protection hidden="1"/>
    </xf>
    <xf numFmtId="0" fontId="0" fillId="16" borderId="164" xfId="0" applyFill="1" applyBorder="1" applyAlignment="1" applyProtection="1">
      <alignment horizontal="center"/>
      <protection hidden="1"/>
    </xf>
    <xf numFmtId="0" fontId="0" fillId="16" borderId="155" xfId="0" applyFill="1" applyBorder="1" applyAlignment="1" applyProtection="1">
      <alignment horizontal="center"/>
      <protection hidden="1"/>
    </xf>
    <xf numFmtId="0" fontId="0" fillId="16" borderId="153" xfId="0" applyFill="1" applyBorder="1" applyAlignment="1" applyProtection="1">
      <alignment horizontal="center"/>
      <protection hidden="1"/>
    </xf>
    <xf numFmtId="0" fontId="0" fillId="16" borderId="154" xfId="0" applyFill="1" applyBorder="1" applyAlignment="1" applyProtection="1">
      <alignment horizontal="center"/>
      <protection hidden="1"/>
    </xf>
    <xf numFmtId="0" fontId="3" fillId="4" borderId="199" xfId="3" applyFont="1" applyFill="1" applyBorder="1" applyAlignment="1">
      <alignment horizontal="left" vertical="center"/>
    </xf>
    <xf numFmtId="0" fontId="3" fillId="4" borderId="90" xfId="3" applyFont="1" applyFill="1" applyBorder="1" applyAlignment="1">
      <alignment horizontal="left" vertical="center"/>
    </xf>
    <xf numFmtId="0" fontId="3" fillId="4" borderId="122" xfId="3" applyFont="1" applyFill="1" applyBorder="1" applyAlignment="1">
      <alignment horizontal="left" vertical="center"/>
    </xf>
    <xf numFmtId="0" fontId="0" fillId="16" borderId="233" xfId="0" applyFill="1" applyBorder="1" applyAlignment="1" applyProtection="1">
      <alignment horizontal="center" vertical="center"/>
      <protection hidden="1"/>
    </xf>
    <xf numFmtId="0" fontId="0" fillId="16" borderId="164" xfId="0" applyFill="1" applyBorder="1" applyAlignment="1" applyProtection="1">
      <alignment horizontal="center" vertical="center"/>
      <protection hidden="1"/>
    </xf>
    <xf numFmtId="0" fontId="0" fillId="16" borderId="155" xfId="0" applyFill="1" applyBorder="1" applyAlignment="1" applyProtection="1">
      <alignment horizontal="center" vertical="center"/>
      <protection hidden="1"/>
    </xf>
    <xf numFmtId="0" fontId="0" fillId="16" borderId="153" xfId="0" applyFill="1" applyBorder="1" applyAlignment="1" applyProtection="1">
      <alignment horizontal="center" vertical="center"/>
      <protection hidden="1"/>
    </xf>
    <xf numFmtId="0" fontId="0" fillId="16" borderId="154" xfId="0" applyFill="1" applyBorder="1" applyAlignment="1" applyProtection="1">
      <alignment horizontal="center" vertical="center"/>
      <protection hidden="1"/>
    </xf>
    <xf numFmtId="0" fontId="0" fillId="16" borderId="60" xfId="0" applyFill="1" applyBorder="1" applyAlignment="1" applyProtection="1">
      <alignment horizontal="center" vertical="center"/>
      <protection hidden="1"/>
    </xf>
    <xf numFmtId="0" fontId="0" fillId="16" borderId="61" xfId="0" applyFill="1" applyBorder="1" applyAlignment="1" applyProtection="1">
      <alignment horizontal="center" vertical="center"/>
      <protection hidden="1"/>
    </xf>
    <xf numFmtId="0" fontId="120" fillId="4" borderId="234" xfId="0" applyFont="1" applyFill="1" applyBorder="1" applyAlignment="1" applyProtection="1">
      <alignment horizontal="center" vertical="center" wrapText="1"/>
      <protection hidden="1"/>
    </xf>
    <xf numFmtId="0" fontId="120" fillId="4" borderId="206" xfId="0" applyFont="1" applyFill="1" applyBorder="1" applyAlignment="1" applyProtection="1">
      <alignment horizontal="center" vertical="center" wrapText="1"/>
      <protection hidden="1"/>
    </xf>
    <xf numFmtId="0" fontId="0" fillId="16" borderId="48" xfId="0" applyFill="1" applyBorder="1" applyAlignment="1" applyProtection="1">
      <alignment horizontal="center" vertical="center"/>
      <protection hidden="1"/>
    </xf>
    <xf numFmtId="0" fontId="0" fillId="16" borderId="62" xfId="0" applyFill="1" applyBorder="1" applyAlignment="1" applyProtection="1">
      <alignment horizontal="center" vertical="center"/>
      <protection hidden="1"/>
    </xf>
    <xf numFmtId="0" fontId="71" fillId="0" borderId="234" xfId="0" applyFont="1" applyFill="1" applyBorder="1" applyAlignment="1" applyProtection="1">
      <alignment horizontal="center" vertical="center" wrapText="1"/>
      <protection hidden="1"/>
    </xf>
    <xf numFmtId="0" fontId="71" fillId="0" borderId="205" xfId="0" applyFont="1" applyFill="1" applyBorder="1" applyAlignment="1" applyProtection="1">
      <alignment horizontal="center" vertical="center" wrapText="1"/>
      <protection hidden="1"/>
    </xf>
    <xf numFmtId="0" fontId="71" fillId="0" borderId="206" xfId="0" applyFont="1" applyFill="1" applyBorder="1" applyAlignment="1" applyProtection="1">
      <alignment horizontal="center" vertical="center" wrapText="1"/>
      <protection hidden="1"/>
    </xf>
    <xf numFmtId="0" fontId="0" fillId="2" borderId="0" xfId="0" applyFill="1" applyBorder="1" applyAlignment="1" applyProtection="1">
      <alignment horizontal="center" vertical="center"/>
      <protection hidden="1"/>
    </xf>
    <xf numFmtId="0" fontId="0" fillId="5" borderId="2" xfId="0" applyFill="1" applyBorder="1" applyAlignment="1" applyProtection="1">
      <alignment horizontal="center"/>
      <protection hidden="1"/>
    </xf>
    <xf numFmtId="0" fontId="0" fillId="16" borderId="159" xfId="0" applyFill="1" applyBorder="1" applyAlignment="1" applyProtection="1">
      <alignment horizontal="center" vertical="center"/>
      <protection hidden="1"/>
    </xf>
    <xf numFmtId="0" fontId="0" fillId="16" borderId="162" xfId="0" applyFill="1" applyBorder="1" applyAlignment="1" applyProtection="1">
      <alignment horizontal="center" vertical="center"/>
      <protection hidden="1"/>
    </xf>
    <xf numFmtId="0" fontId="0" fillId="16" borderId="167" xfId="0" applyFill="1" applyBorder="1" applyAlignment="1" applyProtection="1">
      <alignment horizontal="center" vertical="center"/>
      <protection hidden="1"/>
    </xf>
    <xf numFmtId="0" fontId="0" fillId="16" borderId="160" xfId="0" applyFill="1" applyBorder="1" applyAlignment="1" applyProtection="1">
      <alignment horizontal="center" vertical="center"/>
      <protection hidden="1"/>
    </xf>
    <xf numFmtId="0" fontId="0" fillId="16" borderId="232" xfId="0" applyFill="1" applyBorder="1" applyAlignment="1" applyProtection="1">
      <alignment horizontal="center" vertical="center"/>
      <protection hidden="1"/>
    </xf>
    <xf numFmtId="0" fontId="0" fillId="16" borderId="159" xfId="0" applyFill="1" applyBorder="1" applyAlignment="1" applyProtection="1">
      <alignment horizontal="center"/>
      <protection hidden="1"/>
    </xf>
    <xf numFmtId="0" fontId="0" fillId="16" borderId="162" xfId="0" applyFill="1" applyBorder="1" applyAlignment="1" applyProtection="1">
      <alignment horizontal="center"/>
      <protection hidden="1"/>
    </xf>
    <xf numFmtId="0" fontId="0" fillId="16" borderId="167" xfId="0" applyFill="1" applyBorder="1" applyAlignment="1" applyProtection="1">
      <alignment horizontal="center"/>
      <protection hidden="1"/>
    </xf>
    <xf numFmtId="0" fontId="0" fillId="16" borderId="160" xfId="0" applyFill="1" applyBorder="1" applyAlignment="1" applyProtection="1">
      <alignment horizontal="center"/>
      <protection hidden="1"/>
    </xf>
    <xf numFmtId="0" fontId="0" fillId="16" borderId="232" xfId="0" applyFill="1" applyBorder="1" applyAlignment="1" applyProtection="1">
      <alignment horizontal="center"/>
      <protection hidden="1"/>
    </xf>
    <xf numFmtId="0" fontId="0" fillId="16" borderId="156" xfId="0" applyFill="1" applyBorder="1" applyAlignment="1" applyProtection="1">
      <alignment horizontal="center"/>
      <protection hidden="1"/>
    </xf>
    <xf numFmtId="0" fontId="0" fillId="16" borderId="166" xfId="0" applyFill="1" applyBorder="1" applyAlignment="1" applyProtection="1">
      <alignment horizontal="center"/>
      <protection hidden="1"/>
    </xf>
    <xf numFmtId="0" fontId="0" fillId="16" borderId="157" xfId="0" applyFill="1" applyBorder="1" applyAlignment="1" applyProtection="1">
      <alignment horizontal="center"/>
      <protection hidden="1"/>
    </xf>
    <xf numFmtId="0" fontId="0" fillId="16" borderId="158" xfId="0" applyFill="1" applyBorder="1" applyAlignment="1" applyProtection="1">
      <alignment horizontal="center"/>
      <protection hidden="1"/>
    </xf>
    <xf numFmtId="0" fontId="0" fillId="16" borderId="236" xfId="0" applyFill="1" applyBorder="1" applyAlignment="1" applyProtection="1">
      <alignment horizontal="center"/>
      <protection hidden="1"/>
    </xf>
    <xf numFmtId="0" fontId="3" fillId="4" borderId="214" xfId="3" applyFont="1" applyFill="1" applyBorder="1" applyAlignment="1">
      <alignment horizontal="left" vertical="center"/>
    </xf>
    <xf numFmtId="0" fontId="3" fillId="4" borderId="92" xfId="3" applyFont="1" applyFill="1" applyBorder="1" applyAlignment="1">
      <alignment horizontal="left" vertical="center"/>
    </xf>
    <xf numFmtId="0" fontId="3" fillId="4" borderId="123" xfId="3" applyFont="1" applyFill="1" applyBorder="1" applyAlignment="1">
      <alignment horizontal="left" vertical="center"/>
    </xf>
    <xf numFmtId="0" fontId="0" fillId="2" borderId="15" xfId="0" applyFill="1" applyBorder="1" applyAlignment="1" applyProtection="1">
      <alignment horizontal="center" vertical="center"/>
      <protection hidden="1"/>
    </xf>
    <xf numFmtId="0" fontId="36" fillId="4" borderId="204" xfId="0" applyFont="1" applyFill="1" applyBorder="1" applyAlignment="1" applyProtection="1">
      <alignment horizontal="center" vertical="center" wrapText="1"/>
      <protection locked="0" hidden="1"/>
    </xf>
    <xf numFmtId="0" fontId="36" fillId="4" borderId="205" xfId="0" applyFont="1" applyFill="1" applyBorder="1" applyAlignment="1" applyProtection="1">
      <alignment horizontal="center" vertical="center" wrapText="1"/>
      <protection locked="0" hidden="1"/>
    </xf>
    <xf numFmtId="0" fontId="36" fillId="4" borderId="206" xfId="0" applyFont="1" applyFill="1" applyBorder="1" applyAlignment="1" applyProtection="1">
      <alignment horizontal="center" vertical="center" wrapText="1"/>
      <protection locked="0" hidden="1"/>
    </xf>
    <xf numFmtId="0" fontId="3" fillId="4" borderId="109" xfId="3" applyFont="1" applyFill="1" applyBorder="1" applyAlignment="1">
      <alignment horizontal="left" vertical="center"/>
    </xf>
    <xf numFmtId="0" fontId="3" fillId="4" borderId="102" xfId="3" applyFont="1" applyFill="1" applyBorder="1" applyAlignment="1">
      <alignment horizontal="left" vertical="center"/>
    </xf>
    <xf numFmtId="0" fontId="3" fillId="4" borderId="103" xfId="3" applyFont="1" applyFill="1" applyBorder="1" applyAlignment="1">
      <alignment horizontal="left" vertical="center"/>
    </xf>
    <xf numFmtId="0" fontId="0" fillId="3" borderId="131" xfId="0" applyFill="1" applyBorder="1" applyAlignment="1" applyProtection="1">
      <alignment horizontal="center" vertical="center"/>
      <protection hidden="1"/>
    </xf>
    <xf numFmtId="0" fontId="42" fillId="2" borderId="131" xfId="0" applyFont="1" applyFill="1" applyBorder="1" applyAlignment="1" applyProtection="1">
      <alignment horizontal="center" vertical="center"/>
      <protection hidden="1"/>
    </xf>
    <xf numFmtId="0" fontId="0" fillId="0" borderId="8" xfId="0" applyBorder="1"/>
    <xf numFmtId="0" fontId="0" fillId="0" borderId="0" xfId="0"/>
    <xf numFmtId="0" fontId="74" fillId="0" borderId="234" xfId="0" applyFont="1" applyFill="1" applyBorder="1" applyAlignment="1" applyProtection="1">
      <alignment horizontal="center" vertical="center" wrapText="1"/>
      <protection hidden="1"/>
    </xf>
    <xf numFmtId="0" fontId="74" fillId="0" borderId="205" xfId="0" applyFont="1" applyFill="1" applyBorder="1" applyAlignment="1" applyProtection="1">
      <alignment horizontal="center" vertical="center" wrapText="1"/>
      <protection hidden="1"/>
    </xf>
    <xf numFmtId="0" fontId="74" fillId="0" borderId="235" xfId="0" applyFont="1" applyFill="1" applyBorder="1" applyAlignment="1" applyProtection="1">
      <alignment horizontal="center" vertical="center" wrapText="1"/>
      <protection hidden="1"/>
    </xf>
    <xf numFmtId="0" fontId="0" fillId="16" borderId="56" xfId="0" applyFill="1" applyBorder="1" applyAlignment="1" applyProtection="1">
      <alignment horizontal="center" vertical="center"/>
      <protection hidden="1"/>
    </xf>
    <xf numFmtId="0" fontId="0" fillId="0" borderId="10" xfId="0" applyBorder="1" applyAlignment="1" applyProtection="1">
      <alignment horizontal="left" vertical="top"/>
      <protection hidden="1"/>
    </xf>
    <xf numFmtId="0" fontId="0" fillId="0" borderId="8" xfId="0" applyBorder="1" applyAlignment="1" applyProtection="1">
      <alignment horizontal="left" vertical="top"/>
      <protection hidden="1"/>
    </xf>
    <xf numFmtId="0" fontId="0" fillId="0" borderId="11" xfId="0" applyBorder="1" applyAlignment="1" applyProtection="1">
      <alignment horizontal="left" vertical="top"/>
      <protection hidden="1"/>
    </xf>
    <xf numFmtId="0" fontId="0" fillId="0" borderId="1" xfId="0" applyBorder="1" applyAlignment="1" applyProtection="1">
      <alignment horizontal="left" vertical="top"/>
      <protection hidden="1"/>
    </xf>
    <xf numFmtId="0" fontId="0" fillId="0" borderId="2" xfId="0" applyBorder="1" applyAlignment="1" applyProtection="1">
      <alignment horizontal="left" vertical="top"/>
      <protection hidden="1"/>
    </xf>
    <xf numFmtId="0" fontId="0" fillId="0" borderId="3" xfId="0" applyBorder="1" applyAlignment="1" applyProtection="1">
      <alignment horizontal="left" vertical="top"/>
      <protection hidden="1"/>
    </xf>
    <xf numFmtId="0" fontId="0" fillId="16" borderId="63" xfId="0" applyFill="1" applyBorder="1" applyAlignment="1" applyProtection="1">
      <alignment horizontal="center" vertical="center"/>
      <protection hidden="1"/>
    </xf>
    <xf numFmtId="0" fontId="38" fillId="0" borderId="216" xfId="0" applyFont="1" applyFill="1" applyBorder="1" applyAlignment="1" applyProtection="1">
      <alignment vertical="top" wrapText="1"/>
      <protection hidden="1"/>
    </xf>
    <xf numFmtId="0" fontId="38" fillId="0" borderId="215" xfId="0" applyFont="1" applyFill="1" applyBorder="1" applyAlignment="1" applyProtection="1">
      <alignment vertical="top" wrapText="1"/>
      <protection hidden="1"/>
    </xf>
    <xf numFmtId="0" fontId="38" fillId="0" borderId="237" xfId="0" applyFont="1" applyFill="1" applyBorder="1" applyAlignment="1" applyProtection="1">
      <alignment vertical="top" wrapText="1"/>
      <protection hidden="1"/>
    </xf>
    <xf numFmtId="0" fontId="38" fillId="0" borderId="217" xfId="0" applyFont="1" applyFill="1" applyBorder="1" applyAlignment="1" applyProtection="1">
      <alignment vertical="top" wrapText="1"/>
      <protection hidden="1"/>
    </xf>
    <xf numFmtId="0" fontId="38" fillId="0" borderId="238" xfId="0" applyFont="1" applyFill="1" applyBorder="1" applyAlignment="1" applyProtection="1">
      <alignment vertical="top" wrapText="1"/>
      <protection hidden="1"/>
    </xf>
    <xf numFmtId="0" fontId="38" fillId="0" borderId="228" xfId="0" applyFont="1" applyFill="1" applyBorder="1" applyAlignment="1" applyProtection="1">
      <alignment vertical="top" wrapText="1"/>
      <protection hidden="1"/>
    </xf>
    <xf numFmtId="0" fontId="0" fillId="0" borderId="148" xfId="0" applyBorder="1" applyAlignment="1" applyProtection="1">
      <alignment horizontal="center"/>
      <protection hidden="1"/>
    </xf>
    <xf numFmtId="0" fontId="0" fillId="0" borderId="149" xfId="0" applyBorder="1" applyAlignment="1" applyProtection="1">
      <alignment horizontal="center"/>
      <protection hidden="1"/>
    </xf>
    <xf numFmtId="0" fontId="0" fillId="3" borderId="147" xfId="0" applyFill="1" applyBorder="1" applyAlignment="1" applyProtection="1">
      <alignment horizontal="center" vertical="center" wrapText="1"/>
      <protection hidden="1"/>
    </xf>
    <xf numFmtId="0" fontId="0" fillId="3" borderId="148" xfId="0" applyFill="1" applyBorder="1" applyAlignment="1" applyProtection="1">
      <alignment horizontal="center" vertical="center" wrapText="1"/>
      <protection hidden="1"/>
    </xf>
    <xf numFmtId="0" fontId="0" fillId="3" borderId="150" xfId="0" applyFill="1" applyBorder="1" applyAlignment="1" applyProtection="1">
      <alignment horizontal="center" vertical="center" wrapText="1"/>
      <protection hidden="1"/>
    </xf>
    <xf numFmtId="0" fontId="0" fillId="3" borderId="151" xfId="0" applyFill="1" applyBorder="1" applyAlignment="1" applyProtection="1">
      <alignment horizontal="center" vertical="center" wrapText="1"/>
      <protection hidden="1"/>
    </xf>
    <xf numFmtId="0" fontId="38" fillId="0" borderId="148" xfId="0" applyFont="1" applyFill="1" applyBorder="1" applyAlignment="1" applyProtection="1">
      <alignment horizontal="left" vertical="top" wrapText="1"/>
      <protection hidden="1"/>
    </xf>
    <xf numFmtId="0" fontId="38" fillId="0" borderId="151" xfId="0" applyFont="1" applyFill="1" applyBorder="1" applyAlignment="1" applyProtection="1">
      <alignment horizontal="left" vertical="top" wrapText="1"/>
      <protection hidden="1"/>
    </xf>
    <xf numFmtId="0" fontId="38" fillId="0" borderId="239" xfId="0" applyFont="1" applyFill="1" applyBorder="1" applyAlignment="1" applyProtection="1">
      <alignment vertical="top" wrapText="1"/>
      <protection hidden="1"/>
    </xf>
    <xf numFmtId="0" fontId="38" fillId="0" borderId="2" xfId="0" applyFont="1" applyFill="1" applyBorder="1" applyAlignment="1" applyProtection="1">
      <alignment vertical="top" wrapText="1"/>
      <protection hidden="1"/>
    </xf>
    <xf numFmtId="0" fontId="38" fillId="0" borderId="240" xfId="0" applyFont="1" applyFill="1" applyBorder="1" applyAlignment="1" applyProtection="1">
      <alignment vertical="top" wrapText="1"/>
      <protection hidden="1"/>
    </xf>
    <xf numFmtId="0" fontId="0" fillId="0" borderId="151" xfId="0" applyBorder="1" applyAlignment="1" applyProtection="1">
      <alignment horizontal="center"/>
      <protection hidden="1"/>
    </xf>
    <xf numFmtId="0" fontId="0" fillId="0" borderId="152" xfId="0" applyBorder="1" applyAlignment="1" applyProtection="1">
      <alignment horizontal="center"/>
      <protection hidden="1"/>
    </xf>
    <xf numFmtId="0" fontId="0" fillId="4" borderId="15" xfId="0" applyFill="1" applyBorder="1" applyAlignment="1" applyProtection="1">
      <alignment horizontal="center"/>
      <protection hidden="1"/>
    </xf>
    <xf numFmtId="0" fontId="63" fillId="2" borderId="144" xfId="0" applyFont="1" applyFill="1" applyBorder="1" applyAlignment="1" applyProtection="1">
      <alignment horizontal="center" vertical="center" wrapText="1"/>
      <protection hidden="1"/>
    </xf>
    <xf numFmtId="0" fontId="63" fillId="2" borderId="145" xfId="0" applyFont="1" applyFill="1" applyBorder="1" applyAlignment="1" applyProtection="1">
      <alignment horizontal="center" vertical="center" wrapText="1"/>
      <protection hidden="1"/>
    </xf>
    <xf numFmtId="0" fontId="63" fillId="2" borderId="147" xfId="0" applyFont="1" applyFill="1" applyBorder="1" applyAlignment="1" applyProtection="1">
      <alignment horizontal="center" vertical="center" wrapText="1"/>
      <protection hidden="1"/>
    </xf>
    <xf numFmtId="0" fontId="63" fillId="2" borderId="148" xfId="0" applyFont="1" applyFill="1" applyBorder="1" applyAlignment="1" applyProtection="1">
      <alignment horizontal="center" vertical="center" wrapText="1"/>
      <protection hidden="1"/>
    </xf>
    <xf numFmtId="0" fontId="63" fillId="2" borderId="146" xfId="0" applyFont="1" applyFill="1" applyBorder="1" applyAlignment="1" applyProtection="1">
      <alignment horizontal="center" vertical="center" wrapText="1"/>
      <protection hidden="1"/>
    </xf>
    <xf numFmtId="0" fontId="63" fillId="2" borderId="149" xfId="0" applyFont="1" applyFill="1" applyBorder="1" applyAlignment="1" applyProtection="1">
      <alignment horizontal="center" vertical="center" wrapText="1"/>
      <protection hidden="1"/>
    </xf>
    <xf numFmtId="0" fontId="0" fillId="3" borderId="97" xfId="0" applyFill="1" applyBorder="1" applyAlignment="1" applyProtection="1">
      <alignment horizontal="center" vertical="center" wrapText="1"/>
      <protection hidden="1"/>
    </xf>
    <xf numFmtId="0" fontId="0" fillId="3" borderId="98" xfId="0" applyFill="1" applyBorder="1" applyAlignment="1" applyProtection="1">
      <alignment horizontal="center" vertical="center" wrapText="1"/>
      <protection hidden="1"/>
    </xf>
    <xf numFmtId="0" fontId="0" fillId="3" borderId="99" xfId="0" applyFill="1" applyBorder="1" applyAlignment="1" applyProtection="1">
      <alignment horizontal="center" vertical="center" wrapText="1"/>
      <protection hidden="1"/>
    </xf>
    <xf numFmtId="0" fontId="0" fillId="3" borderId="4" xfId="0" applyFill="1" applyBorder="1" applyAlignment="1" applyProtection="1">
      <alignment horizontal="center" vertical="center" wrapText="1"/>
      <protection hidden="1"/>
    </xf>
    <xf numFmtId="0" fontId="0" fillId="3" borderId="0" xfId="0" applyFill="1" applyBorder="1" applyAlignment="1" applyProtection="1">
      <alignment horizontal="center" vertical="center" wrapText="1"/>
      <protection hidden="1"/>
    </xf>
    <xf numFmtId="0" fontId="0" fillId="3" borderId="100" xfId="0" applyFill="1" applyBorder="1" applyAlignment="1" applyProtection="1">
      <alignment horizontal="center" vertical="center" wrapText="1"/>
      <protection hidden="1"/>
    </xf>
    <xf numFmtId="0" fontId="0" fillId="0" borderId="104" xfId="0" applyFill="1" applyBorder="1" applyAlignment="1" applyProtection="1">
      <alignment horizontal="center" vertical="center"/>
      <protection hidden="1"/>
    </xf>
    <xf numFmtId="0" fontId="0" fillId="0" borderId="105" xfId="0" applyFill="1" applyBorder="1" applyAlignment="1" applyProtection="1">
      <alignment horizontal="center" vertical="center"/>
      <protection hidden="1"/>
    </xf>
    <xf numFmtId="0" fontId="38" fillId="0" borderId="107" xfId="0" applyFont="1" applyFill="1" applyBorder="1" applyAlignment="1" applyProtection="1">
      <alignment horizontal="left" vertical="top"/>
      <protection hidden="1"/>
    </xf>
    <xf numFmtId="0" fontId="38" fillId="0" borderId="98" xfId="0" applyFont="1" applyFill="1" applyBorder="1" applyAlignment="1" applyProtection="1">
      <alignment horizontal="left" vertical="top"/>
      <protection hidden="1"/>
    </xf>
    <xf numFmtId="0" fontId="38" fillId="0" borderId="99" xfId="0" applyFont="1" applyFill="1" applyBorder="1" applyAlignment="1" applyProtection="1">
      <alignment horizontal="left" vertical="top"/>
      <protection hidden="1"/>
    </xf>
    <xf numFmtId="0" fontId="38" fillId="0" borderId="108" xfId="0" applyFont="1" applyFill="1" applyBorder="1" applyAlignment="1" applyProtection="1">
      <alignment horizontal="left" vertical="top"/>
      <protection hidden="1"/>
    </xf>
    <xf numFmtId="0" fontId="38" fillId="0" borderId="0" xfId="0" applyFont="1" applyFill="1" applyBorder="1" applyAlignment="1" applyProtection="1">
      <alignment horizontal="left" vertical="top"/>
      <protection hidden="1"/>
    </xf>
    <xf numFmtId="0" fontId="38" fillId="0" borderId="100" xfId="0" applyFont="1" applyFill="1" applyBorder="1" applyAlignment="1" applyProtection="1">
      <alignment horizontal="left" vertical="top"/>
      <protection hidden="1"/>
    </xf>
    <xf numFmtId="0" fontId="38" fillId="0" borderId="107" xfId="0" applyFont="1" applyFill="1" applyBorder="1" applyAlignment="1" applyProtection="1">
      <alignment horizontal="center" vertical="top"/>
      <protection hidden="1"/>
    </xf>
    <xf numFmtId="0" fontId="38" fillId="0" borderId="98" xfId="0" applyFont="1" applyFill="1" applyBorder="1" applyAlignment="1" applyProtection="1">
      <alignment horizontal="center" vertical="top"/>
      <protection hidden="1"/>
    </xf>
    <xf numFmtId="0" fontId="38" fillId="0" borderId="110" xfId="0" applyFont="1" applyFill="1" applyBorder="1" applyAlignment="1" applyProtection="1">
      <alignment horizontal="center" vertical="top"/>
      <protection hidden="1"/>
    </xf>
    <xf numFmtId="0" fontId="38" fillId="0" borderId="108" xfId="0" applyFont="1" applyFill="1" applyBorder="1" applyAlignment="1" applyProtection="1">
      <alignment horizontal="center" vertical="top"/>
      <protection hidden="1"/>
    </xf>
    <xf numFmtId="0" fontId="38" fillId="0" borderId="0" xfId="0" applyFont="1" applyFill="1" applyBorder="1" applyAlignment="1" applyProtection="1">
      <alignment horizontal="center" vertical="top"/>
      <protection hidden="1"/>
    </xf>
    <xf numFmtId="0" fontId="38" fillId="0" borderId="9" xfId="0" applyFont="1" applyFill="1" applyBorder="1" applyAlignment="1" applyProtection="1">
      <alignment horizontal="center" vertical="top"/>
      <protection hidden="1"/>
    </xf>
    <xf numFmtId="0" fontId="38" fillId="0" borderId="109" xfId="0" applyFont="1" applyFill="1" applyBorder="1" applyAlignment="1" applyProtection="1">
      <alignment horizontal="center" vertical="top"/>
      <protection hidden="1"/>
    </xf>
    <xf numFmtId="0" fontId="38" fillId="0" borderId="102" xfId="0" applyFont="1" applyFill="1" applyBorder="1" applyAlignment="1" applyProtection="1">
      <alignment horizontal="center" vertical="top"/>
      <protection hidden="1"/>
    </xf>
    <xf numFmtId="0" fontId="38" fillId="0" borderId="113" xfId="0" applyFont="1" applyFill="1" applyBorder="1" applyAlignment="1" applyProtection="1">
      <alignment horizontal="center" vertical="top"/>
      <protection hidden="1"/>
    </xf>
    <xf numFmtId="0" fontId="0" fillId="3" borderId="101" xfId="0" applyFill="1" applyBorder="1" applyAlignment="1" applyProtection="1">
      <alignment horizontal="center" vertical="center" wrapText="1"/>
      <protection hidden="1"/>
    </xf>
    <xf numFmtId="0" fontId="0" fillId="3" borderId="102" xfId="0" applyFill="1" applyBorder="1" applyAlignment="1" applyProtection="1">
      <alignment horizontal="center" vertical="center" wrapText="1"/>
      <protection hidden="1"/>
    </xf>
    <xf numFmtId="0" fontId="0" fillId="3" borderId="103" xfId="0" applyFill="1" applyBorder="1" applyAlignment="1" applyProtection="1">
      <alignment horizontal="center" vertical="center" wrapText="1"/>
      <protection hidden="1"/>
    </xf>
    <xf numFmtId="0" fontId="0" fillId="0" borderId="106" xfId="0" applyFill="1" applyBorder="1" applyAlignment="1" applyProtection="1">
      <alignment horizontal="center" vertical="center"/>
      <protection hidden="1"/>
    </xf>
    <xf numFmtId="0" fontId="38" fillId="0" borderId="110" xfId="0" applyFont="1" applyFill="1" applyBorder="1" applyAlignment="1" applyProtection="1">
      <alignment horizontal="left" vertical="top"/>
      <protection hidden="1"/>
    </xf>
    <xf numFmtId="0" fontId="38" fillId="0" borderId="9" xfId="0" applyFont="1" applyFill="1" applyBorder="1" applyAlignment="1" applyProtection="1">
      <alignment horizontal="left" vertical="top"/>
      <protection hidden="1"/>
    </xf>
    <xf numFmtId="0" fontId="38" fillId="0" borderId="109" xfId="0" applyFont="1" applyFill="1" applyBorder="1" applyAlignment="1" applyProtection="1">
      <alignment horizontal="left" vertical="top"/>
      <protection hidden="1"/>
    </xf>
    <xf numFmtId="0" fontId="38" fillId="0" borderId="102" xfId="0" applyFont="1" applyFill="1" applyBorder="1" applyAlignment="1" applyProtection="1">
      <alignment horizontal="left" vertical="top"/>
      <protection hidden="1"/>
    </xf>
    <xf numFmtId="0" fontId="38" fillId="0" borderId="113" xfId="0" applyFont="1" applyFill="1" applyBorder="1" applyAlignment="1" applyProtection="1">
      <alignment horizontal="left" vertical="top"/>
      <protection hidden="1"/>
    </xf>
    <xf numFmtId="0" fontId="0" fillId="4" borderId="2" xfId="0" applyFill="1" applyBorder="1" applyAlignment="1" applyProtection="1">
      <alignment horizontal="center"/>
      <protection hidden="1"/>
    </xf>
    <xf numFmtId="0" fontId="52" fillId="2" borderId="114" xfId="0" applyFont="1" applyFill="1" applyBorder="1" applyAlignment="1" applyProtection="1">
      <alignment horizontal="center" vertical="center"/>
      <protection hidden="1"/>
    </xf>
    <xf numFmtId="0" fontId="52" fillId="2" borderId="95" xfId="0" applyFont="1" applyFill="1" applyBorder="1" applyAlignment="1" applyProtection="1">
      <alignment horizontal="center" vertical="center"/>
      <protection hidden="1"/>
    </xf>
    <xf numFmtId="0" fontId="64" fillId="2" borderId="95" xfId="0" applyFont="1" applyFill="1" applyBorder="1" applyAlignment="1" applyProtection="1">
      <alignment horizontal="center" vertical="center"/>
      <protection hidden="1"/>
    </xf>
    <xf numFmtId="0" fontId="64" fillId="2" borderId="96" xfId="0" applyFont="1" applyFill="1" applyBorder="1" applyAlignment="1" applyProtection="1">
      <alignment horizontal="center" vertical="center"/>
      <protection hidden="1"/>
    </xf>
    <xf numFmtId="0" fontId="38" fillId="0" borderId="103" xfId="0" applyFont="1" applyFill="1" applyBorder="1" applyAlignment="1" applyProtection="1">
      <alignment horizontal="left" vertical="top"/>
      <protection hidden="1"/>
    </xf>
    <xf numFmtId="0" fontId="70" fillId="0" borderId="48" xfId="0" applyFont="1" applyBorder="1" applyAlignment="1" applyProtection="1">
      <alignment horizontal="left" vertical="center"/>
      <protection hidden="1"/>
    </xf>
    <xf numFmtId="0" fontId="70" fillId="0" borderId="62" xfId="0" applyFont="1" applyBorder="1" applyAlignment="1" applyProtection="1">
      <alignment horizontal="left" vertical="center"/>
      <protection hidden="1"/>
    </xf>
    <xf numFmtId="0" fontId="0" fillId="3" borderId="48" xfId="0" applyFill="1" applyBorder="1" applyAlignment="1" applyProtection="1">
      <alignment horizontal="left"/>
      <protection hidden="1"/>
    </xf>
    <xf numFmtId="0" fontId="70" fillId="0" borderId="56" xfId="0" applyFont="1" applyBorder="1" applyAlignment="1" applyProtection="1">
      <alignment horizontal="left" vertical="center"/>
      <protection hidden="1"/>
    </xf>
    <xf numFmtId="0" fontId="70" fillId="0" borderId="63" xfId="0" applyFont="1" applyBorder="1" applyAlignment="1" applyProtection="1">
      <alignment horizontal="left" vertical="center"/>
      <protection hidden="1"/>
    </xf>
    <xf numFmtId="0" fontId="0" fillId="3" borderId="58" xfId="0" applyFill="1" applyBorder="1" applyAlignment="1" applyProtection="1">
      <alignment horizontal="center" vertical="center" wrapText="1"/>
      <protection hidden="1"/>
    </xf>
    <xf numFmtId="0" fontId="0" fillId="3" borderId="48" xfId="0" applyFill="1" applyBorder="1" applyAlignment="1" applyProtection="1">
      <alignment horizontal="center" vertical="center" wrapText="1"/>
      <protection hidden="1"/>
    </xf>
    <xf numFmtId="0" fontId="0" fillId="0" borderId="48" xfId="0" applyFill="1" applyBorder="1" applyAlignment="1" applyProtection="1">
      <alignment horizontal="center" vertical="center" wrapText="1"/>
      <protection hidden="1"/>
    </xf>
    <xf numFmtId="0" fontId="74" fillId="0" borderId="117" xfId="0" applyFont="1" applyFill="1" applyBorder="1" applyAlignment="1" applyProtection="1">
      <alignment horizontal="left" vertical="center" wrapText="1"/>
      <protection hidden="1"/>
    </xf>
    <xf numFmtId="0" fontId="74" fillId="0" borderId="8" xfId="0" applyFont="1" applyFill="1" applyBorder="1" applyAlignment="1" applyProtection="1">
      <alignment horizontal="left" vertical="center" wrapText="1"/>
      <protection hidden="1"/>
    </xf>
    <xf numFmtId="0" fontId="74" fillId="0" borderId="11" xfId="0" applyFont="1" applyFill="1" applyBorder="1" applyAlignment="1" applyProtection="1">
      <alignment horizontal="left" vertical="center" wrapText="1"/>
      <protection hidden="1"/>
    </xf>
    <xf numFmtId="0" fontId="74" fillId="0" borderId="109" xfId="0" applyFont="1" applyFill="1" applyBorder="1" applyAlignment="1" applyProtection="1">
      <alignment horizontal="left" vertical="center" wrapText="1"/>
      <protection hidden="1"/>
    </xf>
    <xf numFmtId="0" fontId="74" fillId="0" borderId="102" xfId="0" applyFont="1" applyFill="1" applyBorder="1" applyAlignment="1" applyProtection="1">
      <alignment horizontal="left" vertical="center" wrapText="1"/>
      <protection hidden="1"/>
    </xf>
    <xf numFmtId="0" fontId="74" fillId="0" borderId="113" xfId="0" applyFont="1" applyFill="1" applyBorder="1" applyAlignment="1" applyProtection="1">
      <alignment horizontal="left" vertical="center" wrapText="1"/>
      <protection hidden="1"/>
    </xf>
    <xf numFmtId="0" fontId="63" fillId="2" borderId="60" xfId="0" applyFont="1" applyFill="1" applyBorder="1" applyAlignment="1" applyProtection="1">
      <alignment horizontal="center" vertical="center" wrapText="1"/>
      <protection hidden="1"/>
    </xf>
    <xf numFmtId="0" fontId="63" fillId="2" borderId="48" xfId="0" applyFont="1" applyFill="1" applyBorder="1" applyAlignment="1" applyProtection="1">
      <alignment horizontal="center" vertical="center" wrapText="1"/>
      <protection hidden="1"/>
    </xf>
    <xf numFmtId="0" fontId="63" fillId="2" borderId="61" xfId="0" applyFont="1" applyFill="1" applyBorder="1" applyAlignment="1" applyProtection="1">
      <alignment horizontal="center" vertical="center" wrapText="1"/>
      <protection hidden="1"/>
    </xf>
    <xf numFmtId="0" fontId="63" fillId="2" borderId="62" xfId="0" applyFont="1" applyFill="1" applyBorder="1" applyAlignment="1" applyProtection="1">
      <alignment horizontal="center" vertical="center" wrapText="1"/>
      <protection hidden="1"/>
    </xf>
    <xf numFmtId="0" fontId="0" fillId="0" borderId="107" xfId="0" applyFill="1" applyBorder="1" applyAlignment="1" applyProtection="1">
      <alignment horizontal="center" vertical="center" wrapText="1"/>
      <protection hidden="1"/>
    </xf>
    <xf numFmtId="0" fontId="0" fillId="0" borderId="98" xfId="0" applyFill="1" applyBorder="1" applyAlignment="1" applyProtection="1">
      <alignment horizontal="center" vertical="center" wrapText="1"/>
      <protection hidden="1"/>
    </xf>
    <xf numFmtId="0" fontId="0" fillId="0" borderId="99" xfId="0" applyFill="1" applyBorder="1" applyAlignment="1" applyProtection="1">
      <alignment horizontal="center" vertical="center" wrapText="1"/>
      <protection hidden="1"/>
    </xf>
    <xf numFmtId="0" fontId="0" fillId="0" borderId="109" xfId="0" applyFill="1" applyBorder="1" applyAlignment="1" applyProtection="1">
      <alignment horizontal="center" vertical="center" wrapText="1"/>
      <protection hidden="1"/>
    </xf>
    <xf numFmtId="0" fontId="0" fillId="0" borderId="102" xfId="0" applyFill="1" applyBorder="1" applyAlignment="1" applyProtection="1">
      <alignment horizontal="center" vertical="center" wrapText="1"/>
      <protection hidden="1"/>
    </xf>
    <xf numFmtId="0" fontId="0" fillId="0" borderId="103" xfId="0" applyFill="1" applyBorder="1" applyAlignment="1" applyProtection="1">
      <alignment horizontal="center" vertical="center" wrapText="1"/>
      <protection hidden="1"/>
    </xf>
    <xf numFmtId="0" fontId="75" fillId="0" borderId="60" xfId="0" applyFont="1" applyBorder="1" applyAlignment="1" applyProtection="1">
      <alignment horizontal="left" vertical="center"/>
      <protection hidden="1"/>
    </xf>
    <xf numFmtId="0" fontId="75" fillId="0" borderId="61" xfId="0" applyFont="1" applyBorder="1" applyAlignment="1" applyProtection="1">
      <alignment horizontal="left" vertical="center"/>
      <protection hidden="1"/>
    </xf>
    <xf numFmtId="14" fontId="70" fillId="0" borderId="48" xfId="0" applyNumberFormat="1" applyFont="1" applyBorder="1" applyAlignment="1" applyProtection="1">
      <alignment horizontal="left" vertical="center"/>
      <protection hidden="1"/>
    </xf>
    <xf numFmtId="0" fontId="0" fillId="3" borderId="60" xfId="0" applyFill="1" applyBorder="1" applyAlignment="1" applyProtection="1">
      <alignment horizontal="left"/>
      <protection hidden="1"/>
    </xf>
    <xf numFmtId="0" fontId="0" fillId="3" borderId="147" xfId="0" applyFill="1" applyBorder="1" applyAlignment="1" applyProtection="1">
      <alignment horizontal="center"/>
      <protection hidden="1"/>
    </xf>
    <xf numFmtId="0" fontId="0" fillId="3" borderId="148" xfId="0" applyFill="1" applyBorder="1" applyAlignment="1" applyProtection="1">
      <alignment horizontal="center"/>
      <protection hidden="1"/>
    </xf>
    <xf numFmtId="0" fontId="0" fillId="3" borderId="150" xfId="0" applyFill="1" applyBorder="1" applyAlignment="1" applyProtection="1">
      <alignment horizontal="center"/>
      <protection hidden="1"/>
    </xf>
    <xf numFmtId="0" fontId="0" fillId="3" borderId="151" xfId="0" applyFill="1" applyBorder="1" applyAlignment="1" applyProtection="1">
      <alignment horizontal="center"/>
      <protection hidden="1"/>
    </xf>
    <xf numFmtId="0" fontId="0" fillId="4" borderId="2" xfId="0" applyFill="1" applyBorder="1" applyAlignment="1" applyProtection="1">
      <alignment horizontal="center" vertical="center"/>
      <protection hidden="1"/>
    </xf>
    <xf numFmtId="0" fontId="68" fillId="0" borderId="0" xfId="0" applyFont="1" applyFill="1" applyBorder="1" applyAlignment="1" applyProtection="1">
      <alignment horizontal="center" vertical="center"/>
      <protection hidden="1"/>
    </xf>
    <xf numFmtId="0" fontId="69" fillId="0" borderId="0" xfId="0" applyFont="1" applyAlignment="1" applyProtection="1">
      <alignment horizontal="center"/>
      <protection hidden="1"/>
    </xf>
    <xf numFmtId="0" fontId="61" fillId="0" borderId="0" xfId="0" applyFont="1" applyBorder="1" applyAlignment="1" applyProtection="1">
      <alignment horizontal="center" vertical="center"/>
      <protection hidden="1"/>
    </xf>
    <xf numFmtId="0" fontId="0" fillId="4" borderId="0" xfId="0" applyFill="1" applyBorder="1" applyAlignment="1" applyProtection="1">
      <alignment horizontal="center"/>
      <protection hidden="1"/>
    </xf>
    <xf numFmtId="0" fontId="38" fillId="2" borderId="144" xfId="0" applyFont="1" applyFill="1" applyBorder="1" applyAlignment="1" applyProtection="1">
      <alignment horizontal="center"/>
      <protection hidden="1"/>
    </xf>
    <xf numFmtId="0" fontId="38" fillId="2" borderId="145" xfId="0" applyFont="1" applyFill="1" applyBorder="1" applyAlignment="1" applyProtection="1">
      <alignment horizontal="center"/>
      <protection hidden="1"/>
    </xf>
    <xf numFmtId="0" fontId="0" fillId="2" borderId="145" xfId="0" applyFill="1" applyBorder="1" applyAlignment="1" applyProtection="1">
      <alignment horizontal="center"/>
      <protection hidden="1"/>
    </xf>
    <xf numFmtId="0" fontId="0" fillId="2" borderId="146" xfId="0" applyFill="1" applyBorder="1" applyAlignment="1" applyProtection="1">
      <alignment horizontal="center"/>
      <protection hidden="1"/>
    </xf>
    <xf numFmtId="0" fontId="38" fillId="2" borderId="213" xfId="0" applyFont="1" applyFill="1" applyBorder="1" applyAlignment="1" applyProtection="1">
      <alignment horizontal="center"/>
      <protection hidden="1"/>
    </xf>
    <xf numFmtId="0" fontId="38" fillId="2" borderId="95" xfId="0" applyFont="1" applyFill="1" applyBorder="1" applyAlignment="1" applyProtection="1">
      <alignment horizontal="center"/>
      <protection hidden="1"/>
    </xf>
    <xf numFmtId="0" fontId="38" fillId="2" borderId="121" xfId="0" applyFont="1" applyFill="1" applyBorder="1" applyAlignment="1" applyProtection="1">
      <alignment horizontal="center"/>
      <protection hidden="1"/>
    </xf>
    <xf numFmtId="0" fontId="0" fillId="2" borderId="213" xfId="0" applyFill="1" applyBorder="1" applyAlignment="1" applyProtection="1">
      <alignment horizontal="center"/>
      <protection hidden="1"/>
    </xf>
    <xf numFmtId="0" fontId="0" fillId="2" borderId="95" xfId="0" applyFill="1" applyBorder="1" applyAlignment="1" applyProtection="1">
      <alignment horizontal="center"/>
      <protection hidden="1"/>
    </xf>
    <xf numFmtId="0" fontId="0" fillId="2" borderId="121" xfId="0" applyFill="1" applyBorder="1" applyAlignment="1" applyProtection="1">
      <alignment horizontal="center"/>
      <protection hidden="1"/>
    </xf>
    <xf numFmtId="0" fontId="0" fillId="3" borderId="134" xfId="0" applyFill="1" applyBorder="1" applyAlignment="1" applyProtection="1">
      <alignment horizontal="center"/>
      <protection hidden="1"/>
    </xf>
    <xf numFmtId="0" fontId="0" fillId="3" borderId="122" xfId="0" applyFill="1" applyBorder="1" applyAlignment="1" applyProtection="1">
      <alignment horizontal="center"/>
      <protection hidden="1"/>
    </xf>
    <xf numFmtId="0" fontId="0" fillId="3" borderId="135" xfId="0" applyFill="1" applyBorder="1" applyAlignment="1" applyProtection="1">
      <alignment horizontal="center"/>
      <protection hidden="1"/>
    </xf>
    <xf numFmtId="0" fontId="0" fillId="3" borderId="123" xfId="0" applyFill="1" applyBorder="1" applyAlignment="1" applyProtection="1">
      <alignment horizontal="center"/>
      <protection hidden="1"/>
    </xf>
    <xf numFmtId="0" fontId="38" fillId="2" borderId="114" xfId="0" applyFont="1" applyFill="1" applyBorder="1" applyAlignment="1" applyProtection="1">
      <alignment horizontal="center"/>
      <protection hidden="1"/>
    </xf>
    <xf numFmtId="0" fontId="0" fillId="0" borderId="199" xfId="0" applyBorder="1" applyAlignment="1" applyProtection="1">
      <alignment horizontal="center"/>
      <protection hidden="1"/>
    </xf>
    <xf numFmtId="0" fontId="0" fillId="0" borderId="90" xfId="0" applyBorder="1" applyAlignment="1" applyProtection="1">
      <alignment horizontal="center"/>
      <protection hidden="1"/>
    </xf>
    <xf numFmtId="0" fontId="0" fillId="0" borderId="122" xfId="0" applyBorder="1" applyAlignment="1" applyProtection="1">
      <alignment horizontal="center"/>
      <protection hidden="1"/>
    </xf>
    <xf numFmtId="0" fontId="0" fillId="2" borderId="96" xfId="0" applyFill="1" applyBorder="1" applyAlignment="1" applyProtection="1">
      <alignment horizontal="center"/>
      <protection hidden="1"/>
    </xf>
    <xf numFmtId="0" fontId="0" fillId="0" borderId="214" xfId="0" applyBorder="1" applyAlignment="1" applyProtection="1">
      <alignment horizontal="center"/>
      <protection hidden="1"/>
    </xf>
    <xf numFmtId="0" fontId="0" fillId="0" borderId="92" xfId="0" applyBorder="1" applyAlignment="1" applyProtection="1">
      <alignment horizontal="center"/>
      <protection hidden="1"/>
    </xf>
    <xf numFmtId="0" fontId="0" fillId="0" borderId="123" xfId="0" applyBorder="1" applyAlignment="1" applyProtection="1">
      <alignment horizontal="center"/>
      <protection hidden="1"/>
    </xf>
    <xf numFmtId="0" fontId="0" fillId="0" borderId="91" xfId="0" applyBorder="1" applyAlignment="1" applyProtection="1">
      <alignment horizontal="center"/>
      <protection hidden="1"/>
    </xf>
    <xf numFmtId="0" fontId="0" fillId="0" borderId="93" xfId="0" applyBorder="1" applyAlignment="1" applyProtection="1">
      <alignment horizontal="center"/>
      <protection hidden="1"/>
    </xf>
    <xf numFmtId="0" fontId="0" fillId="3" borderId="1" xfId="0" applyFill="1" applyBorder="1" applyAlignment="1" applyProtection="1">
      <alignment horizontal="center" vertical="center" wrapText="1"/>
      <protection hidden="1"/>
    </xf>
    <xf numFmtId="0" fontId="0" fillId="3" borderId="2" xfId="0" applyFill="1" applyBorder="1" applyAlignment="1" applyProtection="1">
      <alignment horizontal="center" vertical="center" wrapText="1"/>
      <protection hidden="1"/>
    </xf>
    <xf numFmtId="0" fontId="0" fillId="3" borderId="112" xfId="0" applyFill="1" applyBorder="1" applyAlignment="1" applyProtection="1">
      <alignment horizontal="center" vertical="center" wrapText="1"/>
      <protection hidden="1"/>
    </xf>
    <xf numFmtId="0" fontId="0" fillId="0" borderId="111" xfId="0" applyFill="1" applyBorder="1" applyAlignment="1" applyProtection="1">
      <alignment horizontal="center" vertical="center" wrapText="1"/>
      <protection hidden="1"/>
    </xf>
    <xf numFmtId="0" fontId="0" fillId="0" borderId="2" xfId="0" applyFill="1" applyBorder="1" applyAlignment="1" applyProtection="1">
      <alignment horizontal="center" vertical="center" wrapText="1"/>
      <protection hidden="1"/>
    </xf>
    <xf numFmtId="0" fontId="0" fillId="0" borderId="112" xfId="0" applyFill="1" applyBorder="1" applyAlignment="1" applyProtection="1">
      <alignment horizontal="center" vertical="center" wrapText="1"/>
      <protection hidden="1"/>
    </xf>
    <xf numFmtId="0" fontId="0" fillId="0" borderId="62" xfId="0" applyFill="1" applyBorder="1" applyAlignment="1" applyProtection="1">
      <alignment horizontal="center" vertical="center" wrapText="1"/>
      <protection hidden="1"/>
    </xf>
    <xf numFmtId="0" fontId="0" fillId="0" borderId="56" xfId="0" applyFill="1" applyBorder="1" applyAlignment="1" applyProtection="1">
      <alignment horizontal="center" vertical="center" wrapText="1"/>
      <protection hidden="1"/>
    </xf>
    <xf numFmtId="0" fontId="0" fillId="0" borderId="63" xfId="0" applyFill="1" applyBorder="1" applyAlignment="1" applyProtection="1">
      <alignment horizontal="center" vertical="center" wrapText="1"/>
      <protection hidden="1"/>
    </xf>
    <xf numFmtId="0" fontId="0" fillId="3" borderId="56" xfId="0" applyFill="1" applyBorder="1" applyAlignment="1" applyProtection="1">
      <alignment horizontal="left"/>
      <protection hidden="1"/>
    </xf>
    <xf numFmtId="14" fontId="0" fillId="0" borderId="107" xfId="0" applyNumberFormat="1" applyFill="1" applyBorder="1" applyAlignment="1" applyProtection="1">
      <alignment horizontal="center" vertical="center" wrapText="1"/>
      <protection hidden="1"/>
    </xf>
    <xf numFmtId="14" fontId="0" fillId="0" borderId="98" xfId="0" applyNumberFormat="1" applyFill="1" applyBorder="1" applyAlignment="1" applyProtection="1">
      <alignment horizontal="center" vertical="center" wrapText="1"/>
      <protection hidden="1"/>
    </xf>
    <xf numFmtId="14" fontId="0" fillId="0" borderId="99" xfId="0" applyNumberFormat="1" applyFill="1" applyBorder="1" applyAlignment="1" applyProtection="1">
      <alignment horizontal="center" vertical="center" wrapText="1"/>
      <protection hidden="1"/>
    </xf>
    <xf numFmtId="14" fontId="0" fillId="0" borderId="111" xfId="0" applyNumberFormat="1" applyFill="1" applyBorder="1" applyAlignment="1" applyProtection="1">
      <alignment horizontal="center" vertical="center" wrapText="1"/>
      <protection hidden="1"/>
    </xf>
    <xf numFmtId="14" fontId="0" fillId="0" borderId="2" xfId="0" applyNumberFormat="1" applyFill="1" applyBorder="1" applyAlignment="1" applyProtection="1">
      <alignment horizontal="center" vertical="center" wrapText="1"/>
      <protection hidden="1"/>
    </xf>
    <xf numFmtId="14" fontId="0" fillId="0" borderId="112" xfId="0" applyNumberFormat="1" applyFill="1" applyBorder="1" applyAlignment="1" applyProtection="1">
      <alignment horizontal="center" vertical="center" wrapText="1"/>
      <protection hidden="1"/>
    </xf>
    <xf numFmtId="0" fontId="0" fillId="0" borderId="110" xfId="0" applyFill="1" applyBorder="1" applyAlignment="1" applyProtection="1">
      <alignment horizontal="center" vertical="center" wrapText="1"/>
      <protection hidden="1"/>
    </xf>
    <xf numFmtId="0" fontId="0" fillId="0" borderId="113" xfId="0" applyFill="1" applyBorder="1" applyAlignment="1" applyProtection="1">
      <alignment horizontal="center" vertical="center" wrapText="1"/>
      <protection hidden="1"/>
    </xf>
    <xf numFmtId="0" fontId="38" fillId="0" borderId="48" xfId="0" applyFont="1" applyFill="1" applyBorder="1" applyAlignment="1" applyProtection="1">
      <alignment horizontal="left" vertical="top"/>
      <protection hidden="1"/>
    </xf>
    <xf numFmtId="0" fontId="38" fillId="0" borderId="62" xfId="0" applyFont="1" applyFill="1" applyBorder="1" applyAlignment="1" applyProtection="1">
      <alignment horizontal="left" vertical="top"/>
      <protection hidden="1"/>
    </xf>
    <xf numFmtId="14" fontId="0" fillId="0" borderId="109" xfId="0" applyNumberFormat="1" applyFill="1" applyBorder="1" applyAlignment="1" applyProtection="1">
      <alignment horizontal="center" vertical="center" wrapText="1"/>
      <protection hidden="1"/>
    </xf>
    <xf numFmtId="14" fontId="0" fillId="0" borderId="102" xfId="0" applyNumberFormat="1" applyFill="1" applyBorder="1" applyAlignment="1" applyProtection="1">
      <alignment horizontal="center" vertical="center" wrapText="1"/>
      <protection hidden="1"/>
    </xf>
    <xf numFmtId="14" fontId="0" fillId="0" borderId="103" xfId="0" applyNumberFormat="1" applyFill="1" applyBorder="1" applyAlignment="1" applyProtection="1">
      <alignment horizontal="center" vertical="center" wrapText="1"/>
      <protection hidden="1"/>
    </xf>
    <xf numFmtId="0" fontId="0" fillId="0" borderId="3" xfId="0" applyFill="1" applyBorder="1" applyAlignment="1" applyProtection="1">
      <alignment horizontal="center" vertical="center" wrapText="1"/>
      <protection hidden="1"/>
    </xf>
    <xf numFmtId="0" fontId="63" fillId="2" borderId="57" xfId="0" applyFont="1" applyFill="1" applyBorder="1" applyAlignment="1" applyProtection="1">
      <alignment horizontal="center" vertical="center" wrapText="1"/>
      <protection hidden="1"/>
    </xf>
    <xf numFmtId="0" fontId="63" fillId="2" borderId="58" xfId="0" applyFont="1" applyFill="1" applyBorder="1" applyAlignment="1" applyProtection="1">
      <alignment horizontal="center" vertical="center" wrapText="1"/>
      <protection hidden="1"/>
    </xf>
    <xf numFmtId="0" fontId="65" fillId="0" borderId="0" xfId="0" applyFont="1" applyFill="1" applyBorder="1" applyAlignment="1" applyProtection="1">
      <alignment horizontal="center"/>
      <protection hidden="1"/>
    </xf>
    <xf numFmtId="0" fontId="36" fillId="4" borderId="48" xfId="0" applyFont="1" applyFill="1" applyBorder="1" applyAlignment="1" applyProtection="1">
      <alignment horizontal="left" vertical="center" wrapText="1"/>
      <protection locked="0" hidden="1"/>
    </xf>
    <xf numFmtId="0" fontId="36" fillId="4" borderId="56" xfId="0" applyFont="1" applyFill="1" applyBorder="1" applyAlignment="1" applyProtection="1">
      <alignment horizontal="left" vertical="center" wrapText="1"/>
      <protection locked="0" hidden="1"/>
    </xf>
    <xf numFmtId="14" fontId="71" fillId="0" borderId="48" xfId="0" applyNumberFormat="1" applyFont="1" applyFill="1" applyBorder="1" applyAlignment="1" applyProtection="1">
      <alignment horizontal="center" vertical="center" wrapText="1"/>
      <protection hidden="1"/>
    </xf>
    <xf numFmtId="14" fontId="71" fillId="0" borderId="56" xfId="0" applyNumberFormat="1" applyFont="1" applyFill="1" applyBorder="1" applyAlignment="1" applyProtection="1">
      <alignment horizontal="center" vertical="center" wrapText="1"/>
      <protection hidden="1"/>
    </xf>
    <xf numFmtId="14" fontId="71" fillId="0" borderId="48" xfId="0" applyNumberFormat="1" applyFont="1" applyFill="1" applyBorder="1" applyAlignment="1" applyProtection="1">
      <alignment horizontal="center" vertical="center" wrapText="1"/>
      <protection locked="0" hidden="1"/>
    </xf>
    <xf numFmtId="14" fontId="71" fillId="0" borderId="62" xfId="0" applyNumberFormat="1" applyFont="1" applyFill="1" applyBorder="1" applyAlignment="1" applyProtection="1">
      <alignment horizontal="center" vertical="center" wrapText="1"/>
      <protection locked="0" hidden="1"/>
    </xf>
    <xf numFmtId="14" fontId="71" fillId="0" borderId="56" xfId="0" applyNumberFormat="1" applyFont="1" applyFill="1" applyBorder="1" applyAlignment="1" applyProtection="1">
      <alignment horizontal="center" vertical="center" wrapText="1"/>
      <protection locked="0" hidden="1"/>
    </xf>
    <xf numFmtId="14" fontId="71" fillId="0" borderId="63" xfId="0" applyNumberFormat="1" applyFont="1" applyFill="1" applyBorder="1" applyAlignment="1" applyProtection="1">
      <alignment horizontal="center" vertical="center" wrapText="1"/>
      <protection locked="0" hidden="1"/>
    </xf>
    <xf numFmtId="0" fontId="36" fillId="4" borderId="10" xfId="0" applyFont="1" applyFill="1" applyBorder="1" applyAlignment="1" applyProtection="1">
      <alignment horizontal="left" vertical="center" wrapText="1"/>
      <protection locked="0" hidden="1"/>
    </xf>
    <xf numFmtId="0" fontId="36" fillId="4" borderId="8" xfId="0" applyFont="1" applyFill="1" applyBorder="1" applyAlignment="1" applyProtection="1">
      <alignment horizontal="left" vertical="center" wrapText="1"/>
      <protection locked="0" hidden="1"/>
    </xf>
    <xf numFmtId="0" fontId="36" fillId="4" borderId="116" xfId="0" applyFont="1" applyFill="1" applyBorder="1" applyAlignment="1" applyProtection="1">
      <alignment horizontal="left" vertical="center" wrapText="1"/>
      <protection locked="0" hidden="1"/>
    </xf>
    <xf numFmtId="0" fontId="36" fillId="4" borderId="101" xfId="0" applyFont="1" applyFill="1" applyBorder="1" applyAlignment="1" applyProtection="1">
      <alignment horizontal="left" vertical="center" wrapText="1"/>
      <protection locked="0" hidden="1"/>
    </xf>
    <xf numFmtId="0" fontId="36" fillId="4" borderId="102" xfId="0" applyFont="1" applyFill="1" applyBorder="1" applyAlignment="1" applyProtection="1">
      <alignment horizontal="left" vertical="center" wrapText="1"/>
      <protection locked="0" hidden="1"/>
    </xf>
    <xf numFmtId="0" fontId="36" fillId="4" borderId="103" xfId="0" applyFont="1" applyFill="1" applyBorder="1" applyAlignment="1" applyProtection="1">
      <alignment horizontal="left" vertical="center" wrapText="1"/>
      <protection locked="0" hidden="1"/>
    </xf>
    <xf numFmtId="0" fontId="36" fillId="4" borderId="58" xfId="0" applyFont="1" applyFill="1" applyBorder="1" applyAlignment="1" applyProtection="1">
      <alignment horizontal="left" vertical="center" wrapText="1"/>
      <protection locked="0" hidden="1"/>
    </xf>
    <xf numFmtId="0" fontId="36" fillId="4" borderId="59" xfId="0" applyFont="1" applyFill="1" applyBorder="1" applyAlignment="1" applyProtection="1">
      <alignment horizontal="left" vertical="center" wrapText="1"/>
      <protection locked="0" hidden="1"/>
    </xf>
    <xf numFmtId="0" fontId="35" fillId="0" borderId="0" xfId="0" applyFont="1" applyFill="1" applyBorder="1" applyAlignment="1" applyProtection="1">
      <alignment horizontal="center" vertical="center"/>
      <protection hidden="1"/>
    </xf>
    <xf numFmtId="0" fontId="52" fillId="2" borderId="10" xfId="0" applyFont="1" applyFill="1" applyBorder="1" applyAlignment="1" applyProtection="1">
      <alignment horizontal="center" vertical="center"/>
      <protection hidden="1"/>
    </xf>
    <xf numFmtId="0" fontId="52" fillId="2" borderId="8" xfId="0" applyFont="1" applyFill="1" applyBorder="1" applyAlignment="1" applyProtection="1">
      <alignment horizontal="center" vertical="center"/>
      <protection hidden="1"/>
    </xf>
    <xf numFmtId="0" fontId="64" fillId="2" borderId="8" xfId="0" applyFont="1" applyFill="1" applyBorder="1" applyAlignment="1" applyProtection="1">
      <alignment horizontal="center" vertical="center"/>
      <protection hidden="1"/>
    </xf>
    <xf numFmtId="0" fontId="64" fillId="2" borderId="11" xfId="0" applyFont="1" applyFill="1" applyBorder="1" applyAlignment="1" applyProtection="1">
      <alignment horizontal="center" vertical="center"/>
      <protection hidden="1"/>
    </xf>
    <xf numFmtId="0" fontId="0" fillId="0" borderId="115" xfId="0" applyFill="1" applyBorder="1" applyAlignment="1" applyProtection="1">
      <alignment horizontal="center" vertical="center"/>
      <protection hidden="1"/>
    </xf>
    <xf numFmtId="0" fontId="38" fillId="0" borderId="111" xfId="0" applyFont="1" applyFill="1" applyBorder="1" applyAlignment="1" applyProtection="1">
      <alignment horizontal="left" vertical="top"/>
      <protection hidden="1"/>
    </xf>
    <xf numFmtId="0" fontId="38" fillId="0" borderId="2" xfId="0" applyFont="1" applyFill="1" applyBorder="1" applyAlignment="1" applyProtection="1">
      <alignment horizontal="left" vertical="top"/>
      <protection hidden="1"/>
    </xf>
    <xf numFmtId="0" fontId="38" fillId="0" borderId="112" xfId="0" applyFont="1" applyFill="1" applyBorder="1" applyAlignment="1" applyProtection="1">
      <alignment horizontal="left" vertical="top"/>
      <protection hidden="1"/>
    </xf>
    <xf numFmtId="0" fontId="38" fillId="0" borderId="3" xfId="0" applyFont="1" applyFill="1" applyBorder="1" applyAlignment="1" applyProtection="1">
      <alignment horizontal="left" vertical="top"/>
      <protection hidden="1"/>
    </xf>
    <xf numFmtId="0" fontId="42" fillId="2" borderId="2" xfId="0" applyFont="1" applyFill="1" applyBorder="1" applyAlignment="1" applyProtection="1">
      <alignment horizontal="center" vertical="center"/>
      <protection hidden="1"/>
    </xf>
    <xf numFmtId="0" fontId="0" fillId="3" borderId="2" xfId="0" applyFill="1" applyBorder="1" applyAlignment="1" applyProtection="1">
      <alignment horizontal="center" vertical="center"/>
      <protection hidden="1"/>
    </xf>
    <xf numFmtId="0" fontId="0" fillId="0" borderId="48" xfId="0" applyFill="1" applyBorder="1" applyAlignment="1" applyProtection="1">
      <alignment horizontal="center" vertical="center"/>
      <protection hidden="1"/>
    </xf>
    <xf numFmtId="0" fontId="38" fillId="0" borderId="56" xfId="0" applyFont="1" applyFill="1" applyBorder="1" applyAlignment="1" applyProtection="1">
      <alignment horizontal="left" vertical="top"/>
      <protection hidden="1"/>
    </xf>
    <xf numFmtId="0" fontId="38" fillId="0" borderId="63" xfId="0" applyFont="1" applyFill="1" applyBorder="1" applyAlignment="1" applyProtection="1">
      <alignment horizontal="left" vertical="top"/>
      <protection hidden="1"/>
    </xf>
    <xf numFmtId="0" fontId="124" fillId="3" borderId="48" xfId="0" applyFont="1" applyFill="1" applyBorder="1" applyAlignment="1" applyProtection="1">
      <alignment horizontal="center" vertical="center" wrapText="1"/>
      <protection hidden="1"/>
    </xf>
    <xf numFmtId="14" fontId="124" fillId="0" borderId="48" xfId="0" applyNumberFormat="1" applyFont="1" applyFill="1" applyBorder="1" applyAlignment="1" applyProtection="1">
      <alignment horizontal="center" vertical="center" wrapText="1"/>
      <protection hidden="1"/>
    </xf>
    <xf numFmtId="0" fontId="124" fillId="0" borderId="48" xfId="0" applyFont="1" applyFill="1" applyBorder="1" applyAlignment="1" applyProtection="1">
      <alignment horizontal="center" vertical="center" wrapText="1"/>
      <protection hidden="1"/>
    </xf>
    <xf numFmtId="0" fontId="124" fillId="3" borderId="48" xfId="0" applyFont="1" applyFill="1" applyBorder="1" applyAlignment="1" applyProtection="1">
      <alignment horizontal="center"/>
      <protection hidden="1"/>
    </xf>
    <xf numFmtId="0" fontId="124" fillId="0" borderId="62" xfId="0" applyFont="1" applyFill="1" applyBorder="1" applyAlignment="1" applyProtection="1">
      <alignment horizontal="center" vertical="center" wrapText="1"/>
      <protection hidden="1"/>
    </xf>
    <xf numFmtId="0" fontId="62" fillId="0" borderId="48" xfId="0" applyFont="1" applyFill="1" applyBorder="1" applyAlignment="1" applyProtection="1">
      <alignment horizontal="center" vertical="center" wrapText="1"/>
      <protection hidden="1"/>
    </xf>
    <xf numFmtId="0" fontId="62" fillId="0" borderId="62" xfId="0" applyFont="1" applyFill="1" applyBorder="1" applyAlignment="1" applyProtection="1">
      <alignment horizontal="center" vertical="center" wrapText="1"/>
      <protection hidden="1"/>
    </xf>
    <xf numFmtId="0" fontId="62" fillId="3" borderId="60" xfId="0" applyFont="1" applyFill="1" applyBorder="1" applyAlignment="1" applyProtection="1">
      <alignment horizontal="center" vertical="center" wrapText="1"/>
      <protection hidden="1"/>
    </xf>
    <xf numFmtId="0" fontId="62" fillId="3" borderId="48" xfId="0" applyFont="1" applyFill="1" applyBorder="1" applyAlignment="1" applyProtection="1">
      <alignment horizontal="center" vertical="center" wrapText="1"/>
      <protection hidden="1"/>
    </xf>
    <xf numFmtId="0" fontId="62" fillId="0" borderId="60" xfId="0" applyFont="1" applyFill="1" applyBorder="1" applyAlignment="1" applyProtection="1">
      <alignment horizontal="center" vertical="center" wrapText="1"/>
      <protection hidden="1"/>
    </xf>
    <xf numFmtId="0" fontId="62" fillId="0" borderId="61" xfId="0" applyFont="1" applyFill="1" applyBorder="1" applyAlignment="1" applyProtection="1">
      <alignment horizontal="center" vertical="center" wrapText="1"/>
      <protection hidden="1"/>
    </xf>
    <xf numFmtId="0" fontId="63" fillId="2" borderId="59" xfId="0" applyFont="1" applyFill="1" applyBorder="1" applyAlignment="1" applyProtection="1">
      <alignment horizontal="center" vertical="center" wrapText="1"/>
      <protection hidden="1"/>
    </xf>
    <xf numFmtId="0" fontId="124" fillId="3" borderId="56" xfId="0" applyFont="1" applyFill="1" applyBorder="1" applyAlignment="1" applyProtection="1">
      <alignment horizontal="center" vertical="center" wrapText="1"/>
      <protection hidden="1"/>
    </xf>
    <xf numFmtId="0" fontId="124" fillId="0" borderId="56" xfId="0" applyFont="1" applyFill="1" applyBorder="1" applyAlignment="1" applyProtection="1">
      <alignment horizontal="center" vertical="center" wrapText="1"/>
      <protection hidden="1"/>
    </xf>
    <xf numFmtId="0" fontId="124" fillId="0" borderId="63" xfId="0" applyFont="1" applyFill="1" applyBorder="1" applyAlignment="1" applyProtection="1">
      <alignment horizontal="center" vertical="center" wrapText="1"/>
      <protection hidden="1"/>
    </xf>
    <xf numFmtId="0" fontId="62" fillId="0" borderId="117" xfId="0" applyFont="1" applyFill="1" applyBorder="1" applyAlignment="1" applyProtection="1">
      <alignment horizontal="left" vertical="center" wrapText="1"/>
      <protection hidden="1"/>
    </xf>
    <xf numFmtId="0" fontId="62" fillId="0" borderId="8" xfId="0" applyFont="1" applyFill="1" applyBorder="1" applyAlignment="1" applyProtection="1">
      <alignment horizontal="left" vertical="center" wrapText="1"/>
      <protection hidden="1"/>
    </xf>
    <xf numFmtId="0" fontId="62" fillId="0" borderId="11" xfId="0" applyFont="1" applyFill="1" applyBorder="1" applyAlignment="1" applyProtection="1">
      <alignment horizontal="left" vertical="center" wrapText="1"/>
      <protection hidden="1"/>
    </xf>
    <xf numFmtId="0" fontId="62" fillId="0" borderId="109" xfId="0" applyFont="1" applyFill="1" applyBorder="1" applyAlignment="1" applyProtection="1">
      <alignment horizontal="left" vertical="center" wrapText="1"/>
      <protection hidden="1"/>
    </xf>
    <xf numFmtId="0" fontId="62" fillId="0" borderId="102" xfId="0" applyFont="1" applyFill="1" applyBorder="1" applyAlignment="1" applyProtection="1">
      <alignment horizontal="left" vertical="center" wrapText="1"/>
      <protection hidden="1"/>
    </xf>
    <xf numFmtId="0" fontId="62" fillId="0" borderId="113" xfId="0" applyFont="1" applyFill="1" applyBorder="1" applyAlignment="1" applyProtection="1">
      <alignment horizontal="left" vertical="center" wrapText="1"/>
      <protection hidden="1"/>
    </xf>
    <xf numFmtId="0" fontId="82" fillId="4" borderId="2" xfId="0" applyFont="1" applyFill="1" applyBorder="1" applyAlignment="1" applyProtection="1">
      <alignment horizontal="center" vertical="center"/>
      <protection hidden="1"/>
    </xf>
    <xf numFmtId="0" fontId="101" fillId="0" borderId="15" xfId="3" applyFont="1" applyBorder="1" applyAlignment="1" applyProtection="1">
      <alignment horizontal="center" vertical="center"/>
      <protection hidden="1"/>
    </xf>
    <xf numFmtId="165" fontId="35" fillId="0" borderId="2" xfId="3" applyNumberFormat="1" applyFont="1" applyBorder="1" applyAlignment="1" applyProtection="1">
      <alignment horizontal="center" vertical="center"/>
      <protection hidden="1"/>
    </xf>
    <xf numFmtId="0" fontId="15" fillId="0" borderId="15" xfId="3" applyFont="1" applyBorder="1" applyAlignment="1" applyProtection="1">
      <alignment horizontal="center" vertical="center" wrapText="1"/>
      <protection hidden="1"/>
    </xf>
    <xf numFmtId="0" fontId="99" fillId="0" borderId="0" xfId="3" applyFont="1" applyAlignment="1" applyProtection="1">
      <alignment horizontal="center"/>
      <protection hidden="1"/>
    </xf>
    <xf numFmtId="0" fontId="16" fillId="3" borderId="8" xfId="3" applyFont="1" applyFill="1" applyBorder="1" applyAlignment="1" applyProtection="1">
      <alignment horizontal="left" vertical="center"/>
      <protection hidden="1"/>
    </xf>
    <xf numFmtId="0" fontId="100" fillId="3" borderId="163" xfId="3" applyFont="1" applyFill="1" applyBorder="1" applyAlignment="1" applyProtection="1">
      <alignment horizontal="center" vertical="center"/>
      <protection hidden="1"/>
    </xf>
    <xf numFmtId="0" fontId="100" fillId="3" borderId="164" xfId="3" applyFont="1" applyFill="1" applyBorder="1" applyAlignment="1" applyProtection="1">
      <alignment horizontal="center" vertical="center"/>
      <protection hidden="1"/>
    </xf>
    <xf numFmtId="0" fontId="100" fillId="3" borderId="155" xfId="3" applyFont="1" applyFill="1" applyBorder="1" applyAlignment="1" applyProtection="1">
      <alignment horizontal="center" vertical="center"/>
      <protection hidden="1"/>
    </xf>
    <xf numFmtId="0" fontId="15" fillId="0" borderId="153" xfId="3" applyFont="1" applyBorder="1" applyAlignment="1" applyProtection="1">
      <alignment horizontal="center" vertical="center" wrapText="1"/>
      <protection hidden="1"/>
    </xf>
    <xf numFmtId="0" fontId="15" fillId="0" borderId="164" xfId="3" applyFont="1" applyBorder="1" applyAlignment="1" applyProtection="1">
      <alignment horizontal="center" vertical="center" wrapText="1"/>
      <protection hidden="1"/>
    </xf>
    <xf numFmtId="0" fontId="15" fillId="0" borderId="154" xfId="3" applyFont="1" applyBorder="1" applyAlignment="1" applyProtection="1">
      <alignment horizontal="center" vertical="center" wrapText="1"/>
      <protection hidden="1"/>
    </xf>
    <xf numFmtId="0" fontId="5" fillId="0" borderId="0" xfId="3" applyFont="1" applyBorder="1" applyAlignment="1" applyProtection="1">
      <alignment horizontal="center" vertical="center"/>
      <protection hidden="1"/>
    </xf>
    <xf numFmtId="0" fontId="16" fillId="3" borderId="0" xfId="3" applyFont="1" applyFill="1" applyBorder="1" applyAlignment="1" applyProtection="1">
      <alignment horizontal="left" vertical="center"/>
      <protection hidden="1"/>
    </xf>
    <xf numFmtId="0" fontId="103" fillId="5" borderId="14" xfId="3" applyFont="1" applyFill="1" applyBorder="1" applyAlignment="1" applyProtection="1">
      <alignment horizontal="center" vertical="center" wrapText="1"/>
      <protection hidden="1"/>
    </xf>
    <xf numFmtId="0" fontId="103" fillId="5" borderId="15" xfId="3" applyFont="1" applyFill="1" applyBorder="1" applyAlignment="1" applyProtection="1">
      <alignment horizontal="center" vertical="center" wrapText="1"/>
      <protection hidden="1"/>
    </xf>
    <xf numFmtId="0" fontId="103" fillId="5" borderId="16" xfId="3" applyFont="1" applyFill="1" applyBorder="1" applyAlignment="1" applyProtection="1">
      <alignment horizontal="center" vertical="center" wrapText="1"/>
      <protection hidden="1"/>
    </xf>
    <xf numFmtId="0" fontId="103" fillId="5" borderId="14" xfId="3" applyFont="1" applyFill="1" applyBorder="1" applyAlignment="1" applyProtection="1">
      <alignment horizontal="center" vertical="center"/>
      <protection hidden="1"/>
    </xf>
    <xf numFmtId="0" fontId="103" fillId="5" borderId="15" xfId="3" applyFont="1" applyFill="1" applyBorder="1" applyAlignment="1" applyProtection="1">
      <alignment horizontal="center" vertical="center"/>
      <protection hidden="1"/>
    </xf>
    <xf numFmtId="0" fontId="103" fillId="5" borderId="16" xfId="3" applyFont="1" applyFill="1" applyBorder="1" applyAlignment="1" applyProtection="1">
      <alignment horizontal="center" vertical="center"/>
      <protection hidden="1"/>
    </xf>
    <xf numFmtId="0" fontId="6" fillId="0" borderId="0" xfId="3" applyFont="1" applyBorder="1" applyAlignment="1" applyProtection="1">
      <alignment horizontal="center"/>
      <protection hidden="1"/>
    </xf>
    <xf numFmtId="0" fontId="104" fillId="5" borderId="0" xfId="3" applyFont="1" applyFill="1" applyBorder="1" applyAlignment="1" applyProtection="1">
      <alignment horizontal="center" vertical="center"/>
      <protection hidden="1"/>
    </xf>
    <xf numFmtId="0" fontId="100" fillId="0" borderId="2" xfId="3" applyFont="1" applyBorder="1" applyAlignment="1" applyProtection="1">
      <alignment horizontal="left" vertical="center"/>
      <protection hidden="1"/>
    </xf>
    <xf numFmtId="0" fontId="100" fillId="0" borderId="15" xfId="3" applyFont="1" applyBorder="1" applyAlignment="1" applyProtection="1">
      <alignment horizontal="center" vertical="center"/>
      <protection locked="0" hidden="1"/>
    </xf>
    <xf numFmtId="0" fontId="100" fillId="3" borderId="161" xfId="3" applyFont="1" applyFill="1" applyBorder="1" applyAlignment="1" applyProtection="1">
      <alignment horizontal="center" vertical="center"/>
      <protection hidden="1"/>
    </xf>
    <xf numFmtId="0" fontId="100" fillId="3" borderId="162" xfId="3" applyFont="1" applyFill="1" applyBorder="1" applyAlignment="1" applyProtection="1">
      <alignment horizontal="center" vertical="center"/>
      <protection hidden="1"/>
    </xf>
    <xf numFmtId="0" fontId="100" fillId="3" borderId="160" xfId="3" applyFont="1" applyFill="1" applyBorder="1" applyAlignment="1" applyProtection="1">
      <alignment horizontal="center" vertical="center"/>
      <protection hidden="1"/>
    </xf>
    <xf numFmtId="0" fontId="15" fillId="0" borderId="159" xfId="3" applyFont="1" applyBorder="1" applyAlignment="1" applyProtection="1">
      <alignment horizontal="center" vertical="center" wrapText="1"/>
      <protection hidden="1"/>
    </xf>
    <xf numFmtId="0" fontId="15" fillId="0" borderId="162" xfId="3" applyFont="1" applyBorder="1" applyAlignment="1" applyProtection="1">
      <alignment horizontal="center" vertical="center" wrapText="1"/>
      <protection hidden="1"/>
    </xf>
    <xf numFmtId="0" fontId="15" fillId="0" borderId="167" xfId="3" applyFont="1" applyBorder="1" applyAlignment="1" applyProtection="1">
      <alignment horizontal="center" vertical="center" wrapText="1"/>
      <protection hidden="1"/>
    </xf>
    <xf numFmtId="0" fontId="35" fillId="2" borderId="10" xfId="3" applyFont="1" applyFill="1" applyBorder="1" applyAlignment="1" applyProtection="1">
      <alignment horizontal="center" vertical="center" wrapText="1"/>
      <protection hidden="1"/>
    </xf>
    <xf numFmtId="0" fontId="35" fillId="2" borderId="8" xfId="3" applyFont="1" applyFill="1" applyBorder="1" applyAlignment="1" applyProtection="1">
      <alignment horizontal="center" vertical="center" wrapText="1"/>
      <protection hidden="1"/>
    </xf>
    <xf numFmtId="0" fontId="35" fillId="2" borderId="11" xfId="3" applyFont="1" applyFill="1" applyBorder="1" applyAlignment="1" applyProtection="1">
      <alignment horizontal="center" vertical="center" wrapText="1"/>
      <protection hidden="1"/>
    </xf>
    <xf numFmtId="0" fontId="35" fillId="2" borderId="1" xfId="3" applyFont="1" applyFill="1" applyBorder="1" applyAlignment="1" applyProtection="1">
      <alignment horizontal="center" vertical="center" wrapText="1"/>
      <protection hidden="1"/>
    </xf>
    <xf numFmtId="0" fontId="35" fillId="2" borderId="2" xfId="3" applyFont="1" applyFill="1" applyBorder="1" applyAlignment="1" applyProtection="1">
      <alignment horizontal="center" vertical="center" wrapText="1"/>
      <protection hidden="1"/>
    </xf>
    <xf numFmtId="0" fontId="35" fillId="2" borderId="3" xfId="3" applyFont="1" applyFill="1" applyBorder="1" applyAlignment="1" applyProtection="1">
      <alignment horizontal="center" vertical="center" wrapText="1"/>
      <protection hidden="1"/>
    </xf>
    <xf numFmtId="0" fontId="15" fillId="2" borderId="10" xfId="3" applyFont="1" applyFill="1" applyBorder="1" applyAlignment="1" applyProtection="1">
      <alignment horizontal="center" vertical="center" wrapText="1"/>
      <protection hidden="1"/>
    </xf>
    <xf numFmtId="0" fontId="15" fillId="2" borderId="8" xfId="3" applyFont="1" applyFill="1" applyBorder="1" applyAlignment="1" applyProtection="1">
      <alignment horizontal="center" vertical="center" wrapText="1"/>
      <protection hidden="1"/>
    </xf>
    <xf numFmtId="0" fontId="15" fillId="2" borderId="11" xfId="3" applyFont="1" applyFill="1" applyBorder="1" applyAlignment="1" applyProtection="1">
      <alignment horizontal="center" vertical="center" wrapText="1"/>
      <protection hidden="1"/>
    </xf>
    <xf numFmtId="0" fontId="15" fillId="2" borderId="1" xfId="3" applyFont="1" applyFill="1" applyBorder="1" applyAlignment="1" applyProtection="1">
      <alignment horizontal="center" vertical="center" wrapText="1"/>
      <protection hidden="1"/>
    </xf>
    <xf numFmtId="0" fontId="15" fillId="2" borderId="2" xfId="3" applyFont="1" applyFill="1" applyBorder="1" applyAlignment="1" applyProtection="1">
      <alignment horizontal="center" vertical="center" wrapText="1"/>
      <protection hidden="1"/>
    </xf>
    <xf numFmtId="0" fontId="15" fillId="2" borderId="3" xfId="3" applyFont="1" applyFill="1" applyBorder="1" applyAlignment="1" applyProtection="1">
      <alignment horizontal="center" vertical="center" wrapText="1"/>
      <protection hidden="1"/>
    </xf>
    <xf numFmtId="0" fontId="100" fillId="3" borderId="165" xfId="3" applyFont="1" applyFill="1" applyBorder="1" applyAlignment="1" applyProtection="1">
      <alignment horizontal="center" vertical="center"/>
      <protection hidden="1"/>
    </xf>
    <xf numFmtId="0" fontId="100" fillId="3" borderId="166" xfId="3" applyFont="1" applyFill="1" applyBorder="1" applyAlignment="1" applyProtection="1">
      <alignment horizontal="center" vertical="center"/>
      <protection hidden="1"/>
    </xf>
    <xf numFmtId="0" fontId="100" fillId="3" borderId="158" xfId="3" applyFont="1" applyFill="1" applyBorder="1" applyAlignment="1" applyProtection="1">
      <alignment horizontal="center" vertical="center"/>
      <protection hidden="1"/>
    </xf>
    <xf numFmtId="0" fontId="15" fillId="0" borderId="156" xfId="3" applyFont="1" applyBorder="1" applyAlignment="1" applyProtection="1">
      <alignment horizontal="center" vertical="center" wrapText="1"/>
      <protection hidden="1"/>
    </xf>
    <xf numFmtId="0" fontId="15" fillId="0" borderId="166" xfId="3" applyFont="1" applyBorder="1" applyAlignment="1" applyProtection="1">
      <alignment horizontal="center" vertical="center" wrapText="1"/>
      <protection hidden="1"/>
    </xf>
    <xf numFmtId="0" fontId="15" fillId="0" borderId="157" xfId="3" applyFont="1" applyBorder="1" applyAlignment="1" applyProtection="1">
      <alignment horizontal="center" vertical="center" wrapText="1"/>
      <protection hidden="1"/>
    </xf>
    <xf numFmtId="0" fontId="16" fillId="0" borderId="148" xfId="3" applyFont="1" applyBorder="1" applyAlignment="1" applyProtection="1">
      <alignment horizontal="left" vertical="center"/>
      <protection hidden="1"/>
    </xf>
    <xf numFmtId="0" fontId="16" fillId="0" borderId="149" xfId="3" applyFont="1" applyBorder="1" applyAlignment="1" applyProtection="1">
      <alignment horizontal="left" vertical="center"/>
      <protection hidden="1"/>
    </xf>
    <xf numFmtId="0" fontId="15" fillId="3" borderId="145" xfId="3" applyFont="1" applyFill="1" applyBorder="1" applyAlignment="1" applyProtection="1">
      <alignment horizontal="center" vertical="center" wrapText="1"/>
      <protection hidden="1"/>
    </xf>
    <xf numFmtId="0" fontId="7" fillId="3" borderId="145" xfId="3" applyFont="1" applyFill="1" applyBorder="1" applyAlignment="1" applyProtection="1">
      <alignment horizontal="center" vertical="center" wrapText="1"/>
      <protection hidden="1"/>
    </xf>
    <xf numFmtId="0" fontId="15" fillId="3" borderId="146" xfId="3" applyFont="1" applyFill="1" applyBorder="1" applyAlignment="1" applyProtection="1">
      <alignment horizontal="center" vertical="center" wrapText="1"/>
      <protection hidden="1"/>
    </xf>
    <xf numFmtId="0" fontId="102" fillId="0" borderId="148" xfId="3" applyFont="1" applyBorder="1" applyAlignment="1" applyProtection="1">
      <alignment horizontal="center" vertical="center"/>
      <protection hidden="1"/>
    </xf>
    <xf numFmtId="0" fontId="102" fillId="0" borderId="149" xfId="3" applyFont="1" applyBorder="1" applyAlignment="1" applyProtection="1">
      <alignment horizontal="center" vertical="center"/>
      <protection hidden="1"/>
    </xf>
    <xf numFmtId="0" fontId="102" fillId="0" borderId="151" xfId="3" applyFont="1" applyBorder="1" applyAlignment="1" applyProtection="1">
      <alignment horizontal="center" vertical="center"/>
      <protection hidden="1"/>
    </xf>
    <xf numFmtId="0" fontId="102" fillId="0" borderId="152" xfId="3" applyFont="1" applyBorder="1" applyAlignment="1" applyProtection="1">
      <alignment horizontal="center" vertical="center"/>
      <protection hidden="1"/>
    </xf>
    <xf numFmtId="0" fontId="6" fillId="0" borderId="147" xfId="3" applyFont="1" applyBorder="1" applyAlignment="1" applyProtection="1">
      <alignment horizontal="center" vertical="center"/>
      <protection hidden="1"/>
    </xf>
    <xf numFmtId="0" fontId="6" fillId="0" borderId="148" xfId="3" applyFont="1" applyBorder="1" applyAlignment="1" applyProtection="1">
      <alignment horizontal="center" vertical="center"/>
      <protection hidden="1"/>
    </xf>
    <xf numFmtId="0" fontId="6" fillId="0" borderId="149" xfId="3" applyFont="1" applyBorder="1" applyAlignment="1" applyProtection="1">
      <alignment horizontal="center" vertical="center"/>
      <protection hidden="1"/>
    </xf>
    <xf numFmtId="0" fontId="16" fillId="0" borderId="147" xfId="3" applyFont="1" applyBorder="1" applyAlignment="1" applyProtection="1">
      <alignment horizontal="left" vertical="center"/>
      <protection hidden="1"/>
    </xf>
    <xf numFmtId="0" fontId="16" fillId="0" borderId="148" xfId="3" applyFont="1" applyBorder="1" applyAlignment="1" applyProtection="1">
      <alignment horizontal="center" vertical="center"/>
      <protection hidden="1"/>
    </xf>
    <xf numFmtId="0" fontId="3" fillId="0" borderId="147" xfId="3" applyFont="1" applyBorder="1" applyAlignment="1" applyProtection="1">
      <alignment horizontal="center" vertical="center"/>
      <protection hidden="1"/>
    </xf>
    <xf numFmtId="0" fontId="3" fillId="0" borderId="148" xfId="3" applyFont="1" applyBorder="1" applyAlignment="1" applyProtection="1">
      <alignment horizontal="center" vertical="center"/>
      <protection hidden="1"/>
    </xf>
    <xf numFmtId="0" fontId="3" fillId="0" borderId="150" xfId="3" applyFont="1" applyBorder="1" applyAlignment="1" applyProtection="1">
      <alignment horizontal="center" vertical="center"/>
      <protection hidden="1"/>
    </xf>
    <xf numFmtId="0" fontId="3" fillId="0" borderId="151" xfId="3" applyFont="1" applyBorder="1" applyAlignment="1" applyProtection="1">
      <alignment horizontal="center" vertical="center"/>
      <protection hidden="1"/>
    </xf>
    <xf numFmtId="0" fontId="15" fillId="0" borderId="145" xfId="3" applyFont="1" applyBorder="1" applyAlignment="1" applyProtection="1">
      <alignment horizontal="center" vertical="center" wrapText="1"/>
      <protection hidden="1"/>
    </xf>
    <xf numFmtId="0" fontId="15" fillId="0" borderId="146" xfId="3" applyFont="1" applyBorder="1" applyAlignment="1" applyProtection="1">
      <alignment horizontal="center" vertical="center" wrapText="1"/>
      <protection hidden="1"/>
    </xf>
    <xf numFmtId="0" fontId="103" fillId="5" borderId="13" xfId="3" applyFont="1" applyFill="1" applyBorder="1" applyAlignment="1" applyProtection="1">
      <alignment horizontal="center" vertical="center" wrapText="1"/>
      <protection hidden="1"/>
    </xf>
    <xf numFmtId="0" fontId="15" fillId="0" borderId="148" xfId="3" applyFont="1" applyBorder="1" applyAlignment="1" applyProtection="1">
      <alignment horizontal="center" vertical="center" wrapText="1"/>
      <protection hidden="1"/>
    </xf>
    <xf numFmtId="0" fontId="15" fillId="0" borderId="155" xfId="3" applyFont="1" applyBorder="1" applyAlignment="1" applyProtection="1">
      <alignment horizontal="center" vertical="center" wrapText="1"/>
      <protection hidden="1"/>
    </xf>
    <xf numFmtId="0" fontId="15" fillId="0" borderId="158" xfId="3" applyFont="1" applyBorder="1" applyAlignment="1" applyProtection="1">
      <alignment horizontal="center" vertical="center" wrapText="1"/>
      <protection hidden="1"/>
    </xf>
    <xf numFmtId="0" fontId="35" fillId="2" borderId="13" xfId="3" applyFont="1" applyFill="1" applyBorder="1" applyAlignment="1" applyProtection="1">
      <alignment horizontal="left" vertical="center" wrapText="1"/>
      <protection hidden="1"/>
    </xf>
    <xf numFmtId="0" fontId="15" fillId="2" borderId="13" xfId="3" applyFont="1" applyFill="1" applyBorder="1" applyAlignment="1" applyProtection="1">
      <alignment horizontal="center" vertical="center" wrapText="1"/>
      <protection hidden="1"/>
    </xf>
    <xf numFmtId="0" fontId="15" fillId="0" borderId="151" xfId="3" applyFont="1" applyBorder="1" applyAlignment="1" applyProtection="1">
      <alignment horizontal="center" vertical="center" wrapText="1"/>
      <protection hidden="1"/>
    </xf>
  </cellXfs>
  <cellStyles count="43">
    <cellStyle name="AeE­ [0]_INQUIRY ¿μ¾÷AßAø " xfId="5"/>
    <cellStyle name="AeE­_INQUIRY ¿μ¾÷AßAø " xfId="6"/>
    <cellStyle name="AÞ¸¶ [0]_INQUIRY ¿?¾÷AßAø " xfId="7"/>
    <cellStyle name="AÞ¸¶_INQUIRY ¿?¾÷AßAø " xfId="8"/>
    <cellStyle name="Black" xfId="9"/>
    <cellStyle name="Border" xfId="10"/>
    <cellStyle name="C?AØ_¿?¾÷CoE² " xfId="11"/>
    <cellStyle name="C￥AØ_¿μ¾÷CoE² " xfId="12"/>
    <cellStyle name="Comma0" xfId="13"/>
    <cellStyle name="Currency0" xfId="14"/>
    <cellStyle name="Date" xfId="15"/>
    <cellStyle name="Dezimal [0]_laroux" xfId="16"/>
    <cellStyle name="Dezimal_laroux" xfId="17"/>
    <cellStyle name="Euro" xfId="18"/>
    <cellStyle name="Fixed" xfId="19"/>
    <cellStyle name="Grey" xfId="20"/>
    <cellStyle name="Hyperlink" xfId="1" builtinId="8"/>
    <cellStyle name="Input [yellow]" xfId="21"/>
    <cellStyle name="Milliers [0]_laroux" xfId="22"/>
    <cellStyle name="Milliers_laroux" xfId="23"/>
    <cellStyle name="Non défini" xfId="24"/>
    <cellStyle name="Normal" xfId="0" builtinId="0"/>
    <cellStyle name="Normal - Style1" xfId="25"/>
    <cellStyle name="Normal 2" xfId="3"/>
    <cellStyle name="Normal 2 2" xfId="4"/>
    <cellStyle name="Percent" xfId="2" builtinId="5"/>
    <cellStyle name="Percent [2]" xfId="26"/>
    <cellStyle name="Red" xfId="27"/>
    <cellStyle name="Style 1" xfId="28"/>
    <cellStyle name="Style 2" xfId="29"/>
    <cellStyle name="Währung [0]_RESULTS" xfId="30"/>
    <cellStyle name="Währung_RESULTS" xfId="31"/>
    <cellStyle name="똿뗦먛귟 [0.00]_PRODUCT DETAIL Q1" xfId="32"/>
    <cellStyle name="똿뗦먛귟_PRODUCT DETAIL Q1" xfId="33"/>
    <cellStyle name="믅됞 [0.00]_PRODUCT DETAIL Q1" xfId="34"/>
    <cellStyle name="믅됞_PRODUCT DETAIL Q1" xfId="35"/>
    <cellStyle name="백분율_HOBONG" xfId="36"/>
    <cellStyle name="뷭?_BOOKSHIP" xfId="37"/>
    <cellStyle name="콤마 [0]_1202" xfId="38"/>
    <cellStyle name="콤마_1202" xfId="39"/>
    <cellStyle name="통화 [0]_1202" xfId="40"/>
    <cellStyle name="통화_1202" xfId="41"/>
    <cellStyle name="표준_(정보부문)월별인원계획" xfId="42"/>
  </cellStyles>
  <dxfs count="430">
    <dxf>
      <font>
        <color theme="0" tint="-4.9989318521683403E-2"/>
      </font>
    </dxf>
    <dxf>
      <font>
        <color theme="0" tint="-4.9989318521683403E-2"/>
      </font>
    </dxf>
    <dxf>
      <font>
        <condense val="0"/>
        <extend val="0"/>
        <color indexed="10"/>
      </font>
    </dxf>
    <dxf>
      <font>
        <color theme="0" tint="-4.9989318521683403E-2"/>
      </font>
    </dxf>
    <dxf>
      <font>
        <color theme="0" tint="-4.9989318521683403E-2"/>
      </font>
    </dxf>
    <dxf>
      <font>
        <condense val="0"/>
        <extend val="0"/>
        <color indexed="10"/>
      </font>
    </dxf>
    <dxf>
      <font>
        <color theme="0" tint="-4.9989318521683403E-2"/>
      </font>
    </dxf>
    <dxf>
      <font>
        <color theme="0" tint="-4.9989318521683403E-2"/>
      </font>
    </dxf>
    <dxf>
      <font>
        <condense val="0"/>
        <extend val="0"/>
        <color indexed="10"/>
      </font>
    </dxf>
    <dxf>
      <font>
        <color theme="0" tint="-4.9989318521683403E-2"/>
      </font>
    </dxf>
    <dxf>
      <font>
        <color theme="0" tint="-4.9989318521683403E-2"/>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9" tint="-0.24994659260841701"/>
      </font>
    </dxf>
    <dxf>
      <font>
        <color rgb="FFFF0000"/>
      </font>
    </dxf>
    <dxf>
      <font>
        <color rgb="FF34411B"/>
      </font>
    </dxf>
    <dxf>
      <font>
        <color theme="0"/>
      </font>
      <fill>
        <patternFill>
          <bgColor rgb="FFFF0000"/>
        </patternFill>
      </fill>
    </dxf>
    <dxf>
      <font>
        <color theme="0"/>
      </font>
      <fill>
        <patternFill>
          <bgColor rgb="FFFF0000"/>
        </patternFill>
      </fill>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9" tint="-0.24994659260841701"/>
      </font>
    </dxf>
    <dxf>
      <font>
        <color rgb="FFFF0000"/>
      </font>
    </dxf>
    <dxf>
      <font>
        <color rgb="FF34411B"/>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shalasetu.co.in/index.php/schoolpro/about-schoolpro"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1</xdr:rowOff>
    </xdr:from>
    <xdr:to>
      <xdr:col>2</xdr:col>
      <xdr:colOff>4086225</xdr:colOff>
      <xdr:row>32</xdr:row>
      <xdr:rowOff>180975</xdr:rowOff>
    </xdr:to>
    <xdr:pic>
      <xdr:nvPicPr>
        <xdr:cNvPr id="2" name="Picture 1" descr="schoolpro banner 1.jpg">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7134226"/>
          <a:ext cx="8820150" cy="13239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219075</xdr:colOff>
      <xdr:row>4</xdr:row>
      <xdr:rowOff>0</xdr:rowOff>
    </xdr:from>
    <xdr:to>
      <xdr:col>14</xdr:col>
      <xdr:colOff>142875</xdr:colOff>
      <xdr:row>12</xdr:row>
      <xdr:rowOff>190500</xdr:rowOff>
    </xdr:to>
    <xdr:pic>
      <xdr:nvPicPr>
        <xdr:cNvPr id="4639" name="Picture 1"/>
        <xdr:cNvPicPr>
          <a:picLocks noChangeAspect="1" noChangeArrowheads="1"/>
        </xdr:cNvPicPr>
      </xdr:nvPicPr>
      <xdr:blipFill>
        <a:blip xmlns:r="http://schemas.openxmlformats.org/officeDocument/2006/relationships" r:embed="rId1"/>
        <a:srcRect/>
        <a:stretch>
          <a:fillRect/>
        </a:stretch>
      </xdr:blipFill>
      <xdr:spPr bwMode="auto">
        <a:xfrm>
          <a:off x="2533650" y="2019300"/>
          <a:ext cx="1400175" cy="1714500"/>
        </a:xfrm>
        <a:prstGeom prst="rect">
          <a:avLst/>
        </a:prstGeom>
        <a:noFill/>
        <a:ln w="1">
          <a:noFill/>
          <a:miter lim="800000"/>
          <a:headEnd/>
          <a:tailEnd/>
        </a:ln>
      </xdr:spPr>
    </xdr:pic>
    <xdr:clientData/>
  </xdr:twoCellAnchor>
  <xdr:twoCellAnchor>
    <xdr:from>
      <xdr:col>0</xdr:col>
      <xdr:colOff>0</xdr:colOff>
      <xdr:row>37</xdr:row>
      <xdr:rowOff>28575</xdr:rowOff>
    </xdr:from>
    <xdr:to>
      <xdr:col>1</xdr:col>
      <xdr:colOff>0</xdr:colOff>
      <xdr:row>37</xdr:row>
      <xdr:rowOff>28575</xdr:rowOff>
    </xdr:to>
    <xdr:sp macro="" textlink="">
      <xdr:nvSpPr>
        <xdr:cNvPr id="3" name="WordArt 10"/>
        <xdr:cNvSpPr>
          <a:spLocks noChangeArrowheads="1" noChangeShapeType="1" noTextEdit="1"/>
        </xdr:cNvSpPr>
      </xdr:nvSpPr>
      <xdr:spPr bwMode="auto">
        <a:xfrm rot="16200000">
          <a:off x="304800" y="6772275"/>
          <a:ext cx="0" cy="609600"/>
        </a:xfrm>
        <a:prstGeom prst="rect">
          <a:avLst/>
        </a:prstGeom>
      </xdr:spPr>
      <xdr:txBody>
        <a:bodyPr wrap="none" fromWordArt="1">
          <a:prstTxWarp prst="textPlain">
            <a:avLst>
              <a:gd name="adj" fmla="val 50000"/>
            </a:avLst>
          </a:prstTxWarp>
        </a:bodyPr>
        <a:lstStyle/>
        <a:p>
          <a:pPr algn="ctr" rtl="0"/>
          <a:r>
            <a:rPr lang="en-US" sz="1200" kern="10" spc="0">
              <a:ln w="9525">
                <a:noFill/>
                <a:round/>
                <a:headEnd/>
                <a:tailEnd/>
              </a:ln>
              <a:solidFill>
                <a:srgbClr val="336699"/>
              </a:solidFill>
              <a:effectLst>
                <a:outerShdw dist="45791" dir="2021404" algn="ctr" rotWithShape="0">
                  <a:srgbClr val="B2B2B2">
                    <a:alpha val="80000"/>
                  </a:srgbClr>
                </a:outerShdw>
              </a:effectLst>
              <a:latin typeface="TERAFONT-BORDER-2"/>
            </a:rPr>
            <a:t>BBBBBBBBBBBBBBBBBBBBBBBBBBBBBB</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219075</xdr:colOff>
      <xdr:row>4</xdr:row>
      <xdr:rowOff>38100</xdr:rowOff>
    </xdr:from>
    <xdr:to>
      <xdr:col>14</xdr:col>
      <xdr:colOff>142875</xdr:colOff>
      <xdr:row>12</xdr:row>
      <xdr:rowOff>228600</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2943225" y="1447800"/>
          <a:ext cx="1400175" cy="1714500"/>
        </a:xfrm>
        <a:prstGeom prst="rect">
          <a:avLst/>
        </a:prstGeom>
        <a:noFill/>
        <a:ln w="1">
          <a:noFill/>
          <a:miter lim="800000"/>
          <a:headEnd/>
          <a:tailEnd/>
        </a:ln>
      </xdr:spPr>
    </xdr:pic>
    <xdr:clientData/>
  </xdr:twoCellAnchor>
  <xdr:twoCellAnchor>
    <xdr:from>
      <xdr:col>0</xdr:col>
      <xdr:colOff>0</xdr:colOff>
      <xdr:row>47</xdr:row>
      <xdr:rowOff>28575</xdr:rowOff>
    </xdr:from>
    <xdr:to>
      <xdr:col>1</xdr:col>
      <xdr:colOff>0</xdr:colOff>
      <xdr:row>47</xdr:row>
      <xdr:rowOff>28575</xdr:rowOff>
    </xdr:to>
    <xdr:sp macro="" textlink="">
      <xdr:nvSpPr>
        <xdr:cNvPr id="3" name="WordArt 10"/>
        <xdr:cNvSpPr>
          <a:spLocks noChangeArrowheads="1" noChangeShapeType="1" noTextEdit="1"/>
        </xdr:cNvSpPr>
      </xdr:nvSpPr>
      <xdr:spPr bwMode="auto">
        <a:xfrm rot="16200000">
          <a:off x="71438" y="13730287"/>
          <a:ext cx="0" cy="142875"/>
        </a:xfrm>
        <a:prstGeom prst="rect">
          <a:avLst/>
        </a:prstGeom>
      </xdr:spPr>
      <xdr:txBody>
        <a:bodyPr wrap="none" fromWordArt="1">
          <a:prstTxWarp prst="textPlain">
            <a:avLst>
              <a:gd name="adj" fmla="val 50000"/>
            </a:avLst>
          </a:prstTxWarp>
        </a:bodyPr>
        <a:lstStyle/>
        <a:p>
          <a:pPr algn="ctr" rtl="0"/>
          <a:r>
            <a:rPr lang="en-US" sz="1200" kern="10" spc="0">
              <a:ln w="9525">
                <a:noFill/>
                <a:round/>
                <a:headEnd/>
                <a:tailEnd/>
              </a:ln>
              <a:solidFill>
                <a:srgbClr val="336699"/>
              </a:solidFill>
              <a:effectLst>
                <a:outerShdw dist="45791" dir="2021404" algn="ctr" rotWithShape="0">
                  <a:srgbClr val="B2B2B2">
                    <a:alpha val="80000"/>
                  </a:srgbClr>
                </a:outerShdw>
              </a:effectLst>
              <a:latin typeface="TERAFONT-BORDER-2"/>
            </a:rPr>
            <a:t>BBBBBBBBBBBBBBBBBBBBBBBBBBBBBB</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219075</xdr:colOff>
      <xdr:row>4</xdr:row>
      <xdr:rowOff>38100</xdr:rowOff>
    </xdr:from>
    <xdr:to>
      <xdr:col>14</xdr:col>
      <xdr:colOff>142875</xdr:colOff>
      <xdr:row>12</xdr:row>
      <xdr:rowOff>228600</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2943225" y="1447800"/>
          <a:ext cx="1400175" cy="1714500"/>
        </a:xfrm>
        <a:prstGeom prst="rect">
          <a:avLst/>
        </a:prstGeom>
        <a:noFill/>
        <a:ln w="1">
          <a:noFill/>
          <a:miter lim="800000"/>
          <a:headEnd/>
          <a:tailEnd/>
        </a:ln>
      </xdr:spPr>
    </xdr:pic>
    <xdr:clientData/>
  </xdr:twoCellAnchor>
  <xdr:twoCellAnchor>
    <xdr:from>
      <xdr:col>0</xdr:col>
      <xdr:colOff>0</xdr:colOff>
      <xdr:row>47</xdr:row>
      <xdr:rowOff>28575</xdr:rowOff>
    </xdr:from>
    <xdr:to>
      <xdr:col>1</xdr:col>
      <xdr:colOff>0</xdr:colOff>
      <xdr:row>47</xdr:row>
      <xdr:rowOff>28575</xdr:rowOff>
    </xdr:to>
    <xdr:sp macro="" textlink="">
      <xdr:nvSpPr>
        <xdr:cNvPr id="3" name="WordArt 10"/>
        <xdr:cNvSpPr>
          <a:spLocks noChangeArrowheads="1" noChangeShapeType="1" noTextEdit="1"/>
        </xdr:cNvSpPr>
      </xdr:nvSpPr>
      <xdr:spPr bwMode="auto">
        <a:xfrm rot="16200000">
          <a:off x="71438" y="13911262"/>
          <a:ext cx="0" cy="142875"/>
        </a:xfrm>
        <a:prstGeom prst="rect">
          <a:avLst/>
        </a:prstGeom>
      </xdr:spPr>
      <xdr:txBody>
        <a:bodyPr wrap="none" fromWordArt="1">
          <a:prstTxWarp prst="textPlain">
            <a:avLst>
              <a:gd name="adj" fmla="val 50000"/>
            </a:avLst>
          </a:prstTxWarp>
        </a:bodyPr>
        <a:lstStyle/>
        <a:p>
          <a:pPr algn="ctr" rtl="0"/>
          <a:r>
            <a:rPr lang="en-US" sz="1200" kern="10" spc="0">
              <a:ln w="9525">
                <a:noFill/>
                <a:round/>
                <a:headEnd/>
                <a:tailEnd/>
              </a:ln>
              <a:solidFill>
                <a:srgbClr val="336699"/>
              </a:solidFill>
              <a:effectLst>
                <a:outerShdw dist="45791" dir="2021404" algn="ctr" rotWithShape="0">
                  <a:srgbClr val="B2B2B2">
                    <a:alpha val="80000"/>
                  </a:srgbClr>
                </a:outerShdw>
              </a:effectLst>
              <a:latin typeface="TERAFONT-BORDER-2"/>
            </a:rPr>
            <a:t>BBBBBBBBBBBBBBBBBBBBBBBBBBBBBB</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104775</xdr:colOff>
      <xdr:row>10</xdr:row>
      <xdr:rowOff>95250</xdr:rowOff>
    </xdr:from>
    <xdr:to>
      <xdr:col>14</xdr:col>
      <xdr:colOff>171450</xdr:colOff>
      <xdr:row>16</xdr:row>
      <xdr:rowOff>219075</xdr:rowOff>
    </xdr:to>
    <xdr:pic>
      <xdr:nvPicPr>
        <xdr:cNvPr id="7298" name="Picture 1"/>
        <xdr:cNvPicPr>
          <a:picLocks noChangeAspect="1" noChangeArrowheads="1"/>
        </xdr:cNvPicPr>
      </xdr:nvPicPr>
      <xdr:blipFill>
        <a:blip xmlns:r="http://schemas.openxmlformats.org/officeDocument/2006/relationships" r:embed="rId1"/>
        <a:srcRect/>
        <a:stretch>
          <a:fillRect/>
        </a:stretch>
      </xdr:blipFill>
      <xdr:spPr bwMode="auto">
        <a:xfrm>
          <a:off x="2466975" y="2333625"/>
          <a:ext cx="1209675" cy="1552575"/>
        </a:xfrm>
        <a:prstGeom prst="rect">
          <a:avLst/>
        </a:prstGeom>
        <a:noFill/>
        <a:ln w="1">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85725</xdr:colOff>
      <xdr:row>0</xdr:row>
      <xdr:rowOff>47625</xdr:rowOff>
    </xdr:from>
    <xdr:to>
      <xdr:col>1</xdr:col>
      <xdr:colOff>1171575</xdr:colOff>
      <xdr:row>4</xdr:row>
      <xdr:rowOff>200025</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219075" y="47625"/>
          <a:ext cx="1085850" cy="1190625"/>
        </a:xfrm>
        <a:prstGeom prst="rect">
          <a:avLst/>
        </a:prstGeom>
        <a:noFill/>
        <a:ln w="1">
          <a:noFill/>
          <a:miter lim="800000"/>
          <a:headEnd/>
          <a:tailEnd/>
        </a:ln>
      </xdr:spPr>
    </xdr:pic>
    <xdr:clientData/>
  </xdr:twoCellAnchor>
  <xdr:twoCellAnchor editAs="oneCell">
    <xdr:from>
      <xdr:col>6</xdr:col>
      <xdr:colOff>323850</xdr:colOff>
      <xdr:row>0</xdr:row>
      <xdr:rowOff>38100</xdr:rowOff>
    </xdr:from>
    <xdr:to>
      <xdr:col>7</xdr:col>
      <xdr:colOff>590550</xdr:colOff>
      <xdr:row>4</xdr:row>
      <xdr:rowOff>219075</xdr:rowOff>
    </xdr:to>
    <xdr:pic>
      <xdr:nvPicPr>
        <xdr:cNvPr id="3" name="Picture 1"/>
        <xdr:cNvPicPr>
          <a:picLocks noChangeAspect="1" noChangeArrowheads="1"/>
        </xdr:cNvPicPr>
      </xdr:nvPicPr>
      <xdr:blipFill>
        <a:blip xmlns:r="http://schemas.openxmlformats.org/officeDocument/2006/relationships" r:embed="rId2"/>
        <a:srcRect/>
        <a:stretch>
          <a:fillRect/>
        </a:stretch>
      </xdr:blipFill>
      <xdr:spPr bwMode="auto">
        <a:xfrm>
          <a:off x="4829175" y="38100"/>
          <a:ext cx="1104900" cy="1219200"/>
        </a:xfrm>
        <a:prstGeom prst="rect">
          <a:avLst/>
        </a:prstGeom>
        <a:noFill/>
        <a:ln w="1">
          <a:noFill/>
          <a:miter lim="800000"/>
          <a:headEnd/>
          <a:tailEnd/>
        </a:ln>
      </xdr:spPr>
    </xdr:pic>
    <xdr:clientData/>
  </xdr:twoCellAnchor>
  <xdr:twoCellAnchor editAs="oneCell">
    <xdr:from>
      <xdr:col>11</xdr:col>
      <xdr:colOff>47625</xdr:colOff>
      <xdr:row>0</xdr:row>
      <xdr:rowOff>104775</xdr:rowOff>
    </xdr:from>
    <xdr:to>
      <xdr:col>11</xdr:col>
      <xdr:colOff>1104900</xdr:colOff>
      <xdr:row>4</xdr:row>
      <xdr:rowOff>180975</xdr:rowOff>
    </xdr:to>
    <xdr:pic>
      <xdr:nvPicPr>
        <xdr:cNvPr id="4" name="Picture 1"/>
        <xdr:cNvPicPr>
          <a:picLocks noChangeAspect="1" noChangeArrowheads="1"/>
        </xdr:cNvPicPr>
      </xdr:nvPicPr>
      <xdr:blipFill>
        <a:blip xmlns:r="http://schemas.openxmlformats.org/officeDocument/2006/relationships" r:embed="rId2"/>
        <a:srcRect/>
        <a:stretch>
          <a:fillRect/>
        </a:stretch>
      </xdr:blipFill>
      <xdr:spPr bwMode="auto">
        <a:xfrm>
          <a:off x="6496050" y="104775"/>
          <a:ext cx="1057275" cy="1114425"/>
        </a:xfrm>
        <a:prstGeom prst="rect">
          <a:avLst/>
        </a:prstGeom>
        <a:noFill/>
        <a:ln w="1">
          <a:noFill/>
          <a:miter lim="800000"/>
          <a:headEnd/>
          <a:tailEnd/>
        </a:ln>
      </xdr:spPr>
    </xdr:pic>
    <xdr:clientData/>
  </xdr:twoCellAnchor>
  <xdr:twoCellAnchor editAs="oneCell">
    <xdr:from>
      <xdr:col>16</xdr:col>
      <xdr:colOff>276225</xdr:colOff>
      <xdr:row>0</xdr:row>
      <xdr:rowOff>104775</xdr:rowOff>
    </xdr:from>
    <xdr:to>
      <xdr:col>17</xdr:col>
      <xdr:colOff>600075</xdr:colOff>
      <xdr:row>4</xdr:row>
      <xdr:rowOff>190500</xdr:rowOff>
    </xdr:to>
    <xdr:pic>
      <xdr:nvPicPr>
        <xdr:cNvPr id="5" name="Picture 1"/>
        <xdr:cNvPicPr>
          <a:picLocks noChangeAspect="1" noChangeArrowheads="1"/>
        </xdr:cNvPicPr>
      </xdr:nvPicPr>
      <xdr:blipFill>
        <a:blip xmlns:r="http://schemas.openxmlformats.org/officeDocument/2006/relationships" r:embed="rId2"/>
        <a:srcRect/>
        <a:stretch>
          <a:fillRect/>
        </a:stretch>
      </xdr:blipFill>
      <xdr:spPr bwMode="auto">
        <a:xfrm>
          <a:off x="11106150" y="104775"/>
          <a:ext cx="962025" cy="1123950"/>
        </a:xfrm>
        <a:prstGeom prst="rect">
          <a:avLst/>
        </a:prstGeom>
        <a:noFill/>
        <a:ln w="1">
          <a:noFill/>
          <a:miter lim="800000"/>
          <a:headEnd/>
          <a:tailEnd/>
        </a:ln>
      </xdr:spPr>
    </xdr:pic>
    <xdr:clientData/>
  </xdr:twoCellAnchor>
  <xdr:twoCellAnchor editAs="oneCell">
    <xdr:from>
      <xdr:col>11</xdr:col>
      <xdr:colOff>85725</xdr:colOff>
      <xdr:row>0</xdr:row>
      <xdr:rowOff>47625</xdr:rowOff>
    </xdr:from>
    <xdr:to>
      <xdr:col>11</xdr:col>
      <xdr:colOff>1171575</xdr:colOff>
      <xdr:row>4</xdr:row>
      <xdr:rowOff>200025</xdr:rowOff>
    </xdr:to>
    <xdr:pic>
      <xdr:nvPicPr>
        <xdr:cNvPr id="6" name="Picture 5"/>
        <xdr:cNvPicPr>
          <a:picLocks noChangeAspect="1" noChangeArrowheads="1"/>
        </xdr:cNvPicPr>
      </xdr:nvPicPr>
      <xdr:blipFill>
        <a:blip xmlns:r="http://schemas.openxmlformats.org/officeDocument/2006/relationships" r:embed="rId2"/>
        <a:srcRect/>
        <a:stretch>
          <a:fillRect/>
        </a:stretch>
      </xdr:blipFill>
      <xdr:spPr bwMode="auto">
        <a:xfrm>
          <a:off x="221796" y="47625"/>
          <a:ext cx="1085850" cy="1196068"/>
        </a:xfrm>
        <a:prstGeom prst="rect">
          <a:avLst/>
        </a:prstGeom>
        <a:noFill/>
        <a:ln w="1">
          <a:noFill/>
          <a:miter lim="800000"/>
          <a:headEnd/>
          <a:tailEnd/>
        </a:ln>
      </xdr:spPr>
    </xdr:pic>
    <xdr:clientData/>
  </xdr:twoCellAnchor>
  <xdr:twoCellAnchor editAs="oneCell">
    <xdr:from>
      <xdr:col>16</xdr:col>
      <xdr:colOff>323850</xdr:colOff>
      <xdr:row>0</xdr:row>
      <xdr:rowOff>38100</xdr:rowOff>
    </xdr:from>
    <xdr:to>
      <xdr:col>17</xdr:col>
      <xdr:colOff>590550</xdr:colOff>
      <xdr:row>4</xdr:row>
      <xdr:rowOff>219075</xdr:rowOff>
    </xdr:to>
    <xdr:pic>
      <xdr:nvPicPr>
        <xdr:cNvPr id="7" name="Picture 1"/>
        <xdr:cNvPicPr>
          <a:picLocks noChangeAspect="1" noChangeArrowheads="1"/>
        </xdr:cNvPicPr>
      </xdr:nvPicPr>
      <xdr:blipFill>
        <a:blip xmlns:r="http://schemas.openxmlformats.org/officeDocument/2006/relationships" r:embed="rId2"/>
        <a:srcRect/>
        <a:stretch>
          <a:fillRect/>
        </a:stretch>
      </xdr:blipFill>
      <xdr:spPr bwMode="auto">
        <a:xfrm>
          <a:off x="4841421" y="38100"/>
          <a:ext cx="1110343" cy="1224643"/>
        </a:xfrm>
        <a:prstGeom prst="rect">
          <a:avLst/>
        </a:prstGeom>
        <a:noFill/>
        <a:ln w="1">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85725</xdr:colOff>
      <xdr:row>0</xdr:row>
      <xdr:rowOff>47625</xdr:rowOff>
    </xdr:from>
    <xdr:to>
      <xdr:col>1</xdr:col>
      <xdr:colOff>1171575</xdr:colOff>
      <xdr:row>4</xdr:row>
      <xdr:rowOff>200025</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219075" y="47625"/>
          <a:ext cx="1085850" cy="1190625"/>
        </a:xfrm>
        <a:prstGeom prst="rect">
          <a:avLst/>
        </a:prstGeom>
        <a:noFill/>
        <a:ln w="1">
          <a:noFill/>
          <a:miter lim="800000"/>
          <a:headEnd/>
          <a:tailEnd/>
        </a:ln>
      </xdr:spPr>
    </xdr:pic>
    <xdr:clientData/>
  </xdr:twoCellAnchor>
  <xdr:twoCellAnchor editAs="oneCell">
    <xdr:from>
      <xdr:col>6</xdr:col>
      <xdr:colOff>323850</xdr:colOff>
      <xdr:row>0</xdr:row>
      <xdr:rowOff>38100</xdr:rowOff>
    </xdr:from>
    <xdr:to>
      <xdr:col>7</xdr:col>
      <xdr:colOff>590550</xdr:colOff>
      <xdr:row>4</xdr:row>
      <xdr:rowOff>219075</xdr:rowOff>
    </xdr:to>
    <xdr:pic>
      <xdr:nvPicPr>
        <xdr:cNvPr id="3" name="Picture 1"/>
        <xdr:cNvPicPr>
          <a:picLocks noChangeAspect="1" noChangeArrowheads="1"/>
        </xdr:cNvPicPr>
      </xdr:nvPicPr>
      <xdr:blipFill>
        <a:blip xmlns:r="http://schemas.openxmlformats.org/officeDocument/2006/relationships" r:embed="rId1"/>
        <a:srcRect/>
        <a:stretch>
          <a:fillRect/>
        </a:stretch>
      </xdr:blipFill>
      <xdr:spPr bwMode="auto">
        <a:xfrm>
          <a:off x="4829175" y="38100"/>
          <a:ext cx="1104900" cy="1219200"/>
        </a:xfrm>
        <a:prstGeom prst="rect">
          <a:avLst/>
        </a:prstGeom>
        <a:noFill/>
        <a:ln w="1">
          <a:noFill/>
          <a:miter lim="800000"/>
          <a:headEnd/>
          <a:tailEnd/>
        </a:ln>
      </xdr:spPr>
    </xdr:pic>
    <xdr:clientData/>
  </xdr:twoCellAnchor>
  <xdr:twoCellAnchor editAs="oneCell">
    <xdr:from>
      <xdr:col>11</xdr:col>
      <xdr:colOff>47625</xdr:colOff>
      <xdr:row>0</xdr:row>
      <xdr:rowOff>104775</xdr:rowOff>
    </xdr:from>
    <xdr:to>
      <xdr:col>11</xdr:col>
      <xdr:colOff>1104900</xdr:colOff>
      <xdr:row>4</xdr:row>
      <xdr:rowOff>180975</xdr:rowOff>
    </xdr:to>
    <xdr:pic>
      <xdr:nvPicPr>
        <xdr:cNvPr id="4" name="Picture 1"/>
        <xdr:cNvPicPr>
          <a:picLocks noChangeAspect="1" noChangeArrowheads="1"/>
        </xdr:cNvPicPr>
      </xdr:nvPicPr>
      <xdr:blipFill>
        <a:blip xmlns:r="http://schemas.openxmlformats.org/officeDocument/2006/relationships" r:embed="rId1"/>
        <a:srcRect/>
        <a:stretch>
          <a:fillRect/>
        </a:stretch>
      </xdr:blipFill>
      <xdr:spPr bwMode="auto">
        <a:xfrm>
          <a:off x="6496050" y="104775"/>
          <a:ext cx="1057275" cy="1114425"/>
        </a:xfrm>
        <a:prstGeom prst="rect">
          <a:avLst/>
        </a:prstGeom>
        <a:noFill/>
        <a:ln w="1">
          <a:noFill/>
          <a:miter lim="800000"/>
          <a:headEnd/>
          <a:tailEnd/>
        </a:ln>
      </xdr:spPr>
    </xdr:pic>
    <xdr:clientData/>
  </xdr:twoCellAnchor>
  <xdr:twoCellAnchor editAs="oneCell">
    <xdr:from>
      <xdr:col>16</xdr:col>
      <xdr:colOff>276225</xdr:colOff>
      <xdr:row>0</xdr:row>
      <xdr:rowOff>104775</xdr:rowOff>
    </xdr:from>
    <xdr:to>
      <xdr:col>17</xdr:col>
      <xdr:colOff>600075</xdr:colOff>
      <xdr:row>4</xdr:row>
      <xdr:rowOff>190500</xdr:rowOff>
    </xdr:to>
    <xdr:pic>
      <xdr:nvPicPr>
        <xdr:cNvPr id="5" name="Picture 1"/>
        <xdr:cNvPicPr>
          <a:picLocks noChangeAspect="1" noChangeArrowheads="1"/>
        </xdr:cNvPicPr>
      </xdr:nvPicPr>
      <xdr:blipFill>
        <a:blip xmlns:r="http://schemas.openxmlformats.org/officeDocument/2006/relationships" r:embed="rId1"/>
        <a:srcRect/>
        <a:stretch>
          <a:fillRect/>
        </a:stretch>
      </xdr:blipFill>
      <xdr:spPr bwMode="auto">
        <a:xfrm>
          <a:off x="11106150" y="104775"/>
          <a:ext cx="962025" cy="1123950"/>
        </a:xfrm>
        <a:prstGeom prst="rect">
          <a:avLst/>
        </a:prstGeom>
        <a:noFill/>
        <a:ln w="1">
          <a:noFill/>
          <a:miter lim="800000"/>
          <a:headEnd/>
          <a:tailEnd/>
        </a:ln>
      </xdr:spPr>
    </xdr:pic>
    <xdr:clientData/>
  </xdr:twoCellAnchor>
  <xdr:twoCellAnchor editAs="oneCell">
    <xdr:from>
      <xdr:col>11</xdr:col>
      <xdr:colOff>85725</xdr:colOff>
      <xdr:row>0</xdr:row>
      <xdr:rowOff>47625</xdr:rowOff>
    </xdr:from>
    <xdr:to>
      <xdr:col>11</xdr:col>
      <xdr:colOff>1171575</xdr:colOff>
      <xdr:row>4</xdr:row>
      <xdr:rowOff>200025</xdr:rowOff>
    </xdr:to>
    <xdr:pic>
      <xdr:nvPicPr>
        <xdr:cNvPr id="6" name="Picture 5"/>
        <xdr:cNvPicPr>
          <a:picLocks noChangeAspect="1" noChangeArrowheads="1"/>
        </xdr:cNvPicPr>
      </xdr:nvPicPr>
      <xdr:blipFill>
        <a:blip xmlns:r="http://schemas.openxmlformats.org/officeDocument/2006/relationships" r:embed="rId1"/>
        <a:srcRect/>
        <a:stretch>
          <a:fillRect/>
        </a:stretch>
      </xdr:blipFill>
      <xdr:spPr bwMode="auto">
        <a:xfrm>
          <a:off x="6534150" y="47625"/>
          <a:ext cx="1085850" cy="1190625"/>
        </a:xfrm>
        <a:prstGeom prst="rect">
          <a:avLst/>
        </a:prstGeom>
        <a:noFill/>
        <a:ln w="1">
          <a:noFill/>
          <a:miter lim="800000"/>
          <a:headEnd/>
          <a:tailEnd/>
        </a:ln>
      </xdr:spPr>
    </xdr:pic>
    <xdr:clientData/>
  </xdr:twoCellAnchor>
  <xdr:twoCellAnchor editAs="oneCell">
    <xdr:from>
      <xdr:col>16</xdr:col>
      <xdr:colOff>323850</xdr:colOff>
      <xdr:row>0</xdr:row>
      <xdr:rowOff>38100</xdr:rowOff>
    </xdr:from>
    <xdr:to>
      <xdr:col>17</xdr:col>
      <xdr:colOff>590550</xdr:colOff>
      <xdr:row>4</xdr:row>
      <xdr:rowOff>219075</xdr:rowOff>
    </xdr:to>
    <xdr:pic>
      <xdr:nvPicPr>
        <xdr:cNvPr id="7" name="Picture 1"/>
        <xdr:cNvPicPr>
          <a:picLocks noChangeAspect="1" noChangeArrowheads="1"/>
        </xdr:cNvPicPr>
      </xdr:nvPicPr>
      <xdr:blipFill>
        <a:blip xmlns:r="http://schemas.openxmlformats.org/officeDocument/2006/relationships" r:embed="rId1"/>
        <a:srcRect/>
        <a:stretch>
          <a:fillRect/>
        </a:stretch>
      </xdr:blipFill>
      <xdr:spPr bwMode="auto">
        <a:xfrm>
          <a:off x="11153775" y="38100"/>
          <a:ext cx="904875" cy="1219200"/>
        </a:xfrm>
        <a:prstGeom prst="rect">
          <a:avLst/>
        </a:prstGeom>
        <a:noFill/>
        <a:ln w="1">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ashu/Downloads/PATRAK/JIGNESH%20SCHOOL%20PARINAM/SHALAKIY%20SARVGRAHI%20MULAYANKAN%20STD-%2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CHOOL"/>
      <sheetName val="STUDENTS"/>
      <sheetName val="A-RACHNATMAK"/>
      <sheetName val="B-VV"/>
      <sheetName val="C-TITLE"/>
      <sheetName val="C-PARINAM"/>
      <sheetName val="F-PRAGATIPATRAK"/>
      <sheetName val="MARKSHEET"/>
    </sheetNames>
    <sheetDataSet>
      <sheetData sheetId="0"/>
      <sheetData sheetId="1">
        <row r="2">
          <cell r="D2">
            <v>8</v>
          </cell>
        </row>
      </sheetData>
      <sheetData sheetId="2"/>
      <sheetData sheetId="3"/>
      <sheetData sheetId="4"/>
      <sheetData sheetId="5"/>
      <sheetData sheetId="6">
        <row r="6">
          <cell r="A6">
            <v>1</v>
          </cell>
        </row>
        <row r="7">
          <cell r="A7">
            <v>2</v>
          </cell>
        </row>
        <row r="8">
          <cell r="A8">
            <v>3</v>
          </cell>
        </row>
        <row r="9">
          <cell r="A9">
            <v>4</v>
          </cell>
        </row>
        <row r="10">
          <cell r="A10">
            <v>5</v>
          </cell>
        </row>
        <row r="11">
          <cell r="A11">
            <v>6</v>
          </cell>
        </row>
        <row r="12">
          <cell r="A12">
            <v>7</v>
          </cell>
        </row>
        <row r="13">
          <cell r="A13">
            <v>8</v>
          </cell>
        </row>
        <row r="14">
          <cell r="A14">
            <v>9</v>
          </cell>
        </row>
        <row r="15">
          <cell r="A15">
            <v>10</v>
          </cell>
        </row>
        <row r="16">
          <cell r="A16">
            <v>11</v>
          </cell>
        </row>
        <row r="17">
          <cell r="A17">
            <v>12</v>
          </cell>
        </row>
        <row r="18">
          <cell r="A18">
            <v>13</v>
          </cell>
        </row>
        <row r="19">
          <cell r="A19">
            <v>14</v>
          </cell>
        </row>
        <row r="20">
          <cell r="A20">
            <v>15</v>
          </cell>
        </row>
        <row r="21">
          <cell r="A21">
            <v>16</v>
          </cell>
        </row>
        <row r="22">
          <cell r="A22">
            <v>17</v>
          </cell>
        </row>
        <row r="23">
          <cell r="A23">
            <v>18</v>
          </cell>
        </row>
        <row r="24">
          <cell r="A24">
            <v>19</v>
          </cell>
        </row>
        <row r="25">
          <cell r="A25">
            <v>20</v>
          </cell>
        </row>
        <row r="26">
          <cell r="A26">
            <v>21</v>
          </cell>
        </row>
        <row r="27">
          <cell r="A27">
            <v>22</v>
          </cell>
        </row>
        <row r="28">
          <cell r="A28">
            <v>23</v>
          </cell>
        </row>
        <row r="29">
          <cell r="A29">
            <v>24</v>
          </cell>
        </row>
        <row r="30">
          <cell r="A30">
            <v>25</v>
          </cell>
        </row>
        <row r="31">
          <cell r="A31">
            <v>26</v>
          </cell>
        </row>
        <row r="32">
          <cell r="A32">
            <v>27</v>
          </cell>
        </row>
        <row r="33">
          <cell r="A33">
            <v>28</v>
          </cell>
        </row>
        <row r="34">
          <cell r="A34">
            <v>29</v>
          </cell>
        </row>
        <row r="35">
          <cell r="A35">
            <v>30</v>
          </cell>
        </row>
        <row r="36">
          <cell r="A36">
            <v>31</v>
          </cell>
        </row>
        <row r="37">
          <cell r="A37">
            <v>32</v>
          </cell>
        </row>
        <row r="38">
          <cell r="A38">
            <v>33</v>
          </cell>
        </row>
        <row r="39">
          <cell r="A39">
            <v>34</v>
          </cell>
        </row>
        <row r="40">
          <cell r="A40">
            <v>35</v>
          </cell>
        </row>
      </sheetData>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shalasetu.co.in/index.php/schoolpro/about-schoolpro" TargetMode="External"/><Relationship Id="rId2" Type="http://schemas.openxmlformats.org/officeDocument/2006/relationships/hyperlink" Target="http://www.shalasetu.co.in/" TargetMode="External"/><Relationship Id="rId1" Type="http://schemas.openxmlformats.org/officeDocument/2006/relationships/hyperlink" Target="http://www.shalasetu.co.in/"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A1:C49"/>
  <sheetViews>
    <sheetView view="pageBreakPreview" zoomScaleSheetLayoutView="100" workbookViewId="0">
      <selection activeCell="B3" sqref="B3"/>
    </sheetView>
  </sheetViews>
  <sheetFormatPr defaultColWidth="0" defaultRowHeight="15" zeroHeight="1"/>
  <cols>
    <col min="1" max="1" width="5" customWidth="1"/>
    <col min="2" max="2" width="66" customWidth="1"/>
    <col min="3" max="3" width="67.42578125" customWidth="1"/>
    <col min="4" max="16384" width="9.140625" hidden="1"/>
  </cols>
  <sheetData>
    <row r="1" spans="1:3" ht="21">
      <c r="A1" s="507" t="s">
        <v>256</v>
      </c>
      <c r="B1" s="507"/>
      <c r="C1" s="507"/>
    </row>
    <row r="2" spans="1:3" ht="35.1" customHeight="1">
      <c r="A2" s="229">
        <v>1</v>
      </c>
      <c r="B2" s="478" t="s">
        <v>257</v>
      </c>
      <c r="C2" s="461" t="s">
        <v>491</v>
      </c>
    </row>
    <row r="3" spans="1:3" ht="35.1" customHeight="1">
      <c r="A3" s="229">
        <v>2</v>
      </c>
      <c r="B3" s="479" t="s">
        <v>258</v>
      </c>
      <c r="C3" s="231" t="s">
        <v>262</v>
      </c>
    </row>
    <row r="4" spans="1:3" ht="35.1" customHeight="1">
      <c r="A4" s="229">
        <v>3</v>
      </c>
      <c r="B4" s="479" t="s">
        <v>259</v>
      </c>
      <c r="C4" s="231" t="s">
        <v>283</v>
      </c>
    </row>
    <row r="5" spans="1:3" ht="35.1" customHeight="1">
      <c r="A5" s="229">
        <v>4</v>
      </c>
      <c r="B5" s="479" t="s">
        <v>493</v>
      </c>
      <c r="C5" s="231" t="s">
        <v>494</v>
      </c>
    </row>
    <row r="6" spans="1:3" s="438" customFormat="1" ht="35.1" customHeight="1">
      <c r="A6" s="229">
        <v>5</v>
      </c>
      <c r="B6" s="479" t="s">
        <v>495</v>
      </c>
      <c r="C6" s="231" t="s">
        <v>496</v>
      </c>
    </row>
    <row r="7" spans="1:3" s="438" customFormat="1" ht="35.1" customHeight="1">
      <c r="A7" s="229">
        <v>6</v>
      </c>
      <c r="B7" s="479" t="s">
        <v>504</v>
      </c>
      <c r="C7" s="231" t="s">
        <v>521</v>
      </c>
    </row>
    <row r="8" spans="1:3" s="438" customFormat="1" ht="35.1" customHeight="1">
      <c r="A8" s="229">
        <v>7</v>
      </c>
      <c r="B8" s="479" t="s">
        <v>505</v>
      </c>
      <c r="C8" s="231" t="s">
        <v>506</v>
      </c>
    </row>
    <row r="9" spans="1:3" s="438" customFormat="1" ht="35.1" customHeight="1">
      <c r="A9" s="229">
        <v>8</v>
      </c>
      <c r="B9" s="479" t="s">
        <v>507</v>
      </c>
      <c r="C9" s="231" t="s">
        <v>260</v>
      </c>
    </row>
    <row r="10" spans="1:3" s="438" customFormat="1" ht="35.1" customHeight="1">
      <c r="A10" s="229">
        <v>9</v>
      </c>
      <c r="B10" s="479" t="s">
        <v>517</v>
      </c>
      <c r="C10" s="231" t="s">
        <v>521</v>
      </c>
    </row>
    <row r="11" spans="1:3" s="438" customFormat="1" ht="35.1" customHeight="1">
      <c r="A11" s="229">
        <v>10</v>
      </c>
      <c r="B11" s="479" t="s">
        <v>518</v>
      </c>
      <c r="C11" s="231" t="s">
        <v>506</v>
      </c>
    </row>
    <row r="12" spans="1:3" s="438" customFormat="1" ht="35.1" customHeight="1">
      <c r="A12" s="229">
        <v>11</v>
      </c>
      <c r="B12" s="479" t="s">
        <v>519</v>
      </c>
      <c r="C12" s="231" t="s">
        <v>260</v>
      </c>
    </row>
    <row r="13" spans="1:3" ht="35.1" customHeight="1">
      <c r="A13" s="229">
        <v>12</v>
      </c>
      <c r="B13" s="479" t="s">
        <v>503</v>
      </c>
      <c r="C13" s="231" t="s">
        <v>498</v>
      </c>
    </row>
    <row r="14" spans="1:3" ht="35.1" customHeight="1">
      <c r="A14" s="229">
        <v>13</v>
      </c>
      <c r="B14" s="479" t="s">
        <v>500</v>
      </c>
      <c r="C14" s="231" t="s">
        <v>499</v>
      </c>
    </row>
    <row r="15" spans="1:3" s="438" customFormat="1" ht="35.1" customHeight="1">
      <c r="A15" s="229">
        <v>14</v>
      </c>
      <c r="B15" s="479" t="s">
        <v>501</v>
      </c>
      <c r="C15" s="231" t="s">
        <v>499</v>
      </c>
    </row>
    <row r="16" spans="1:3" s="438" customFormat="1" ht="35.1" customHeight="1">
      <c r="A16" s="229">
        <v>15</v>
      </c>
      <c r="B16" s="479" t="s">
        <v>502</v>
      </c>
      <c r="C16" s="231" t="s">
        <v>499</v>
      </c>
    </row>
    <row r="17" spans="1:3" ht="35.1" customHeight="1">
      <c r="A17" s="229">
        <v>16</v>
      </c>
      <c r="B17" s="479" t="s">
        <v>520</v>
      </c>
      <c r="C17" s="232" t="s">
        <v>260</v>
      </c>
    </row>
    <row r="18" spans="1:3" ht="35.1" hidden="1" customHeight="1">
      <c r="A18" s="229">
        <v>9</v>
      </c>
      <c r="B18" s="230" t="s">
        <v>280</v>
      </c>
      <c r="C18" s="231" t="s">
        <v>282</v>
      </c>
    </row>
    <row r="19" spans="1:3" ht="35.1" hidden="1" customHeight="1">
      <c r="A19" s="229">
        <v>10</v>
      </c>
      <c r="B19" s="230" t="s">
        <v>281</v>
      </c>
      <c r="C19" s="232" t="s">
        <v>282</v>
      </c>
    </row>
    <row r="20" spans="1:3">
      <c r="A20" s="41"/>
      <c r="B20" s="41"/>
      <c r="C20" s="41"/>
    </row>
    <row r="21" spans="1:3" ht="18.75">
      <c r="A21" s="508" t="s">
        <v>261</v>
      </c>
      <c r="B21" s="508"/>
      <c r="C21" s="508"/>
    </row>
    <row r="22" spans="1:3" ht="30">
      <c r="A22" s="509" t="s">
        <v>265</v>
      </c>
      <c r="B22" s="509"/>
      <c r="C22" s="509"/>
    </row>
    <row r="23" spans="1:3" ht="23.25">
      <c r="A23" s="510" t="s">
        <v>266</v>
      </c>
      <c r="B23" s="510"/>
      <c r="C23" s="510"/>
    </row>
    <row r="24" spans="1:3" ht="23.25">
      <c r="A24" s="511" t="s">
        <v>267</v>
      </c>
      <c r="B24" s="511"/>
      <c r="C24" s="511"/>
    </row>
    <row r="25" spans="1:3">
      <c r="A25" s="41"/>
      <c r="B25" s="41"/>
      <c r="C25" s="41"/>
    </row>
    <row r="26" spans="1:3" ht="26.25">
      <c r="A26" s="506" t="s">
        <v>268</v>
      </c>
      <c r="B26" s="506"/>
      <c r="C26" s="506"/>
    </row>
    <row r="27" spans="1:3"/>
    <row r="28" spans="1:3"/>
    <row r="29" spans="1:3"/>
    <row r="30" spans="1:3"/>
    <row r="31" spans="1:3"/>
    <row r="32" spans="1:3"/>
    <row r="33"/>
    <row r="34" hidden="1"/>
    <row r="35" hidden="1"/>
    <row r="36" hidden="1"/>
    <row r="37" hidden="1"/>
    <row r="38" hidden="1"/>
    <row r="39" hidden="1"/>
    <row r="40" hidden="1"/>
    <row r="41" hidden="1"/>
    <row r="42" hidden="1"/>
    <row r="43" hidden="1"/>
    <row r="44" hidden="1"/>
    <row r="45" hidden="1"/>
    <row r="46" hidden="1"/>
    <row r="47" hidden="1"/>
    <row r="48" hidden="1"/>
    <row r="49" hidden="1"/>
  </sheetData>
  <sheetProtection password="DC6E" sheet="1" objects="1" scenarios="1"/>
  <mergeCells count="6">
    <mergeCell ref="A26:C26"/>
    <mergeCell ref="A1:C1"/>
    <mergeCell ref="A21:C21"/>
    <mergeCell ref="A22:C22"/>
    <mergeCell ref="A23:C23"/>
    <mergeCell ref="A24:C24"/>
  </mergeCells>
  <hyperlinks>
    <hyperlink ref="B2" location="SCHOOL!A1" display="શાળા અને વર્ગ માહિતી"/>
    <hyperlink ref="B3" location="STUDENTS!A1" display="વિદ્યાર્થી માહિતી"/>
    <hyperlink ref="B4" location="'A-RACHNATMAK'!A1" display="પરિશિષ્ટ A રચનાત્મક મૂલ્યાંકન"/>
    <hyperlink ref="B5" location="'B-VV STD-3-4'!A1" display="પરિશિષ્ટ B  વિકાસાત્મક મૂલ્યાંકન (ધોરણ 3 અને 4 માટે)"/>
    <hyperlink ref="B13" location="'C-TITLE'!A1" display="પરિશિષ્ટ C  પરિણામ પત્રક મુખપૃષ્ઠ"/>
    <hyperlink ref="B14" location="'C-PARINAM STD-3'!A1" display="પરિશિષ્ટ C  પરિણામ પત્રક(ધોરણ 3 માટે)"/>
    <hyperlink ref="B17" location="'E-PRAGATIPATRAK'!A1" display="પરિશિષ્ટ E  સર્વગ્રાહી વિકાસાત્મક સંગૃહીત પ્રગતિપત્રક"/>
    <hyperlink ref="A24:C24" r:id="rId1" display="Published On: www.shalasetu.co.in"/>
    <hyperlink ref="A22:C22" r:id="rId2" display="NARESH K. DHAKECHA"/>
    <hyperlink ref="B18" location="'MARKSHEET STD-6-7'!A1" display="ગુણપત્રક ધોરણ - 6 અને 7"/>
    <hyperlink ref="B19" location="'MARKSHEET STD-8'!A1" display="ગુણપત્રક ધોરણ - 8"/>
    <hyperlink ref="A26:C26" r:id="rId3" display="SchoolPro Primary By Naresh Dhakecha - A Primary school software"/>
    <hyperlink ref="B6" location="'B-VV STD-5'!A1" display="પરિશિષ્ટ B  વિકાસાત્મક મૂલ્યાંકન (ધોરણ 5 માટે)"/>
    <hyperlink ref="B15" location="'C-PARINAM STD-4'!A1" display="પરિશિષ્ટ C  પરિણામ પત્રક(ધોરણ 4 માટે)"/>
    <hyperlink ref="B16" location="'C-PARINAM STD-5'!A1" display="પરિશિષ્ટ C  પરિણામ પત્રક(ધોરણ 5 માટે)"/>
    <hyperlink ref="B7" location="'PARINAM STD-1 TITLE'!A1" display="પરિશિષ્ટ C  પરિણામ પત્રક મુખપૃષ્ઠ(ધો-1 માટે)"/>
    <hyperlink ref="B8" location="'C-PARINAM STD-3'!A1" display="પરિશિષ્ટ C  પરિણામ પત્રક(ધોરણ 3 માટે)"/>
    <hyperlink ref="B9" location="'D PRAGATIPATRAK STD-1'!A1" display="પરિશિષ્ટ D  પ્રગતિપત્રક (ધોરણ 1 માટે)"/>
    <hyperlink ref="B10" location="'PARINAM STD-2 TITLE'!A1" display="પરિશિષ્ટ C  પરિણામ પત્રક મુખપૃષ્ઠ(ધો-2 માટે)"/>
    <hyperlink ref="B11" location="'PARINAM STD-2'!A1" display="પરિશિષ્ટ C  પરિણામ પત્રક(ધોરણ 2 માટે)"/>
    <hyperlink ref="B12" location="'D PRAGATIPATRAK STD-2'!A1" display="પરિશિષ્ટ D  પ્રગતિપત્રક (ધોરણ 2 માટે)"/>
  </hyperlinks>
  <pageMargins left="0.7" right="0.7" top="0.75" bottom="0.75" header="0.3" footer="0.3"/>
  <pageSetup scale="64" orientation="portrait"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5" tint="-0.249977111117893"/>
  </sheetPr>
  <dimension ref="A1:AT43"/>
  <sheetViews>
    <sheetView showGridLines="0" showZeros="0" view="pageBreakPreview" zoomScaleSheetLayoutView="100" workbookViewId="0">
      <pane xSplit="2" ySplit="4" topLeftCell="C5" activePane="bottomRight" state="frozen"/>
      <selection pane="topRight" activeCell="C1" sqref="C1"/>
      <selection pane="bottomLeft" activeCell="A5" sqref="A5"/>
      <selection pane="bottomRight" activeCell="A44" sqref="A44:XFD1048576"/>
    </sheetView>
  </sheetViews>
  <sheetFormatPr defaultColWidth="0" defaultRowHeight="15" zeroHeight="1"/>
  <cols>
    <col min="1" max="1" width="6" style="138" customWidth="1"/>
    <col min="2" max="2" width="32.7109375" style="138" customWidth="1"/>
    <col min="3" max="3" width="7.85546875" style="138" customWidth="1"/>
    <col min="4" max="4" width="12.7109375" style="138" customWidth="1"/>
    <col min="5" max="10" width="5.85546875" style="138" customWidth="1"/>
    <col min="11" max="11" width="6.28515625" style="138" customWidth="1"/>
    <col min="12" max="12" width="4.7109375" style="138" customWidth="1"/>
    <col min="13" max="18" width="4.5703125" style="138" customWidth="1"/>
    <col min="19" max="19" width="5" style="138" customWidth="1"/>
    <col min="20" max="20" width="4.7109375" style="138" customWidth="1"/>
    <col min="21" max="26" width="4.5703125" style="138" customWidth="1"/>
    <col min="27" max="27" width="5" style="138" customWidth="1"/>
    <col min="28" max="28" width="4.7109375" style="138" customWidth="1"/>
    <col min="29" max="31" width="4.5703125" style="138" customWidth="1"/>
    <col min="32" max="32" width="5" style="138" customWidth="1"/>
    <col min="33" max="33" width="4.7109375" style="138" customWidth="1"/>
    <col min="34" max="34" width="4.5703125" style="138" customWidth="1"/>
    <col min="35" max="35" width="3.42578125" style="138" customWidth="1"/>
    <col min="36" max="43" width="4" style="138" hidden="1" customWidth="1"/>
    <col min="44" max="44" width="6.7109375" style="138" customWidth="1"/>
    <col min="45" max="45" width="6.140625" style="138" customWidth="1"/>
    <col min="46" max="46" width="4.85546875" style="138" customWidth="1"/>
    <col min="47" max="16384" width="9.140625" style="138" hidden="1"/>
  </cols>
  <sheetData>
    <row r="1" spans="1:46" ht="21" customHeight="1">
      <c r="A1" s="465" t="s">
        <v>492</v>
      </c>
      <c r="B1" s="163"/>
      <c r="C1" s="163"/>
      <c r="D1" s="163"/>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c r="AT1" s="164"/>
    </row>
    <row r="2" spans="1:46" ht="23.25" customHeight="1">
      <c r="A2" s="209"/>
      <c r="B2" s="94"/>
      <c r="C2" s="95"/>
      <c r="D2" s="96" t="s">
        <v>16</v>
      </c>
      <c r="E2" s="675" t="s">
        <v>51</v>
      </c>
      <c r="F2" s="676"/>
      <c r="G2" s="676"/>
      <c r="H2" s="676"/>
      <c r="I2" s="676"/>
      <c r="J2" s="676"/>
      <c r="K2" s="676"/>
      <c r="L2" s="677"/>
      <c r="M2" s="678" t="s">
        <v>52</v>
      </c>
      <c r="N2" s="676"/>
      <c r="O2" s="676"/>
      <c r="P2" s="676"/>
      <c r="Q2" s="676"/>
      <c r="R2" s="676"/>
      <c r="S2" s="676"/>
      <c r="T2" s="677"/>
      <c r="U2" s="675" t="s">
        <v>344</v>
      </c>
      <c r="V2" s="676"/>
      <c r="W2" s="676"/>
      <c r="X2" s="676"/>
      <c r="Y2" s="676"/>
      <c r="Z2" s="676"/>
      <c r="AA2" s="676"/>
      <c r="AB2" s="677"/>
      <c r="AC2" s="676" t="s">
        <v>53</v>
      </c>
      <c r="AD2" s="676"/>
      <c r="AE2" s="676"/>
      <c r="AF2" s="676"/>
      <c r="AG2" s="677"/>
      <c r="AH2" s="679" t="s">
        <v>185</v>
      </c>
      <c r="AI2" s="680" t="s">
        <v>17</v>
      </c>
      <c r="AJ2" s="688" t="s">
        <v>51</v>
      </c>
      <c r="AK2" s="688" t="s">
        <v>52</v>
      </c>
      <c r="AL2" s="688" t="s">
        <v>186</v>
      </c>
      <c r="AM2" s="691" t="s">
        <v>187</v>
      </c>
      <c r="AN2" s="688" t="s">
        <v>53</v>
      </c>
      <c r="AO2" s="691" t="s">
        <v>54</v>
      </c>
      <c r="AP2" s="691" t="s">
        <v>188</v>
      </c>
      <c r="AQ2" s="691" t="s">
        <v>57</v>
      </c>
      <c r="AR2" s="692" t="s">
        <v>189</v>
      </c>
      <c r="AS2" s="689" t="s">
        <v>190</v>
      </c>
      <c r="AT2" s="690" t="s">
        <v>191</v>
      </c>
    </row>
    <row r="3" spans="1:46" ht="21" customHeight="1">
      <c r="A3" s="693"/>
      <c r="B3" s="694" t="s">
        <v>82</v>
      </c>
      <c r="C3" s="696" t="s">
        <v>192</v>
      </c>
      <c r="D3" s="97" t="s">
        <v>92</v>
      </c>
      <c r="E3" s="687" t="s">
        <v>193</v>
      </c>
      <c r="F3" s="686"/>
      <c r="G3" s="686"/>
      <c r="H3" s="686" t="s">
        <v>194</v>
      </c>
      <c r="I3" s="686"/>
      <c r="J3" s="686"/>
      <c r="K3" s="681" t="s">
        <v>29</v>
      </c>
      <c r="L3" s="683" t="s">
        <v>17</v>
      </c>
      <c r="M3" s="685" t="s">
        <v>193</v>
      </c>
      <c r="N3" s="686"/>
      <c r="O3" s="686"/>
      <c r="P3" s="686" t="s">
        <v>194</v>
      </c>
      <c r="Q3" s="686"/>
      <c r="R3" s="686"/>
      <c r="S3" s="681" t="s">
        <v>29</v>
      </c>
      <c r="T3" s="683" t="s">
        <v>17</v>
      </c>
      <c r="U3" s="687" t="s">
        <v>193</v>
      </c>
      <c r="V3" s="686"/>
      <c r="W3" s="686"/>
      <c r="X3" s="686" t="s">
        <v>194</v>
      </c>
      <c r="Y3" s="686"/>
      <c r="Z3" s="686"/>
      <c r="AA3" s="681" t="s">
        <v>29</v>
      </c>
      <c r="AB3" s="683" t="s">
        <v>17</v>
      </c>
      <c r="AC3" s="686" t="s">
        <v>194</v>
      </c>
      <c r="AD3" s="686"/>
      <c r="AE3" s="686"/>
      <c r="AF3" s="681" t="s">
        <v>29</v>
      </c>
      <c r="AG3" s="683" t="s">
        <v>17</v>
      </c>
      <c r="AH3" s="679"/>
      <c r="AI3" s="680"/>
      <c r="AJ3" s="688"/>
      <c r="AK3" s="688"/>
      <c r="AL3" s="688"/>
      <c r="AM3" s="691"/>
      <c r="AN3" s="688"/>
      <c r="AO3" s="691"/>
      <c r="AP3" s="691"/>
      <c r="AQ3" s="691"/>
      <c r="AR3" s="692"/>
      <c r="AS3" s="689"/>
      <c r="AT3" s="690"/>
    </row>
    <row r="4" spans="1:46" ht="135" customHeight="1">
      <c r="A4" s="693"/>
      <c r="B4" s="695"/>
      <c r="C4" s="697"/>
      <c r="D4" s="98" t="s">
        <v>195</v>
      </c>
      <c r="E4" s="91" t="s">
        <v>81</v>
      </c>
      <c r="F4" s="79" t="s">
        <v>200</v>
      </c>
      <c r="G4" s="80" t="s">
        <v>196</v>
      </c>
      <c r="H4" s="79" t="s">
        <v>81</v>
      </c>
      <c r="I4" s="79" t="s">
        <v>200</v>
      </c>
      <c r="J4" s="80" t="s">
        <v>196</v>
      </c>
      <c r="K4" s="682"/>
      <c r="L4" s="684"/>
      <c r="M4" s="207" t="s">
        <v>81</v>
      </c>
      <c r="N4" s="79" t="s">
        <v>200</v>
      </c>
      <c r="O4" s="80" t="s">
        <v>196</v>
      </c>
      <c r="P4" s="79" t="s">
        <v>81</v>
      </c>
      <c r="Q4" s="79" t="s">
        <v>200</v>
      </c>
      <c r="R4" s="80" t="s">
        <v>196</v>
      </c>
      <c r="S4" s="682"/>
      <c r="T4" s="684"/>
      <c r="U4" s="91" t="s">
        <v>81</v>
      </c>
      <c r="V4" s="79" t="s">
        <v>200</v>
      </c>
      <c r="W4" s="80" t="s">
        <v>196</v>
      </c>
      <c r="X4" s="79" t="s">
        <v>81</v>
      </c>
      <c r="Y4" s="79" t="s">
        <v>200</v>
      </c>
      <c r="Z4" s="80" t="s">
        <v>196</v>
      </c>
      <c r="AA4" s="682"/>
      <c r="AB4" s="684"/>
      <c r="AC4" s="79" t="s">
        <v>81</v>
      </c>
      <c r="AD4" s="79" t="s">
        <v>200</v>
      </c>
      <c r="AE4" s="80" t="s">
        <v>196</v>
      </c>
      <c r="AF4" s="682"/>
      <c r="AG4" s="684"/>
      <c r="AH4" s="679"/>
      <c r="AI4" s="680"/>
      <c r="AJ4" s="688"/>
      <c r="AK4" s="688"/>
      <c r="AL4" s="688"/>
      <c r="AM4" s="691"/>
      <c r="AN4" s="688"/>
      <c r="AO4" s="691"/>
      <c r="AP4" s="691"/>
      <c r="AQ4" s="691"/>
      <c r="AR4" s="692"/>
      <c r="AS4" s="689"/>
      <c r="AT4" s="690"/>
    </row>
    <row r="5" spans="1:46" ht="18.75" thickBot="1">
      <c r="A5" s="210"/>
      <c r="B5" s="93"/>
      <c r="C5" s="137"/>
      <c r="D5" s="136" t="s">
        <v>197</v>
      </c>
      <c r="E5" s="84">
        <v>40</v>
      </c>
      <c r="F5" s="85">
        <v>40</v>
      </c>
      <c r="G5" s="85">
        <v>20</v>
      </c>
      <c r="H5" s="85">
        <v>40</v>
      </c>
      <c r="I5" s="85">
        <v>40</v>
      </c>
      <c r="J5" s="85">
        <v>20</v>
      </c>
      <c r="K5" s="85">
        <v>200</v>
      </c>
      <c r="L5" s="90"/>
      <c r="M5" s="208">
        <v>40</v>
      </c>
      <c r="N5" s="85">
        <v>40</v>
      </c>
      <c r="O5" s="85">
        <v>20</v>
      </c>
      <c r="P5" s="85">
        <v>40</v>
      </c>
      <c r="Q5" s="85">
        <v>40</v>
      </c>
      <c r="R5" s="85">
        <v>20</v>
      </c>
      <c r="S5" s="85">
        <v>200</v>
      </c>
      <c r="T5" s="86"/>
      <c r="U5" s="84">
        <v>40</v>
      </c>
      <c r="V5" s="85">
        <v>40</v>
      </c>
      <c r="W5" s="85">
        <v>20</v>
      </c>
      <c r="X5" s="85">
        <v>40</v>
      </c>
      <c r="Y5" s="85">
        <v>40</v>
      </c>
      <c r="Z5" s="85">
        <v>20</v>
      </c>
      <c r="AA5" s="85">
        <v>200</v>
      </c>
      <c r="AB5" s="86"/>
      <c r="AC5" s="85">
        <v>40</v>
      </c>
      <c r="AD5" s="85">
        <v>40</v>
      </c>
      <c r="AE5" s="85">
        <v>20</v>
      </c>
      <c r="AF5" s="85">
        <v>100</v>
      </c>
      <c r="AG5" s="86"/>
      <c r="AH5" s="84">
        <v>200</v>
      </c>
      <c r="AI5" s="90"/>
      <c r="AJ5" s="78">
        <v>200</v>
      </c>
      <c r="AK5" s="78">
        <v>200</v>
      </c>
      <c r="AL5" s="78">
        <v>200</v>
      </c>
      <c r="AM5" s="78">
        <v>200</v>
      </c>
      <c r="AN5" s="78">
        <v>200</v>
      </c>
      <c r="AO5" s="78">
        <v>200</v>
      </c>
      <c r="AP5" s="78">
        <v>200</v>
      </c>
      <c r="AQ5" s="78">
        <v>100</v>
      </c>
      <c r="AR5" s="84">
        <v>900</v>
      </c>
      <c r="AS5" s="99">
        <v>1</v>
      </c>
      <c r="AT5" s="100"/>
    </row>
    <row r="6" spans="1:46" ht="24.6" customHeight="1">
      <c r="A6" s="259">
        <v>1</v>
      </c>
      <c r="B6" s="261" t="str">
        <f ca="1">INDIRECT("'A-RACHNATMAK'!b"&amp;(ROW(A1)-1)*3+11)</f>
        <v>ગોહેલ રાજેશભાઇ ચીથરભાઇ</v>
      </c>
      <c r="C6" s="165">
        <f>STUDENTS!D4</f>
        <v>1555</v>
      </c>
      <c r="D6" s="166">
        <f>STUDENTS!D6</f>
        <v>35170</v>
      </c>
      <c r="E6" s="244">
        <f ca="1">INDIRECT("'A-RACHNATMAK'!Z"&amp;(ROW(A1)-1)*3+11)</f>
        <v>3</v>
      </c>
      <c r="F6" s="245">
        <v>25</v>
      </c>
      <c r="G6" s="245">
        <v>12</v>
      </c>
      <c r="H6" s="246">
        <f ca="1">INDIRECT("'A-RACHNATMAK'!ba"&amp;(ROW(A1)-1)*3+11)</f>
        <v>3</v>
      </c>
      <c r="I6" s="245">
        <v>31</v>
      </c>
      <c r="J6" s="245">
        <v>15</v>
      </c>
      <c r="K6" s="247">
        <f ca="1">SUM(E6:J6)</f>
        <v>89</v>
      </c>
      <c r="L6" s="248" t="str">
        <f ca="1">IF(K6&gt;160,"A",IF(K6&gt;130,"B",IF(K6&gt;100,"C",IF(K6&gt;70,"D",IF(K6&gt;0,"E","")))))</f>
        <v>D</v>
      </c>
      <c r="M6" s="244">
        <f ca="1">INDIRECT("'A-RACHNATMAK'!Z"&amp;(ROW(A1)-1)*3+123)</f>
        <v>6</v>
      </c>
      <c r="N6" s="245">
        <v>25</v>
      </c>
      <c r="O6" s="245">
        <v>12</v>
      </c>
      <c r="P6" s="246">
        <f ca="1">INDIRECT("'A-RACHNATMAK'!ba"&amp;(ROW(A1)-1)*3+123)</f>
        <v>0</v>
      </c>
      <c r="Q6" s="245">
        <v>31</v>
      </c>
      <c r="R6" s="245">
        <v>15</v>
      </c>
      <c r="S6" s="247">
        <f ca="1">SUM(M6:R6)</f>
        <v>89</v>
      </c>
      <c r="T6" s="248" t="str">
        <f ca="1">IF(S6&gt;160,"A",IF(S6&gt;130,"B",IF(S6&gt;100,"C",IF(S6&gt;70,"D",IF(S6&gt;0,"E","")))))</f>
        <v>D</v>
      </c>
      <c r="U6" s="244">
        <f ca="1">INDIRECT("'A-RACHNATMAK'!Z"&amp;(ROW(A1)-1)*3+235)</f>
        <v>0</v>
      </c>
      <c r="V6" s="245">
        <v>25</v>
      </c>
      <c r="W6" s="245">
        <v>12</v>
      </c>
      <c r="X6" s="246">
        <f ca="1">INDIRECT("'A-RACHNATMAK'!ba"&amp;(ROW(A1)-1)*3+235)</f>
        <v>0</v>
      </c>
      <c r="Y6" s="245">
        <v>31</v>
      </c>
      <c r="Z6" s="245">
        <v>15</v>
      </c>
      <c r="AA6" s="247">
        <f ca="1">SUM(U6:Z6)</f>
        <v>83</v>
      </c>
      <c r="AB6" s="248" t="str">
        <f ca="1">IF(AA6&gt;160,"A",IF(AA6&gt;130,"B",IF(AA6&gt;100,"C",IF(AA6&gt;70,"D",IF(AA6&gt;0,"E","")))))</f>
        <v>D</v>
      </c>
      <c r="AC6" s="246">
        <f ca="1">INDIRECT("'A-RACHNATMAK'!ba"&amp;(ROW(A1)-1)*3+347)</f>
        <v>3</v>
      </c>
      <c r="AD6" s="245">
        <v>31</v>
      </c>
      <c r="AE6" s="245">
        <v>15</v>
      </c>
      <c r="AF6" s="247">
        <f t="shared" ref="AF6:AF40" ca="1" si="0">SUM(AC6:AE6)</f>
        <v>49</v>
      </c>
      <c r="AG6" s="248" t="str">
        <f ca="1">IF(AF6&gt;80,"A",IF(AF6&gt;65,"B",IF(AF6&gt;50,"C",IF(AF6&gt;35,"D",IF(AF6&gt;0,"E","")))))</f>
        <v>D</v>
      </c>
      <c r="AH6" s="133">
        <f ca="1">INDIRECT("'B-VV STD-3-4'!AS"&amp;(ROW(A1)-1)*2+8)</f>
        <v>0</v>
      </c>
      <c r="AI6" s="81" t="str">
        <f ca="1">IF(AH6&gt;160,"A",IF(AH6&gt;130,"B",IF(AH6&gt;100,"C",IF(AH6&gt;70,"D",IF(AH6&gt;0,"E","")))))</f>
        <v/>
      </c>
      <c r="AJ6" s="87">
        <v>68</v>
      </c>
      <c r="AK6" s="87">
        <v>68</v>
      </c>
      <c r="AL6" s="87">
        <v>68</v>
      </c>
      <c r="AM6" s="87">
        <v>68</v>
      </c>
      <c r="AN6" s="87">
        <v>76.666666666666671</v>
      </c>
      <c r="AO6" s="87">
        <v>68</v>
      </c>
      <c r="AP6" s="87">
        <v>77.142857142857139</v>
      </c>
      <c r="AQ6" s="87">
        <v>34</v>
      </c>
      <c r="AR6" s="101">
        <f ca="1">K6+S6+AA6+AF6+AH6</f>
        <v>310</v>
      </c>
      <c r="AS6" s="107">
        <f ca="1">ROUND(AR6/9,2)</f>
        <v>34.44</v>
      </c>
      <c r="AT6" s="81" t="str">
        <f ca="1">IF(AR6&gt;720,"A",IF(AR6&gt;585,"B",IF(AR6&gt;450,"C",IF(AR6&gt;315,"D",IF(AR6&gt;0,"E","")))))</f>
        <v>E</v>
      </c>
    </row>
    <row r="7" spans="1:46" ht="24.6" customHeight="1">
      <c r="A7" s="259">
        <v>2</v>
      </c>
      <c r="B7" s="262" t="str">
        <f t="shared" ref="B7:B40" ca="1" si="1">INDIRECT("'A-RACHNATMAK'!b"&amp;(ROW(A2)-1)*3+11)</f>
        <v>ખિમસુરીયા સાહિલકુમાર અરજણભાઇ</v>
      </c>
      <c r="C7" s="167">
        <f>STUDENTS!D16</f>
        <v>0</v>
      </c>
      <c r="D7" s="168">
        <f>STUDENTS!D18</f>
        <v>0</v>
      </c>
      <c r="E7" s="249">
        <f ca="1">INDIRECT("'A-RACHNATMAK'!Z"&amp;(ROW(A2)-1)*3+11)</f>
        <v>6</v>
      </c>
      <c r="F7" s="250">
        <v>23</v>
      </c>
      <c r="G7" s="250">
        <v>20</v>
      </c>
      <c r="H7" s="251">
        <f t="shared" ref="H7:H40" ca="1" si="2">INDIRECT("'A-RACHNATMAK'!ba"&amp;(ROW(A2)-1)*3+11)</f>
        <v>6</v>
      </c>
      <c r="I7" s="250"/>
      <c r="J7" s="250"/>
      <c r="K7" s="252">
        <f t="shared" ref="K7:K40" ca="1" si="3">SUM(E7:J7)</f>
        <v>55</v>
      </c>
      <c r="L7" s="253" t="str">
        <f t="shared" ref="L7:L40" ca="1" si="4">IF(K7&gt;160,"A",IF(K7&gt;130,"B",IF(K7&gt;100,"C",IF(K7&gt;70,"D",IF(K7&gt;0,"E","")))))</f>
        <v>E</v>
      </c>
      <c r="M7" s="249">
        <f t="shared" ref="M7:M40" ca="1" si="5">INDIRECT("'A-RACHNATMAK'!Z"&amp;(ROW(A2)-1)*3+123)</f>
        <v>0</v>
      </c>
      <c r="N7" s="250"/>
      <c r="O7" s="250"/>
      <c r="P7" s="251">
        <f t="shared" ref="P7:P40" ca="1" si="6">INDIRECT("'A-RACHNATMAK'!ba"&amp;(ROW(A2)-1)*3+123)</f>
        <v>0</v>
      </c>
      <c r="Q7" s="250"/>
      <c r="R7" s="250"/>
      <c r="S7" s="252">
        <f t="shared" ref="S7:S40" ca="1" si="7">SUM(M7:R7)</f>
        <v>0</v>
      </c>
      <c r="T7" s="253" t="str">
        <f t="shared" ref="T7:T40" ca="1" si="8">IF(S7&gt;160,"A",IF(S7&gt;130,"B",IF(S7&gt;100,"C",IF(S7&gt;70,"D",IF(S7&gt;0,"E","")))))</f>
        <v/>
      </c>
      <c r="U7" s="249">
        <f t="shared" ref="U7:U40" ca="1" si="9">INDIRECT("'A-RACHNATMAK'!Z"&amp;(ROW(A2)-1)*3+235)</f>
        <v>0</v>
      </c>
      <c r="V7" s="250"/>
      <c r="W7" s="250"/>
      <c r="X7" s="251">
        <f t="shared" ref="X7:X40" ca="1" si="10">INDIRECT("'A-RACHNATMAK'!ba"&amp;(ROW(A2)-1)*3+235)</f>
        <v>0</v>
      </c>
      <c r="Y7" s="250"/>
      <c r="Z7" s="250"/>
      <c r="AA7" s="252">
        <f t="shared" ref="AA7:AA40" ca="1" si="11">SUM(U7:Z7)</f>
        <v>0</v>
      </c>
      <c r="AB7" s="253" t="str">
        <f t="shared" ref="AB7:AB40" ca="1" si="12">IF(AA7&gt;160,"A",IF(AA7&gt;130,"B",IF(AA7&gt;100,"C",IF(AA7&gt;70,"D",IF(AA7&gt;0,"E","")))))</f>
        <v/>
      </c>
      <c r="AC7" s="251">
        <f t="shared" ref="AC7:AC40" ca="1" si="13">INDIRECT("'A-RACHNATMAK'!ba"&amp;(ROW(A2)-1)*3+347)</f>
        <v>0</v>
      </c>
      <c r="AD7" s="250"/>
      <c r="AE7" s="250"/>
      <c r="AF7" s="252">
        <f t="shared" ca="1" si="0"/>
        <v>0</v>
      </c>
      <c r="AG7" s="253" t="str">
        <f t="shared" ref="AG7:AG40" ca="1" si="14">IF(AF7&gt;80,"A",IF(AF7&gt;65,"B",IF(AF7&gt;50,"C",IF(AF7&gt;35,"D",IF(AF7&gt;0,"E","")))))</f>
        <v/>
      </c>
      <c r="AH7" s="134">
        <f t="shared" ref="AH7:AH40" ca="1" si="15">INDIRECT("'B-VV STD-3-4'!AS"&amp;(ROW(A2)-1)*2+8)</f>
        <v>0</v>
      </c>
      <c r="AI7" s="82" t="str">
        <f t="shared" ref="AI7:AI40" ca="1" si="16">IF(AH7&gt;160,"A",IF(AH7&gt;130,"B",IF(AH7&gt;100,"C",IF(AH7&gt;70,"D",IF(AH7&gt;0,"E","")))))</f>
        <v/>
      </c>
      <c r="AJ7" s="88">
        <v>68</v>
      </c>
      <c r="AK7" s="88">
        <v>68</v>
      </c>
      <c r="AL7" s="88">
        <v>68</v>
      </c>
      <c r="AM7" s="88">
        <v>68</v>
      </c>
      <c r="AN7" s="88">
        <v>76.666666666666671</v>
      </c>
      <c r="AO7" s="88">
        <v>68</v>
      </c>
      <c r="AP7" s="88">
        <v>77.142857142857139</v>
      </c>
      <c r="AQ7" s="88">
        <v>34</v>
      </c>
      <c r="AR7" s="102">
        <f t="shared" ref="AR7:AR40" ca="1" si="17">K7+S7+AA7+AF7+AH7</f>
        <v>55</v>
      </c>
      <c r="AS7" s="103">
        <f t="shared" ref="AS7:AS40" ca="1" si="18">ROUND(AR7/9,2)</f>
        <v>6.11</v>
      </c>
      <c r="AT7" s="82" t="str">
        <f t="shared" ref="AT7:AT40" ca="1" si="19">IF(AR7&gt;720,"A",IF(AR7&gt;585,"B",IF(AR7&gt;450,"C",IF(AR7&gt;315,"D",IF(AR7&gt;0,"E","")))))</f>
        <v>E</v>
      </c>
    </row>
    <row r="8" spans="1:46" ht="24.6" customHeight="1">
      <c r="A8" s="259">
        <v>3</v>
      </c>
      <c r="B8" s="262" t="str">
        <f t="shared" ca="1" si="1"/>
        <v>ગરણિયા મયુરકુમાર અશોકભાઇ</v>
      </c>
      <c r="C8" s="167">
        <f>STUDENTS!D28</f>
        <v>0</v>
      </c>
      <c r="D8" s="168">
        <f>STUDENTS!D30</f>
        <v>0</v>
      </c>
      <c r="E8" s="249">
        <f t="shared" ref="E8:E40" ca="1" si="20">INDIRECT("'A-RACHNATMAK'!Z"&amp;(ROW(A3)-1)*3+11)</f>
        <v>0</v>
      </c>
      <c r="F8" s="250"/>
      <c r="G8" s="250"/>
      <c r="H8" s="251">
        <f t="shared" ca="1" si="2"/>
        <v>3</v>
      </c>
      <c r="I8" s="250"/>
      <c r="J8" s="250"/>
      <c r="K8" s="252">
        <f t="shared" ca="1" si="3"/>
        <v>3</v>
      </c>
      <c r="L8" s="253" t="str">
        <f t="shared" ca="1" si="4"/>
        <v>E</v>
      </c>
      <c r="M8" s="249">
        <f t="shared" ca="1" si="5"/>
        <v>0</v>
      </c>
      <c r="N8" s="250"/>
      <c r="O8" s="250"/>
      <c r="P8" s="251">
        <f t="shared" ca="1" si="6"/>
        <v>0</v>
      </c>
      <c r="Q8" s="250"/>
      <c r="R8" s="250"/>
      <c r="S8" s="252">
        <f t="shared" ca="1" si="7"/>
        <v>0</v>
      </c>
      <c r="T8" s="253" t="str">
        <f t="shared" ca="1" si="8"/>
        <v/>
      </c>
      <c r="U8" s="249">
        <f t="shared" ca="1" si="9"/>
        <v>0</v>
      </c>
      <c r="V8" s="250"/>
      <c r="W8" s="250"/>
      <c r="X8" s="251">
        <f t="shared" ca="1" si="10"/>
        <v>0</v>
      </c>
      <c r="Y8" s="250"/>
      <c r="Z8" s="250"/>
      <c r="AA8" s="252">
        <f t="shared" ca="1" si="11"/>
        <v>0</v>
      </c>
      <c r="AB8" s="253" t="str">
        <f t="shared" ca="1" si="12"/>
        <v/>
      </c>
      <c r="AC8" s="251">
        <f t="shared" ca="1" si="13"/>
        <v>0</v>
      </c>
      <c r="AD8" s="250"/>
      <c r="AE8" s="250"/>
      <c r="AF8" s="252">
        <f t="shared" ca="1" si="0"/>
        <v>0</v>
      </c>
      <c r="AG8" s="253" t="str">
        <f t="shared" ca="1" si="14"/>
        <v/>
      </c>
      <c r="AH8" s="134">
        <f t="shared" ca="1" si="15"/>
        <v>0</v>
      </c>
      <c r="AI8" s="82" t="str">
        <f t="shared" ca="1" si="16"/>
        <v/>
      </c>
      <c r="AJ8" s="88">
        <v>68</v>
      </c>
      <c r="AK8" s="88">
        <v>68</v>
      </c>
      <c r="AL8" s="88">
        <v>68</v>
      </c>
      <c r="AM8" s="88">
        <v>68</v>
      </c>
      <c r="AN8" s="88">
        <v>76.666666666666671</v>
      </c>
      <c r="AO8" s="88">
        <v>68</v>
      </c>
      <c r="AP8" s="88">
        <v>77.142857142857139</v>
      </c>
      <c r="AQ8" s="88">
        <v>34</v>
      </c>
      <c r="AR8" s="102">
        <f t="shared" ca="1" si="17"/>
        <v>3</v>
      </c>
      <c r="AS8" s="103">
        <f t="shared" ca="1" si="18"/>
        <v>0.33</v>
      </c>
      <c r="AT8" s="82" t="str">
        <f t="shared" ca="1" si="19"/>
        <v>E</v>
      </c>
    </row>
    <row r="9" spans="1:46" ht="24.6" customHeight="1">
      <c r="A9" s="259">
        <v>4</v>
      </c>
      <c r="B9" s="262" t="str">
        <f t="shared" ca="1" si="1"/>
        <v>ગરણિયા અલ્પેશકુમાર મેરામભાઇ</v>
      </c>
      <c r="C9" s="167">
        <f>STUDENTS!D40</f>
        <v>0</v>
      </c>
      <c r="D9" s="168">
        <f>STUDENTS!D42</f>
        <v>0</v>
      </c>
      <c r="E9" s="249">
        <f t="shared" ca="1" si="20"/>
        <v>0</v>
      </c>
      <c r="F9" s="250"/>
      <c r="G9" s="250"/>
      <c r="H9" s="251">
        <f t="shared" ca="1" si="2"/>
        <v>0</v>
      </c>
      <c r="I9" s="250"/>
      <c r="J9" s="250"/>
      <c r="K9" s="252">
        <f t="shared" ca="1" si="3"/>
        <v>0</v>
      </c>
      <c r="L9" s="253" t="str">
        <f t="shared" ca="1" si="4"/>
        <v/>
      </c>
      <c r="M9" s="249">
        <f t="shared" ca="1" si="5"/>
        <v>0</v>
      </c>
      <c r="N9" s="250"/>
      <c r="O9" s="250"/>
      <c r="P9" s="251">
        <f t="shared" ca="1" si="6"/>
        <v>0</v>
      </c>
      <c r="Q9" s="250"/>
      <c r="R9" s="250"/>
      <c r="S9" s="252">
        <f t="shared" ca="1" si="7"/>
        <v>0</v>
      </c>
      <c r="T9" s="253" t="str">
        <f t="shared" ca="1" si="8"/>
        <v/>
      </c>
      <c r="U9" s="249">
        <f t="shared" ca="1" si="9"/>
        <v>0</v>
      </c>
      <c r="V9" s="250"/>
      <c r="W9" s="250"/>
      <c r="X9" s="251">
        <f t="shared" ca="1" si="10"/>
        <v>0</v>
      </c>
      <c r="Y9" s="250"/>
      <c r="Z9" s="250"/>
      <c r="AA9" s="252">
        <f t="shared" ca="1" si="11"/>
        <v>0</v>
      </c>
      <c r="AB9" s="253" t="str">
        <f t="shared" ca="1" si="12"/>
        <v/>
      </c>
      <c r="AC9" s="251">
        <f t="shared" ca="1" si="13"/>
        <v>0</v>
      </c>
      <c r="AD9" s="250"/>
      <c r="AE9" s="250"/>
      <c r="AF9" s="252">
        <f t="shared" ca="1" si="0"/>
        <v>0</v>
      </c>
      <c r="AG9" s="253" t="str">
        <f t="shared" ca="1" si="14"/>
        <v/>
      </c>
      <c r="AH9" s="134">
        <f t="shared" ca="1" si="15"/>
        <v>0</v>
      </c>
      <c r="AI9" s="82" t="str">
        <f t="shared" ca="1" si="16"/>
        <v/>
      </c>
      <c r="AJ9" s="88">
        <v>68</v>
      </c>
      <c r="AK9" s="88">
        <v>68</v>
      </c>
      <c r="AL9" s="88">
        <v>68</v>
      </c>
      <c r="AM9" s="88">
        <v>68</v>
      </c>
      <c r="AN9" s="88">
        <v>76.666666666666671</v>
      </c>
      <c r="AO9" s="88">
        <v>68</v>
      </c>
      <c r="AP9" s="88">
        <v>77.142857142857139</v>
      </c>
      <c r="AQ9" s="88">
        <v>34</v>
      </c>
      <c r="AR9" s="102">
        <f t="shared" ca="1" si="17"/>
        <v>0</v>
      </c>
      <c r="AS9" s="103">
        <f t="shared" ca="1" si="18"/>
        <v>0</v>
      </c>
      <c r="AT9" s="82" t="str">
        <f t="shared" ca="1" si="19"/>
        <v/>
      </c>
    </row>
    <row r="10" spans="1:46" ht="24.6" customHeight="1">
      <c r="A10" s="259">
        <v>5</v>
      </c>
      <c r="B10" s="262" t="str">
        <f t="shared" ca="1" si="1"/>
        <v>ગરણિયા મિલન પોપટભાઇ</v>
      </c>
      <c r="C10" s="167">
        <f>STUDENTS!D52</f>
        <v>0</v>
      </c>
      <c r="D10" s="168">
        <f>STUDENTS!D54</f>
        <v>0</v>
      </c>
      <c r="E10" s="249">
        <f t="shared" ca="1" si="20"/>
        <v>3</v>
      </c>
      <c r="F10" s="250"/>
      <c r="G10" s="250"/>
      <c r="H10" s="251">
        <f t="shared" ca="1" si="2"/>
        <v>0</v>
      </c>
      <c r="I10" s="250"/>
      <c r="J10" s="250"/>
      <c r="K10" s="252">
        <f t="shared" ca="1" si="3"/>
        <v>3</v>
      </c>
      <c r="L10" s="253" t="str">
        <f t="shared" ca="1" si="4"/>
        <v>E</v>
      </c>
      <c r="M10" s="249">
        <f t="shared" ca="1" si="5"/>
        <v>0</v>
      </c>
      <c r="N10" s="250"/>
      <c r="O10" s="250"/>
      <c r="P10" s="251">
        <f t="shared" ca="1" si="6"/>
        <v>3</v>
      </c>
      <c r="Q10" s="250"/>
      <c r="R10" s="250"/>
      <c r="S10" s="252">
        <f t="shared" ca="1" si="7"/>
        <v>3</v>
      </c>
      <c r="T10" s="253" t="str">
        <f t="shared" ca="1" si="8"/>
        <v>E</v>
      </c>
      <c r="U10" s="249">
        <f t="shared" ca="1" si="9"/>
        <v>0</v>
      </c>
      <c r="V10" s="250"/>
      <c r="W10" s="250"/>
      <c r="X10" s="251">
        <f t="shared" ca="1" si="10"/>
        <v>0</v>
      </c>
      <c r="Y10" s="250"/>
      <c r="Z10" s="250"/>
      <c r="AA10" s="252">
        <f t="shared" ca="1" si="11"/>
        <v>0</v>
      </c>
      <c r="AB10" s="253" t="str">
        <f t="shared" ca="1" si="12"/>
        <v/>
      </c>
      <c r="AC10" s="251">
        <f t="shared" ca="1" si="13"/>
        <v>0</v>
      </c>
      <c r="AD10" s="250"/>
      <c r="AE10" s="250"/>
      <c r="AF10" s="252">
        <f t="shared" ca="1" si="0"/>
        <v>0</v>
      </c>
      <c r="AG10" s="253" t="str">
        <f t="shared" ca="1" si="14"/>
        <v/>
      </c>
      <c r="AH10" s="134">
        <f t="shared" ca="1" si="15"/>
        <v>0</v>
      </c>
      <c r="AI10" s="82" t="str">
        <f t="shared" ca="1" si="16"/>
        <v/>
      </c>
      <c r="AJ10" s="88">
        <v>68</v>
      </c>
      <c r="AK10" s="88">
        <v>68</v>
      </c>
      <c r="AL10" s="88">
        <v>68</v>
      </c>
      <c r="AM10" s="88">
        <v>68</v>
      </c>
      <c r="AN10" s="88">
        <v>76.666666666666671</v>
      </c>
      <c r="AO10" s="88">
        <v>68</v>
      </c>
      <c r="AP10" s="88">
        <v>77.142857142857139</v>
      </c>
      <c r="AQ10" s="88">
        <v>34</v>
      </c>
      <c r="AR10" s="102">
        <f t="shared" ca="1" si="17"/>
        <v>6</v>
      </c>
      <c r="AS10" s="103">
        <f t="shared" ca="1" si="18"/>
        <v>0.67</v>
      </c>
      <c r="AT10" s="82" t="str">
        <f t="shared" ca="1" si="19"/>
        <v>E</v>
      </c>
    </row>
    <row r="11" spans="1:46" ht="24.6" customHeight="1">
      <c r="A11" s="259">
        <v>6</v>
      </c>
      <c r="B11" s="262" t="str">
        <f t="shared" ca="1" si="1"/>
        <v>ગરણિયા મોહિત રાવતભાઇ</v>
      </c>
      <c r="C11" s="167">
        <f>STUDENTS!D64</f>
        <v>0</v>
      </c>
      <c r="D11" s="168">
        <f>STUDENTS!D66</f>
        <v>0</v>
      </c>
      <c r="E11" s="249">
        <f t="shared" ca="1" si="20"/>
        <v>0</v>
      </c>
      <c r="F11" s="250"/>
      <c r="G11" s="250"/>
      <c r="H11" s="251">
        <f t="shared" ca="1" si="2"/>
        <v>0</v>
      </c>
      <c r="I11" s="250"/>
      <c r="J11" s="250"/>
      <c r="K11" s="252">
        <f t="shared" ca="1" si="3"/>
        <v>0</v>
      </c>
      <c r="L11" s="253" t="str">
        <f t="shared" ca="1" si="4"/>
        <v/>
      </c>
      <c r="M11" s="249">
        <f t="shared" ca="1" si="5"/>
        <v>0</v>
      </c>
      <c r="N11" s="250"/>
      <c r="O11" s="250"/>
      <c r="P11" s="251">
        <f t="shared" ca="1" si="6"/>
        <v>0</v>
      </c>
      <c r="Q11" s="250"/>
      <c r="R11" s="250"/>
      <c r="S11" s="252">
        <f t="shared" ca="1" si="7"/>
        <v>0</v>
      </c>
      <c r="T11" s="253" t="str">
        <f t="shared" ca="1" si="8"/>
        <v/>
      </c>
      <c r="U11" s="249">
        <f t="shared" ca="1" si="9"/>
        <v>0</v>
      </c>
      <c r="V11" s="250"/>
      <c r="W11" s="250"/>
      <c r="X11" s="251">
        <f t="shared" ca="1" si="10"/>
        <v>0</v>
      </c>
      <c r="Y11" s="250"/>
      <c r="Z11" s="250"/>
      <c r="AA11" s="252">
        <f t="shared" ca="1" si="11"/>
        <v>0</v>
      </c>
      <c r="AB11" s="253" t="str">
        <f t="shared" ca="1" si="12"/>
        <v/>
      </c>
      <c r="AC11" s="251">
        <f t="shared" ca="1" si="13"/>
        <v>0</v>
      </c>
      <c r="AD11" s="250"/>
      <c r="AE11" s="250"/>
      <c r="AF11" s="252">
        <f t="shared" ca="1" si="0"/>
        <v>0</v>
      </c>
      <c r="AG11" s="253" t="str">
        <f t="shared" ca="1" si="14"/>
        <v/>
      </c>
      <c r="AH11" s="134">
        <f t="shared" ca="1" si="15"/>
        <v>0</v>
      </c>
      <c r="AI11" s="82" t="str">
        <f t="shared" ca="1" si="16"/>
        <v/>
      </c>
      <c r="AJ11" s="88">
        <v>68</v>
      </c>
      <c r="AK11" s="88">
        <v>68</v>
      </c>
      <c r="AL11" s="88">
        <v>68</v>
      </c>
      <c r="AM11" s="88">
        <v>68</v>
      </c>
      <c r="AN11" s="88">
        <v>76.666666666666671</v>
      </c>
      <c r="AO11" s="88">
        <v>68</v>
      </c>
      <c r="AP11" s="88">
        <v>77.142857142857139</v>
      </c>
      <c r="AQ11" s="88">
        <v>34</v>
      </c>
      <c r="AR11" s="102">
        <f t="shared" ca="1" si="17"/>
        <v>0</v>
      </c>
      <c r="AS11" s="103">
        <f t="shared" ca="1" si="18"/>
        <v>0</v>
      </c>
      <c r="AT11" s="82" t="str">
        <f t="shared" ca="1" si="19"/>
        <v/>
      </c>
    </row>
    <row r="12" spans="1:46" ht="24.6" customHeight="1">
      <c r="A12" s="259">
        <v>7</v>
      </c>
      <c r="B12" s="262" t="str">
        <f t="shared" ca="1" si="1"/>
        <v>ગરણિયા સુમિત પોપટભાઇ</v>
      </c>
      <c r="C12" s="167">
        <f>STUDENTS!D76</f>
        <v>0</v>
      </c>
      <c r="D12" s="168">
        <f>STUDENTS!D78</f>
        <v>0</v>
      </c>
      <c r="E12" s="249">
        <f t="shared" ca="1" si="20"/>
        <v>0</v>
      </c>
      <c r="F12" s="250"/>
      <c r="G12" s="250"/>
      <c r="H12" s="251">
        <f t="shared" ca="1" si="2"/>
        <v>0</v>
      </c>
      <c r="I12" s="250"/>
      <c r="J12" s="250"/>
      <c r="K12" s="252">
        <f t="shared" ca="1" si="3"/>
        <v>0</v>
      </c>
      <c r="L12" s="253" t="str">
        <f t="shared" ca="1" si="4"/>
        <v/>
      </c>
      <c r="M12" s="249">
        <f t="shared" ca="1" si="5"/>
        <v>0</v>
      </c>
      <c r="N12" s="250"/>
      <c r="O12" s="250"/>
      <c r="P12" s="251">
        <f t="shared" ca="1" si="6"/>
        <v>0</v>
      </c>
      <c r="Q12" s="250"/>
      <c r="R12" s="250"/>
      <c r="S12" s="252">
        <f t="shared" ca="1" si="7"/>
        <v>0</v>
      </c>
      <c r="T12" s="253" t="str">
        <f t="shared" ca="1" si="8"/>
        <v/>
      </c>
      <c r="U12" s="249">
        <f t="shared" ca="1" si="9"/>
        <v>0</v>
      </c>
      <c r="V12" s="250"/>
      <c r="W12" s="250"/>
      <c r="X12" s="251">
        <f t="shared" ca="1" si="10"/>
        <v>0</v>
      </c>
      <c r="Y12" s="250"/>
      <c r="Z12" s="250"/>
      <c r="AA12" s="252">
        <f t="shared" ca="1" si="11"/>
        <v>0</v>
      </c>
      <c r="AB12" s="253" t="str">
        <f t="shared" ca="1" si="12"/>
        <v/>
      </c>
      <c r="AC12" s="251">
        <f t="shared" ca="1" si="13"/>
        <v>0</v>
      </c>
      <c r="AD12" s="250"/>
      <c r="AE12" s="250"/>
      <c r="AF12" s="252">
        <f t="shared" ca="1" si="0"/>
        <v>0</v>
      </c>
      <c r="AG12" s="253" t="str">
        <f t="shared" ca="1" si="14"/>
        <v/>
      </c>
      <c r="AH12" s="134">
        <f t="shared" ca="1" si="15"/>
        <v>0</v>
      </c>
      <c r="AI12" s="82" t="str">
        <f t="shared" ca="1" si="16"/>
        <v/>
      </c>
      <c r="AJ12" s="88">
        <v>68</v>
      </c>
      <c r="AK12" s="88">
        <v>68</v>
      </c>
      <c r="AL12" s="88">
        <v>68</v>
      </c>
      <c r="AM12" s="88">
        <v>68</v>
      </c>
      <c r="AN12" s="88">
        <v>76.666666666666671</v>
      </c>
      <c r="AO12" s="88">
        <v>68</v>
      </c>
      <c r="AP12" s="88">
        <v>77.142857142857139</v>
      </c>
      <c r="AQ12" s="88">
        <v>34</v>
      </c>
      <c r="AR12" s="102">
        <f t="shared" ca="1" si="17"/>
        <v>0</v>
      </c>
      <c r="AS12" s="103">
        <f t="shared" ca="1" si="18"/>
        <v>0</v>
      </c>
      <c r="AT12" s="82" t="str">
        <f t="shared" ca="1" si="19"/>
        <v/>
      </c>
    </row>
    <row r="13" spans="1:46" ht="24.6" customHeight="1">
      <c r="A13" s="259">
        <v>8</v>
      </c>
      <c r="B13" s="262" t="str">
        <f t="shared" ca="1" si="1"/>
        <v>ગરણિયા રામકુભાઇ સાર્દૂળભાઇ</v>
      </c>
      <c r="C13" s="167">
        <f>STUDENTS!D88</f>
        <v>0</v>
      </c>
      <c r="D13" s="168">
        <f>STUDENTS!D90</f>
        <v>0</v>
      </c>
      <c r="E13" s="249">
        <f t="shared" ca="1" si="20"/>
        <v>3</v>
      </c>
      <c r="F13" s="250"/>
      <c r="G13" s="250"/>
      <c r="H13" s="251">
        <f t="shared" ca="1" si="2"/>
        <v>0</v>
      </c>
      <c r="I13" s="250"/>
      <c r="J13" s="250"/>
      <c r="K13" s="252">
        <f t="shared" ca="1" si="3"/>
        <v>3</v>
      </c>
      <c r="L13" s="253" t="str">
        <f t="shared" ca="1" si="4"/>
        <v>E</v>
      </c>
      <c r="M13" s="249">
        <f t="shared" ca="1" si="5"/>
        <v>0</v>
      </c>
      <c r="N13" s="250"/>
      <c r="O13" s="250"/>
      <c r="P13" s="251">
        <f t="shared" ca="1" si="6"/>
        <v>0</v>
      </c>
      <c r="Q13" s="250"/>
      <c r="R13" s="250"/>
      <c r="S13" s="252">
        <f t="shared" ca="1" si="7"/>
        <v>0</v>
      </c>
      <c r="T13" s="253" t="str">
        <f t="shared" ca="1" si="8"/>
        <v/>
      </c>
      <c r="U13" s="249">
        <f t="shared" ca="1" si="9"/>
        <v>0</v>
      </c>
      <c r="V13" s="250"/>
      <c r="W13" s="250"/>
      <c r="X13" s="251">
        <f t="shared" ca="1" si="10"/>
        <v>0</v>
      </c>
      <c r="Y13" s="250"/>
      <c r="Z13" s="250"/>
      <c r="AA13" s="252">
        <f t="shared" ca="1" si="11"/>
        <v>0</v>
      </c>
      <c r="AB13" s="253" t="str">
        <f t="shared" ca="1" si="12"/>
        <v/>
      </c>
      <c r="AC13" s="251">
        <f t="shared" ca="1" si="13"/>
        <v>0</v>
      </c>
      <c r="AD13" s="250"/>
      <c r="AE13" s="250"/>
      <c r="AF13" s="252">
        <f t="shared" ca="1" si="0"/>
        <v>0</v>
      </c>
      <c r="AG13" s="253" t="str">
        <f t="shared" ca="1" si="14"/>
        <v/>
      </c>
      <c r="AH13" s="134">
        <f t="shared" ca="1" si="15"/>
        <v>34</v>
      </c>
      <c r="AI13" s="82" t="str">
        <f t="shared" ca="1" si="16"/>
        <v>E</v>
      </c>
      <c r="AJ13" s="88">
        <v>68</v>
      </c>
      <c r="AK13" s="88">
        <v>68</v>
      </c>
      <c r="AL13" s="88">
        <v>68</v>
      </c>
      <c r="AM13" s="88">
        <v>68</v>
      </c>
      <c r="AN13" s="88">
        <v>76.666666666666671</v>
      </c>
      <c r="AO13" s="88">
        <v>68</v>
      </c>
      <c r="AP13" s="88">
        <v>77.142857142857139</v>
      </c>
      <c r="AQ13" s="88">
        <v>34</v>
      </c>
      <c r="AR13" s="102">
        <f t="shared" ca="1" si="17"/>
        <v>37</v>
      </c>
      <c r="AS13" s="103">
        <f t="shared" ca="1" si="18"/>
        <v>4.1100000000000003</v>
      </c>
      <c r="AT13" s="82" t="str">
        <f t="shared" ca="1" si="19"/>
        <v>E</v>
      </c>
    </row>
    <row r="14" spans="1:46" ht="24.6" customHeight="1">
      <c r="A14" s="259">
        <v>9</v>
      </c>
      <c r="B14" s="262" t="str">
        <f t="shared" ca="1" si="1"/>
        <v>ડેર હિતેષકુમાર પ્રતાપભાઇ</v>
      </c>
      <c r="C14" s="167">
        <f>STUDENTS!D100</f>
        <v>0</v>
      </c>
      <c r="D14" s="168">
        <f>STUDENTS!D102</f>
        <v>0</v>
      </c>
      <c r="E14" s="249">
        <f t="shared" ca="1" si="20"/>
        <v>0</v>
      </c>
      <c r="F14" s="250"/>
      <c r="G14" s="250"/>
      <c r="H14" s="251">
        <f t="shared" ca="1" si="2"/>
        <v>0</v>
      </c>
      <c r="I14" s="250"/>
      <c r="J14" s="250"/>
      <c r="K14" s="252">
        <f t="shared" ca="1" si="3"/>
        <v>0</v>
      </c>
      <c r="L14" s="253" t="str">
        <f t="shared" ca="1" si="4"/>
        <v/>
      </c>
      <c r="M14" s="249">
        <f t="shared" ca="1" si="5"/>
        <v>0</v>
      </c>
      <c r="N14" s="250"/>
      <c r="O14" s="250"/>
      <c r="P14" s="251">
        <f t="shared" ca="1" si="6"/>
        <v>0</v>
      </c>
      <c r="Q14" s="250"/>
      <c r="R14" s="250"/>
      <c r="S14" s="252">
        <f t="shared" ca="1" si="7"/>
        <v>0</v>
      </c>
      <c r="T14" s="253" t="str">
        <f t="shared" ca="1" si="8"/>
        <v/>
      </c>
      <c r="U14" s="249">
        <f t="shared" ca="1" si="9"/>
        <v>0</v>
      </c>
      <c r="V14" s="250"/>
      <c r="W14" s="250"/>
      <c r="X14" s="251">
        <f t="shared" ca="1" si="10"/>
        <v>0</v>
      </c>
      <c r="Y14" s="250"/>
      <c r="Z14" s="250"/>
      <c r="AA14" s="252">
        <f t="shared" ca="1" si="11"/>
        <v>0</v>
      </c>
      <c r="AB14" s="253" t="str">
        <f t="shared" ca="1" si="12"/>
        <v/>
      </c>
      <c r="AC14" s="251">
        <f t="shared" ca="1" si="13"/>
        <v>0</v>
      </c>
      <c r="AD14" s="250"/>
      <c r="AE14" s="250"/>
      <c r="AF14" s="252">
        <f t="shared" ca="1" si="0"/>
        <v>0</v>
      </c>
      <c r="AG14" s="253" t="str">
        <f t="shared" ca="1" si="14"/>
        <v/>
      </c>
      <c r="AH14" s="134">
        <f t="shared" ca="1" si="15"/>
        <v>0</v>
      </c>
      <c r="AI14" s="82" t="str">
        <f t="shared" ca="1" si="16"/>
        <v/>
      </c>
      <c r="AJ14" s="88">
        <v>68</v>
      </c>
      <c r="AK14" s="88">
        <v>68</v>
      </c>
      <c r="AL14" s="88">
        <v>68</v>
      </c>
      <c r="AM14" s="88">
        <v>68</v>
      </c>
      <c r="AN14" s="88">
        <v>76.666666666666671</v>
      </c>
      <c r="AO14" s="88">
        <v>68</v>
      </c>
      <c r="AP14" s="88">
        <v>77.142857142857139</v>
      </c>
      <c r="AQ14" s="88">
        <v>34</v>
      </c>
      <c r="AR14" s="102">
        <f t="shared" ca="1" si="17"/>
        <v>0</v>
      </c>
      <c r="AS14" s="103">
        <f t="shared" ca="1" si="18"/>
        <v>0</v>
      </c>
      <c r="AT14" s="82" t="str">
        <f t="shared" ca="1" si="19"/>
        <v/>
      </c>
    </row>
    <row r="15" spans="1:46" ht="24.6" customHeight="1">
      <c r="A15" s="259">
        <v>10</v>
      </c>
      <c r="B15" s="262" t="str">
        <f t="shared" ca="1" si="1"/>
        <v>વેકરીયા વિશાલકુમાર દિપકભાઇ</v>
      </c>
      <c r="C15" s="167">
        <f>STUDENTS!D112</f>
        <v>0</v>
      </c>
      <c r="D15" s="168">
        <f>STUDENTS!D114</f>
        <v>0</v>
      </c>
      <c r="E15" s="249">
        <f t="shared" ca="1" si="20"/>
        <v>0</v>
      </c>
      <c r="F15" s="250"/>
      <c r="G15" s="250"/>
      <c r="H15" s="251">
        <f t="shared" ca="1" si="2"/>
        <v>0</v>
      </c>
      <c r="I15" s="250"/>
      <c r="J15" s="250"/>
      <c r="K15" s="252">
        <f t="shared" ca="1" si="3"/>
        <v>0</v>
      </c>
      <c r="L15" s="253" t="str">
        <f t="shared" ca="1" si="4"/>
        <v/>
      </c>
      <c r="M15" s="249">
        <f t="shared" ca="1" si="5"/>
        <v>0</v>
      </c>
      <c r="N15" s="250"/>
      <c r="O15" s="250"/>
      <c r="P15" s="251">
        <f t="shared" ca="1" si="6"/>
        <v>0</v>
      </c>
      <c r="Q15" s="250"/>
      <c r="R15" s="250"/>
      <c r="S15" s="252">
        <f t="shared" ca="1" si="7"/>
        <v>0</v>
      </c>
      <c r="T15" s="253" t="str">
        <f t="shared" ca="1" si="8"/>
        <v/>
      </c>
      <c r="U15" s="249">
        <f t="shared" ca="1" si="9"/>
        <v>0</v>
      </c>
      <c r="V15" s="250"/>
      <c r="W15" s="250"/>
      <c r="X15" s="251">
        <f t="shared" ca="1" si="10"/>
        <v>0</v>
      </c>
      <c r="Y15" s="250"/>
      <c r="Z15" s="250"/>
      <c r="AA15" s="252">
        <f t="shared" ca="1" si="11"/>
        <v>0</v>
      </c>
      <c r="AB15" s="253" t="str">
        <f t="shared" ca="1" si="12"/>
        <v/>
      </c>
      <c r="AC15" s="251">
        <f t="shared" ca="1" si="13"/>
        <v>0</v>
      </c>
      <c r="AD15" s="250"/>
      <c r="AE15" s="250"/>
      <c r="AF15" s="252">
        <f t="shared" ca="1" si="0"/>
        <v>0</v>
      </c>
      <c r="AG15" s="253" t="str">
        <f t="shared" ca="1" si="14"/>
        <v/>
      </c>
      <c r="AH15" s="134">
        <f t="shared" ca="1" si="15"/>
        <v>0</v>
      </c>
      <c r="AI15" s="82" t="str">
        <f t="shared" ca="1" si="16"/>
        <v/>
      </c>
      <c r="AJ15" s="88">
        <v>68</v>
      </c>
      <c r="AK15" s="88">
        <v>68</v>
      </c>
      <c r="AL15" s="88">
        <v>68</v>
      </c>
      <c r="AM15" s="88">
        <v>68</v>
      </c>
      <c r="AN15" s="88">
        <v>76.666666666666671</v>
      </c>
      <c r="AO15" s="88">
        <v>68</v>
      </c>
      <c r="AP15" s="88">
        <v>77.142857142857139</v>
      </c>
      <c r="AQ15" s="88">
        <v>34</v>
      </c>
      <c r="AR15" s="102">
        <f t="shared" ca="1" si="17"/>
        <v>0</v>
      </c>
      <c r="AS15" s="103">
        <f t="shared" ca="1" si="18"/>
        <v>0</v>
      </c>
      <c r="AT15" s="82" t="str">
        <f t="shared" ca="1" si="19"/>
        <v/>
      </c>
    </row>
    <row r="16" spans="1:46" ht="24.6" customHeight="1">
      <c r="A16" s="259">
        <v>11</v>
      </c>
      <c r="B16" s="262" t="str">
        <f t="shared" ca="1" si="1"/>
        <v>માણસુરીયા મહેન્દ્રભાઇ ભૂપતભાઇ</v>
      </c>
      <c r="C16" s="167">
        <f>STUDENTS!D124</f>
        <v>0</v>
      </c>
      <c r="D16" s="168">
        <f>STUDENTS!D126</f>
        <v>0</v>
      </c>
      <c r="E16" s="249">
        <f t="shared" ca="1" si="20"/>
        <v>0</v>
      </c>
      <c r="F16" s="250"/>
      <c r="G16" s="250"/>
      <c r="H16" s="251">
        <f t="shared" ca="1" si="2"/>
        <v>0</v>
      </c>
      <c r="I16" s="250"/>
      <c r="J16" s="250"/>
      <c r="K16" s="252">
        <f t="shared" ca="1" si="3"/>
        <v>0</v>
      </c>
      <c r="L16" s="253" t="str">
        <f t="shared" ca="1" si="4"/>
        <v/>
      </c>
      <c r="M16" s="249">
        <f t="shared" ca="1" si="5"/>
        <v>0</v>
      </c>
      <c r="N16" s="250"/>
      <c r="O16" s="250"/>
      <c r="P16" s="251">
        <f t="shared" ca="1" si="6"/>
        <v>0</v>
      </c>
      <c r="Q16" s="250"/>
      <c r="R16" s="250"/>
      <c r="S16" s="252">
        <f t="shared" ca="1" si="7"/>
        <v>0</v>
      </c>
      <c r="T16" s="253" t="str">
        <f t="shared" ca="1" si="8"/>
        <v/>
      </c>
      <c r="U16" s="249">
        <f t="shared" ca="1" si="9"/>
        <v>0</v>
      </c>
      <c r="V16" s="250"/>
      <c r="W16" s="250"/>
      <c r="X16" s="251">
        <f t="shared" ca="1" si="10"/>
        <v>0</v>
      </c>
      <c r="Y16" s="250"/>
      <c r="Z16" s="250"/>
      <c r="AA16" s="252">
        <f t="shared" ca="1" si="11"/>
        <v>0</v>
      </c>
      <c r="AB16" s="253" t="str">
        <f t="shared" ca="1" si="12"/>
        <v/>
      </c>
      <c r="AC16" s="251">
        <f t="shared" ca="1" si="13"/>
        <v>0</v>
      </c>
      <c r="AD16" s="250"/>
      <c r="AE16" s="250"/>
      <c r="AF16" s="252">
        <f t="shared" ca="1" si="0"/>
        <v>0</v>
      </c>
      <c r="AG16" s="253" t="str">
        <f t="shared" ca="1" si="14"/>
        <v/>
      </c>
      <c r="AH16" s="134">
        <f t="shared" ca="1" si="15"/>
        <v>0</v>
      </c>
      <c r="AI16" s="82" t="str">
        <f t="shared" ca="1" si="16"/>
        <v/>
      </c>
      <c r="AJ16" s="88">
        <v>68</v>
      </c>
      <c r="AK16" s="88">
        <v>68</v>
      </c>
      <c r="AL16" s="88">
        <v>68</v>
      </c>
      <c r="AM16" s="88">
        <v>68</v>
      </c>
      <c r="AN16" s="88">
        <v>76.666666666666671</v>
      </c>
      <c r="AO16" s="88">
        <v>68</v>
      </c>
      <c r="AP16" s="88">
        <v>77.142857142857139</v>
      </c>
      <c r="AQ16" s="88">
        <v>34</v>
      </c>
      <c r="AR16" s="102">
        <f t="shared" ca="1" si="17"/>
        <v>0</v>
      </c>
      <c r="AS16" s="103">
        <f t="shared" ca="1" si="18"/>
        <v>0</v>
      </c>
      <c r="AT16" s="82" t="str">
        <f t="shared" ca="1" si="19"/>
        <v/>
      </c>
    </row>
    <row r="17" spans="1:46" ht="24.6" customHeight="1">
      <c r="A17" s="259">
        <v>12</v>
      </c>
      <c r="B17" s="262" t="str">
        <f t="shared" ca="1" si="1"/>
        <v>પરમાર અજયકુમાર રમેશભાઇ</v>
      </c>
      <c r="C17" s="167">
        <f>STUDENTS!D136</f>
        <v>0</v>
      </c>
      <c r="D17" s="168">
        <f>STUDENTS!D138</f>
        <v>0</v>
      </c>
      <c r="E17" s="249">
        <f t="shared" ca="1" si="20"/>
        <v>0</v>
      </c>
      <c r="F17" s="250"/>
      <c r="G17" s="250"/>
      <c r="H17" s="251">
        <f t="shared" ca="1" si="2"/>
        <v>0</v>
      </c>
      <c r="I17" s="250"/>
      <c r="J17" s="250"/>
      <c r="K17" s="252">
        <f t="shared" ca="1" si="3"/>
        <v>0</v>
      </c>
      <c r="L17" s="253" t="str">
        <f t="shared" ca="1" si="4"/>
        <v/>
      </c>
      <c r="M17" s="249">
        <f t="shared" ca="1" si="5"/>
        <v>0</v>
      </c>
      <c r="N17" s="250"/>
      <c r="O17" s="250"/>
      <c r="P17" s="251">
        <f t="shared" ca="1" si="6"/>
        <v>0</v>
      </c>
      <c r="Q17" s="250"/>
      <c r="R17" s="250"/>
      <c r="S17" s="252">
        <f t="shared" ca="1" si="7"/>
        <v>0</v>
      </c>
      <c r="T17" s="253" t="str">
        <f t="shared" ca="1" si="8"/>
        <v/>
      </c>
      <c r="U17" s="249">
        <f t="shared" ca="1" si="9"/>
        <v>0</v>
      </c>
      <c r="V17" s="250"/>
      <c r="W17" s="250"/>
      <c r="X17" s="251">
        <f t="shared" ca="1" si="10"/>
        <v>0</v>
      </c>
      <c r="Y17" s="250"/>
      <c r="Z17" s="250"/>
      <c r="AA17" s="252">
        <f t="shared" ca="1" si="11"/>
        <v>0</v>
      </c>
      <c r="AB17" s="253" t="str">
        <f t="shared" ca="1" si="12"/>
        <v/>
      </c>
      <c r="AC17" s="251">
        <f t="shared" ca="1" si="13"/>
        <v>0</v>
      </c>
      <c r="AD17" s="250"/>
      <c r="AE17" s="250"/>
      <c r="AF17" s="252">
        <f t="shared" ca="1" si="0"/>
        <v>0</v>
      </c>
      <c r="AG17" s="253" t="str">
        <f t="shared" ca="1" si="14"/>
        <v/>
      </c>
      <c r="AH17" s="134">
        <f t="shared" ca="1" si="15"/>
        <v>0</v>
      </c>
      <c r="AI17" s="82" t="str">
        <f t="shared" ca="1" si="16"/>
        <v/>
      </c>
      <c r="AJ17" s="88">
        <v>68</v>
      </c>
      <c r="AK17" s="88">
        <v>68</v>
      </c>
      <c r="AL17" s="88">
        <v>68</v>
      </c>
      <c r="AM17" s="88">
        <v>68</v>
      </c>
      <c r="AN17" s="88">
        <v>76.666666666666671</v>
      </c>
      <c r="AO17" s="88">
        <v>68</v>
      </c>
      <c r="AP17" s="88">
        <v>77.142857142857139</v>
      </c>
      <c r="AQ17" s="88">
        <v>34</v>
      </c>
      <c r="AR17" s="102">
        <f t="shared" ca="1" si="17"/>
        <v>0</v>
      </c>
      <c r="AS17" s="103">
        <f t="shared" ca="1" si="18"/>
        <v>0</v>
      </c>
      <c r="AT17" s="82" t="str">
        <f t="shared" ca="1" si="19"/>
        <v/>
      </c>
    </row>
    <row r="18" spans="1:46" ht="24.6" customHeight="1">
      <c r="A18" s="259">
        <v>13</v>
      </c>
      <c r="B18" s="262" t="str">
        <f t="shared" ca="1" si="1"/>
        <v>કંડોળીયા અલ્પેશકુમાર ભરતભાઇ</v>
      </c>
      <c r="C18" s="167">
        <f>STUDENTS!D148</f>
        <v>0</v>
      </c>
      <c r="D18" s="168">
        <f>STUDENTS!D150</f>
        <v>0</v>
      </c>
      <c r="E18" s="249">
        <f t="shared" ca="1" si="20"/>
        <v>0</v>
      </c>
      <c r="F18" s="250"/>
      <c r="G18" s="250"/>
      <c r="H18" s="251">
        <f t="shared" ca="1" si="2"/>
        <v>0</v>
      </c>
      <c r="I18" s="250"/>
      <c r="J18" s="250"/>
      <c r="K18" s="252">
        <f t="shared" ca="1" si="3"/>
        <v>0</v>
      </c>
      <c r="L18" s="253" t="str">
        <f t="shared" ca="1" si="4"/>
        <v/>
      </c>
      <c r="M18" s="249">
        <f t="shared" ca="1" si="5"/>
        <v>0</v>
      </c>
      <c r="N18" s="250"/>
      <c r="O18" s="250"/>
      <c r="P18" s="251">
        <f t="shared" ca="1" si="6"/>
        <v>0</v>
      </c>
      <c r="Q18" s="250"/>
      <c r="R18" s="250"/>
      <c r="S18" s="252">
        <f t="shared" ca="1" si="7"/>
        <v>0</v>
      </c>
      <c r="T18" s="253" t="str">
        <f t="shared" ca="1" si="8"/>
        <v/>
      </c>
      <c r="U18" s="249">
        <f t="shared" ca="1" si="9"/>
        <v>0</v>
      </c>
      <c r="V18" s="250"/>
      <c r="W18" s="250"/>
      <c r="X18" s="251">
        <f t="shared" ca="1" si="10"/>
        <v>0</v>
      </c>
      <c r="Y18" s="250"/>
      <c r="Z18" s="250"/>
      <c r="AA18" s="252">
        <f t="shared" ca="1" si="11"/>
        <v>0</v>
      </c>
      <c r="AB18" s="253" t="str">
        <f t="shared" ca="1" si="12"/>
        <v/>
      </c>
      <c r="AC18" s="251">
        <f t="shared" ca="1" si="13"/>
        <v>0</v>
      </c>
      <c r="AD18" s="250"/>
      <c r="AE18" s="250"/>
      <c r="AF18" s="252">
        <f t="shared" ca="1" si="0"/>
        <v>0</v>
      </c>
      <c r="AG18" s="253" t="str">
        <f t="shared" ca="1" si="14"/>
        <v/>
      </c>
      <c r="AH18" s="134">
        <f t="shared" ca="1" si="15"/>
        <v>0</v>
      </c>
      <c r="AI18" s="82" t="str">
        <f t="shared" ca="1" si="16"/>
        <v/>
      </c>
      <c r="AJ18" s="88">
        <v>68</v>
      </c>
      <c r="AK18" s="88">
        <v>68</v>
      </c>
      <c r="AL18" s="88">
        <v>68</v>
      </c>
      <c r="AM18" s="88">
        <v>68</v>
      </c>
      <c r="AN18" s="88">
        <v>76.666666666666671</v>
      </c>
      <c r="AO18" s="88">
        <v>68</v>
      </c>
      <c r="AP18" s="88">
        <v>77.142857142857139</v>
      </c>
      <c r="AQ18" s="88">
        <v>34</v>
      </c>
      <c r="AR18" s="102">
        <f t="shared" ca="1" si="17"/>
        <v>0</v>
      </c>
      <c r="AS18" s="103">
        <f t="shared" ca="1" si="18"/>
        <v>0</v>
      </c>
      <c r="AT18" s="82" t="str">
        <f t="shared" ca="1" si="19"/>
        <v/>
      </c>
    </row>
    <row r="19" spans="1:46" ht="24.6" customHeight="1">
      <c r="A19" s="259">
        <v>14</v>
      </c>
      <c r="B19" s="262" t="str">
        <f t="shared" ca="1" si="1"/>
        <v>મકવાણા તરંગકુમાર કિશોરભાઇ</v>
      </c>
      <c r="C19" s="167">
        <f>STUDENTS!D160</f>
        <v>0</v>
      </c>
      <c r="D19" s="168">
        <f>STUDENTS!D162</f>
        <v>0</v>
      </c>
      <c r="E19" s="249">
        <f t="shared" ca="1" si="20"/>
        <v>0</v>
      </c>
      <c r="F19" s="250"/>
      <c r="G19" s="250"/>
      <c r="H19" s="251">
        <f t="shared" ca="1" si="2"/>
        <v>0</v>
      </c>
      <c r="I19" s="250"/>
      <c r="J19" s="250"/>
      <c r="K19" s="252">
        <f t="shared" ca="1" si="3"/>
        <v>0</v>
      </c>
      <c r="L19" s="253" t="str">
        <f t="shared" ca="1" si="4"/>
        <v/>
      </c>
      <c r="M19" s="249">
        <f t="shared" ca="1" si="5"/>
        <v>0</v>
      </c>
      <c r="N19" s="250"/>
      <c r="O19" s="250"/>
      <c r="P19" s="251">
        <f t="shared" ca="1" si="6"/>
        <v>0</v>
      </c>
      <c r="Q19" s="250"/>
      <c r="R19" s="250"/>
      <c r="S19" s="252">
        <f t="shared" ca="1" si="7"/>
        <v>0</v>
      </c>
      <c r="T19" s="253" t="str">
        <f t="shared" ca="1" si="8"/>
        <v/>
      </c>
      <c r="U19" s="249">
        <f t="shared" ca="1" si="9"/>
        <v>0</v>
      </c>
      <c r="V19" s="250"/>
      <c r="W19" s="250"/>
      <c r="X19" s="251">
        <f t="shared" ca="1" si="10"/>
        <v>0</v>
      </c>
      <c r="Y19" s="250"/>
      <c r="Z19" s="250"/>
      <c r="AA19" s="252">
        <f t="shared" ca="1" si="11"/>
        <v>0</v>
      </c>
      <c r="AB19" s="253" t="str">
        <f t="shared" ca="1" si="12"/>
        <v/>
      </c>
      <c r="AC19" s="251">
        <f t="shared" ca="1" si="13"/>
        <v>0</v>
      </c>
      <c r="AD19" s="250"/>
      <c r="AE19" s="250"/>
      <c r="AF19" s="252">
        <f t="shared" ca="1" si="0"/>
        <v>0</v>
      </c>
      <c r="AG19" s="253" t="str">
        <f t="shared" ca="1" si="14"/>
        <v/>
      </c>
      <c r="AH19" s="134">
        <f t="shared" ca="1" si="15"/>
        <v>0</v>
      </c>
      <c r="AI19" s="82" t="str">
        <f t="shared" ca="1" si="16"/>
        <v/>
      </c>
      <c r="AJ19" s="88">
        <v>68</v>
      </c>
      <c r="AK19" s="88">
        <v>68</v>
      </c>
      <c r="AL19" s="88">
        <v>68</v>
      </c>
      <c r="AM19" s="88">
        <v>68</v>
      </c>
      <c r="AN19" s="88">
        <v>76.666666666666671</v>
      </c>
      <c r="AO19" s="88">
        <v>68</v>
      </c>
      <c r="AP19" s="88">
        <v>77.142857142857139</v>
      </c>
      <c r="AQ19" s="88">
        <v>34</v>
      </c>
      <c r="AR19" s="102">
        <f t="shared" ca="1" si="17"/>
        <v>0</v>
      </c>
      <c r="AS19" s="103">
        <f t="shared" ca="1" si="18"/>
        <v>0</v>
      </c>
      <c r="AT19" s="82" t="str">
        <f t="shared" ca="1" si="19"/>
        <v/>
      </c>
    </row>
    <row r="20" spans="1:46" ht="24.6" customHeight="1">
      <c r="A20" s="259">
        <v>15</v>
      </c>
      <c r="B20" s="262" t="str">
        <f t="shared" ca="1" si="1"/>
        <v>ઢીમેચા સતીષ હનુભાઇ</v>
      </c>
      <c r="C20" s="167">
        <f>STUDENTS!D172</f>
        <v>0</v>
      </c>
      <c r="D20" s="168">
        <f>STUDENTS!D174</f>
        <v>0</v>
      </c>
      <c r="E20" s="249">
        <f t="shared" ca="1" si="20"/>
        <v>0</v>
      </c>
      <c r="F20" s="250"/>
      <c r="G20" s="250"/>
      <c r="H20" s="251">
        <f t="shared" ca="1" si="2"/>
        <v>0</v>
      </c>
      <c r="I20" s="250"/>
      <c r="J20" s="250"/>
      <c r="K20" s="252">
        <f t="shared" ca="1" si="3"/>
        <v>0</v>
      </c>
      <c r="L20" s="253" t="str">
        <f t="shared" ca="1" si="4"/>
        <v/>
      </c>
      <c r="M20" s="249">
        <f t="shared" ca="1" si="5"/>
        <v>0</v>
      </c>
      <c r="N20" s="250"/>
      <c r="O20" s="250"/>
      <c r="P20" s="251">
        <f t="shared" ca="1" si="6"/>
        <v>0</v>
      </c>
      <c r="Q20" s="250"/>
      <c r="R20" s="250"/>
      <c r="S20" s="252">
        <f t="shared" ca="1" si="7"/>
        <v>0</v>
      </c>
      <c r="T20" s="253" t="str">
        <f t="shared" ca="1" si="8"/>
        <v/>
      </c>
      <c r="U20" s="249">
        <f t="shared" ca="1" si="9"/>
        <v>0</v>
      </c>
      <c r="V20" s="250"/>
      <c r="W20" s="250"/>
      <c r="X20" s="251">
        <f t="shared" ca="1" si="10"/>
        <v>0</v>
      </c>
      <c r="Y20" s="250"/>
      <c r="Z20" s="250"/>
      <c r="AA20" s="252">
        <f t="shared" ca="1" si="11"/>
        <v>0</v>
      </c>
      <c r="AB20" s="253" t="str">
        <f t="shared" ca="1" si="12"/>
        <v/>
      </c>
      <c r="AC20" s="251">
        <f t="shared" ca="1" si="13"/>
        <v>0</v>
      </c>
      <c r="AD20" s="250"/>
      <c r="AE20" s="250"/>
      <c r="AF20" s="252">
        <f t="shared" ca="1" si="0"/>
        <v>0</v>
      </c>
      <c r="AG20" s="253" t="str">
        <f t="shared" ca="1" si="14"/>
        <v/>
      </c>
      <c r="AH20" s="134">
        <f t="shared" ca="1" si="15"/>
        <v>0</v>
      </c>
      <c r="AI20" s="82" t="str">
        <f t="shared" ca="1" si="16"/>
        <v/>
      </c>
      <c r="AJ20" s="88">
        <v>68</v>
      </c>
      <c r="AK20" s="88">
        <v>68</v>
      </c>
      <c r="AL20" s="88">
        <v>68</v>
      </c>
      <c r="AM20" s="88">
        <v>68</v>
      </c>
      <c r="AN20" s="88">
        <v>76.666666666666671</v>
      </c>
      <c r="AO20" s="88">
        <v>68</v>
      </c>
      <c r="AP20" s="88">
        <v>77.142857142857139</v>
      </c>
      <c r="AQ20" s="88">
        <v>34</v>
      </c>
      <c r="AR20" s="102">
        <f t="shared" ca="1" si="17"/>
        <v>0</v>
      </c>
      <c r="AS20" s="103">
        <f t="shared" ca="1" si="18"/>
        <v>0</v>
      </c>
      <c r="AT20" s="82" t="str">
        <f t="shared" ca="1" si="19"/>
        <v/>
      </c>
    </row>
    <row r="21" spans="1:46" ht="24.6" customHeight="1">
      <c r="A21" s="259">
        <v>16</v>
      </c>
      <c r="B21" s="262" t="str">
        <f t="shared" ca="1" si="1"/>
        <v>ખુમાણ શિવરાજભાઇ બાબુભાઇ</v>
      </c>
      <c r="C21" s="167">
        <f>STUDENTS!D184</f>
        <v>0</v>
      </c>
      <c r="D21" s="168">
        <f>STUDENTS!D186</f>
        <v>0</v>
      </c>
      <c r="E21" s="249">
        <f t="shared" ca="1" si="20"/>
        <v>0</v>
      </c>
      <c r="F21" s="250"/>
      <c r="G21" s="250"/>
      <c r="H21" s="251">
        <f t="shared" ca="1" si="2"/>
        <v>0</v>
      </c>
      <c r="I21" s="250"/>
      <c r="J21" s="250"/>
      <c r="K21" s="252">
        <f t="shared" ca="1" si="3"/>
        <v>0</v>
      </c>
      <c r="L21" s="253" t="str">
        <f t="shared" ca="1" si="4"/>
        <v/>
      </c>
      <c r="M21" s="249">
        <f t="shared" ca="1" si="5"/>
        <v>0</v>
      </c>
      <c r="N21" s="250"/>
      <c r="O21" s="250"/>
      <c r="P21" s="251">
        <f t="shared" ca="1" si="6"/>
        <v>0</v>
      </c>
      <c r="Q21" s="250"/>
      <c r="R21" s="250"/>
      <c r="S21" s="252">
        <f t="shared" ca="1" si="7"/>
        <v>0</v>
      </c>
      <c r="T21" s="253" t="str">
        <f t="shared" ca="1" si="8"/>
        <v/>
      </c>
      <c r="U21" s="249">
        <f t="shared" ca="1" si="9"/>
        <v>0</v>
      </c>
      <c r="V21" s="250"/>
      <c r="W21" s="250"/>
      <c r="X21" s="251">
        <f t="shared" ca="1" si="10"/>
        <v>0</v>
      </c>
      <c r="Y21" s="250"/>
      <c r="Z21" s="250"/>
      <c r="AA21" s="252">
        <f t="shared" ca="1" si="11"/>
        <v>0</v>
      </c>
      <c r="AB21" s="253" t="str">
        <f t="shared" ca="1" si="12"/>
        <v/>
      </c>
      <c r="AC21" s="251">
        <f t="shared" ca="1" si="13"/>
        <v>0</v>
      </c>
      <c r="AD21" s="250"/>
      <c r="AE21" s="250"/>
      <c r="AF21" s="252">
        <f t="shared" ca="1" si="0"/>
        <v>0</v>
      </c>
      <c r="AG21" s="253" t="str">
        <f t="shared" ca="1" si="14"/>
        <v/>
      </c>
      <c r="AH21" s="134">
        <f t="shared" ca="1" si="15"/>
        <v>0</v>
      </c>
      <c r="AI21" s="82" t="str">
        <f t="shared" ca="1" si="16"/>
        <v/>
      </c>
      <c r="AJ21" s="88">
        <v>68</v>
      </c>
      <c r="AK21" s="88">
        <v>68</v>
      </c>
      <c r="AL21" s="88">
        <v>68</v>
      </c>
      <c r="AM21" s="88">
        <v>68</v>
      </c>
      <c r="AN21" s="88">
        <v>76.666666666666671</v>
      </c>
      <c r="AO21" s="88">
        <v>68</v>
      </c>
      <c r="AP21" s="88">
        <v>77.142857142857139</v>
      </c>
      <c r="AQ21" s="88">
        <v>34</v>
      </c>
      <c r="AR21" s="102">
        <f t="shared" ca="1" si="17"/>
        <v>0</v>
      </c>
      <c r="AS21" s="103">
        <f t="shared" ca="1" si="18"/>
        <v>0</v>
      </c>
      <c r="AT21" s="82" t="str">
        <f t="shared" ca="1" si="19"/>
        <v/>
      </c>
    </row>
    <row r="22" spans="1:46" ht="24.6" customHeight="1">
      <c r="A22" s="259">
        <v>17</v>
      </c>
      <c r="B22" s="262" t="str">
        <f t="shared" ca="1" si="1"/>
        <v>માથાસુરીયા દિનેશભાઇ અમરાભાઇ</v>
      </c>
      <c r="C22" s="167">
        <f>STUDENTS!D196</f>
        <v>0</v>
      </c>
      <c r="D22" s="168">
        <f>STUDENTS!D198</f>
        <v>0</v>
      </c>
      <c r="E22" s="249">
        <f t="shared" ca="1" si="20"/>
        <v>0</v>
      </c>
      <c r="F22" s="250"/>
      <c r="G22" s="250"/>
      <c r="H22" s="251">
        <f t="shared" ca="1" si="2"/>
        <v>0</v>
      </c>
      <c r="I22" s="250"/>
      <c r="J22" s="250"/>
      <c r="K22" s="252">
        <f t="shared" ca="1" si="3"/>
        <v>0</v>
      </c>
      <c r="L22" s="253" t="str">
        <f t="shared" ca="1" si="4"/>
        <v/>
      </c>
      <c r="M22" s="249">
        <f t="shared" ca="1" si="5"/>
        <v>0</v>
      </c>
      <c r="N22" s="250"/>
      <c r="O22" s="250"/>
      <c r="P22" s="251">
        <f t="shared" ca="1" si="6"/>
        <v>0</v>
      </c>
      <c r="Q22" s="250"/>
      <c r="R22" s="250"/>
      <c r="S22" s="252">
        <f t="shared" ca="1" si="7"/>
        <v>0</v>
      </c>
      <c r="T22" s="253" t="str">
        <f t="shared" ca="1" si="8"/>
        <v/>
      </c>
      <c r="U22" s="249">
        <f t="shared" ca="1" si="9"/>
        <v>0</v>
      </c>
      <c r="V22" s="250"/>
      <c r="W22" s="250"/>
      <c r="X22" s="251">
        <f t="shared" ca="1" si="10"/>
        <v>0</v>
      </c>
      <c r="Y22" s="250"/>
      <c r="Z22" s="250"/>
      <c r="AA22" s="252">
        <f t="shared" ca="1" si="11"/>
        <v>0</v>
      </c>
      <c r="AB22" s="253" t="str">
        <f t="shared" ca="1" si="12"/>
        <v/>
      </c>
      <c r="AC22" s="251">
        <f t="shared" ca="1" si="13"/>
        <v>0</v>
      </c>
      <c r="AD22" s="250"/>
      <c r="AE22" s="250"/>
      <c r="AF22" s="252">
        <f t="shared" ca="1" si="0"/>
        <v>0</v>
      </c>
      <c r="AG22" s="253" t="str">
        <f t="shared" ca="1" si="14"/>
        <v/>
      </c>
      <c r="AH22" s="134">
        <f t="shared" ca="1" si="15"/>
        <v>0</v>
      </c>
      <c r="AI22" s="82" t="str">
        <f t="shared" ca="1" si="16"/>
        <v/>
      </c>
      <c r="AJ22" s="88">
        <v>68</v>
      </c>
      <c r="AK22" s="88">
        <v>68</v>
      </c>
      <c r="AL22" s="88">
        <v>68</v>
      </c>
      <c r="AM22" s="88">
        <v>68</v>
      </c>
      <c r="AN22" s="88">
        <v>76.666666666666671</v>
      </c>
      <c r="AO22" s="88">
        <v>68</v>
      </c>
      <c r="AP22" s="88">
        <v>77.142857142857139</v>
      </c>
      <c r="AQ22" s="88">
        <v>34</v>
      </c>
      <c r="AR22" s="102">
        <f t="shared" ca="1" si="17"/>
        <v>0</v>
      </c>
      <c r="AS22" s="103">
        <f t="shared" ca="1" si="18"/>
        <v>0</v>
      </c>
      <c r="AT22" s="82" t="str">
        <f t="shared" ca="1" si="19"/>
        <v/>
      </c>
    </row>
    <row r="23" spans="1:46" ht="24.6" customHeight="1">
      <c r="A23" s="259">
        <v>18</v>
      </c>
      <c r="B23" s="262" t="str">
        <f t="shared" ca="1" si="1"/>
        <v>વાઘેલા હરેશ જીલુભાઇ</v>
      </c>
      <c r="C23" s="167">
        <f>STUDENTS!D208</f>
        <v>0</v>
      </c>
      <c r="D23" s="168">
        <f>STUDENTS!D210</f>
        <v>0</v>
      </c>
      <c r="E23" s="249">
        <f t="shared" ca="1" si="20"/>
        <v>0</v>
      </c>
      <c r="F23" s="250"/>
      <c r="G23" s="250"/>
      <c r="H23" s="251">
        <f t="shared" ca="1" si="2"/>
        <v>0</v>
      </c>
      <c r="I23" s="250"/>
      <c r="J23" s="250"/>
      <c r="K23" s="252">
        <f t="shared" ca="1" si="3"/>
        <v>0</v>
      </c>
      <c r="L23" s="253" t="str">
        <f t="shared" ca="1" si="4"/>
        <v/>
      </c>
      <c r="M23" s="249">
        <f t="shared" ca="1" si="5"/>
        <v>0</v>
      </c>
      <c r="N23" s="250"/>
      <c r="O23" s="250"/>
      <c r="P23" s="251">
        <f t="shared" ca="1" si="6"/>
        <v>0</v>
      </c>
      <c r="Q23" s="250"/>
      <c r="R23" s="250"/>
      <c r="S23" s="252">
        <f t="shared" ca="1" si="7"/>
        <v>0</v>
      </c>
      <c r="T23" s="253" t="str">
        <f t="shared" ca="1" si="8"/>
        <v/>
      </c>
      <c r="U23" s="249">
        <f t="shared" ca="1" si="9"/>
        <v>0</v>
      </c>
      <c r="V23" s="250"/>
      <c r="W23" s="250"/>
      <c r="X23" s="251">
        <f t="shared" ca="1" si="10"/>
        <v>0</v>
      </c>
      <c r="Y23" s="250"/>
      <c r="Z23" s="250"/>
      <c r="AA23" s="252">
        <f t="shared" ca="1" si="11"/>
        <v>0</v>
      </c>
      <c r="AB23" s="253" t="str">
        <f t="shared" ca="1" si="12"/>
        <v/>
      </c>
      <c r="AC23" s="251">
        <f t="shared" ca="1" si="13"/>
        <v>0</v>
      </c>
      <c r="AD23" s="250"/>
      <c r="AE23" s="250"/>
      <c r="AF23" s="252">
        <f t="shared" ca="1" si="0"/>
        <v>0</v>
      </c>
      <c r="AG23" s="253" t="str">
        <f t="shared" ca="1" si="14"/>
        <v/>
      </c>
      <c r="AH23" s="134">
        <f t="shared" ca="1" si="15"/>
        <v>0</v>
      </c>
      <c r="AI23" s="82" t="str">
        <f t="shared" ca="1" si="16"/>
        <v/>
      </c>
      <c r="AJ23" s="88">
        <v>68</v>
      </c>
      <c r="AK23" s="88">
        <v>68</v>
      </c>
      <c r="AL23" s="88">
        <v>68</v>
      </c>
      <c r="AM23" s="88">
        <v>68</v>
      </c>
      <c r="AN23" s="88">
        <v>76.666666666666671</v>
      </c>
      <c r="AO23" s="88">
        <v>68</v>
      </c>
      <c r="AP23" s="88">
        <v>77.142857142857139</v>
      </c>
      <c r="AQ23" s="88">
        <v>34</v>
      </c>
      <c r="AR23" s="102">
        <f t="shared" ca="1" si="17"/>
        <v>0</v>
      </c>
      <c r="AS23" s="103">
        <f t="shared" ca="1" si="18"/>
        <v>0</v>
      </c>
      <c r="AT23" s="82" t="str">
        <f t="shared" ca="1" si="19"/>
        <v/>
      </c>
    </row>
    <row r="24" spans="1:46" ht="24.6" customHeight="1">
      <c r="A24" s="259">
        <v>19</v>
      </c>
      <c r="B24" s="262" t="str">
        <f t="shared" ca="1" si="1"/>
        <v>પરમાર દિલીપકુમાર મધુભાઇ</v>
      </c>
      <c r="C24" s="167">
        <f>STUDENTS!D220</f>
        <v>0</v>
      </c>
      <c r="D24" s="168">
        <f>STUDENTS!D222</f>
        <v>0</v>
      </c>
      <c r="E24" s="249">
        <f t="shared" ca="1" si="20"/>
        <v>0</v>
      </c>
      <c r="F24" s="250"/>
      <c r="G24" s="250"/>
      <c r="H24" s="251">
        <f t="shared" ca="1" si="2"/>
        <v>0</v>
      </c>
      <c r="I24" s="250"/>
      <c r="J24" s="250"/>
      <c r="K24" s="252">
        <f t="shared" ca="1" si="3"/>
        <v>0</v>
      </c>
      <c r="L24" s="253" t="str">
        <f t="shared" ca="1" si="4"/>
        <v/>
      </c>
      <c r="M24" s="249">
        <f t="shared" ca="1" si="5"/>
        <v>0</v>
      </c>
      <c r="N24" s="250"/>
      <c r="O24" s="250"/>
      <c r="P24" s="251">
        <f t="shared" ca="1" si="6"/>
        <v>0</v>
      </c>
      <c r="Q24" s="250"/>
      <c r="R24" s="250"/>
      <c r="S24" s="252">
        <f t="shared" ca="1" si="7"/>
        <v>0</v>
      </c>
      <c r="T24" s="253" t="str">
        <f t="shared" ca="1" si="8"/>
        <v/>
      </c>
      <c r="U24" s="249">
        <f t="shared" ca="1" si="9"/>
        <v>0</v>
      </c>
      <c r="V24" s="250"/>
      <c r="W24" s="250"/>
      <c r="X24" s="251">
        <f t="shared" ca="1" si="10"/>
        <v>0</v>
      </c>
      <c r="Y24" s="250"/>
      <c r="Z24" s="250"/>
      <c r="AA24" s="252">
        <f t="shared" ca="1" si="11"/>
        <v>0</v>
      </c>
      <c r="AB24" s="253" t="str">
        <f t="shared" ca="1" si="12"/>
        <v/>
      </c>
      <c r="AC24" s="251">
        <f t="shared" ca="1" si="13"/>
        <v>0</v>
      </c>
      <c r="AD24" s="250"/>
      <c r="AE24" s="250"/>
      <c r="AF24" s="252">
        <f t="shared" ca="1" si="0"/>
        <v>0</v>
      </c>
      <c r="AG24" s="253" t="str">
        <f t="shared" ca="1" si="14"/>
        <v/>
      </c>
      <c r="AH24" s="134">
        <f t="shared" ca="1" si="15"/>
        <v>0</v>
      </c>
      <c r="AI24" s="82" t="str">
        <f t="shared" ca="1" si="16"/>
        <v/>
      </c>
      <c r="AJ24" s="88">
        <v>68</v>
      </c>
      <c r="AK24" s="88">
        <v>68</v>
      </c>
      <c r="AL24" s="88">
        <v>68</v>
      </c>
      <c r="AM24" s="88">
        <v>68</v>
      </c>
      <c r="AN24" s="88">
        <v>76.666666666666671</v>
      </c>
      <c r="AO24" s="88">
        <v>68</v>
      </c>
      <c r="AP24" s="88">
        <v>77.142857142857139</v>
      </c>
      <c r="AQ24" s="88">
        <v>34</v>
      </c>
      <c r="AR24" s="102">
        <f t="shared" ca="1" si="17"/>
        <v>0</v>
      </c>
      <c r="AS24" s="103">
        <f t="shared" ca="1" si="18"/>
        <v>0</v>
      </c>
      <c r="AT24" s="82" t="str">
        <f t="shared" ca="1" si="19"/>
        <v/>
      </c>
    </row>
    <row r="25" spans="1:46" ht="24.6" customHeight="1">
      <c r="A25" s="259">
        <v>20</v>
      </c>
      <c r="B25" s="262" t="str">
        <f t="shared" ca="1" si="1"/>
        <v>વિરપરા કૃણાલ હરેશભાઇ</v>
      </c>
      <c r="C25" s="167">
        <f>STUDENTS!D232</f>
        <v>0</v>
      </c>
      <c r="D25" s="168">
        <f>STUDENTS!D234</f>
        <v>0</v>
      </c>
      <c r="E25" s="249">
        <f t="shared" ca="1" si="20"/>
        <v>0</v>
      </c>
      <c r="F25" s="250"/>
      <c r="G25" s="250"/>
      <c r="H25" s="251">
        <f t="shared" ca="1" si="2"/>
        <v>0</v>
      </c>
      <c r="I25" s="250"/>
      <c r="J25" s="250"/>
      <c r="K25" s="252">
        <f t="shared" ca="1" si="3"/>
        <v>0</v>
      </c>
      <c r="L25" s="253" t="str">
        <f t="shared" ca="1" si="4"/>
        <v/>
      </c>
      <c r="M25" s="249">
        <f t="shared" ca="1" si="5"/>
        <v>0</v>
      </c>
      <c r="N25" s="250"/>
      <c r="O25" s="250"/>
      <c r="P25" s="251">
        <f t="shared" ca="1" si="6"/>
        <v>0</v>
      </c>
      <c r="Q25" s="250"/>
      <c r="R25" s="250"/>
      <c r="S25" s="252">
        <f t="shared" ca="1" si="7"/>
        <v>0</v>
      </c>
      <c r="T25" s="253" t="str">
        <f t="shared" ca="1" si="8"/>
        <v/>
      </c>
      <c r="U25" s="249">
        <f t="shared" ca="1" si="9"/>
        <v>0</v>
      </c>
      <c r="V25" s="250"/>
      <c r="W25" s="250"/>
      <c r="X25" s="251">
        <f t="shared" ca="1" si="10"/>
        <v>0</v>
      </c>
      <c r="Y25" s="250"/>
      <c r="Z25" s="250"/>
      <c r="AA25" s="252">
        <f t="shared" ca="1" si="11"/>
        <v>0</v>
      </c>
      <c r="AB25" s="253" t="str">
        <f t="shared" ca="1" si="12"/>
        <v/>
      </c>
      <c r="AC25" s="251">
        <f t="shared" ca="1" si="13"/>
        <v>0</v>
      </c>
      <c r="AD25" s="250"/>
      <c r="AE25" s="250"/>
      <c r="AF25" s="252">
        <f t="shared" ca="1" si="0"/>
        <v>0</v>
      </c>
      <c r="AG25" s="253" t="str">
        <f t="shared" ca="1" si="14"/>
        <v/>
      </c>
      <c r="AH25" s="134">
        <f t="shared" ca="1" si="15"/>
        <v>0</v>
      </c>
      <c r="AI25" s="82" t="str">
        <f t="shared" ca="1" si="16"/>
        <v/>
      </c>
      <c r="AJ25" s="88">
        <v>68</v>
      </c>
      <c r="AK25" s="88">
        <v>68</v>
      </c>
      <c r="AL25" s="88">
        <v>68</v>
      </c>
      <c r="AM25" s="88">
        <v>68</v>
      </c>
      <c r="AN25" s="88">
        <v>76.666666666666671</v>
      </c>
      <c r="AO25" s="88">
        <v>68</v>
      </c>
      <c r="AP25" s="88">
        <v>77.142857142857139</v>
      </c>
      <c r="AQ25" s="88">
        <v>34</v>
      </c>
      <c r="AR25" s="102">
        <f t="shared" ca="1" si="17"/>
        <v>0</v>
      </c>
      <c r="AS25" s="103">
        <f t="shared" ca="1" si="18"/>
        <v>0</v>
      </c>
      <c r="AT25" s="82" t="str">
        <f t="shared" ca="1" si="19"/>
        <v/>
      </c>
    </row>
    <row r="26" spans="1:46" ht="24.6" customHeight="1">
      <c r="A26" s="259">
        <v>21</v>
      </c>
      <c r="B26" s="262" t="str">
        <f t="shared" ca="1" si="1"/>
        <v>મકરૂબિયા જીજ્ઞેશભાઇ અશોકભાઇ</v>
      </c>
      <c r="C26" s="167">
        <f>STUDENTS!D244</f>
        <v>0</v>
      </c>
      <c r="D26" s="168">
        <f>STUDENTS!D246</f>
        <v>0</v>
      </c>
      <c r="E26" s="249">
        <f t="shared" ca="1" si="20"/>
        <v>0</v>
      </c>
      <c r="F26" s="250"/>
      <c r="G26" s="250"/>
      <c r="H26" s="251">
        <f t="shared" ca="1" si="2"/>
        <v>0</v>
      </c>
      <c r="I26" s="250"/>
      <c r="J26" s="250"/>
      <c r="K26" s="252">
        <f t="shared" ca="1" si="3"/>
        <v>0</v>
      </c>
      <c r="L26" s="253" t="str">
        <f t="shared" ca="1" si="4"/>
        <v/>
      </c>
      <c r="M26" s="249">
        <f t="shared" ca="1" si="5"/>
        <v>0</v>
      </c>
      <c r="N26" s="250"/>
      <c r="O26" s="250"/>
      <c r="P26" s="251">
        <f t="shared" ca="1" si="6"/>
        <v>0</v>
      </c>
      <c r="Q26" s="250"/>
      <c r="R26" s="250"/>
      <c r="S26" s="252">
        <f t="shared" ca="1" si="7"/>
        <v>0</v>
      </c>
      <c r="T26" s="253" t="str">
        <f t="shared" ca="1" si="8"/>
        <v/>
      </c>
      <c r="U26" s="249">
        <f t="shared" ca="1" si="9"/>
        <v>0</v>
      </c>
      <c r="V26" s="250"/>
      <c r="W26" s="250"/>
      <c r="X26" s="251">
        <f t="shared" ca="1" si="10"/>
        <v>0</v>
      </c>
      <c r="Y26" s="250"/>
      <c r="Z26" s="250"/>
      <c r="AA26" s="252">
        <f t="shared" ca="1" si="11"/>
        <v>0</v>
      </c>
      <c r="AB26" s="253" t="str">
        <f t="shared" ca="1" si="12"/>
        <v/>
      </c>
      <c r="AC26" s="251">
        <f t="shared" ca="1" si="13"/>
        <v>0</v>
      </c>
      <c r="AD26" s="250"/>
      <c r="AE26" s="250"/>
      <c r="AF26" s="252">
        <f t="shared" ca="1" si="0"/>
        <v>0</v>
      </c>
      <c r="AG26" s="253" t="str">
        <f t="shared" ca="1" si="14"/>
        <v/>
      </c>
      <c r="AH26" s="134">
        <f t="shared" ca="1" si="15"/>
        <v>0</v>
      </c>
      <c r="AI26" s="82" t="str">
        <f t="shared" ca="1" si="16"/>
        <v/>
      </c>
      <c r="AJ26" s="88">
        <v>68</v>
      </c>
      <c r="AK26" s="88">
        <v>68</v>
      </c>
      <c r="AL26" s="88">
        <v>68</v>
      </c>
      <c r="AM26" s="88">
        <v>68</v>
      </c>
      <c r="AN26" s="88">
        <v>76.666666666666671</v>
      </c>
      <c r="AO26" s="88">
        <v>68</v>
      </c>
      <c r="AP26" s="88">
        <v>77.142857142857139</v>
      </c>
      <c r="AQ26" s="88">
        <v>34</v>
      </c>
      <c r="AR26" s="102">
        <f t="shared" ca="1" si="17"/>
        <v>0</v>
      </c>
      <c r="AS26" s="103">
        <f t="shared" ca="1" si="18"/>
        <v>0</v>
      </c>
      <c r="AT26" s="82" t="str">
        <f t="shared" ca="1" si="19"/>
        <v/>
      </c>
    </row>
    <row r="27" spans="1:46" ht="24.6" customHeight="1">
      <c r="A27" s="259">
        <v>22</v>
      </c>
      <c r="B27" s="262" t="str">
        <f t="shared" ca="1" si="1"/>
        <v>ખિમસુરીયા જ્યોત્સના મુકેશભાઇ</v>
      </c>
      <c r="C27" s="167">
        <f>STUDENTS!D256</f>
        <v>0</v>
      </c>
      <c r="D27" s="168">
        <f>STUDENTS!D258</f>
        <v>0</v>
      </c>
      <c r="E27" s="249">
        <f t="shared" ca="1" si="20"/>
        <v>0</v>
      </c>
      <c r="F27" s="250"/>
      <c r="G27" s="250"/>
      <c r="H27" s="251">
        <f t="shared" ca="1" si="2"/>
        <v>0</v>
      </c>
      <c r="I27" s="250"/>
      <c r="J27" s="250"/>
      <c r="K27" s="252">
        <f t="shared" ca="1" si="3"/>
        <v>0</v>
      </c>
      <c r="L27" s="253" t="str">
        <f t="shared" ca="1" si="4"/>
        <v/>
      </c>
      <c r="M27" s="249">
        <f t="shared" ca="1" si="5"/>
        <v>0</v>
      </c>
      <c r="N27" s="250"/>
      <c r="O27" s="250"/>
      <c r="P27" s="251">
        <f t="shared" ca="1" si="6"/>
        <v>0</v>
      </c>
      <c r="Q27" s="250"/>
      <c r="R27" s="250"/>
      <c r="S27" s="252">
        <f t="shared" ca="1" si="7"/>
        <v>0</v>
      </c>
      <c r="T27" s="253" t="str">
        <f t="shared" ca="1" si="8"/>
        <v/>
      </c>
      <c r="U27" s="249">
        <f t="shared" ca="1" si="9"/>
        <v>0</v>
      </c>
      <c r="V27" s="250"/>
      <c r="W27" s="250"/>
      <c r="X27" s="251">
        <f t="shared" ca="1" si="10"/>
        <v>0</v>
      </c>
      <c r="Y27" s="250"/>
      <c r="Z27" s="250"/>
      <c r="AA27" s="252">
        <f t="shared" ca="1" si="11"/>
        <v>0</v>
      </c>
      <c r="AB27" s="253" t="str">
        <f t="shared" ca="1" si="12"/>
        <v/>
      </c>
      <c r="AC27" s="251">
        <f t="shared" ca="1" si="13"/>
        <v>0</v>
      </c>
      <c r="AD27" s="250"/>
      <c r="AE27" s="250"/>
      <c r="AF27" s="252">
        <f t="shared" ca="1" si="0"/>
        <v>0</v>
      </c>
      <c r="AG27" s="253" t="str">
        <f t="shared" ca="1" si="14"/>
        <v/>
      </c>
      <c r="AH27" s="134">
        <f t="shared" ca="1" si="15"/>
        <v>0</v>
      </c>
      <c r="AI27" s="82" t="str">
        <f t="shared" ca="1" si="16"/>
        <v/>
      </c>
      <c r="AJ27" s="88">
        <v>68</v>
      </c>
      <c r="AK27" s="88">
        <v>68</v>
      </c>
      <c r="AL27" s="88">
        <v>68</v>
      </c>
      <c r="AM27" s="88">
        <v>68</v>
      </c>
      <c r="AN27" s="88">
        <v>76.666666666666671</v>
      </c>
      <c r="AO27" s="88">
        <v>68</v>
      </c>
      <c r="AP27" s="88">
        <v>77.142857142857139</v>
      </c>
      <c r="AQ27" s="88">
        <v>34</v>
      </c>
      <c r="AR27" s="102">
        <f t="shared" ca="1" si="17"/>
        <v>0</v>
      </c>
      <c r="AS27" s="103">
        <f t="shared" ca="1" si="18"/>
        <v>0</v>
      </c>
      <c r="AT27" s="82" t="str">
        <f t="shared" ca="1" si="19"/>
        <v/>
      </c>
    </row>
    <row r="28" spans="1:46" ht="24.6" customHeight="1">
      <c r="A28" s="259">
        <v>23</v>
      </c>
      <c r="B28" s="262" t="str">
        <f t="shared" ca="1" si="1"/>
        <v>ગરણિયા રાજલબેન સામતભાઇ</v>
      </c>
      <c r="C28" s="167">
        <f>STUDENTS!D268</f>
        <v>0</v>
      </c>
      <c r="D28" s="168">
        <f>STUDENTS!D270</f>
        <v>0</v>
      </c>
      <c r="E28" s="249">
        <f t="shared" ca="1" si="20"/>
        <v>0</v>
      </c>
      <c r="F28" s="250"/>
      <c r="G28" s="250"/>
      <c r="H28" s="251">
        <f t="shared" ca="1" si="2"/>
        <v>0</v>
      </c>
      <c r="I28" s="250"/>
      <c r="J28" s="250"/>
      <c r="K28" s="252">
        <f t="shared" ca="1" si="3"/>
        <v>0</v>
      </c>
      <c r="L28" s="253" t="str">
        <f t="shared" ca="1" si="4"/>
        <v/>
      </c>
      <c r="M28" s="249">
        <f t="shared" ca="1" si="5"/>
        <v>0</v>
      </c>
      <c r="N28" s="250"/>
      <c r="O28" s="250"/>
      <c r="P28" s="251">
        <f t="shared" ca="1" si="6"/>
        <v>0</v>
      </c>
      <c r="Q28" s="250"/>
      <c r="R28" s="250"/>
      <c r="S28" s="252">
        <f t="shared" ca="1" si="7"/>
        <v>0</v>
      </c>
      <c r="T28" s="253" t="str">
        <f t="shared" ca="1" si="8"/>
        <v/>
      </c>
      <c r="U28" s="249">
        <f t="shared" ca="1" si="9"/>
        <v>0</v>
      </c>
      <c r="V28" s="250"/>
      <c r="W28" s="250"/>
      <c r="X28" s="251">
        <f t="shared" ca="1" si="10"/>
        <v>0</v>
      </c>
      <c r="Y28" s="250"/>
      <c r="Z28" s="250"/>
      <c r="AA28" s="252">
        <f t="shared" ca="1" si="11"/>
        <v>0</v>
      </c>
      <c r="AB28" s="253" t="str">
        <f t="shared" ca="1" si="12"/>
        <v/>
      </c>
      <c r="AC28" s="251">
        <f t="shared" ca="1" si="13"/>
        <v>0</v>
      </c>
      <c r="AD28" s="250"/>
      <c r="AE28" s="250"/>
      <c r="AF28" s="252">
        <f t="shared" ca="1" si="0"/>
        <v>0</v>
      </c>
      <c r="AG28" s="253" t="str">
        <f t="shared" ca="1" si="14"/>
        <v/>
      </c>
      <c r="AH28" s="134">
        <f t="shared" ca="1" si="15"/>
        <v>0</v>
      </c>
      <c r="AI28" s="82" t="str">
        <f t="shared" ca="1" si="16"/>
        <v/>
      </c>
      <c r="AJ28" s="88">
        <v>68</v>
      </c>
      <c r="AK28" s="88">
        <v>68</v>
      </c>
      <c r="AL28" s="88">
        <v>68</v>
      </c>
      <c r="AM28" s="88">
        <v>68</v>
      </c>
      <c r="AN28" s="88">
        <v>76.666666666666671</v>
      </c>
      <c r="AO28" s="88">
        <v>68</v>
      </c>
      <c r="AP28" s="88">
        <v>77.142857142857139</v>
      </c>
      <c r="AQ28" s="88">
        <v>34</v>
      </c>
      <c r="AR28" s="102">
        <f t="shared" ca="1" si="17"/>
        <v>0</v>
      </c>
      <c r="AS28" s="103">
        <f t="shared" ca="1" si="18"/>
        <v>0</v>
      </c>
      <c r="AT28" s="82" t="str">
        <f t="shared" ca="1" si="19"/>
        <v/>
      </c>
    </row>
    <row r="29" spans="1:46" ht="24.6" customHeight="1">
      <c r="A29" s="259">
        <v>24</v>
      </c>
      <c r="B29" s="262" t="str">
        <f t="shared" ca="1" si="1"/>
        <v>ગરણિયા નિરાલીબેન પ્રદીપભાઇ</v>
      </c>
      <c r="C29" s="167">
        <f>STUDENTS!D280</f>
        <v>0</v>
      </c>
      <c r="D29" s="168">
        <f>STUDENTS!D282</f>
        <v>0</v>
      </c>
      <c r="E29" s="249">
        <f t="shared" ca="1" si="20"/>
        <v>0</v>
      </c>
      <c r="F29" s="250"/>
      <c r="G29" s="250"/>
      <c r="H29" s="251">
        <f t="shared" ca="1" si="2"/>
        <v>0</v>
      </c>
      <c r="I29" s="250"/>
      <c r="J29" s="250"/>
      <c r="K29" s="252">
        <f t="shared" ca="1" si="3"/>
        <v>0</v>
      </c>
      <c r="L29" s="253" t="str">
        <f t="shared" ca="1" si="4"/>
        <v/>
      </c>
      <c r="M29" s="249">
        <f t="shared" ca="1" si="5"/>
        <v>0</v>
      </c>
      <c r="N29" s="250"/>
      <c r="O29" s="250"/>
      <c r="P29" s="251">
        <f t="shared" ca="1" si="6"/>
        <v>0</v>
      </c>
      <c r="Q29" s="250"/>
      <c r="R29" s="250"/>
      <c r="S29" s="252">
        <f t="shared" ca="1" si="7"/>
        <v>0</v>
      </c>
      <c r="T29" s="253" t="str">
        <f t="shared" ca="1" si="8"/>
        <v/>
      </c>
      <c r="U29" s="249">
        <f t="shared" ca="1" si="9"/>
        <v>0</v>
      </c>
      <c r="V29" s="250"/>
      <c r="W29" s="250"/>
      <c r="X29" s="251">
        <f t="shared" ca="1" si="10"/>
        <v>0</v>
      </c>
      <c r="Y29" s="250"/>
      <c r="Z29" s="250"/>
      <c r="AA29" s="252">
        <f t="shared" ca="1" si="11"/>
        <v>0</v>
      </c>
      <c r="AB29" s="253" t="str">
        <f t="shared" ca="1" si="12"/>
        <v/>
      </c>
      <c r="AC29" s="251">
        <f t="shared" ca="1" si="13"/>
        <v>0</v>
      </c>
      <c r="AD29" s="250"/>
      <c r="AE29" s="250"/>
      <c r="AF29" s="252">
        <f t="shared" ca="1" si="0"/>
        <v>0</v>
      </c>
      <c r="AG29" s="253" t="str">
        <f t="shared" ca="1" si="14"/>
        <v/>
      </c>
      <c r="AH29" s="134">
        <f t="shared" ca="1" si="15"/>
        <v>0</v>
      </c>
      <c r="AI29" s="82" t="str">
        <f t="shared" ca="1" si="16"/>
        <v/>
      </c>
      <c r="AJ29" s="88">
        <v>68</v>
      </c>
      <c r="AK29" s="88">
        <v>68</v>
      </c>
      <c r="AL29" s="88">
        <v>68</v>
      </c>
      <c r="AM29" s="88">
        <v>68</v>
      </c>
      <c r="AN29" s="88">
        <v>76.666666666666671</v>
      </c>
      <c r="AO29" s="88">
        <v>68</v>
      </c>
      <c r="AP29" s="88">
        <v>77.142857142857139</v>
      </c>
      <c r="AQ29" s="88">
        <v>34</v>
      </c>
      <c r="AR29" s="102">
        <f t="shared" ca="1" si="17"/>
        <v>0</v>
      </c>
      <c r="AS29" s="103">
        <f t="shared" ca="1" si="18"/>
        <v>0</v>
      </c>
      <c r="AT29" s="82" t="str">
        <f t="shared" ca="1" si="19"/>
        <v/>
      </c>
    </row>
    <row r="30" spans="1:46" ht="24.6" customHeight="1">
      <c r="A30" s="259">
        <v>25</v>
      </c>
      <c r="B30" s="262" t="str">
        <f t="shared" ca="1" si="1"/>
        <v>ગરણિયા રાધાબેન લક્ષ્મણભાઇ</v>
      </c>
      <c r="C30" s="167">
        <f>STUDENTS!D292</f>
        <v>0</v>
      </c>
      <c r="D30" s="168">
        <f>STUDENTS!D294</f>
        <v>0</v>
      </c>
      <c r="E30" s="249">
        <f t="shared" ca="1" si="20"/>
        <v>0</v>
      </c>
      <c r="F30" s="250"/>
      <c r="G30" s="250"/>
      <c r="H30" s="251">
        <f t="shared" ca="1" si="2"/>
        <v>0</v>
      </c>
      <c r="I30" s="250"/>
      <c r="J30" s="250"/>
      <c r="K30" s="252">
        <f t="shared" ca="1" si="3"/>
        <v>0</v>
      </c>
      <c r="L30" s="253" t="str">
        <f t="shared" ca="1" si="4"/>
        <v/>
      </c>
      <c r="M30" s="249">
        <f t="shared" ca="1" si="5"/>
        <v>0</v>
      </c>
      <c r="N30" s="250"/>
      <c r="O30" s="250"/>
      <c r="P30" s="251">
        <f t="shared" ca="1" si="6"/>
        <v>0</v>
      </c>
      <c r="Q30" s="250"/>
      <c r="R30" s="250"/>
      <c r="S30" s="252">
        <f t="shared" ca="1" si="7"/>
        <v>0</v>
      </c>
      <c r="T30" s="253" t="str">
        <f t="shared" ca="1" si="8"/>
        <v/>
      </c>
      <c r="U30" s="249">
        <f t="shared" ca="1" si="9"/>
        <v>0</v>
      </c>
      <c r="V30" s="250"/>
      <c r="W30" s="250"/>
      <c r="X30" s="251">
        <f t="shared" ca="1" si="10"/>
        <v>0</v>
      </c>
      <c r="Y30" s="250"/>
      <c r="Z30" s="250"/>
      <c r="AA30" s="252">
        <f t="shared" ca="1" si="11"/>
        <v>0</v>
      </c>
      <c r="AB30" s="253" t="str">
        <f t="shared" ca="1" si="12"/>
        <v/>
      </c>
      <c r="AC30" s="251">
        <f t="shared" ca="1" si="13"/>
        <v>0</v>
      </c>
      <c r="AD30" s="250"/>
      <c r="AE30" s="250"/>
      <c r="AF30" s="252">
        <f t="shared" ca="1" si="0"/>
        <v>0</v>
      </c>
      <c r="AG30" s="253" t="str">
        <f t="shared" ca="1" si="14"/>
        <v/>
      </c>
      <c r="AH30" s="134">
        <f t="shared" ca="1" si="15"/>
        <v>0</v>
      </c>
      <c r="AI30" s="82" t="str">
        <f t="shared" ca="1" si="16"/>
        <v/>
      </c>
      <c r="AJ30" s="88">
        <v>68</v>
      </c>
      <c r="AK30" s="88">
        <v>68</v>
      </c>
      <c r="AL30" s="88">
        <v>68</v>
      </c>
      <c r="AM30" s="88">
        <v>68</v>
      </c>
      <c r="AN30" s="88">
        <v>76.666666666666671</v>
      </c>
      <c r="AO30" s="88">
        <v>68</v>
      </c>
      <c r="AP30" s="88">
        <v>77.142857142857139</v>
      </c>
      <c r="AQ30" s="88">
        <v>34</v>
      </c>
      <c r="AR30" s="102">
        <f t="shared" ca="1" si="17"/>
        <v>0</v>
      </c>
      <c r="AS30" s="103">
        <f t="shared" ca="1" si="18"/>
        <v>0</v>
      </c>
      <c r="AT30" s="82" t="str">
        <f t="shared" ca="1" si="19"/>
        <v/>
      </c>
    </row>
    <row r="31" spans="1:46" ht="24.6" customHeight="1">
      <c r="A31" s="259">
        <v>26</v>
      </c>
      <c r="B31" s="262" t="str">
        <f t="shared" ca="1" si="1"/>
        <v>ગૌસ્વામિ મયુરીબેન રમેશગીરી</v>
      </c>
      <c r="C31" s="167">
        <f>STUDENTS!D304</f>
        <v>0</v>
      </c>
      <c r="D31" s="168">
        <f>STUDENTS!D306</f>
        <v>0</v>
      </c>
      <c r="E31" s="249">
        <f t="shared" ca="1" si="20"/>
        <v>0</v>
      </c>
      <c r="F31" s="250"/>
      <c r="G31" s="250"/>
      <c r="H31" s="251">
        <f t="shared" ca="1" si="2"/>
        <v>0</v>
      </c>
      <c r="I31" s="250"/>
      <c r="J31" s="250"/>
      <c r="K31" s="252">
        <f t="shared" ca="1" si="3"/>
        <v>0</v>
      </c>
      <c r="L31" s="253" t="str">
        <f t="shared" ca="1" si="4"/>
        <v/>
      </c>
      <c r="M31" s="249">
        <f t="shared" ca="1" si="5"/>
        <v>0</v>
      </c>
      <c r="N31" s="250"/>
      <c r="O31" s="250"/>
      <c r="P31" s="251">
        <f t="shared" ca="1" si="6"/>
        <v>0</v>
      </c>
      <c r="Q31" s="250"/>
      <c r="R31" s="250"/>
      <c r="S31" s="252">
        <f t="shared" ca="1" si="7"/>
        <v>0</v>
      </c>
      <c r="T31" s="253" t="str">
        <f t="shared" ca="1" si="8"/>
        <v/>
      </c>
      <c r="U31" s="249">
        <f t="shared" ca="1" si="9"/>
        <v>3</v>
      </c>
      <c r="V31" s="250"/>
      <c r="W31" s="250"/>
      <c r="X31" s="251">
        <f t="shared" ca="1" si="10"/>
        <v>0</v>
      </c>
      <c r="Y31" s="250"/>
      <c r="Z31" s="250"/>
      <c r="AA31" s="252">
        <f t="shared" ca="1" si="11"/>
        <v>3</v>
      </c>
      <c r="AB31" s="253" t="str">
        <f t="shared" ca="1" si="12"/>
        <v>E</v>
      </c>
      <c r="AC31" s="251">
        <f t="shared" ca="1" si="13"/>
        <v>0</v>
      </c>
      <c r="AD31" s="250"/>
      <c r="AE31" s="250"/>
      <c r="AF31" s="252">
        <f t="shared" ca="1" si="0"/>
        <v>0</v>
      </c>
      <c r="AG31" s="253" t="str">
        <f t="shared" ca="1" si="14"/>
        <v/>
      </c>
      <c r="AH31" s="134">
        <f t="shared" ca="1" si="15"/>
        <v>0</v>
      </c>
      <c r="AI31" s="82" t="str">
        <f t="shared" ca="1" si="16"/>
        <v/>
      </c>
      <c r="AJ31" s="88">
        <v>68</v>
      </c>
      <c r="AK31" s="88">
        <v>68</v>
      </c>
      <c r="AL31" s="88">
        <v>68</v>
      </c>
      <c r="AM31" s="88">
        <v>68</v>
      </c>
      <c r="AN31" s="88">
        <v>76.666666666666671</v>
      </c>
      <c r="AO31" s="88">
        <v>68</v>
      </c>
      <c r="AP31" s="88">
        <v>77.142857142857139</v>
      </c>
      <c r="AQ31" s="88">
        <v>34</v>
      </c>
      <c r="AR31" s="102">
        <f t="shared" ca="1" si="17"/>
        <v>3</v>
      </c>
      <c r="AS31" s="103">
        <f t="shared" ca="1" si="18"/>
        <v>0.33</v>
      </c>
      <c r="AT31" s="82" t="str">
        <f t="shared" ca="1" si="19"/>
        <v>E</v>
      </c>
    </row>
    <row r="32" spans="1:46" ht="24.6" customHeight="1">
      <c r="A32" s="259">
        <v>27</v>
      </c>
      <c r="B32" s="262" t="str">
        <f t="shared" ca="1" si="1"/>
        <v>બતાડા જાનકી વાલાભાઇ</v>
      </c>
      <c r="C32" s="167">
        <f>STUDENTS!D316</f>
        <v>0</v>
      </c>
      <c r="D32" s="168">
        <f>STUDENTS!D318</f>
        <v>0</v>
      </c>
      <c r="E32" s="249">
        <f t="shared" ca="1" si="20"/>
        <v>0</v>
      </c>
      <c r="F32" s="250"/>
      <c r="G32" s="250"/>
      <c r="H32" s="251">
        <f t="shared" ca="1" si="2"/>
        <v>0</v>
      </c>
      <c r="I32" s="250"/>
      <c r="J32" s="250"/>
      <c r="K32" s="252">
        <f t="shared" ca="1" si="3"/>
        <v>0</v>
      </c>
      <c r="L32" s="253" t="str">
        <f t="shared" ca="1" si="4"/>
        <v/>
      </c>
      <c r="M32" s="249">
        <f t="shared" ca="1" si="5"/>
        <v>0</v>
      </c>
      <c r="N32" s="250"/>
      <c r="O32" s="250"/>
      <c r="P32" s="251">
        <f t="shared" ca="1" si="6"/>
        <v>0</v>
      </c>
      <c r="Q32" s="250"/>
      <c r="R32" s="250"/>
      <c r="S32" s="252">
        <f t="shared" ca="1" si="7"/>
        <v>0</v>
      </c>
      <c r="T32" s="253" t="str">
        <f t="shared" ca="1" si="8"/>
        <v/>
      </c>
      <c r="U32" s="249">
        <f t="shared" ca="1" si="9"/>
        <v>3</v>
      </c>
      <c r="V32" s="250"/>
      <c r="W32" s="250"/>
      <c r="X32" s="251">
        <f t="shared" ca="1" si="10"/>
        <v>0</v>
      </c>
      <c r="Y32" s="250"/>
      <c r="Z32" s="250"/>
      <c r="AA32" s="252">
        <f t="shared" ca="1" si="11"/>
        <v>3</v>
      </c>
      <c r="AB32" s="253" t="str">
        <f t="shared" ca="1" si="12"/>
        <v>E</v>
      </c>
      <c r="AC32" s="251">
        <f t="shared" ca="1" si="13"/>
        <v>0</v>
      </c>
      <c r="AD32" s="250"/>
      <c r="AE32" s="250"/>
      <c r="AF32" s="252">
        <f t="shared" ca="1" si="0"/>
        <v>0</v>
      </c>
      <c r="AG32" s="253" t="str">
        <f t="shared" ca="1" si="14"/>
        <v/>
      </c>
      <c r="AH32" s="134">
        <f t="shared" ca="1" si="15"/>
        <v>0</v>
      </c>
      <c r="AI32" s="82" t="str">
        <f t="shared" ca="1" si="16"/>
        <v/>
      </c>
      <c r="AJ32" s="88">
        <v>68</v>
      </c>
      <c r="AK32" s="88">
        <v>68</v>
      </c>
      <c r="AL32" s="88">
        <v>68</v>
      </c>
      <c r="AM32" s="88">
        <v>68</v>
      </c>
      <c r="AN32" s="88">
        <v>76.666666666666671</v>
      </c>
      <c r="AO32" s="88">
        <v>68</v>
      </c>
      <c r="AP32" s="88">
        <v>77.142857142857139</v>
      </c>
      <c r="AQ32" s="88">
        <v>34</v>
      </c>
      <c r="AR32" s="102">
        <f t="shared" ca="1" si="17"/>
        <v>3</v>
      </c>
      <c r="AS32" s="103">
        <f t="shared" ca="1" si="18"/>
        <v>0.33</v>
      </c>
      <c r="AT32" s="82" t="str">
        <f t="shared" ca="1" si="19"/>
        <v>E</v>
      </c>
    </row>
    <row r="33" spans="1:46" ht="24.6" customHeight="1">
      <c r="A33" s="259">
        <v>28</v>
      </c>
      <c r="B33" s="262" t="str">
        <f t="shared" ca="1" si="1"/>
        <v>બતાડા ક્રિષ્નાબેન દેવશીભાઇ</v>
      </c>
      <c r="C33" s="167">
        <f>STUDENTS!D328</f>
        <v>0</v>
      </c>
      <c r="D33" s="168">
        <f>STUDENTS!D330</f>
        <v>0</v>
      </c>
      <c r="E33" s="249">
        <f t="shared" ca="1" si="20"/>
        <v>0</v>
      </c>
      <c r="F33" s="250"/>
      <c r="G33" s="250"/>
      <c r="H33" s="251">
        <f t="shared" ca="1" si="2"/>
        <v>0</v>
      </c>
      <c r="I33" s="250"/>
      <c r="J33" s="250"/>
      <c r="K33" s="252">
        <f t="shared" ca="1" si="3"/>
        <v>0</v>
      </c>
      <c r="L33" s="253" t="str">
        <f t="shared" ca="1" si="4"/>
        <v/>
      </c>
      <c r="M33" s="249">
        <f t="shared" ca="1" si="5"/>
        <v>0</v>
      </c>
      <c r="N33" s="250"/>
      <c r="O33" s="250"/>
      <c r="P33" s="251">
        <f t="shared" ca="1" si="6"/>
        <v>0</v>
      </c>
      <c r="Q33" s="250"/>
      <c r="R33" s="250"/>
      <c r="S33" s="252">
        <f t="shared" ca="1" si="7"/>
        <v>0</v>
      </c>
      <c r="T33" s="253" t="str">
        <f t="shared" ca="1" si="8"/>
        <v/>
      </c>
      <c r="U33" s="249">
        <f t="shared" ca="1" si="9"/>
        <v>0</v>
      </c>
      <c r="V33" s="250"/>
      <c r="W33" s="250"/>
      <c r="X33" s="251">
        <f t="shared" ca="1" si="10"/>
        <v>0</v>
      </c>
      <c r="Y33" s="250"/>
      <c r="Z33" s="250"/>
      <c r="AA33" s="252">
        <f t="shared" ca="1" si="11"/>
        <v>0</v>
      </c>
      <c r="AB33" s="253" t="str">
        <f t="shared" ca="1" si="12"/>
        <v/>
      </c>
      <c r="AC33" s="251">
        <f t="shared" ca="1" si="13"/>
        <v>0</v>
      </c>
      <c r="AD33" s="250"/>
      <c r="AE33" s="250"/>
      <c r="AF33" s="252">
        <f t="shared" ca="1" si="0"/>
        <v>0</v>
      </c>
      <c r="AG33" s="253" t="str">
        <f t="shared" ca="1" si="14"/>
        <v/>
      </c>
      <c r="AH33" s="134">
        <f t="shared" ca="1" si="15"/>
        <v>0</v>
      </c>
      <c r="AI33" s="82" t="str">
        <f t="shared" ca="1" si="16"/>
        <v/>
      </c>
      <c r="AJ33" s="88">
        <v>68</v>
      </c>
      <c r="AK33" s="88">
        <v>68</v>
      </c>
      <c r="AL33" s="88">
        <v>68</v>
      </c>
      <c r="AM33" s="88">
        <v>68</v>
      </c>
      <c r="AN33" s="88">
        <v>76.666666666666671</v>
      </c>
      <c r="AO33" s="88">
        <v>68</v>
      </c>
      <c r="AP33" s="88">
        <v>77.142857142857139</v>
      </c>
      <c r="AQ33" s="88">
        <v>34</v>
      </c>
      <c r="AR33" s="102">
        <f t="shared" ca="1" si="17"/>
        <v>0</v>
      </c>
      <c r="AS33" s="103">
        <f t="shared" ca="1" si="18"/>
        <v>0</v>
      </c>
      <c r="AT33" s="82" t="str">
        <f t="shared" ca="1" si="19"/>
        <v/>
      </c>
    </row>
    <row r="34" spans="1:46" ht="24.6" customHeight="1">
      <c r="A34" s="259">
        <v>29</v>
      </c>
      <c r="B34" s="262" t="str">
        <f t="shared" ca="1" si="1"/>
        <v>પરમાર અનિષા રમેશભાઇ</v>
      </c>
      <c r="C34" s="167">
        <f>STUDENTS!D340</f>
        <v>0</v>
      </c>
      <c r="D34" s="168">
        <f>STUDENTS!D342</f>
        <v>0</v>
      </c>
      <c r="E34" s="249">
        <f t="shared" ca="1" si="20"/>
        <v>0</v>
      </c>
      <c r="F34" s="250"/>
      <c r="G34" s="250"/>
      <c r="H34" s="251">
        <f t="shared" ca="1" si="2"/>
        <v>0</v>
      </c>
      <c r="I34" s="250"/>
      <c r="J34" s="250"/>
      <c r="K34" s="252">
        <f t="shared" ca="1" si="3"/>
        <v>0</v>
      </c>
      <c r="L34" s="253" t="str">
        <f t="shared" ca="1" si="4"/>
        <v/>
      </c>
      <c r="M34" s="249">
        <f t="shared" ca="1" si="5"/>
        <v>0</v>
      </c>
      <c r="N34" s="250"/>
      <c r="O34" s="250"/>
      <c r="P34" s="251">
        <f t="shared" ca="1" si="6"/>
        <v>0</v>
      </c>
      <c r="Q34" s="250"/>
      <c r="R34" s="250"/>
      <c r="S34" s="252">
        <f t="shared" ca="1" si="7"/>
        <v>0</v>
      </c>
      <c r="T34" s="253" t="str">
        <f t="shared" ca="1" si="8"/>
        <v/>
      </c>
      <c r="U34" s="249">
        <f t="shared" ca="1" si="9"/>
        <v>0</v>
      </c>
      <c r="V34" s="250"/>
      <c r="W34" s="250"/>
      <c r="X34" s="251">
        <f t="shared" ca="1" si="10"/>
        <v>0</v>
      </c>
      <c r="Y34" s="250"/>
      <c r="Z34" s="250"/>
      <c r="AA34" s="252">
        <f t="shared" ca="1" si="11"/>
        <v>0</v>
      </c>
      <c r="AB34" s="253" t="str">
        <f t="shared" ca="1" si="12"/>
        <v/>
      </c>
      <c r="AC34" s="251">
        <f t="shared" ca="1" si="13"/>
        <v>0</v>
      </c>
      <c r="AD34" s="250"/>
      <c r="AE34" s="250"/>
      <c r="AF34" s="252">
        <f t="shared" ca="1" si="0"/>
        <v>0</v>
      </c>
      <c r="AG34" s="253" t="str">
        <f t="shared" ca="1" si="14"/>
        <v/>
      </c>
      <c r="AH34" s="134">
        <f t="shared" ca="1" si="15"/>
        <v>0</v>
      </c>
      <c r="AI34" s="82" t="str">
        <f t="shared" ca="1" si="16"/>
        <v/>
      </c>
      <c r="AJ34" s="88">
        <v>68</v>
      </c>
      <c r="AK34" s="88">
        <v>68</v>
      </c>
      <c r="AL34" s="88">
        <v>68</v>
      </c>
      <c r="AM34" s="88">
        <v>68</v>
      </c>
      <c r="AN34" s="88">
        <v>76.666666666666671</v>
      </c>
      <c r="AO34" s="88">
        <v>68</v>
      </c>
      <c r="AP34" s="88">
        <v>77.142857142857139</v>
      </c>
      <c r="AQ34" s="88">
        <v>34</v>
      </c>
      <c r="AR34" s="102">
        <f t="shared" ca="1" si="17"/>
        <v>0</v>
      </c>
      <c r="AS34" s="103">
        <f t="shared" ca="1" si="18"/>
        <v>0</v>
      </c>
      <c r="AT34" s="82" t="str">
        <f t="shared" ca="1" si="19"/>
        <v/>
      </c>
    </row>
    <row r="35" spans="1:46" ht="24.6" customHeight="1">
      <c r="A35" s="259">
        <v>30</v>
      </c>
      <c r="B35" s="262" t="str">
        <f t="shared" ca="1" si="1"/>
        <v>મકરૂબિયા નમ્રતા વશરામભાઇ</v>
      </c>
      <c r="C35" s="167">
        <f>STUDENTS!D352</f>
        <v>0</v>
      </c>
      <c r="D35" s="168">
        <f>STUDENTS!D354</f>
        <v>0</v>
      </c>
      <c r="E35" s="249">
        <f t="shared" ca="1" si="20"/>
        <v>0</v>
      </c>
      <c r="F35" s="250"/>
      <c r="G35" s="250"/>
      <c r="H35" s="251">
        <f t="shared" ca="1" si="2"/>
        <v>0</v>
      </c>
      <c r="I35" s="250"/>
      <c r="J35" s="250"/>
      <c r="K35" s="252">
        <f t="shared" ca="1" si="3"/>
        <v>0</v>
      </c>
      <c r="L35" s="253" t="str">
        <f t="shared" ca="1" si="4"/>
        <v/>
      </c>
      <c r="M35" s="249">
        <f t="shared" ca="1" si="5"/>
        <v>0</v>
      </c>
      <c r="N35" s="250"/>
      <c r="O35" s="250"/>
      <c r="P35" s="251">
        <f t="shared" ca="1" si="6"/>
        <v>0</v>
      </c>
      <c r="Q35" s="250"/>
      <c r="R35" s="250"/>
      <c r="S35" s="252">
        <f t="shared" ca="1" si="7"/>
        <v>0</v>
      </c>
      <c r="T35" s="253" t="str">
        <f t="shared" ca="1" si="8"/>
        <v/>
      </c>
      <c r="U35" s="249">
        <f t="shared" ca="1" si="9"/>
        <v>0</v>
      </c>
      <c r="V35" s="250"/>
      <c r="W35" s="250"/>
      <c r="X35" s="251">
        <f t="shared" ca="1" si="10"/>
        <v>0</v>
      </c>
      <c r="Y35" s="250"/>
      <c r="Z35" s="250"/>
      <c r="AA35" s="252">
        <f t="shared" ca="1" si="11"/>
        <v>0</v>
      </c>
      <c r="AB35" s="253" t="str">
        <f t="shared" ca="1" si="12"/>
        <v/>
      </c>
      <c r="AC35" s="251">
        <f t="shared" ca="1" si="13"/>
        <v>0</v>
      </c>
      <c r="AD35" s="250"/>
      <c r="AE35" s="250"/>
      <c r="AF35" s="252">
        <f t="shared" ca="1" si="0"/>
        <v>0</v>
      </c>
      <c r="AG35" s="253" t="str">
        <f t="shared" ca="1" si="14"/>
        <v/>
      </c>
      <c r="AH35" s="134">
        <f t="shared" ca="1" si="15"/>
        <v>0</v>
      </c>
      <c r="AI35" s="82" t="str">
        <f t="shared" ca="1" si="16"/>
        <v/>
      </c>
      <c r="AJ35" s="88">
        <v>68</v>
      </c>
      <c r="AK35" s="88">
        <v>68</v>
      </c>
      <c r="AL35" s="88">
        <v>68</v>
      </c>
      <c r="AM35" s="88">
        <v>68</v>
      </c>
      <c r="AN35" s="88">
        <v>76.666666666666671</v>
      </c>
      <c r="AO35" s="88">
        <v>68</v>
      </c>
      <c r="AP35" s="88">
        <v>77.142857142857139</v>
      </c>
      <c r="AQ35" s="88">
        <v>34</v>
      </c>
      <c r="AR35" s="102">
        <f t="shared" ca="1" si="17"/>
        <v>0</v>
      </c>
      <c r="AS35" s="103">
        <f t="shared" ca="1" si="18"/>
        <v>0</v>
      </c>
      <c r="AT35" s="82" t="str">
        <f t="shared" ca="1" si="19"/>
        <v/>
      </c>
    </row>
    <row r="36" spans="1:46" ht="24.6" customHeight="1">
      <c r="A36" s="259">
        <v>31</v>
      </c>
      <c r="B36" s="262">
        <f t="shared" ca="1" si="1"/>
        <v>0</v>
      </c>
      <c r="C36" s="167">
        <f>STUDENTS!D364</f>
        <v>0</v>
      </c>
      <c r="D36" s="168">
        <f>STUDENTS!D366</f>
        <v>0</v>
      </c>
      <c r="E36" s="249">
        <f t="shared" ca="1" si="20"/>
        <v>0</v>
      </c>
      <c r="F36" s="250"/>
      <c r="G36" s="250"/>
      <c r="H36" s="251">
        <f t="shared" ca="1" si="2"/>
        <v>0</v>
      </c>
      <c r="I36" s="250"/>
      <c r="J36" s="250"/>
      <c r="K36" s="252">
        <f t="shared" ca="1" si="3"/>
        <v>0</v>
      </c>
      <c r="L36" s="253" t="str">
        <f t="shared" ca="1" si="4"/>
        <v/>
      </c>
      <c r="M36" s="249">
        <f t="shared" ca="1" si="5"/>
        <v>0</v>
      </c>
      <c r="N36" s="250"/>
      <c r="O36" s="250"/>
      <c r="P36" s="251">
        <f t="shared" ca="1" si="6"/>
        <v>0</v>
      </c>
      <c r="Q36" s="250"/>
      <c r="R36" s="250"/>
      <c r="S36" s="252">
        <f t="shared" ca="1" si="7"/>
        <v>0</v>
      </c>
      <c r="T36" s="253" t="str">
        <f t="shared" ca="1" si="8"/>
        <v/>
      </c>
      <c r="U36" s="249">
        <f t="shared" ca="1" si="9"/>
        <v>0</v>
      </c>
      <c r="V36" s="250"/>
      <c r="W36" s="250"/>
      <c r="X36" s="251">
        <f t="shared" ca="1" si="10"/>
        <v>0</v>
      </c>
      <c r="Y36" s="250"/>
      <c r="Z36" s="250"/>
      <c r="AA36" s="252">
        <f t="shared" ca="1" si="11"/>
        <v>0</v>
      </c>
      <c r="AB36" s="253" t="str">
        <f t="shared" ca="1" si="12"/>
        <v/>
      </c>
      <c r="AC36" s="251">
        <f t="shared" ca="1" si="13"/>
        <v>0</v>
      </c>
      <c r="AD36" s="250"/>
      <c r="AE36" s="250"/>
      <c r="AF36" s="252">
        <f t="shared" ca="1" si="0"/>
        <v>0</v>
      </c>
      <c r="AG36" s="253" t="str">
        <f t="shared" ca="1" si="14"/>
        <v/>
      </c>
      <c r="AH36" s="134">
        <f t="shared" ca="1" si="15"/>
        <v>0</v>
      </c>
      <c r="AI36" s="82" t="str">
        <f t="shared" ca="1" si="16"/>
        <v/>
      </c>
      <c r="AJ36" s="88">
        <v>68</v>
      </c>
      <c r="AK36" s="88">
        <v>68</v>
      </c>
      <c r="AL36" s="88">
        <v>68</v>
      </c>
      <c r="AM36" s="88">
        <v>68</v>
      </c>
      <c r="AN36" s="88">
        <v>76.666666666666671</v>
      </c>
      <c r="AO36" s="88">
        <v>68</v>
      </c>
      <c r="AP36" s="88">
        <v>77.142857142857139</v>
      </c>
      <c r="AQ36" s="88">
        <v>34</v>
      </c>
      <c r="AR36" s="102">
        <f t="shared" ca="1" si="17"/>
        <v>0</v>
      </c>
      <c r="AS36" s="103">
        <f t="shared" ca="1" si="18"/>
        <v>0</v>
      </c>
      <c r="AT36" s="82" t="str">
        <f t="shared" ca="1" si="19"/>
        <v/>
      </c>
    </row>
    <row r="37" spans="1:46" ht="24.6" customHeight="1">
      <c r="A37" s="259">
        <v>32</v>
      </c>
      <c r="B37" s="262">
        <f t="shared" ca="1" si="1"/>
        <v>0</v>
      </c>
      <c r="C37" s="167">
        <f>STUDENTS!D376</f>
        <v>0</v>
      </c>
      <c r="D37" s="168">
        <f>STUDENTS!D378</f>
        <v>0</v>
      </c>
      <c r="E37" s="249">
        <f t="shared" ca="1" si="20"/>
        <v>0</v>
      </c>
      <c r="F37" s="250"/>
      <c r="G37" s="250"/>
      <c r="H37" s="251">
        <f t="shared" ca="1" si="2"/>
        <v>0</v>
      </c>
      <c r="I37" s="250"/>
      <c r="J37" s="250"/>
      <c r="K37" s="252">
        <f t="shared" ca="1" si="3"/>
        <v>0</v>
      </c>
      <c r="L37" s="253" t="str">
        <f t="shared" ca="1" si="4"/>
        <v/>
      </c>
      <c r="M37" s="249">
        <f t="shared" ca="1" si="5"/>
        <v>0</v>
      </c>
      <c r="N37" s="250"/>
      <c r="O37" s="250"/>
      <c r="P37" s="251">
        <f t="shared" ca="1" si="6"/>
        <v>0</v>
      </c>
      <c r="Q37" s="250"/>
      <c r="R37" s="250"/>
      <c r="S37" s="252">
        <f t="shared" ca="1" si="7"/>
        <v>0</v>
      </c>
      <c r="T37" s="253" t="str">
        <f t="shared" ca="1" si="8"/>
        <v/>
      </c>
      <c r="U37" s="249">
        <f t="shared" ca="1" si="9"/>
        <v>0</v>
      </c>
      <c r="V37" s="250"/>
      <c r="W37" s="250"/>
      <c r="X37" s="251">
        <f t="shared" ca="1" si="10"/>
        <v>0</v>
      </c>
      <c r="Y37" s="250"/>
      <c r="Z37" s="250"/>
      <c r="AA37" s="252">
        <f t="shared" ca="1" si="11"/>
        <v>0</v>
      </c>
      <c r="AB37" s="253" t="str">
        <f t="shared" ca="1" si="12"/>
        <v/>
      </c>
      <c r="AC37" s="251">
        <f t="shared" ca="1" si="13"/>
        <v>0</v>
      </c>
      <c r="AD37" s="250"/>
      <c r="AE37" s="250"/>
      <c r="AF37" s="252">
        <f t="shared" ca="1" si="0"/>
        <v>0</v>
      </c>
      <c r="AG37" s="253" t="str">
        <f t="shared" ca="1" si="14"/>
        <v/>
      </c>
      <c r="AH37" s="134">
        <f t="shared" ca="1" si="15"/>
        <v>0</v>
      </c>
      <c r="AI37" s="82" t="str">
        <f t="shared" ca="1" si="16"/>
        <v/>
      </c>
      <c r="AJ37" s="88">
        <v>68</v>
      </c>
      <c r="AK37" s="88">
        <v>68</v>
      </c>
      <c r="AL37" s="88">
        <v>68</v>
      </c>
      <c r="AM37" s="88">
        <v>68</v>
      </c>
      <c r="AN37" s="88">
        <v>76.666666666666671</v>
      </c>
      <c r="AO37" s="88">
        <v>68</v>
      </c>
      <c r="AP37" s="88">
        <v>77.142857142857139</v>
      </c>
      <c r="AQ37" s="88">
        <v>34</v>
      </c>
      <c r="AR37" s="102">
        <f t="shared" ca="1" si="17"/>
        <v>0</v>
      </c>
      <c r="AS37" s="103">
        <f t="shared" ca="1" si="18"/>
        <v>0</v>
      </c>
      <c r="AT37" s="82" t="str">
        <f t="shared" ca="1" si="19"/>
        <v/>
      </c>
    </row>
    <row r="38" spans="1:46" ht="24.6" customHeight="1">
      <c r="A38" s="259">
        <v>33</v>
      </c>
      <c r="B38" s="262">
        <f t="shared" ca="1" si="1"/>
        <v>0</v>
      </c>
      <c r="C38" s="167">
        <f>STUDENTS!D388</f>
        <v>0</v>
      </c>
      <c r="D38" s="168">
        <f>STUDENTS!D390</f>
        <v>0</v>
      </c>
      <c r="E38" s="249">
        <f t="shared" ca="1" si="20"/>
        <v>0</v>
      </c>
      <c r="F38" s="250"/>
      <c r="G38" s="250"/>
      <c r="H38" s="251">
        <f t="shared" ca="1" si="2"/>
        <v>0</v>
      </c>
      <c r="I38" s="250"/>
      <c r="J38" s="250"/>
      <c r="K38" s="252">
        <f t="shared" ca="1" si="3"/>
        <v>0</v>
      </c>
      <c r="L38" s="253" t="str">
        <f t="shared" ca="1" si="4"/>
        <v/>
      </c>
      <c r="M38" s="249">
        <f t="shared" ca="1" si="5"/>
        <v>0</v>
      </c>
      <c r="N38" s="250"/>
      <c r="O38" s="250"/>
      <c r="P38" s="251">
        <f t="shared" ca="1" si="6"/>
        <v>0</v>
      </c>
      <c r="Q38" s="250"/>
      <c r="R38" s="250"/>
      <c r="S38" s="252">
        <f t="shared" ca="1" si="7"/>
        <v>0</v>
      </c>
      <c r="T38" s="253" t="str">
        <f t="shared" ca="1" si="8"/>
        <v/>
      </c>
      <c r="U38" s="249">
        <f t="shared" ca="1" si="9"/>
        <v>0</v>
      </c>
      <c r="V38" s="250"/>
      <c r="W38" s="250"/>
      <c r="X38" s="251">
        <f t="shared" ca="1" si="10"/>
        <v>0</v>
      </c>
      <c r="Y38" s="250"/>
      <c r="Z38" s="250"/>
      <c r="AA38" s="252">
        <f t="shared" ca="1" si="11"/>
        <v>0</v>
      </c>
      <c r="AB38" s="253" t="str">
        <f t="shared" ca="1" si="12"/>
        <v/>
      </c>
      <c r="AC38" s="251">
        <f t="shared" ca="1" si="13"/>
        <v>0</v>
      </c>
      <c r="AD38" s="250"/>
      <c r="AE38" s="250"/>
      <c r="AF38" s="252">
        <f t="shared" ca="1" si="0"/>
        <v>0</v>
      </c>
      <c r="AG38" s="253" t="str">
        <f t="shared" ca="1" si="14"/>
        <v/>
      </c>
      <c r="AH38" s="134">
        <f t="shared" ca="1" si="15"/>
        <v>0</v>
      </c>
      <c r="AI38" s="82" t="str">
        <f t="shared" ca="1" si="16"/>
        <v/>
      </c>
      <c r="AJ38" s="88">
        <v>68</v>
      </c>
      <c r="AK38" s="88">
        <v>68</v>
      </c>
      <c r="AL38" s="88">
        <v>68</v>
      </c>
      <c r="AM38" s="88">
        <v>68</v>
      </c>
      <c r="AN38" s="88">
        <v>76.666666666666671</v>
      </c>
      <c r="AO38" s="88">
        <v>68</v>
      </c>
      <c r="AP38" s="88">
        <v>77.142857142857139</v>
      </c>
      <c r="AQ38" s="88">
        <v>34</v>
      </c>
      <c r="AR38" s="102">
        <f t="shared" ca="1" si="17"/>
        <v>0</v>
      </c>
      <c r="AS38" s="103">
        <f t="shared" ca="1" si="18"/>
        <v>0</v>
      </c>
      <c r="AT38" s="82" t="str">
        <f t="shared" ca="1" si="19"/>
        <v/>
      </c>
    </row>
    <row r="39" spans="1:46" ht="24.6" customHeight="1">
      <c r="A39" s="259">
        <v>34</v>
      </c>
      <c r="B39" s="262">
        <f t="shared" ca="1" si="1"/>
        <v>0</v>
      </c>
      <c r="C39" s="167">
        <f>STUDENTS!D400</f>
        <v>0</v>
      </c>
      <c r="D39" s="168">
        <f>STUDENTS!D402</f>
        <v>0</v>
      </c>
      <c r="E39" s="249">
        <f t="shared" ca="1" si="20"/>
        <v>0</v>
      </c>
      <c r="F39" s="250"/>
      <c r="G39" s="250"/>
      <c r="H39" s="251">
        <f t="shared" ca="1" si="2"/>
        <v>0</v>
      </c>
      <c r="I39" s="250"/>
      <c r="J39" s="250"/>
      <c r="K39" s="252">
        <f t="shared" ca="1" si="3"/>
        <v>0</v>
      </c>
      <c r="L39" s="253" t="str">
        <f t="shared" ca="1" si="4"/>
        <v/>
      </c>
      <c r="M39" s="249">
        <f t="shared" ca="1" si="5"/>
        <v>0</v>
      </c>
      <c r="N39" s="250"/>
      <c r="O39" s="250"/>
      <c r="P39" s="251">
        <f t="shared" ca="1" si="6"/>
        <v>0</v>
      </c>
      <c r="Q39" s="250"/>
      <c r="R39" s="250"/>
      <c r="S39" s="252">
        <f t="shared" ca="1" si="7"/>
        <v>0</v>
      </c>
      <c r="T39" s="253" t="str">
        <f t="shared" ca="1" si="8"/>
        <v/>
      </c>
      <c r="U39" s="249">
        <f t="shared" ca="1" si="9"/>
        <v>0</v>
      </c>
      <c r="V39" s="250"/>
      <c r="W39" s="250"/>
      <c r="X39" s="251">
        <f t="shared" ca="1" si="10"/>
        <v>0</v>
      </c>
      <c r="Y39" s="250"/>
      <c r="Z39" s="250"/>
      <c r="AA39" s="252">
        <f t="shared" ca="1" si="11"/>
        <v>0</v>
      </c>
      <c r="AB39" s="253" t="str">
        <f t="shared" ca="1" si="12"/>
        <v/>
      </c>
      <c r="AC39" s="251">
        <f t="shared" ca="1" si="13"/>
        <v>0</v>
      </c>
      <c r="AD39" s="250"/>
      <c r="AE39" s="250"/>
      <c r="AF39" s="252">
        <f t="shared" ca="1" si="0"/>
        <v>0</v>
      </c>
      <c r="AG39" s="253" t="str">
        <f t="shared" ca="1" si="14"/>
        <v/>
      </c>
      <c r="AH39" s="134">
        <f t="shared" ca="1" si="15"/>
        <v>0</v>
      </c>
      <c r="AI39" s="82" t="str">
        <f t="shared" ca="1" si="16"/>
        <v/>
      </c>
      <c r="AJ39" s="88">
        <v>68</v>
      </c>
      <c r="AK39" s="88">
        <v>68</v>
      </c>
      <c r="AL39" s="88">
        <v>68</v>
      </c>
      <c r="AM39" s="88">
        <v>68</v>
      </c>
      <c r="AN39" s="88">
        <v>76.666666666666671</v>
      </c>
      <c r="AO39" s="88">
        <v>68</v>
      </c>
      <c r="AP39" s="88">
        <v>77.142857142857139</v>
      </c>
      <c r="AQ39" s="88">
        <v>34</v>
      </c>
      <c r="AR39" s="102">
        <f t="shared" ca="1" si="17"/>
        <v>0</v>
      </c>
      <c r="AS39" s="103">
        <f t="shared" ca="1" si="18"/>
        <v>0</v>
      </c>
      <c r="AT39" s="82" t="str">
        <f t="shared" ca="1" si="19"/>
        <v/>
      </c>
    </row>
    <row r="40" spans="1:46" ht="24.6" customHeight="1">
      <c r="A40" s="260">
        <v>35</v>
      </c>
      <c r="B40" s="263">
        <f t="shared" ca="1" si="1"/>
        <v>0</v>
      </c>
      <c r="C40" s="169">
        <f>STUDENTS!D412</f>
        <v>0</v>
      </c>
      <c r="D40" s="170">
        <f>STUDENTS!D414</f>
        <v>0</v>
      </c>
      <c r="E40" s="254">
        <f t="shared" ca="1" si="20"/>
        <v>0</v>
      </c>
      <c r="F40" s="255"/>
      <c r="G40" s="255"/>
      <c r="H40" s="256">
        <f t="shared" ca="1" si="2"/>
        <v>0</v>
      </c>
      <c r="I40" s="255"/>
      <c r="J40" s="255"/>
      <c r="K40" s="257">
        <f t="shared" ca="1" si="3"/>
        <v>0</v>
      </c>
      <c r="L40" s="258" t="str">
        <f t="shared" ca="1" si="4"/>
        <v/>
      </c>
      <c r="M40" s="254">
        <f t="shared" ca="1" si="5"/>
        <v>0</v>
      </c>
      <c r="N40" s="255"/>
      <c r="O40" s="255"/>
      <c r="P40" s="256">
        <f t="shared" ca="1" si="6"/>
        <v>0</v>
      </c>
      <c r="Q40" s="255"/>
      <c r="R40" s="255"/>
      <c r="S40" s="257">
        <f t="shared" ca="1" si="7"/>
        <v>0</v>
      </c>
      <c r="T40" s="258" t="str">
        <f t="shared" ca="1" si="8"/>
        <v/>
      </c>
      <c r="U40" s="254">
        <f t="shared" ca="1" si="9"/>
        <v>0</v>
      </c>
      <c r="V40" s="255"/>
      <c r="W40" s="255"/>
      <c r="X40" s="256">
        <f t="shared" ca="1" si="10"/>
        <v>0</v>
      </c>
      <c r="Y40" s="255"/>
      <c r="Z40" s="255"/>
      <c r="AA40" s="257">
        <f t="shared" ca="1" si="11"/>
        <v>0</v>
      </c>
      <c r="AB40" s="258" t="str">
        <f t="shared" ca="1" si="12"/>
        <v/>
      </c>
      <c r="AC40" s="256">
        <f t="shared" ca="1" si="13"/>
        <v>0</v>
      </c>
      <c r="AD40" s="255"/>
      <c r="AE40" s="255"/>
      <c r="AF40" s="257">
        <f t="shared" ca="1" si="0"/>
        <v>0</v>
      </c>
      <c r="AG40" s="258" t="str">
        <f t="shared" ca="1" si="14"/>
        <v/>
      </c>
      <c r="AH40" s="135">
        <f t="shared" ca="1" si="15"/>
        <v>0</v>
      </c>
      <c r="AI40" s="83" t="str">
        <f t="shared" ca="1" si="16"/>
        <v/>
      </c>
      <c r="AJ40" s="88">
        <v>68</v>
      </c>
      <c r="AK40" s="88">
        <v>68</v>
      </c>
      <c r="AL40" s="88">
        <v>68</v>
      </c>
      <c r="AM40" s="88">
        <v>68</v>
      </c>
      <c r="AN40" s="88">
        <v>76.666666666666671</v>
      </c>
      <c r="AO40" s="88">
        <v>68</v>
      </c>
      <c r="AP40" s="88">
        <v>77.142857142857139</v>
      </c>
      <c r="AQ40" s="88">
        <v>34</v>
      </c>
      <c r="AR40" s="104">
        <f t="shared" ca="1" si="17"/>
        <v>0</v>
      </c>
      <c r="AS40" s="105">
        <f t="shared" ca="1" si="18"/>
        <v>0</v>
      </c>
      <c r="AT40" s="83" t="str">
        <f t="shared" ca="1" si="19"/>
        <v/>
      </c>
    </row>
    <row r="41" spans="1:46"/>
    <row r="42" spans="1:46"/>
    <row r="43" spans="1:46"/>
  </sheetData>
  <sheetProtection password="DC6E" sheet="1" objects="1" scenarios="1"/>
  <mergeCells count="35">
    <mergeCell ref="AT2:AT4"/>
    <mergeCell ref="A3:A4"/>
    <mergeCell ref="B3:B4"/>
    <mergeCell ref="C3:C4"/>
    <mergeCell ref="E3:G3"/>
    <mergeCell ref="H3:J3"/>
    <mergeCell ref="K3:K4"/>
    <mergeCell ref="L3:L4"/>
    <mergeCell ref="M3:O3"/>
    <mergeCell ref="AM2:AM4"/>
    <mergeCell ref="AN2:AN4"/>
    <mergeCell ref="AO2:AO4"/>
    <mergeCell ref="AP2:AP4"/>
    <mergeCell ref="AQ2:AQ4"/>
    <mergeCell ref="AR2:AR4"/>
    <mergeCell ref="AC3:AE3"/>
    <mergeCell ref="AI2:AI4"/>
    <mergeCell ref="AJ2:AJ4"/>
    <mergeCell ref="AK2:AK4"/>
    <mergeCell ref="AL2:AL4"/>
    <mergeCell ref="AS2:AS4"/>
    <mergeCell ref="E2:L2"/>
    <mergeCell ref="M2:T2"/>
    <mergeCell ref="U2:AB2"/>
    <mergeCell ref="AC2:AG2"/>
    <mergeCell ref="AH2:AH4"/>
    <mergeCell ref="AF3:AF4"/>
    <mergeCell ref="AG3:AG4"/>
    <mergeCell ref="AB3:AB4"/>
    <mergeCell ref="P3:R3"/>
    <mergeCell ref="S3:S4"/>
    <mergeCell ref="T3:T4"/>
    <mergeCell ref="U3:W3"/>
    <mergeCell ref="X3:Z3"/>
    <mergeCell ref="AA3:AA4"/>
  </mergeCells>
  <conditionalFormatting sqref="AI6:AI40 AT5:AT40 AG6:AG40 AB6:AB40 T6:T40 L6:L40">
    <cfRule type="cellIs" dxfId="5" priority="3" stopIfTrue="1" operator="between">
      <formula>"E"</formula>
      <formula>"E"</formula>
    </cfRule>
  </conditionalFormatting>
  <conditionalFormatting sqref="C6:C67 B6:B40">
    <cfRule type="cellIs" dxfId="4" priority="2" stopIfTrue="1" operator="equal">
      <formula>0</formula>
    </cfRule>
  </conditionalFormatting>
  <conditionalFormatting sqref="D6:D40">
    <cfRule type="cellIs" dxfId="3" priority="1" stopIfTrue="1" operator="equal">
      <formula>"00/01/1900"</formula>
    </cfRule>
  </conditionalFormatting>
  <dataValidations count="2">
    <dataValidation type="whole" allowBlank="1" showInputMessage="1" showErrorMessage="1" errorTitle="સૂચના" error="0 થી 20સુધીની સંખ્યા ઉમેરો..." sqref="AE6:AE40 G6:G40 O6:O40 R6:R40 J6:J40 Z6:Z40 W6:W40">
      <formula1>0</formula1>
      <formula2>20</formula2>
    </dataValidation>
    <dataValidation type="whole" allowBlank="1" showErrorMessage="1" errorTitle="સૂચના" error="0 થી 40 સુધીની સંખ્યા ઉમેરો." promptTitle="ઇનપુટ" prompt="0 થી 40 સુધીની સંખ્યા ઉમેરો." sqref="AC6:AD40 H6:I40 F6:F40 M6:N40 P6:Q40 X6:Y40 U6:V40">
      <formula1>0</formula1>
      <formula2>40</formula2>
    </dataValidation>
  </dataValidations>
  <hyperlinks>
    <hyperlink ref="A1" location="INDEX!A1" display="INDEX"/>
  </hyperlinks>
  <pageMargins left="0.33" right="0.2" top="0.25" bottom="0.25" header="0" footer="0"/>
  <pageSetup paperSize="5" scale="84" orientation="portrait" horizontalDpi="300" verticalDpi="300" r:id="rId1"/>
  <colBreaks count="1" manualBreakCount="1">
    <brk id="12"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5" tint="-0.249977111117893"/>
  </sheetPr>
  <dimension ref="A1:BW40"/>
  <sheetViews>
    <sheetView showGridLines="0" showZeros="0" zoomScaleSheetLayoutView="100" workbookViewId="0">
      <pane xSplit="2" ySplit="4" topLeftCell="C5" activePane="bottomRight" state="frozen"/>
      <selection pane="topRight" activeCell="C1" sqref="C1"/>
      <selection pane="bottomLeft" activeCell="A5" sqref="A5"/>
      <selection pane="bottomRight" activeCell="N10" sqref="N10"/>
    </sheetView>
  </sheetViews>
  <sheetFormatPr defaultColWidth="0" defaultRowHeight="15" zeroHeight="1"/>
  <cols>
    <col min="1" max="1" width="6" style="138" customWidth="1"/>
    <col min="2" max="2" width="32.7109375" style="138" customWidth="1"/>
    <col min="3" max="3" width="7.85546875" style="138" customWidth="1"/>
    <col min="4" max="4" width="12.7109375" style="138" customWidth="1"/>
    <col min="5" max="10" width="5.85546875" style="138" customWidth="1"/>
    <col min="11" max="11" width="6.28515625" style="138" customWidth="1"/>
    <col min="12" max="12" width="4.7109375" style="138" customWidth="1"/>
    <col min="13" max="19" width="5.42578125" style="138" customWidth="1"/>
    <col min="20" max="20" width="4.7109375" style="138" customWidth="1"/>
    <col min="21" max="21" width="18.85546875" style="138" customWidth="1"/>
    <col min="22" max="27" width="5.42578125" style="138" customWidth="1"/>
    <col min="28" max="28" width="5.5703125" style="138" customWidth="1"/>
    <col min="29" max="29" width="4.7109375" style="138" customWidth="1"/>
    <col min="30" max="36" width="5.42578125" style="138" customWidth="1"/>
    <col min="37" max="37" width="4.7109375" style="138" customWidth="1"/>
    <col min="38" max="38" width="18.85546875" style="138" customWidth="1"/>
    <col min="39" max="45" width="5.42578125" style="138" customWidth="1"/>
    <col min="46" max="46" width="4.7109375" style="138" customWidth="1"/>
    <col min="47" max="53" width="5" style="138" customWidth="1"/>
    <col min="54" max="54" width="4.28515625" style="138" customWidth="1"/>
    <col min="55" max="61" width="5" style="138" customWidth="1"/>
    <col min="62" max="62" width="4.28515625" style="138" customWidth="1"/>
    <col min="63" max="63" width="4.5703125" style="138" customWidth="1"/>
    <col min="64" max="64" width="3.42578125" style="138" customWidth="1"/>
    <col min="65" max="72" width="4" style="138" hidden="1" customWidth="1"/>
    <col min="73" max="73" width="7.42578125" style="138" customWidth="1"/>
    <col min="74" max="74" width="7" style="138" customWidth="1"/>
    <col min="75" max="75" width="4.85546875" style="138" customWidth="1"/>
    <col min="76" max="16384" width="9.140625" style="138" hidden="1"/>
  </cols>
  <sheetData>
    <row r="1" spans="1:75" ht="18.75" customHeight="1">
      <c r="A1" s="466" t="s">
        <v>492</v>
      </c>
      <c r="B1" s="163"/>
      <c r="C1" s="163"/>
      <c r="D1" s="163"/>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c r="AT1" s="164"/>
      <c r="AU1" s="164"/>
      <c r="AV1" s="164"/>
      <c r="AW1" s="164"/>
      <c r="AX1" s="164"/>
      <c r="AY1" s="164"/>
      <c r="AZ1" s="164"/>
      <c r="BA1" s="164"/>
      <c r="BB1" s="164"/>
      <c r="BC1" s="164"/>
      <c r="BD1" s="164"/>
      <c r="BE1" s="164"/>
      <c r="BF1" s="164"/>
      <c r="BG1" s="164"/>
      <c r="BH1" s="164"/>
      <c r="BI1" s="164"/>
      <c r="BJ1" s="164"/>
      <c r="BK1" s="164"/>
      <c r="BL1" s="164"/>
      <c r="BM1" s="164"/>
      <c r="BN1" s="164"/>
      <c r="BO1" s="164"/>
      <c r="BP1" s="164"/>
      <c r="BQ1" s="164"/>
      <c r="BR1" s="164"/>
      <c r="BS1" s="164"/>
      <c r="BT1" s="164"/>
      <c r="BU1" s="164"/>
      <c r="BV1" s="164"/>
      <c r="BW1" s="164"/>
    </row>
    <row r="2" spans="1:75" ht="23.25" customHeight="1">
      <c r="A2" s="209"/>
      <c r="B2" s="94"/>
      <c r="C2" s="95"/>
      <c r="D2" s="96" t="s">
        <v>16</v>
      </c>
      <c r="E2" s="675" t="s">
        <v>51</v>
      </c>
      <c r="F2" s="676"/>
      <c r="G2" s="676"/>
      <c r="H2" s="676"/>
      <c r="I2" s="676"/>
      <c r="J2" s="676"/>
      <c r="K2" s="676"/>
      <c r="L2" s="677"/>
      <c r="M2" s="678" t="s">
        <v>52</v>
      </c>
      <c r="N2" s="676"/>
      <c r="O2" s="676"/>
      <c r="P2" s="676"/>
      <c r="Q2" s="676"/>
      <c r="R2" s="676"/>
      <c r="S2" s="676"/>
      <c r="T2" s="677"/>
      <c r="U2" s="106"/>
      <c r="V2" s="675" t="s">
        <v>201</v>
      </c>
      <c r="W2" s="676"/>
      <c r="X2" s="676"/>
      <c r="Y2" s="676"/>
      <c r="Z2" s="676"/>
      <c r="AA2" s="676"/>
      <c r="AB2" s="676"/>
      <c r="AC2" s="677"/>
      <c r="AD2" s="675" t="s">
        <v>187</v>
      </c>
      <c r="AE2" s="676"/>
      <c r="AF2" s="676"/>
      <c r="AG2" s="676"/>
      <c r="AH2" s="676"/>
      <c r="AI2" s="676"/>
      <c r="AJ2" s="676"/>
      <c r="AK2" s="677"/>
      <c r="AL2" s="106"/>
      <c r="AM2" s="675" t="s">
        <v>53</v>
      </c>
      <c r="AN2" s="676"/>
      <c r="AO2" s="676"/>
      <c r="AP2" s="676"/>
      <c r="AQ2" s="676"/>
      <c r="AR2" s="676"/>
      <c r="AS2" s="676"/>
      <c r="AT2" s="677"/>
      <c r="AU2" s="675" t="s">
        <v>54</v>
      </c>
      <c r="AV2" s="676"/>
      <c r="AW2" s="676"/>
      <c r="AX2" s="676"/>
      <c r="AY2" s="676"/>
      <c r="AZ2" s="676"/>
      <c r="BA2" s="676"/>
      <c r="BB2" s="677"/>
      <c r="BC2" s="698" t="s">
        <v>348</v>
      </c>
      <c r="BD2" s="699"/>
      <c r="BE2" s="699"/>
      <c r="BF2" s="699"/>
      <c r="BG2" s="699"/>
      <c r="BH2" s="699"/>
      <c r="BI2" s="699"/>
      <c r="BJ2" s="700"/>
      <c r="BK2" s="679" t="s">
        <v>185</v>
      </c>
      <c r="BL2" s="680" t="s">
        <v>17</v>
      </c>
      <c r="BM2" s="688" t="s">
        <v>51</v>
      </c>
      <c r="BN2" s="688" t="s">
        <v>52</v>
      </c>
      <c r="BO2" s="688" t="s">
        <v>186</v>
      </c>
      <c r="BP2" s="691" t="s">
        <v>187</v>
      </c>
      <c r="BQ2" s="688" t="s">
        <v>53</v>
      </c>
      <c r="BR2" s="691" t="s">
        <v>54</v>
      </c>
      <c r="BS2" s="691" t="s">
        <v>188</v>
      </c>
      <c r="BT2" s="691" t="s">
        <v>57</v>
      </c>
      <c r="BU2" s="692" t="s">
        <v>189</v>
      </c>
      <c r="BV2" s="689" t="s">
        <v>190</v>
      </c>
      <c r="BW2" s="690" t="s">
        <v>191</v>
      </c>
    </row>
    <row r="3" spans="1:75" ht="21" customHeight="1">
      <c r="A3" s="693"/>
      <c r="B3" s="694" t="s">
        <v>82</v>
      </c>
      <c r="C3" s="696" t="s">
        <v>192</v>
      </c>
      <c r="D3" s="97" t="s">
        <v>92</v>
      </c>
      <c r="E3" s="687" t="s">
        <v>193</v>
      </c>
      <c r="F3" s="686"/>
      <c r="G3" s="686"/>
      <c r="H3" s="686" t="s">
        <v>194</v>
      </c>
      <c r="I3" s="686"/>
      <c r="J3" s="686"/>
      <c r="K3" s="681" t="s">
        <v>29</v>
      </c>
      <c r="L3" s="683" t="s">
        <v>17</v>
      </c>
      <c r="M3" s="685" t="s">
        <v>193</v>
      </c>
      <c r="N3" s="686"/>
      <c r="O3" s="686"/>
      <c r="P3" s="686" t="s">
        <v>194</v>
      </c>
      <c r="Q3" s="686"/>
      <c r="R3" s="686"/>
      <c r="S3" s="681" t="s">
        <v>29</v>
      </c>
      <c r="T3" s="683" t="s">
        <v>17</v>
      </c>
      <c r="U3" s="34"/>
      <c r="V3" s="687" t="s">
        <v>193</v>
      </c>
      <c r="W3" s="686"/>
      <c r="X3" s="686"/>
      <c r="Y3" s="686" t="s">
        <v>194</v>
      </c>
      <c r="Z3" s="686"/>
      <c r="AA3" s="686"/>
      <c r="AB3" s="681" t="s">
        <v>29</v>
      </c>
      <c r="AC3" s="683" t="s">
        <v>17</v>
      </c>
      <c r="AD3" s="687" t="s">
        <v>193</v>
      </c>
      <c r="AE3" s="686"/>
      <c r="AF3" s="686"/>
      <c r="AG3" s="686" t="s">
        <v>194</v>
      </c>
      <c r="AH3" s="686"/>
      <c r="AI3" s="686"/>
      <c r="AJ3" s="681" t="s">
        <v>29</v>
      </c>
      <c r="AK3" s="683" t="s">
        <v>17</v>
      </c>
      <c r="AL3" s="34"/>
      <c r="AM3" s="687" t="s">
        <v>193</v>
      </c>
      <c r="AN3" s="686"/>
      <c r="AO3" s="686"/>
      <c r="AP3" s="686" t="s">
        <v>194</v>
      </c>
      <c r="AQ3" s="686"/>
      <c r="AR3" s="686"/>
      <c r="AS3" s="681" t="s">
        <v>29</v>
      </c>
      <c r="AT3" s="683" t="s">
        <v>17</v>
      </c>
      <c r="AU3" s="687" t="s">
        <v>193</v>
      </c>
      <c r="AV3" s="686"/>
      <c r="AW3" s="686"/>
      <c r="AX3" s="686" t="s">
        <v>194</v>
      </c>
      <c r="AY3" s="686"/>
      <c r="AZ3" s="686"/>
      <c r="BA3" s="681" t="s">
        <v>29</v>
      </c>
      <c r="BB3" s="683" t="s">
        <v>17</v>
      </c>
      <c r="BC3" s="701" t="s">
        <v>193</v>
      </c>
      <c r="BD3" s="702"/>
      <c r="BE3" s="685"/>
      <c r="BF3" s="703" t="s">
        <v>194</v>
      </c>
      <c r="BG3" s="702"/>
      <c r="BH3" s="685"/>
      <c r="BI3" s="704" t="s">
        <v>29</v>
      </c>
      <c r="BJ3" s="706" t="s">
        <v>17</v>
      </c>
      <c r="BK3" s="679"/>
      <c r="BL3" s="680"/>
      <c r="BM3" s="688"/>
      <c r="BN3" s="688"/>
      <c r="BO3" s="688"/>
      <c r="BP3" s="691"/>
      <c r="BQ3" s="688"/>
      <c r="BR3" s="691"/>
      <c r="BS3" s="691"/>
      <c r="BT3" s="691"/>
      <c r="BU3" s="692"/>
      <c r="BV3" s="689"/>
      <c r="BW3" s="690"/>
    </row>
    <row r="4" spans="1:75" ht="135" customHeight="1">
      <c r="A4" s="693"/>
      <c r="B4" s="695"/>
      <c r="C4" s="697"/>
      <c r="D4" s="98" t="s">
        <v>195</v>
      </c>
      <c r="E4" s="91" t="s">
        <v>81</v>
      </c>
      <c r="F4" s="79" t="s">
        <v>200</v>
      </c>
      <c r="G4" s="80" t="s">
        <v>196</v>
      </c>
      <c r="H4" s="79" t="s">
        <v>81</v>
      </c>
      <c r="I4" s="79" t="s">
        <v>200</v>
      </c>
      <c r="J4" s="80" t="s">
        <v>196</v>
      </c>
      <c r="K4" s="682"/>
      <c r="L4" s="684"/>
      <c r="M4" s="207" t="s">
        <v>81</v>
      </c>
      <c r="N4" s="79" t="s">
        <v>200</v>
      </c>
      <c r="O4" s="80" t="s">
        <v>196</v>
      </c>
      <c r="P4" s="79" t="s">
        <v>81</v>
      </c>
      <c r="Q4" s="79" t="s">
        <v>200</v>
      </c>
      <c r="R4" s="80" t="s">
        <v>196</v>
      </c>
      <c r="S4" s="682"/>
      <c r="T4" s="684"/>
      <c r="U4" s="34"/>
      <c r="V4" s="91" t="s">
        <v>81</v>
      </c>
      <c r="W4" s="79" t="s">
        <v>200</v>
      </c>
      <c r="X4" s="80" t="s">
        <v>196</v>
      </c>
      <c r="Y4" s="79" t="s">
        <v>81</v>
      </c>
      <c r="Z4" s="79" t="s">
        <v>200</v>
      </c>
      <c r="AA4" s="80" t="s">
        <v>196</v>
      </c>
      <c r="AB4" s="682"/>
      <c r="AC4" s="684"/>
      <c r="AD4" s="91" t="s">
        <v>81</v>
      </c>
      <c r="AE4" s="79" t="s">
        <v>200</v>
      </c>
      <c r="AF4" s="80" t="s">
        <v>196</v>
      </c>
      <c r="AG4" s="79" t="s">
        <v>81</v>
      </c>
      <c r="AH4" s="79" t="s">
        <v>200</v>
      </c>
      <c r="AI4" s="80" t="s">
        <v>196</v>
      </c>
      <c r="AJ4" s="682"/>
      <c r="AK4" s="684"/>
      <c r="AL4" s="34"/>
      <c r="AM4" s="91" t="s">
        <v>81</v>
      </c>
      <c r="AN4" s="79" t="s">
        <v>200</v>
      </c>
      <c r="AO4" s="80" t="s">
        <v>196</v>
      </c>
      <c r="AP4" s="79" t="s">
        <v>81</v>
      </c>
      <c r="AQ4" s="79" t="s">
        <v>200</v>
      </c>
      <c r="AR4" s="80" t="s">
        <v>196</v>
      </c>
      <c r="AS4" s="682"/>
      <c r="AT4" s="684"/>
      <c r="AU4" s="91" t="s">
        <v>81</v>
      </c>
      <c r="AV4" s="79" t="s">
        <v>200</v>
      </c>
      <c r="AW4" s="80" t="s">
        <v>196</v>
      </c>
      <c r="AX4" s="79" t="s">
        <v>81</v>
      </c>
      <c r="AY4" s="79" t="s">
        <v>200</v>
      </c>
      <c r="AZ4" s="80" t="s">
        <v>196</v>
      </c>
      <c r="BA4" s="682"/>
      <c r="BB4" s="684"/>
      <c r="BC4" s="91" t="s">
        <v>81</v>
      </c>
      <c r="BD4" s="79" t="s">
        <v>200</v>
      </c>
      <c r="BE4" s="80" t="s">
        <v>196</v>
      </c>
      <c r="BF4" s="79" t="s">
        <v>81</v>
      </c>
      <c r="BG4" s="79" t="s">
        <v>200</v>
      </c>
      <c r="BH4" s="80" t="s">
        <v>196</v>
      </c>
      <c r="BI4" s="705"/>
      <c r="BJ4" s="707"/>
      <c r="BK4" s="679"/>
      <c r="BL4" s="680"/>
      <c r="BM4" s="688"/>
      <c r="BN4" s="688"/>
      <c r="BO4" s="688"/>
      <c r="BP4" s="691"/>
      <c r="BQ4" s="688"/>
      <c r="BR4" s="691"/>
      <c r="BS4" s="691"/>
      <c r="BT4" s="691"/>
      <c r="BU4" s="692"/>
      <c r="BV4" s="689"/>
      <c r="BW4" s="690"/>
    </row>
    <row r="5" spans="1:75" ht="18.75" thickBot="1">
      <c r="A5" s="210"/>
      <c r="B5" s="93"/>
      <c r="C5" s="137"/>
      <c r="D5" s="136" t="s">
        <v>197</v>
      </c>
      <c r="E5" s="84">
        <v>40</v>
      </c>
      <c r="F5" s="85">
        <v>40</v>
      </c>
      <c r="G5" s="85">
        <v>20</v>
      </c>
      <c r="H5" s="85">
        <v>40</v>
      </c>
      <c r="I5" s="85">
        <v>40</v>
      </c>
      <c r="J5" s="85">
        <v>20</v>
      </c>
      <c r="K5" s="85">
        <v>200</v>
      </c>
      <c r="L5" s="90"/>
      <c r="M5" s="208">
        <v>40</v>
      </c>
      <c r="N5" s="85">
        <v>40</v>
      </c>
      <c r="O5" s="85">
        <v>20</v>
      </c>
      <c r="P5" s="85">
        <v>40</v>
      </c>
      <c r="Q5" s="85">
        <v>40</v>
      </c>
      <c r="R5" s="85">
        <v>20</v>
      </c>
      <c r="S5" s="85">
        <v>200</v>
      </c>
      <c r="T5" s="86"/>
      <c r="U5" s="35"/>
      <c r="V5" s="84">
        <v>40</v>
      </c>
      <c r="W5" s="85">
        <v>40</v>
      </c>
      <c r="X5" s="85">
        <v>20</v>
      </c>
      <c r="Y5" s="85">
        <v>40</v>
      </c>
      <c r="Z5" s="85">
        <v>40</v>
      </c>
      <c r="AA5" s="85">
        <v>20</v>
      </c>
      <c r="AB5" s="85">
        <v>200</v>
      </c>
      <c r="AC5" s="86"/>
      <c r="AD5" s="84">
        <v>40</v>
      </c>
      <c r="AE5" s="85">
        <v>40</v>
      </c>
      <c r="AF5" s="85">
        <v>20</v>
      </c>
      <c r="AG5" s="85">
        <v>40</v>
      </c>
      <c r="AH5" s="85">
        <v>40</v>
      </c>
      <c r="AI5" s="85">
        <v>20</v>
      </c>
      <c r="AJ5" s="85">
        <v>200</v>
      </c>
      <c r="AK5" s="86"/>
      <c r="AL5" s="35"/>
      <c r="AM5" s="84">
        <v>40</v>
      </c>
      <c r="AN5" s="85">
        <v>40</v>
      </c>
      <c r="AO5" s="85">
        <v>20</v>
      </c>
      <c r="AP5" s="85">
        <v>40</v>
      </c>
      <c r="AQ5" s="85">
        <v>40</v>
      </c>
      <c r="AR5" s="85">
        <v>20</v>
      </c>
      <c r="AS5" s="85">
        <v>200</v>
      </c>
      <c r="AT5" s="86"/>
      <c r="AU5" s="84">
        <v>40</v>
      </c>
      <c r="AV5" s="85">
        <v>40</v>
      </c>
      <c r="AW5" s="85">
        <v>20</v>
      </c>
      <c r="AX5" s="85">
        <v>40</v>
      </c>
      <c r="AY5" s="85">
        <v>40</v>
      </c>
      <c r="AZ5" s="85">
        <v>20</v>
      </c>
      <c r="BA5" s="85">
        <v>200</v>
      </c>
      <c r="BB5" s="86"/>
      <c r="BC5" s="84">
        <v>40</v>
      </c>
      <c r="BD5" s="85">
        <v>40</v>
      </c>
      <c r="BE5" s="85">
        <v>20</v>
      </c>
      <c r="BF5" s="85">
        <v>40</v>
      </c>
      <c r="BG5" s="85">
        <v>40</v>
      </c>
      <c r="BH5" s="85">
        <v>20</v>
      </c>
      <c r="BI5" s="85">
        <v>200</v>
      </c>
      <c r="BJ5" s="89"/>
      <c r="BK5" s="84">
        <v>400</v>
      </c>
      <c r="BL5" s="90"/>
      <c r="BM5" s="78">
        <v>200</v>
      </c>
      <c r="BN5" s="78">
        <v>200</v>
      </c>
      <c r="BO5" s="78">
        <v>200</v>
      </c>
      <c r="BP5" s="78">
        <v>200</v>
      </c>
      <c r="BQ5" s="78">
        <v>200</v>
      </c>
      <c r="BR5" s="78">
        <v>200</v>
      </c>
      <c r="BS5" s="78">
        <v>200</v>
      </c>
      <c r="BT5" s="78">
        <v>100</v>
      </c>
      <c r="BU5" s="84">
        <v>1800</v>
      </c>
      <c r="BV5" s="99">
        <v>1</v>
      </c>
      <c r="BW5" s="100"/>
    </row>
    <row r="6" spans="1:75" ht="24.6" customHeight="1">
      <c r="A6" s="259">
        <v>1</v>
      </c>
      <c r="B6" s="261" t="str">
        <f ca="1">INDIRECT("'A-RACHNATMAK'!b"&amp;(ROW(A1)-1)*3+11)</f>
        <v>ગોહેલ રાજેશભાઇ ચીથરભાઇ</v>
      </c>
      <c r="C6" s="165">
        <f>STUDENTS!D4</f>
        <v>1555</v>
      </c>
      <c r="D6" s="166">
        <f>STUDENTS!D6</f>
        <v>35170</v>
      </c>
      <c r="E6" s="244">
        <f ca="1">INDIRECT("'A-RACHNATMAK'!Z"&amp;(ROW(A1)-1)*3+11)</f>
        <v>3</v>
      </c>
      <c r="F6" s="245">
        <v>25</v>
      </c>
      <c r="G6" s="245">
        <v>12</v>
      </c>
      <c r="H6" s="246">
        <f ca="1">INDIRECT("'A-RACHNATMAK'!ba"&amp;(ROW(A1)-1)*3+11)</f>
        <v>3</v>
      </c>
      <c r="I6" s="245">
        <v>31</v>
      </c>
      <c r="J6" s="245">
        <v>15</v>
      </c>
      <c r="K6" s="247">
        <f ca="1">SUM(E6:J6)</f>
        <v>89</v>
      </c>
      <c r="L6" s="248" t="str">
        <f ca="1">IF(K6&gt;160,"A",IF(K6&gt;130,"B",IF(K6&gt;100,"C",IF(K6&gt;70,"D",IF(K6&gt;0,"E","")))))</f>
        <v>D</v>
      </c>
      <c r="M6" s="244">
        <f ca="1">INDIRECT("'A-RACHNATMAK'!Z"&amp;(ROW(A1)-1)*3+123)</f>
        <v>6</v>
      </c>
      <c r="N6" s="245">
        <v>25</v>
      </c>
      <c r="O6" s="245">
        <v>12</v>
      </c>
      <c r="P6" s="246">
        <f ca="1">INDIRECT("'A-RACHNATMAK'!ba"&amp;(ROW(A1)-1)*3+123)</f>
        <v>0</v>
      </c>
      <c r="Q6" s="245">
        <v>31</v>
      </c>
      <c r="R6" s="245">
        <v>15</v>
      </c>
      <c r="S6" s="247">
        <f ca="1">SUM(M6:R6)</f>
        <v>89</v>
      </c>
      <c r="T6" s="248" t="str">
        <f ca="1">IF(S6&gt;160,"A",IF(S6&gt;130,"B",IF(S6&gt;100,"C",IF(S6&gt;70,"D",IF(S6&gt;0,"E","")))))</f>
        <v>D</v>
      </c>
      <c r="U6" s="36"/>
      <c r="V6" s="244">
        <f ca="1">INDIRECT("'A-RACHNATMAK'!Z"&amp;(ROW(A1)-1)*3+235)</f>
        <v>0</v>
      </c>
      <c r="W6" s="245">
        <v>25</v>
      </c>
      <c r="X6" s="245">
        <v>12</v>
      </c>
      <c r="Y6" s="246">
        <f ca="1">INDIRECT("'A-RACHNATMAK'!ba"&amp;(ROW(A1)-1)*3+235)</f>
        <v>0</v>
      </c>
      <c r="Z6" s="245">
        <v>31</v>
      </c>
      <c r="AA6" s="245">
        <v>15</v>
      </c>
      <c r="AB6" s="247">
        <f ca="1">SUM(V6:AA6)</f>
        <v>83</v>
      </c>
      <c r="AC6" s="248" t="str">
        <f ca="1">IF(AB6&gt;160,"A",IF(AB6&gt;130,"B",IF(AB6&gt;100,"C",IF(AB6&gt;70,"D",IF(AB6&gt;0,"E","")))))</f>
        <v>D</v>
      </c>
      <c r="AD6" s="244">
        <f ca="1">INDIRECT("'A-RACHNATMAK'!Z"&amp;(ROW(A1)-1)*3+459)</f>
        <v>3</v>
      </c>
      <c r="AE6" s="245">
        <v>25</v>
      </c>
      <c r="AF6" s="245">
        <v>12</v>
      </c>
      <c r="AG6" s="246">
        <f ca="1">INDIRECT("'A-RACHNATMAK'!ba"&amp;(ROW(A1)-1)*3+459)</f>
        <v>0</v>
      </c>
      <c r="AH6" s="245">
        <v>31</v>
      </c>
      <c r="AI6" s="245">
        <v>15</v>
      </c>
      <c r="AJ6" s="247">
        <f ca="1">SUM(AD6:AI6)</f>
        <v>86</v>
      </c>
      <c r="AK6" s="248" t="str">
        <f ca="1">IF(AJ6&gt;160,"A",IF(AJ6&gt;130,"B",IF(AJ6&gt;100,"C",IF(AJ6&gt;70,"D",IF(AJ6&gt;0,"E","")))))</f>
        <v>D</v>
      </c>
      <c r="AL6" s="36"/>
      <c r="AM6" s="244">
        <f ca="1">INDIRECT("'A-RACHNATMAK'!Z"&amp;(ROW(A1)-1)*3+347)</f>
        <v>6</v>
      </c>
      <c r="AN6" s="245">
        <v>25</v>
      </c>
      <c r="AO6" s="245">
        <v>12</v>
      </c>
      <c r="AP6" s="246">
        <f ca="1">INDIRECT("'A-RACHNATMAK'!ba"&amp;(ROW(A1)-1)*3+347)</f>
        <v>3</v>
      </c>
      <c r="AQ6" s="245">
        <v>31</v>
      </c>
      <c r="AR6" s="245">
        <v>15</v>
      </c>
      <c r="AS6" s="247">
        <f ca="1">SUM(AM6:AR6)</f>
        <v>92</v>
      </c>
      <c r="AT6" s="248" t="str">
        <f ca="1">IF(AS6&gt;160,"A",IF(AS6&gt;130,"B",IF(AS6&gt;100,"C",IF(AS6&gt;70,"D",IF(AS6&gt;0,"E","")))))</f>
        <v>D</v>
      </c>
      <c r="AU6" s="244">
        <f ca="1">INDIRECT("'A-RACHNATMAK'!Z"&amp;(ROW(A1)-1)*3+571)</f>
        <v>0</v>
      </c>
      <c r="AV6" s="245">
        <v>25</v>
      </c>
      <c r="AW6" s="245">
        <v>12</v>
      </c>
      <c r="AX6" s="246">
        <f ca="1">INDIRECT("'A-RACHNATMAK'!ba"&amp;(ROW(A1)-1)*3+571)</f>
        <v>0</v>
      </c>
      <c r="AY6" s="245">
        <v>31</v>
      </c>
      <c r="AZ6" s="245">
        <v>15</v>
      </c>
      <c r="BA6" s="247">
        <f ca="1">SUM(AU6:AZ6)</f>
        <v>83</v>
      </c>
      <c r="BB6" s="248" t="str">
        <f ca="1">IF(BA6&gt;160,"A",IF(BA6&gt;130,"B",IF(BA6&gt;100,"C",IF(BA6&gt;70,"D",IF(BA6&gt;0,"E","")))))</f>
        <v>D</v>
      </c>
      <c r="BC6" s="244">
        <f ca="1">INDIRECT("'A-RACHNATMAK'!Z"&amp;(ROW(A1)-1)*3+683)</f>
        <v>0</v>
      </c>
      <c r="BD6" s="245">
        <v>25</v>
      </c>
      <c r="BE6" s="245">
        <v>12</v>
      </c>
      <c r="BF6" s="246">
        <f ca="1">INDIRECT("'A-RACHNATMAK'!ba"&amp;(ROW(A1)-1)*3+683)</f>
        <v>0</v>
      </c>
      <c r="BG6" s="245">
        <v>31</v>
      </c>
      <c r="BH6" s="245">
        <v>15</v>
      </c>
      <c r="BI6" s="247">
        <f ca="1">SUM(BC6:BH6)</f>
        <v>83</v>
      </c>
      <c r="BJ6" s="248" t="str">
        <f ca="1">IF(BI6&gt;160,"A",IF(BI6&gt;130,"B",IF(BI6&gt;100,"C",IF(BI6&gt;70,"D",IF(BI6&gt;0,"E","")))))</f>
        <v>D</v>
      </c>
      <c r="BK6" s="133">
        <f ca="1">INDIRECT("'B-VV STD-5'!AS"&amp;(ROW(A1)-1)*2+8)</f>
        <v>8</v>
      </c>
      <c r="BL6" s="81" t="str">
        <f ca="1">IF(BK6&gt;320,"A",IF(BK6&gt;260,"B",IF(BK6&gt;200,"C",IF(BK6&gt;140,"D",IF(BK6&gt;0,"E","")))))</f>
        <v>E</v>
      </c>
      <c r="BM6" s="87">
        <v>68</v>
      </c>
      <c r="BN6" s="87">
        <v>68</v>
      </c>
      <c r="BO6" s="87">
        <v>68</v>
      </c>
      <c r="BP6" s="87">
        <v>68</v>
      </c>
      <c r="BQ6" s="87">
        <v>76.666666666666671</v>
      </c>
      <c r="BR6" s="87">
        <v>68</v>
      </c>
      <c r="BS6" s="87">
        <v>77.142857142857139</v>
      </c>
      <c r="BT6" s="87">
        <v>34</v>
      </c>
      <c r="BU6" s="101">
        <f t="shared" ref="BU6:BU40" ca="1" si="0">K6+S6+AB6+AJ6+AS6+BA6+BI6+BK6</f>
        <v>613</v>
      </c>
      <c r="BV6" s="107">
        <f ca="1">ROUND(BU6/18,2)</f>
        <v>34.06</v>
      </c>
      <c r="BW6" s="81" t="str">
        <f ca="1">IF(BU6&gt;1440,"A",IF(BU6&gt;1170,"B",IF(BU6&gt;900,"C",IF(BU6&gt;630,"D",IF(BU6&gt;0,"E","")))))</f>
        <v>E</v>
      </c>
    </row>
    <row r="7" spans="1:75" ht="24.6" customHeight="1">
      <c r="A7" s="259">
        <v>2</v>
      </c>
      <c r="B7" s="262" t="str">
        <f t="shared" ref="B7:B40" ca="1" si="1">INDIRECT("'A-RACHNATMAK'!b"&amp;(ROW(A2)-1)*3+11)</f>
        <v>ખિમસુરીયા સાહિલકુમાર અરજણભાઇ</v>
      </c>
      <c r="C7" s="167">
        <f>STUDENTS!D16</f>
        <v>0</v>
      </c>
      <c r="D7" s="168">
        <f>STUDENTS!D18</f>
        <v>0</v>
      </c>
      <c r="E7" s="249">
        <f ca="1">INDIRECT("'A-RACHNATMAK'!Z"&amp;(ROW(A2)-1)*3+11)</f>
        <v>6</v>
      </c>
      <c r="F7" s="250">
        <v>23</v>
      </c>
      <c r="G7" s="250">
        <v>20</v>
      </c>
      <c r="H7" s="251">
        <f t="shared" ref="H7:H40" ca="1" si="2">INDIRECT("'A-RACHNATMAK'!ba"&amp;(ROW(A2)-1)*3+11)</f>
        <v>6</v>
      </c>
      <c r="I7" s="250"/>
      <c r="J7" s="250"/>
      <c r="K7" s="252">
        <f t="shared" ref="K7:K40" ca="1" si="3">SUM(E7:J7)</f>
        <v>55</v>
      </c>
      <c r="L7" s="253" t="str">
        <f t="shared" ref="L7:L40" ca="1" si="4">IF(K7&gt;160,"A",IF(K7&gt;130,"B",IF(K7&gt;100,"C",IF(K7&gt;70,"D",IF(K7&gt;0,"E","")))))</f>
        <v>E</v>
      </c>
      <c r="M7" s="249">
        <f t="shared" ref="M7:M40" ca="1" si="5">INDIRECT("'A-RACHNATMAK'!Z"&amp;(ROW(A2)-1)*3+123)</f>
        <v>0</v>
      </c>
      <c r="N7" s="250"/>
      <c r="O7" s="250"/>
      <c r="P7" s="251">
        <f t="shared" ref="P7:P40" ca="1" si="6">INDIRECT("'A-RACHNATMAK'!ba"&amp;(ROW(A2)-1)*3+123)</f>
        <v>0</v>
      </c>
      <c r="Q7" s="250"/>
      <c r="R7" s="250"/>
      <c r="S7" s="252">
        <f t="shared" ref="S7:S40" ca="1" si="7">SUM(M7:R7)</f>
        <v>0</v>
      </c>
      <c r="T7" s="253" t="str">
        <f t="shared" ref="T7:T40" ca="1" si="8">IF(S7&gt;160,"A",IF(S7&gt;130,"B",IF(S7&gt;100,"C",IF(S7&gt;70,"D",IF(S7&gt;0,"E","")))))</f>
        <v/>
      </c>
      <c r="U7" s="36"/>
      <c r="V7" s="249">
        <f t="shared" ref="V7:V40" ca="1" si="9">INDIRECT("'A-RACHNATMAK'!Z"&amp;(ROW(A2)-1)*3+235)</f>
        <v>0</v>
      </c>
      <c r="W7" s="250"/>
      <c r="X7" s="250"/>
      <c r="Y7" s="251">
        <f t="shared" ref="Y7:Y40" ca="1" si="10">INDIRECT("'A-RACHNATMAK'!ba"&amp;(ROW(A2)-1)*3+235)</f>
        <v>0</v>
      </c>
      <c r="Z7" s="250"/>
      <c r="AA7" s="250"/>
      <c r="AB7" s="252">
        <f t="shared" ref="AB7:AB40" ca="1" si="11">SUM(V7:AA7)</f>
        <v>0</v>
      </c>
      <c r="AC7" s="253" t="str">
        <f t="shared" ref="AC7:AC40" ca="1" si="12">IF(AB7&gt;160,"A",IF(AB7&gt;130,"B",IF(AB7&gt;100,"C",IF(AB7&gt;70,"D",IF(AB7&gt;0,"E","")))))</f>
        <v/>
      </c>
      <c r="AD7" s="249">
        <f t="shared" ref="AD7:AD40" ca="1" si="13">INDIRECT("'A-RACHNATMAK'!Z"&amp;(ROW(A2)-1)*3+459)</f>
        <v>0</v>
      </c>
      <c r="AE7" s="250"/>
      <c r="AF7" s="250"/>
      <c r="AG7" s="251">
        <f t="shared" ref="AG7:AG40" ca="1" si="14">INDIRECT("'A-RACHNATMAK'!ba"&amp;(ROW(A2)-1)*3+459)</f>
        <v>0</v>
      </c>
      <c r="AH7" s="250"/>
      <c r="AI7" s="250"/>
      <c r="AJ7" s="252">
        <f t="shared" ref="AJ7:AJ40" ca="1" si="15">SUM(AD7:AI7)</f>
        <v>0</v>
      </c>
      <c r="AK7" s="253" t="str">
        <f t="shared" ref="AK7:AK40" ca="1" si="16">IF(AJ7&gt;160,"A",IF(AJ7&gt;130,"B",IF(AJ7&gt;100,"C",IF(AJ7&gt;70,"D",IF(AJ7&gt;0,"E","")))))</f>
        <v/>
      </c>
      <c r="AL7" s="36"/>
      <c r="AM7" s="249">
        <f t="shared" ref="AM7:AM40" ca="1" si="17">INDIRECT("'A-RACHNATMAK'!Z"&amp;(ROW(A2)-1)*3+347)</f>
        <v>0</v>
      </c>
      <c r="AN7" s="250"/>
      <c r="AO7" s="250"/>
      <c r="AP7" s="251">
        <f t="shared" ref="AP7:AP40" ca="1" si="18">INDIRECT("'A-RACHNATMAK'!ba"&amp;(ROW(A2)-1)*3+347)</f>
        <v>0</v>
      </c>
      <c r="AQ7" s="250"/>
      <c r="AR7" s="250"/>
      <c r="AS7" s="252">
        <f t="shared" ref="AS7:AS40" ca="1" si="19">SUM(AM7:AR7)</f>
        <v>0</v>
      </c>
      <c r="AT7" s="253" t="str">
        <f t="shared" ref="AT7:AT40" ca="1" si="20">IF(AS7&gt;160,"A",IF(AS7&gt;130,"B",IF(AS7&gt;100,"C",IF(AS7&gt;70,"D",IF(AS7&gt;0,"E","")))))</f>
        <v/>
      </c>
      <c r="AU7" s="249">
        <f t="shared" ref="AU7:AU40" ca="1" si="21">INDIRECT("'A-RACHNATMAK'!Z"&amp;(ROW(A2)-1)*3+571)</f>
        <v>0</v>
      </c>
      <c r="AV7" s="250"/>
      <c r="AW7" s="250"/>
      <c r="AX7" s="251">
        <f t="shared" ref="AX7:AX40" ca="1" si="22">INDIRECT("'A-RACHNATMAK'!ba"&amp;(ROW(A2)-1)*3+571)</f>
        <v>0</v>
      </c>
      <c r="AY7" s="250"/>
      <c r="AZ7" s="250"/>
      <c r="BA7" s="252">
        <f t="shared" ref="BA7:BA40" ca="1" si="23">SUM(AU7:AZ7)</f>
        <v>0</v>
      </c>
      <c r="BB7" s="253" t="str">
        <f t="shared" ref="BB7:BB40" ca="1" si="24">IF(BA7&gt;160,"A",IF(BA7&gt;130,"B",IF(BA7&gt;100,"C",IF(BA7&gt;70,"D",IF(BA7&gt;0,"E","")))))</f>
        <v/>
      </c>
      <c r="BC7" s="249">
        <f t="shared" ref="BC7:BC40" ca="1" si="25">INDIRECT("'A-RACHNATMAK'!Z"&amp;(ROW(A2)-1)*3+683)</f>
        <v>0</v>
      </c>
      <c r="BD7" s="250"/>
      <c r="BE7" s="250"/>
      <c r="BF7" s="251">
        <f t="shared" ref="BF7:BF40" ca="1" si="26">INDIRECT("'A-RACHNATMAK'!ba"&amp;(ROW(A2)-1)*3+683)</f>
        <v>0</v>
      </c>
      <c r="BG7" s="250"/>
      <c r="BH7" s="250"/>
      <c r="BI7" s="252">
        <f t="shared" ref="BI7:BI40" ca="1" si="27">SUM(BC7:BH7)</f>
        <v>0</v>
      </c>
      <c r="BJ7" s="253" t="str">
        <f t="shared" ref="BJ7:BJ40" ca="1" si="28">IF(BI7&gt;160,"A",IF(BI7&gt;130,"B",IF(BI7&gt;100,"C",IF(BI7&gt;70,"D",IF(BI7&gt;0,"E","")))))</f>
        <v/>
      </c>
      <c r="BK7" s="134">
        <f t="shared" ref="BK7:BK40" ca="1" si="29">INDIRECT("'B-VV STD-5'!AS"&amp;(ROW(A2)-1)*2+8)</f>
        <v>16</v>
      </c>
      <c r="BL7" s="82" t="str">
        <f t="shared" ref="BL7:BL40" ca="1" si="30">IF(BK7&gt;320,"A",IF(BK7&gt;260,"B",IF(BK7&gt;200,"C",IF(BK7&gt;140,"D",IF(BK7&gt;0,"E","")))))</f>
        <v>E</v>
      </c>
      <c r="BM7" s="88">
        <v>68</v>
      </c>
      <c r="BN7" s="88">
        <v>68</v>
      </c>
      <c r="BO7" s="88">
        <v>68</v>
      </c>
      <c r="BP7" s="88">
        <v>68</v>
      </c>
      <c r="BQ7" s="88">
        <v>76.666666666666671</v>
      </c>
      <c r="BR7" s="88">
        <v>68</v>
      </c>
      <c r="BS7" s="88">
        <v>77.142857142857139</v>
      </c>
      <c r="BT7" s="88">
        <v>34</v>
      </c>
      <c r="BU7" s="102">
        <f t="shared" ca="1" si="0"/>
        <v>71</v>
      </c>
      <c r="BV7" s="103">
        <f t="shared" ref="BV7:BV40" ca="1" si="31">ROUND(BU7/18,2)</f>
        <v>3.94</v>
      </c>
      <c r="BW7" s="82" t="str">
        <f t="shared" ref="BW7:BW40" ca="1" si="32">IF(BU7&gt;1440,"A",IF(BU7&gt;1170,"B",IF(BU7&gt;900,"C",IF(BU7&gt;630,"D",IF(BU7&gt;0,"E","")))))</f>
        <v>E</v>
      </c>
    </row>
    <row r="8" spans="1:75" ht="24.6" customHeight="1">
      <c r="A8" s="259">
        <v>3</v>
      </c>
      <c r="B8" s="262" t="str">
        <f t="shared" ca="1" si="1"/>
        <v>ગરણિયા મયુરકુમાર અશોકભાઇ</v>
      </c>
      <c r="C8" s="167">
        <f>STUDENTS!D28</f>
        <v>0</v>
      </c>
      <c r="D8" s="168">
        <f>STUDENTS!D30</f>
        <v>0</v>
      </c>
      <c r="E8" s="249">
        <f t="shared" ref="E8:E40" ca="1" si="33">INDIRECT("'A-RACHNATMAK'!Z"&amp;(ROW(A3)-1)*3+11)</f>
        <v>0</v>
      </c>
      <c r="F8" s="250"/>
      <c r="G8" s="250"/>
      <c r="H8" s="251">
        <f t="shared" ca="1" si="2"/>
        <v>3</v>
      </c>
      <c r="I8" s="250"/>
      <c r="J8" s="250"/>
      <c r="K8" s="252">
        <f t="shared" ca="1" si="3"/>
        <v>3</v>
      </c>
      <c r="L8" s="253" t="str">
        <f t="shared" ca="1" si="4"/>
        <v>E</v>
      </c>
      <c r="M8" s="249">
        <f t="shared" ca="1" si="5"/>
        <v>0</v>
      </c>
      <c r="N8" s="250"/>
      <c r="O8" s="250"/>
      <c r="P8" s="251">
        <f t="shared" ca="1" si="6"/>
        <v>0</v>
      </c>
      <c r="Q8" s="250"/>
      <c r="R8" s="250"/>
      <c r="S8" s="252">
        <f t="shared" ca="1" si="7"/>
        <v>0</v>
      </c>
      <c r="T8" s="253" t="str">
        <f t="shared" ca="1" si="8"/>
        <v/>
      </c>
      <c r="U8" s="36"/>
      <c r="V8" s="249">
        <f t="shared" ca="1" si="9"/>
        <v>0</v>
      </c>
      <c r="W8" s="250"/>
      <c r="X8" s="250"/>
      <c r="Y8" s="251">
        <f t="shared" ca="1" si="10"/>
        <v>0</v>
      </c>
      <c r="Z8" s="250"/>
      <c r="AA8" s="250"/>
      <c r="AB8" s="252">
        <f t="shared" ca="1" si="11"/>
        <v>0</v>
      </c>
      <c r="AC8" s="253" t="str">
        <f t="shared" ca="1" si="12"/>
        <v/>
      </c>
      <c r="AD8" s="249">
        <f t="shared" ca="1" si="13"/>
        <v>0</v>
      </c>
      <c r="AE8" s="250"/>
      <c r="AF8" s="250"/>
      <c r="AG8" s="251">
        <f t="shared" ca="1" si="14"/>
        <v>0</v>
      </c>
      <c r="AH8" s="250"/>
      <c r="AI8" s="250"/>
      <c r="AJ8" s="252">
        <f t="shared" ca="1" si="15"/>
        <v>0</v>
      </c>
      <c r="AK8" s="253" t="str">
        <f t="shared" ca="1" si="16"/>
        <v/>
      </c>
      <c r="AL8" s="36"/>
      <c r="AM8" s="249">
        <f t="shared" ca="1" si="17"/>
        <v>0</v>
      </c>
      <c r="AN8" s="250"/>
      <c r="AO8" s="250"/>
      <c r="AP8" s="251">
        <f t="shared" ca="1" si="18"/>
        <v>0</v>
      </c>
      <c r="AQ8" s="250"/>
      <c r="AR8" s="250"/>
      <c r="AS8" s="252">
        <f t="shared" ca="1" si="19"/>
        <v>0</v>
      </c>
      <c r="AT8" s="253" t="str">
        <f t="shared" ca="1" si="20"/>
        <v/>
      </c>
      <c r="AU8" s="249">
        <f t="shared" ca="1" si="21"/>
        <v>0</v>
      </c>
      <c r="AV8" s="250"/>
      <c r="AW8" s="250"/>
      <c r="AX8" s="251">
        <f t="shared" ca="1" si="22"/>
        <v>0</v>
      </c>
      <c r="AY8" s="250"/>
      <c r="AZ8" s="250"/>
      <c r="BA8" s="252">
        <f t="shared" ca="1" si="23"/>
        <v>0</v>
      </c>
      <c r="BB8" s="253" t="str">
        <f t="shared" ca="1" si="24"/>
        <v/>
      </c>
      <c r="BC8" s="249">
        <f t="shared" ca="1" si="25"/>
        <v>0</v>
      </c>
      <c r="BD8" s="250"/>
      <c r="BE8" s="250"/>
      <c r="BF8" s="251">
        <f t="shared" ca="1" si="26"/>
        <v>0</v>
      </c>
      <c r="BG8" s="250"/>
      <c r="BH8" s="250"/>
      <c r="BI8" s="252">
        <f t="shared" ca="1" si="27"/>
        <v>0</v>
      </c>
      <c r="BJ8" s="253" t="str">
        <f t="shared" ca="1" si="28"/>
        <v/>
      </c>
      <c r="BK8" s="134">
        <f t="shared" ca="1" si="29"/>
        <v>0</v>
      </c>
      <c r="BL8" s="82" t="str">
        <f t="shared" ca="1" si="30"/>
        <v/>
      </c>
      <c r="BM8" s="88">
        <v>68</v>
      </c>
      <c r="BN8" s="88">
        <v>68</v>
      </c>
      <c r="BO8" s="88">
        <v>68</v>
      </c>
      <c r="BP8" s="88">
        <v>68</v>
      </c>
      <c r="BQ8" s="88">
        <v>76.666666666666671</v>
      </c>
      <c r="BR8" s="88">
        <v>68</v>
      </c>
      <c r="BS8" s="88">
        <v>77.142857142857139</v>
      </c>
      <c r="BT8" s="88">
        <v>34</v>
      </c>
      <c r="BU8" s="102">
        <f t="shared" ca="1" si="0"/>
        <v>3</v>
      </c>
      <c r="BV8" s="103">
        <f t="shared" ca="1" si="31"/>
        <v>0.17</v>
      </c>
      <c r="BW8" s="82" t="str">
        <f t="shared" ca="1" si="32"/>
        <v>E</v>
      </c>
    </row>
    <row r="9" spans="1:75" ht="24.6" customHeight="1">
      <c r="A9" s="259">
        <v>4</v>
      </c>
      <c r="B9" s="262" t="str">
        <f t="shared" ca="1" si="1"/>
        <v>ગરણિયા અલ્પેશકુમાર મેરામભાઇ</v>
      </c>
      <c r="C9" s="167">
        <f>STUDENTS!D40</f>
        <v>0</v>
      </c>
      <c r="D9" s="168">
        <f>STUDENTS!D42</f>
        <v>0</v>
      </c>
      <c r="E9" s="249">
        <f t="shared" ca="1" si="33"/>
        <v>0</v>
      </c>
      <c r="F9" s="250"/>
      <c r="G9" s="250"/>
      <c r="H9" s="251">
        <f t="shared" ca="1" si="2"/>
        <v>0</v>
      </c>
      <c r="I9" s="250"/>
      <c r="J9" s="250"/>
      <c r="K9" s="252">
        <f t="shared" ca="1" si="3"/>
        <v>0</v>
      </c>
      <c r="L9" s="253" t="str">
        <f t="shared" ca="1" si="4"/>
        <v/>
      </c>
      <c r="M9" s="249">
        <f t="shared" ca="1" si="5"/>
        <v>0</v>
      </c>
      <c r="N9" s="250"/>
      <c r="O9" s="250"/>
      <c r="P9" s="251">
        <f t="shared" ca="1" si="6"/>
        <v>0</v>
      </c>
      <c r="Q9" s="250"/>
      <c r="R9" s="250"/>
      <c r="S9" s="252">
        <f t="shared" ca="1" si="7"/>
        <v>0</v>
      </c>
      <c r="T9" s="253" t="str">
        <f t="shared" ca="1" si="8"/>
        <v/>
      </c>
      <c r="U9" s="36"/>
      <c r="V9" s="249">
        <f t="shared" ca="1" si="9"/>
        <v>0</v>
      </c>
      <c r="W9" s="250"/>
      <c r="X9" s="250"/>
      <c r="Y9" s="251">
        <f t="shared" ca="1" si="10"/>
        <v>0</v>
      </c>
      <c r="Z9" s="250"/>
      <c r="AA9" s="250"/>
      <c r="AB9" s="252">
        <f t="shared" ca="1" si="11"/>
        <v>0</v>
      </c>
      <c r="AC9" s="253" t="str">
        <f t="shared" ca="1" si="12"/>
        <v/>
      </c>
      <c r="AD9" s="249">
        <f t="shared" ca="1" si="13"/>
        <v>0</v>
      </c>
      <c r="AE9" s="250"/>
      <c r="AF9" s="250"/>
      <c r="AG9" s="251">
        <f t="shared" ca="1" si="14"/>
        <v>0</v>
      </c>
      <c r="AH9" s="250"/>
      <c r="AI9" s="250"/>
      <c r="AJ9" s="252">
        <f t="shared" ca="1" si="15"/>
        <v>0</v>
      </c>
      <c r="AK9" s="253" t="str">
        <f t="shared" ca="1" si="16"/>
        <v/>
      </c>
      <c r="AL9" s="36"/>
      <c r="AM9" s="249">
        <f t="shared" ca="1" si="17"/>
        <v>0</v>
      </c>
      <c r="AN9" s="250"/>
      <c r="AO9" s="250"/>
      <c r="AP9" s="251">
        <f t="shared" ca="1" si="18"/>
        <v>0</v>
      </c>
      <c r="AQ9" s="250"/>
      <c r="AR9" s="250"/>
      <c r="AS9" s="252">
        <f t="shared" ca="1" si="19"/>
        <v>0</v>
      </c>
      <c r="AT9" s="253" t="str">
        <f t="shared" ca="1" si="20"/>
        <v/>
      </c>
      <c r="AU9" s="249">
        <f t="shared" ca="1" si="21"/>
        <v>0</v>
      </c>
      <c r="AV9" s="250"/>
      <c r="AW9" s="250"/>
      <c r="AX9" s="251">
        <f t="shared" ca="1" si="22"/>
        <v>0</v>
      </c>
      <c r="AY9" s="250"/>
      <c r="AZ9" s="250"/>
      <c r="BA9" s="252">
        <f t="shared" ca="1" si="23"/>
        <v>0</v>
      </c>
      <c r="BB9" s="253" t="str">
        <f t="shared" ca="1" si="24"/>
        <v/>
      </c>
      <c r="BC9" s="249">
        <f t="shared" ca="1" si="25"/>
        <v>0</v>
      </c>
      <c r="BD9" s="250"/>
      <c r="BE9" s="250"/>
      <c r="BF9" s="251">
        <f t="shared" ca="1" si="26"/>
        <v>0</v>
      </c>
      <c r="BG9" s="250"/>
      <c r="BH9" s="250"/>
      <c r="BI9" s="252">
        <f t="shared" ca="1" si="27"/>
        <v>0</v>
      </c>
      <c r="BJ9" s="253" t="str">
        <f t="shared" ca="1" si="28"/>
        <v/>
      </c>
      <c r="BK9" s="134">
        <f t="shared" ca="1" si="29"/>
        <v>0</v>
      </c>
      <c r="BL9" s="82" t="str">
        <f t="shared" ca="1" si="30"/>
        <v/>
      </c>
      <c r="BM9" s="88">
        <v>68</v>
      </c>
      <c r="BN9" s="88">
        <v>68</v>
      </c>
      <c r="BO9" s="88">
        <v>68</v>
      </c>
      <c r="BP9" s="88">
        <v>68</v>
      </c>
      <c r="BQ9" s="88">
        <v>76.666666666666671</v>
      </c>
      <c r="BR9" s="88">
        <v>68</v>
      </c>
      <c r="BS9" s="88">
        <v>77.142857142857139</v>
      </c>
      <c r="BT9" s="88">
        <v>34</v>
      </c>
      <c r="BU9" s="102">
        <f t="shared" ca="1" si="0"/>
        <v>0</v>
      </c>
      <c r="BV9" s="103">
        <f t="shared" ca="1" si="31"/>
        <v>0</v>
      </c>
      <c r="BW9" s="82" t="str">
        <f t="shared" ca="1" si="32"/>
        <v/>
      </c>
    </row>
    <row r="10" spans="1:75" ht="24.6" customHeight="1">
      <c r="A10" s="259">
        <v>5</v>
      </c>
      <c r="B10" s="262" t="str">
        <f t="shared" ca="1" si="1"/>
        <v>ગરણિયા મિલન પોપટભાઇ</v>
      </c>
      <c r="C10" s="167">
        <f>STUDENTS!D52</f>
        <v>0</v>
      </c>
      <c r="D10" s="168">
        <f>STUDENTS!D54</f>
        <v>0</v>
      </c>
      <c r="E10" s="249">
        <f t="shared" ca="1" si="33"/>
        <v>3</v>
      </c>
      <c r="F10" s="250"/>
      <c r="G10" s="250"/>
      <c r="H10" s="251">
        <f t="shared" ca="1" si="2"/>
        <v>0</v>
      </c>
      <c r="I10" s="250"/>
      <c r="J10" s="250"/>
      <c r="K10" s="252">
        <f t="shared" ca="1" si="3"/>
        <v>3</v>
      </c>
      <c r="L10" s="253" t="str">
        <f t="shared" ca="1" si="4"/>
        <v>E</v>
      </c>
      <c r="M10" s="249">
        <f t="shared" ca="1" si="5"/>
        <v>0</v>
      </c>
      <c r="N10" s="250"/>
      <c r="O10" s="250"/>
      <c r="P10" s="251">
        <f t="shared" ca="1" si="6"/>
        <v>3</v>
      </c>
      <c r="Q10" s="250"/>
      <c r="R10" s="250"/>
      <c r="S10" s="252">
        <f t="shared" ca="1" si="7"/>
        <v>3</v>
      </c>
      <c r="T10" s="253" t="str">
        <f t="shared" ca="1" si="8"/>
        <v>E</v>
      </c>
      <c r="U10" s="36"/>
      <c r="V10" s="249">
        <f t="shared" ca="1" si="9"/>
        <v>0</v>
      </c>
      <c r="W10" s="250"/>
      <c r="X10" s="250"/>
      <c r="Y10" s="251">
        <f t="shared" ca="1" si="10"/>
        <v>0</v>
      </c>
      <c r="Z10" s="250"/>
      <c r="AA10" s="250"/>
      <c r="AB10" s="252">
        <f t="shared" ca="1" si="11"/>
        <v>0</v>
      </c>
      <c r="AC10" s="253" t="str">
        <f t="shared" ca="1" si="12"/>
        <v/>
      </c>
      <c r="AD10" s="249">
        <f t="shared" ca="1" si="13"/>
        <v>0</v>
      </c>
      <c r="AE10" s="250"/>
      <c r="AF10" s="250"/>
      <c r="AG10" s="251">
        <f t="shared" ca="1" si="14"/>
        <v>0</v>
      </c>
      <c r="AH10" s="250"/>
      <c r="AI10" s="250"/>
      <c r="AJ10" s="252">
        <f t="shared" ca="1" si="15"/>
        <v>0</v>
      </c>
      <c r="AK10" s="253" t="str">
        <f t="shared" ca="1" si="16"/>
        <v/>
      </c>
      <c r="AL10" s="36"/>
      <c r="AM10" s="249">
        <f t="shared" ca="1" si="17"/>
        <v>0</v>
      </c>
      <c r="AN10" s="250"/>
      <c r="AO10" s="250"/>
      <c r="AP10" s="251">
        <f t="shared" ca="1" si="18"/>
        <v>0</v>
      </c>
      <c r="AQ10" s="250"/>
      <c r="AR10" s="250"/>
      <c r="AS10" s="252">
        <f t="shared" ca="1" si="19"/>
        <v>0</v>
      </c>
      <c r="AT10" s="253" t="str">
        <f t="shared" ca="1" si="20"/>
        <v/>
      </c>
      <c r="AU10" s="249">
        <f t="shared" ca="1" si="21"/>
        <v>0</v>
      </c>
      <c r="AV10" s="250"/>
      <c r="AW10" s="250"/>
      <c r="AX10" s="251">
        <f t="shared" ca="1" si="22"/>
        <v>0</v>
      </c>
      <c r="AY10" s="250"/>
      <c r="AZ10" s="250"/>
      <c r="BA10" s="252">
        <f t="shared" ca="1" si="23"/>
        <v>0</v>
      </c>
      <c r="BB10" s="253" t="str">
        <f t="shared" ca="1" si="24"/>
        <v/>
      </c>
      <c r="BC10" s="249">
        <f t="shared" ca="1" si="25"/>
        <v>0</v>
      </c>
      <c r="BD10" s="250"/>
      <c r="BE10" s="250"/>
      <c r="BF10" s="251">
        <f t="shared" ca="1" si="26"/>
        <v>0</v>
      </c>
      <c r="BG10" s="250"/>
      <c r="BH10" s="250"/>
      <c r="BI10" s="252">
        <f t="shared" ca="1" si="27"/>
        <v>0</v>
      </c>
      <c r="BJ10" s="253" t="str">
        <f t="shared" ca="1" si="28"/>
        <v/>
      </c>
      <c r="BK10" s="134">
        <f t="shared" ca="1" si="29"/>
        <v>0</v>
      </c>
      <c r="BL10" s="82" t="str">
        <f t="shared" ca="1" si="30"/>
        <v/>
      </c>
      <c r="BM10" s="88">
        <v>68</v>
      </c>
      <c r="BN10" s="88">
        <v>68</v>
      </c>
      <c r="BO10" s="88">
        <v>68</v>
      </c>
      <c r="BP10" s="88">
        <v>68</v>
      </c>
      <c r="BQ10" s="88">
        <v>76.666666666666671</v>
      </c>
      <c r="BR10" s="88">
        <v>68</v>
      </c>
      <c r="BS10" s="88">
        <v>77.142857142857139</v>
      </c>
      <c r="BT10" s="88">
        <v>34</v>
      </c>
      <c r="BU10" s="102">
        <f t="shared" ca="1" si="0"/>
        <v>6</v>
      </c>
      <c r="BV10" s="103">
        <f t="shared" ca="1" si="31"/>
        <v>0.33</v>
      </c>
      <c r="BW10" s="82" t="str">
        <f t="shared" ca="1" si="32"/>
        <v>E</v>
      </c>
    </row>
    <row r="11" spans="1:75" ht="24.6" customHeight="1">
      <c r="A11" s="259">
        <v>6</v>
      </c>
      <c r="B11" s="262" t="str">
        <f t="shared" ca="1" si="1"/>
        <v>ગરણિયા મોહિત રાવતભાઇ</v>
      </c>
      <c r="C11" s="167">
        <f>STUDENTS!D64</f>
        <v>0</v>
      </c>
      <c r="D11" s="168">
        <f>STUDENTS!D66</f>
        <v>0</v>
      </c>
      <c r="E11" s="249">
        <f t="shared" ca="1" si="33"/>
        <v>0</v>
      </c>
      <c r="F11" s="250"/>
      <c r="G11" s="250"/>
      <c r="H11" s="251">
        <f t="shared" ca="1" si="2"/>
        <v>0</v>
      </c>
      <c r="I11" s="250"/>
      <c r="J11" s="250"/>
      <c r="K11" s="252">
        <f t="shared" ca="1" si="3"/>
        <v>0</v>
      </c>
      <c r="L11" s="253" t="str">
        <f t="shared" ca="1" si="4"/>
        <v/>
      </c>
      <c r="M11" s="249">
        <f t="shared" ca="1" si="5"/>
        <v>0</v>
      </c>
      <c r="N11" s="250"/>
      <c r="O11" s="250"/>
      <c r="P11" s="251">
        <f t="shared" ca="1" si="6"/>
        <v>0</v>
      </c>
      <c r="Q11" s="250"/>
      <c r="R11" s="250"/>
      <c r="S11" s="252">
        <f t="shared" ca="1" si="7"/>
        <v>0</v>
      </c>
      <c r="T11" s="253" t="str">
        <f t="shared" ca="1" si="8"/>
        <v/>
      </c>
      <c r="U11" s="36"/>
      <c r="V11" s="249">
        <f t="shared" ca="1" si="9"/>
        <v>0</v>
      </c>
      <c r="W11" s="250"/>
      <c r="X11" s="250"/>
      <c r="Y11" s="251">
        <f t="shared" ca="1" si="10"/>
        <v>0</v>
      </c>
      <c r="Z11" s="250"/>
      <c r="AA11" s="250"/>
      <c r="AB11" s="252">
        <f t="shared" ca="1" si="11"/>
        <v>0</v>
      </c>
      <c r="AC11" s="253" t="str">
        <f t="shared" ca="1" si="12"/>
        <v/>
      </c>
      <c r="AD11" s="249">
        <f t="shared" ca="1" si="13"/>
        <v>0</v>
      </c>
      <c r="AE11" s="250"/>
      <c r="AF11" s="250"/>
      <c r="AG11" s="251">
        <f t="shared" ca="1" si="14"/>
        <v>0</v>
      </c>
      <c r="AH11" s="250"/>
      <c r="AI11" s="250"/>
      <c r="AJ11" s="252">
        <f t="shared" ca="1" si="15"/>
        <v>0</v>
      </c>
      <c r="AK11" s="253" t="str">
        <f t="shared" ca="1" si="16"/>
        <v/>
      </c>
      <c r="AL11" s="36"/>
      <c r="AM11" s="249">
        <f t="shared" ca="1" si="17"/>
        <v>0</v>
      </c>
      <c r="AN11" s="250"/>
      <c r="AO11" s="250"/>
      <c r="AP11" s="251">
        <f t="shared" ca="1" si="18"/>
        <v>0</v>
      </c>
      <c r="AQ11" s="250"/>
      <c r="AR11" s="250"/>
      <c r="AS11" s="252">
        <f t="shared" ca="1" si="19"/>
        <v>0</v>
      </c>
      <c r="AT11" s="253" t="str">
        <f t="shared" ca="1" si="20"/>
        <v/>
      </c>
      <c r="AU11" s="249">
        <f t="shared" ca="1" si="21"/>
        <v>0</v>
      </c>
      <c r="AV11" s="250"/>
      <c r="AW11" s="250"/>
      <c r="AX11" s="251">
        <f t="shared" ca="1" si="22"/>
        <v>0</v>
      </c>
      <c r="AY11" s="250"/>
      <c r="AZ11" s="250"/>
      <c r="BA11" s="252">
        <f t="shared" ca="1" si="23"/>
        <v>0</v>
      </c>
      <c r="BB11" s="253" t="str">
        <f t="shared" ca="1" si="24"/>
        <v/>
      </c>
      <c r="BC11" s="249">
        <f t="shared" ca="1" si="25"/>
        <v>0</v>
      </c>
      <c r="BD11" s="250"/>
      <c r="BE11" s="250"/>
      <c r="BF11" s="251">
        <f t="shared" ca="1" si="26"/>
        <v>0</v>
      </c>
      <c r="BG11" s="250"/>
      <c r="BH11" s="250"/>
      <c r="BI11" s="252">
        <f t="shared" ca="1" si="27"/>
        <v>0</v>
      </c>
      <c r="BJ11" s="253" t="str">
        <f t="shared" ca="1" si="28"/>
        <v/>
      </c>
      <c r="BK11" s="134">
        <f t="shared" ca="1" si="29"/>
        <v>0</v>
      </c>
      <c r="BL11" s="82" t="str">
        <f t="shared" ca="1" si="30"/>
        <v/>
      </c>
      <c r="BM11" s="88">
        <v>68</v>
      </c>
      <c r="BN11" s="88">
        <v>68</v>
      </c>
      <c r="BO11" s="88">
        <v>68</v>
      </c>
      <c r="BP11" s="88">
        <v>68</v>
      </c>
      <c r="BQ11" s="88">
        <v>76.666666666666671</v>
      </c>
      <c r="BR11" s="88">
        <v>68</v>
      </c>
      <c r="BS11" s="88">
        <v>77.142857142857139</v>
      </c>
      <c r="BT11" s="88">
        <v>34</v>
      </c>
      <c r="BU11" s="102">
        <f t="shared" ca="1" si="0"/>
        <v>0</v>
      </c>
      <c r="BV11" s="103">
        <f t="shared" ca="1" si="31"/>
        <v>0</v>
      </c>
      <c r="BW11" s="82" t="str">
        <f t="shared" ca="1" si="32"/>
        <v/>
      </c>
    </row>
    <row r="12" spans="1:75" ht="24.6" customHeight="1">
      <c r="A12" s="259">
        <v>7</v>
      </c>
      <c r="B12" s="262" t="str">
        <f t="shared" ca="1" si="1"/>
        <v>ગરણિયા સુમિત પોપટભાઇ</v>
      </c>
      <c r="C12" s="167">
        <f>STUDENTS!D76</f>
        <v>0</v>
      </c>
      <c r="D12" s="168">
        <f>STUDENTS!D78</f>
        <v>0</v>
      </c>
      <c r="E12" s="249">
        <f t="shared" ca="1" si="33"/>
        <v>0</v>
      </c>
      <c r="F12" s="250"/>
      <c r="G12" s="250"/>
      <c r="H12" s="251">
        <f t="shared" ca="1" si="2"/>
        <v>0</v>
      </c>
      <c r="I12" s="250"/>
      <c r="J12" s="250"/>
      <c r="K12" s="252">
        <f t="shared" ca="1" si="3"/>
        <v>0</v>
      </c>
      <c r="L12" s="253" t="str">
        <f t="shared" ca="1" si="4"/>
        <v/>
      </c>
      <c r="M12" s="249">
        <f t="shared" ca="1" si="5"/>
        <v>0</v>
      </c>
      <c r="N12" s="250"/>
      <c r="O12" s="250"/>
      <c r="P12" s="251">
        <f t="shared" ca="1" si="6"/>
        <v>0</v>
      </c>
      <c r="Q12" s="250"/>
      <c r="R12" s="250"/>
      <c r="S12" s="252">
        <f t="shared" ca="1" si="7"/>
        <v>0</v>
      </c>
      <c r="T12" s="253" t="str">
        <f t="shared" ca="1" si="8"/>
        <v/>
      </c>
      <c r="U12" s="36"/>
      <c r="V12" s="249">
        <f t="shared" ca="1" si="9"/>
        <v>0</v>
      </c>
      <c r="W12" s="250"/>
      <c r="X12" s="250"/>
      <c r="Y12" s="251">
        <f t="shared" ca="1" si="10"/>
        <v>0</v>
      </c>
      <c r="Z12" s="250"/>
      <c r="AA12" s="250"/>
      <c r="AB12" s="252">
        <f t="shared" ca="1" si="11"/>
        <v>0</v>
      </c>
      <c r="AC12" s="253" t="str">
        <f t="shared" ca="1" si="12"/>
        <v/>
      </c>
      <c r="AD12" s="249">
        <f t="shared" ca="1" si="13"/>
        <v>0</v>
      </c>
      <c r="AE12" s="250"/>
      <c r="AF12" s="250"/>
      <c r="AG12" s="251">
        <f t="shared" ca="1" si="14"/>
        <v>0</v>
      </c>
      <c r="AH12" s="250"/>
      <c r="AI12" s="250"/>
      <c r="AJ12" s="252">
        <f t="shared" ca="1" si="15"/>
        <v>0</v>
      </c>
      <c r="AK12" s="253" t="str">
        <f t="shared" ca="1" si="16"/>
        <v/>
      </c>
      <c r="AL12" s="36"/>
      <c r="AM12" s="249">
        <f t="shared" ca="1" si="17"/>
        <v>0</v>
      </c>
      <c r="AN12" s="250"/>
      <c r="AO12" s="250"/>
      <c r="AP12" s="251">
        <f t="shared" ca="1" si="18"/>
        <v>0</v>
      </c>
      <c r="AQ12" s="250"/>
      <c r="AR12" s="250"/>
      <c r="AS12" s="252">
        <f t="shared" ca="1" si="19"/>
        <v>0</v>
      </c>
      <c r="AT12" s="253" t="str">
        <f t="shared" ca="1" si="20"/>
        <v/>
      </c>
      <c r="AU12" s="249">
        <f t="shared" ca="1" si="21"/>
        <v>0</v>
      </c>
      <c r="AV12" s="250"/>
      <c r="AW12" s="250"/>
      <c r="AX12" s="251">
        <f t="shared" ca="1" si="22"/>
        <v>0</v>
      </c>
      <c r="AY12" s="250"/>
      <c r="AZ12" s="250"/>
      <c r="BA12" s="252">
        <f t="shared" ca="1" si="23"/>
        <v>0</v>
      </c>
      <c r="BB12" s="253" t="str">
        <f t="shared" ca="1" si="24"/>
        <v/>
      </c>
      <c r="BC12" s="249">
        <f t="shared" ca="1" si="25"/>
        <v>0</v>
      </c>
      <c r="BD12" s="250"/>
      <c r="BE12" s="250"/>
      <c r="BF12" s="251">
        <f t="shared" ca="1" si="26"/>
        <v>0</v>
      </c>
      <c r="BG12" s="250"/>
      <c r="BH12" s="250"/>
      <c r="BI12" s="252">
        <f t="shared" ca="1" si="27"/>
        <v>0</v>
      </c>
      <c r="BJ12" s="253" t="str">
        <f t="shared" ca="1" si="28"/>
        <v/>
      </c>
      <c r="BK12" s="134">
        <f t="shared" ca="1" si="29"/>
        <v>0</v>
      </c>
      <c r="BL12" s="82" t="str">
        <f t="shared" ca="1" si="30"/>
        <v/>
      </c>
      <c r="BM12" s="88">
        <v>68</v>
      </c>
      <c r="BN12" s="88">
        <v>68</v>
      </c>
      <c r="BO12" s="88">
        <v>68</v>
      </c>
      <c r="BP12" s="88">
        <v>68</v>
      </c>
      <c r="BQ12" s="88">
        <v>76.666666666666671</v>
      </c>
      <c r="BR12" s="88">
        <v>68</v>
      </c>
      <c r="BS12" s="88">
        <v>77.142857142857139</v>
      </c>
      <c r="BT12" s="88">
        <v>34</v>
      </c>
      <c r="BU12" s="102">
        <f t="shared" ca="1" si="0"/>
        <v>0</v>
      </c>
      <c r="BV12" s="103">
        <f t="shared" ca="1" si="31"/>
        <v>0</v>
      </c>
      <c r="BW12" s="82" t="str">
        <f t="shared" ca="1" si="32"/>
        <v/>
      </c>
    </row>
    <row r="13" spans="1:75" ht="24.6" customHeight="1">
      <c r="A13" s="259">
        <v>8</v>
      </c>
      <c r="B13" s="262" t="str">
        <f t="shared" ca="1" si="1"/>
        <v>ગરણિયા રામકુભાઇ સાર્દૂળભાઇ</v>
      </c>
      <c r="C13" s="167">
        <f>STUDENTS!D88</f>
        <v>0</v>
      </c>
      <c r="D13" s="168">
        <f>STUDENTS!D90</f>
        <v>0</v>
      </c>
      <c r="E13" s="249">
        <f t="shared" ca="1" si="33"/>
        <v>3</v>
      </c>
      <c r="F13" s="250"/>
      <c r="G13" s="250"/>
      <c r="H13" s="251">
        <f t="shared" ca="1" si="2"/>
        <v>0</v>
      </c>
      <c r="I13" s="250"/>
      <c r="J13" s="250"/>
      <c r="K13" s="252">
        <f t="shared" ca="1" si="3"/>
        <v>3</v>
      </c>
      <c r="L13" s="253" t="str">
        <f t="shared" ca="1" si="4"/>
        <v>E</v>
      </c>
      <c r="M13" s="249">
        <f t="shared" ca="1" si="5"/>
        <v>0</v>
      </c>
      <c r="N13" s="250"/>
      <c r="O13" s="250"/>
      <c r="P13" s="251">
        <f t="shared" ca="1" si="6"/>
        <v>0</v>
      </c>
      <c r="Q13" s="250"/>
      <c r="R13" s="250"/>
      <c r="S13" s="252">
        <f t="shared" ca="1" si="7"/>
        <v>0</v>
      </c>
      <c r="T13" s="253" t="str">
        <f t="shared" ca="1" si="8"/>
        <v/>
      </c>
      <c r="U13" s="36"/>
      <c r="V13" s="249">
        <f t="shared" ca="1" si="9"/>
        <v>0</v>
      </c>
      <c r="W13" s="250"/>
      <c r="X13" s="250"/>
      <c r="Y13" s="251">
        <f t="shared" ca="1" si="10"/>
        <v>0</v>
      </c>
      <c r="Z13" s="250"/>
      <c r="AA13" s="250"/>
      <c r="AB13" s="252">
        <f t="shared" ca="1" si="11"/>
        <v>0</v>
      </c>
      <c r="AC13" s="253" t="str">
        <f t="shared" ca="1" si="12"/>
        <v/>
      </c>
      <c r="AD13" s="249">
        <f t="shared" ca="1" si="13"/>
        <v>0</v>
      </c>
      <c r="AE13" s="250"/>
      <c r="AF13" s="250"/>
      <c r="AG13" s="251">
        <f t="shared" ca="1" si="14"/>
        <v>0</v>
      </c>
      <c r="AH13" s="250"/>
      <c r="AI13" s="250"/>
      <c r="AJ13" s="252">
        <f t="shared" ca="1" si="15"/>
        <v>0</v>
      </c>
      <c r="AK13" s="253" t="str">
        <f t="shared" ca="1" si="16"/>
        <v/>
      </c>
      <c r="AL13" s="36"/>
      <c r="AM13" s="249">
        <f t="shared" ca="1" si="17"/>
        <v>0</v>
      </c>
      <c r="AN13" s="250"/>
      <c r="AO13" s="250"/>
      <c r="AP13" s="251">
        <f t="shared" ca="1" si="18"/>
        <v>0</v>
      </c>
      <c r="AQ13" s="250"/>
      <c r="AR13" s="250"/>
      <c r="AS13" s="252">
        <f t="shared" ca="1" si="19"/>
        <v>0</v>
      </c>
      <c r="AT13" s="253" t="str">
        <f t="shared" ca="1" si="20"/>
        <v/>
      </c>
      <c r="AU13" s="249">
        <f t="shared" ca="1" si="21"/>
        <v>0</v>
      </c>
      <c r="AV13" s="250"/>
      <c r="AW13" s="250"/>
      <c r="AX13" s="251">
        <f t="shared" ca="1" si="22"/>
        <v>0</v>
      </c>
      <c r="AY13" s="250"/>
      <c r="AZ13" s="250"/>
      <c r="BA13" s="252">
        <f t="shared" ca="1" si="23"/>
        <v>0</v>
      </c>
      <c r="BB13" s="253" t="str">
        <f t="shared" ca="1" si="24"/>
        <v/>
      </c>
      <c r="BC13" s="249">
        <f t="shared" ca="1" si="25"/>
        <v>0</v>
      </c>
      <c r="BD13" s="250"/>
      <c r="BE13" s="250"/>
      <c r="BF13" s="251">
        <f t="shared" ca="1" si="26"/>
        <v>0</v>
      </c>
      <c r="BG13" s="250"/>
      <c r="BH13" s="250"/>
      <c r="BI13" s="252">
        <f t="shared" ca="1" si="27"/>
        <v>0</v>
      </c>
      <c r="BJ13" s="253" t="str">
        <f t="shared" ca="1" si="28"/>
        <v/>
      </c>
      <c r="BK13" s="134">
        <f t="shared" ca="1" si="29"/>
        <v>0</v>
      </c>
      <c r="BL13" s="82" t="str">
        <f t="shared" ca="1" si="30"/>
        <v/>
      </c>
      <c r="BM13" s="88">
        <v>68</v>
      </c>
      <c r="BN13" s="88">
        <v>68</v>
      </c>
      <c r="BO13" s="88">
        <v>68</v>
      </c>
      <c r="BP13" s="88">
        <v>68</v>
      </c>
      <c r="BQ13" s="88">
        <v>76.666666666666671</v>
      </c>
      <c r="BR13" s="88">
        <v>68</v>
      </c>
      <c r="BS13" s="88">
        <v>77.142857142857139</v>
      </c>
      <c r="BT13" s="88">
        <v>34</v>
      </c>
      <c r="BU13" s="102">
        <f t="shared" ca="1" si="0"/>
        <v>3</v>
      </c>
      <c r="BV13" s="103">
        <f t="shared" ca="1" si="31"/>
        <v>0.17</v>
      </c>
      <c r="BW13" s="82" t="str">
        <f t="shared" ca="1" si="32"/>
        <v>E</v>
      </c>
    </row>
    <row r="14" spans="1:75" ht="24.6" customHeight="1">
      <c r="A14" s="259">
        <v>9</v>
      </c>
      <c r="B14" s="262" t="str">
        <f t="shared" ca="1" si="1"/>
        <v>ડેર હિતેષકુમાર પ્રતાપભાઇ</v>
      </c>
      <c r="C14" s="167">
        <f>STUDENTS!D100</f>
        <v>0</v>
      </c>
      <c r="D14" s="168">
        <f>STUDENTS!D102</f>
        <v>0</v>
      </c>
      <c r="E14" s="249">
        <f t="shared" ca="1" si="33"/>
        <v>0</v>
      </c>
      <c r="F14" s="250"/>
      <c r="G14" s="250"/>
      <c r="H14" s="251">
        <f t="shared" ca="1" si="2"/>
        <v>0</v>
      </c>
      <c r="I14" s="250"/>
      <c r="J14" s="250"/>
      <c r="K14" s="252">
        <f t="shared" ca="1" si="3"/>
        <v>0</v>
      </c>
      <c r="L14" s="253" t="str">
        <f t="shared" ca="1" si="4"/>
        <v/>
      </c>
      <c r="M14" s="249">
        <f t="shared" ca="1" si="5"/>
        <v>0</v>
      </c>
      <c r="N14" s="250"/>
      <c r="O14" s="250"/>
      <c r="P14" s="251">
        <f t="shared" ca="1" si="6"/>
        <v>0</v>
      </c>
      <c r="Q14" s="250"/>
      <c r="R14" s="250"/>
      <c r="S14" s="252">
        <f t="shared" ca="1" si="7"/>
        <v>0</v>
      </c>
      <c r="T14" s="253" t="str">
        <f t="shared" ca="1" si="8"/>
        <v/>
      </c>
      <c r="U14" s="36"/>
      <c r="V14" s="249">
        <f t="shared" ca="1" si="9"/>
        <v>0</v>
      </c>
      <c r="W14" s="250"/>
      <c r="X14" s="250"/>
      <c r="Y14" s="251">
        <f t="shared" ca="1" si="10"/>
        <v>0</v>
      </c>
      <c r="Z14" s="250"/>
      <c r="AA14" s="250"/>
      <c r="AB14" s="252">
        <f t="shared" ca="1" si="11"/>
        <v>0</v>
      </c>
      <c r="AC14" s="253" t="str">
        <f t="shared" ca="1" si="12"/>
        <v/>
      </c>
      <c r="AD14" s="249">
        <f t="shared" ca="1" si="13"/>
        <v>0</v>
      </c>
      <c r="AE14" s="250"/>
      <c r="AF14" s="250"/>
      <c r="AG14" s="251">
        <f t="shared" ca="1" si="14"/>
        <v>0</v>
      </c>
      <c r="AH14" s="250"/>
      <c r="AI14" s="250"/>
      <c r="AJ14" s="252">
        <f t="shared" ca="1" si="15"/>
        <v>0</v>
      </c>
      <c r="AK14" s="253" t="str">
        <f t="shared" ca="1" si="16"/>
        <v/>
      </c>
      <c r="AL14" s="36"/>
      <c r="AM14" s="249">
        <f t="shared" ca="1" si="17"/>
        <v>0</v>
      </c>
      <c r="AN14" s="250"/>
      <c r="AO14" s="250"/>
      <c r="AP14" s="251">
        <f t="shared" ca="1" si="18"/>
        <v>0</v>
      </c>
      <c r="AQ14" s="250"/>
      <c r="AR14" s="250"/>
      <c r="AS14" s="252">
        <f t="shared" ca="1" si="19"/>
        <v>0</v>
      </c>
      <c r="AT14" s="253" t="str">
        <f t="shared" ca="1" si="20"/>
        <v/>
      </c>
      <c r="AU14" s="249">
        <f t="shared" ca="1" si="21"/>
        <v>0</v>
      </c>
      <c r="AV14" s="250"/>
      <c r="AW14" s="250"/>
      <c r="AX14" s="251">
        <f t="shared" ca="1" si="22"/>
        <v>0</v>
      </c>
      <c r="AY14" s="250"/>
      <c r="AZ14" s="250"/>
      <c r="BA14" s="252">
        <f t="shared" ca="1" si="23"/>
        <v>0</v>
      </c>
      <c r="BB14" s="253" t="str">
        <f t="shared" ca="1" si="24"/>
        <v/>
      </c>
      <c r="BC14" s="249">
        <f t="shared" ca="1" si="25"/>
        <v>0</v>
      </c>
      <c r="BD14" s="250"/>
      <c r="BE14" s="250"/>
      <c r="BF14" s="251">
        <f t="shared" ca="1" si="26"/>
        <v>0</v>
      </c>
      <c r="BG14" s="250"/>
      <c r="BH14" s="250"/>
      <c r="BI14" s="252">
        <f t="shared" ca="1" si="27"/>
        <v>0</v>
      </c>
      <c r="BJ14" s="253" t="str">
        <f t="shared" ca="1" si="28"/>
        <v/>
      </c>
      <c r="BK14" s="134">
        <f t="shared" ca="1" si="29"/>
        <v>0</v>
      </c>
      <c r="BL14" s="82" t="str">
        <f t="shared" ca="1" si="30"/>
        <v/>
      </c>
      <c r="BM14" s="88">
        <v>68</v>
      </c>
      <c r="BN14" s="88">
        <v>68</v>
      </c>
      <c r="BO14" s="88">
        <v>68</v>
      </c>
      <c r="BP14" s="88">
        <v>68</v>
      </c>
      <c r="BQ14" s="88">
        <v>76.666666666666671</v>
      </c>
      <c r="BR14" s="88">
        <v>68</v>
      </c>
      <c r="BS14" s="88">
        <v>77.142857142857139</v>
      </c>
      <c r="BT14" s="88">
        <v>34</v>
      </c>
      <c r="BU14" s="102">
        <f t="shared" ca="1" si="0"/>
        <v>0</v>
      </c>
      <c r="BV14" s="103">
        <f t="shared" ca="1" si="31"/>
        <v>0</v>
      </c>
      <c r="BW14" s="82" t="str">
        <f t="shared" ca="1" si="32"/>
        <v/>
      </c>
    </row>
    <row r="15" spans="1:75" ht="24.6" customHeight="1">
      <c r="A15" s="259">
        <v>10</v>
      </c>
      <c r="B15" s="262" t="str">
        <f t="shared" ca="1" si="1"/>
        <v>વેકરીયા વિશાલકુમાર દિપકભાઇ</v>
      </c>
      <c r="C15" s="167">
        <f>STUDENTS!D112</f>
        <v>0</v>
      </c>
      <c r="D15" s="168">
        <f>STUDENTS!D114</f>
        <v>0</v>
      </c>
      <c r="E15" s="249">
        <f t="shared" ca="1" si="33"/>
        <v>0</v>
      </c>
      <c r="F15" s="250"/>
      <c r="G15" s="250"/>
      <c r="H15" s="251">
        <f t="shared" ca="1" si="2"/>
        <v>0</v>
      </c>
      <c r="I15" s="250"/>
      <c r="J15" s="250"/>
      <c r="K15" s="252">
        <f t="shared" ca="1" si="3"/>
        <v>0</v>
      </c>
      <c r="L15" s="253" t="str">
        <f t="shared" ca="1" si="4"/>
        <v/>
      </c>
      <c r="M15" s="249">
        <f t="shared" ca="1" si="5"/>
        <v>0</v>
      </c>
      <c r="N15" s="250"/>
      <c r="O15" s="250"/>
      <c r="P15" s="251">
        <f t="shared" ca="1" si="6"/>
        <v>0</v>
      </c>
      <c r="Q15" s="250"/>
      <c r="R15" s="250"/>
      <c r="S15" s="252">
        <f t="shared" ca="1" si="7"/>
        <v>0</v>
      </c>
      <c r="T15" s="253" t="str">
        <f t="shared" ca="1" si="8"/>
        <v/>
      </c>
      <c r="U15" s="36"/>
      <c r="V15" s="249">
        <f t="shared" ca="1" si="9"/>
        <v>0</v>
      </c>
      <c r="W15" s="250"/>
      <c r="X15" s="250"/>
      <c r="Y15" s="251">
        <f t="shared" ca="1" si="10"/>
        <v>0</v>
      </c>
      <c r="Z15" s="250"/>
      <c r="AA15" s="250"/>
      <c r="AB15" s="252">
        <f t="shared" ca="1" si="11"/>
        <v>0</v>
      </c>
      <c r="AC15" s="253" t="str">
        <f t="shared" ca="1" si="12"/>
        <v/>
      </c>
      <c r="AD15" s="249">
        <f t="shared" ca="1" si="13"/>
        <v>0</v>
      </c>
      <c r="AE15" s="250"/>
      <c r="AF15" s="250"/>
      <c r="AG15" s="251">
        <f t="shared" ca="1" si="14"/>
        <v>0</v>
      </c>
      <c r="AH15" s="250"/>
      <c r="AI15" s="250"/>
      <c r="AJ15" s="252">
        <f t="shared" ca="1" si="15"/>
        <v>0</v>
      </c>
      <c r="AK15" s="253" t="str">
        <f t="shared" ca="1" si="16"/>
        <v/>
      </c>
      <c r="AL15" s="36"/>
      <c r="AM15" s="249">
        <f t="shared" ca="1" si="17"/>
        <v>0</v>
      </c>
      <c r="AN15" s="250"/>
      <c r="AO15" s="250"/>
      <c r="AP15" s="251">
        <f t="shared" ca="1" si="18"/>
        <v>0</v>
      </c>
      <c r="AQ15" s="250"/>
      <c r="AR15" s="250"/>
      <c r="AS15" s="252">
        <f t="shared" ca="1" si="19"/>
        <v>0</v>
      </c>
      <c r="AT15" s="253" t="str">
        <f t="shared" ca="1" si="20"/>
        <v/>
      </c>
      <c r="AU15" s="249">
        <f t="shared" ca="1" si="21"/>
        <v>0</v>
      </c>
      <c r="AV15" s="250"/>
      <c r="AW15" s="250"/>
      <c r="AX15" s="251">
        <f t="shared" ca="1" si="22"/>
        <v>0</v>
      </c>
      <c r="AY15" s="250"/>
      <c r="AZ15" s="250"/>
      <c r="BA15" s="252">
        <f t="shared" ca="1" si="23"/>
        <v>0</v>
      </c>
      <c r="BB15" s="253" t="str">
        <f t="shared" ca="1" si="24"/>
        <v/>
      </c>
      <c r="BC15" s="249">
        <f t="shared" ca="1" si="25"/>
        <v>0</v>
      </c>
      <c r="BD15" s="250"/>
      <c r="BE15" s="250"/>
      <c r="BF15" s="251">
        <f t="shared" ca="1" si="26"/>
        <v>0</v>
      </c>
      <c r="BG15" s="250"/>
      <c r="BH15" s="250"/>
      <c r="BI15" s="252">
        <f t="shared" ca="1" si="27"/>
        <v>0</v>
      </c>
      <c r="BJ15" s="253" t="str">
        <f t="shared" ca="1" si="28"/>
        <v/>
      </c>
      <c r="BK15" s="134">
        <f t="shared" ca="1" si="29"/>
        <v>0</v>
      </c>
      <c r="BL15" s="82" t="str">
        <f t="shared" ca="1" si="30"/>
        <v/>
      </c>
      <c r="BM15" s="88">
        <v>68</v>
      </c>
      <c r="BN15" s="88">
        <v>68</v>
      </c>
      <c r="BO15" s="88">
        <v>68</v>
      </c>
      <c r="BP15" s="88">
        <v>68</v>
      </c>
      <c r="BQ15" s="88">
        <v>76.666666666666671</v>
      </c>
      <c r="BR15" s="88">
        <v>68</v>
      </c>
      <c r="BS15" s="88">
        <v>77.142857142857139</v>
      </c>
      <c r="BT15" s="88">
        <v>34</v>
      </c>
      <c r="BU15" s="102">
        <f t="shared" ca="1" si="0"/>
        <v>0</v>
      </c>
      <c r="BV15" s="103">
        <f t="shared" ca="1" si="31"/>
        <v>0</v>
      </c>
      <c r="BW15" s="82" t="str">
        <f t="shared" ca="1" si="32"/>
        <v/>
      </c>
    </row>
    <row r="16" spans="1:75" ht="24.6" customHeight="1">
      <c r="A16" s="259">
        <v>11</v>
      </c>
      <c r="B16" s="262" t="str">
        <f t="shared" ca="1" si="1"/>
        <v>માણસુરીયા મહેન્દ્રભાઇ ભૂપતભાઇ</v>
      </c>
      <c r="C16" s="167">
        <f>STUDENTS!D124</f>
        <v>0</v>
      </c>
      <c r="D16" s="168">
        <f>STUDENTS!D126</f>
        <v>0</v>
      </c>
      <c r="E16" s="249">
        <f t="shared" ca="1" si="33"/>
        <v>0</v>
      </c>
      <c r="F16" s="250"/>
      <c r="G16" s="250"/>
      <c r="H16" s="251">
        <f t="shared" ca="1" si="2"/>
        <v>0</v>
      </c>
      <c r="I16" s="250"/>
      <c r="J16" s="250"/>
      <c r="K16" s="252">
        <f t="shared" ca="1" si="3"/>
        <v>0</v>
      </c>
      <c r="L16" s="253" t="str">
        <f t="shared" ca="1" si="4"/>
        <v/>
      </c>
      <c r="M16" s="249">
        <f t="shared" ca="1" si="5"/>
        <v>0</v>
      </c>
      <c r="N16" s="250"/>
      <c r="O16" s="250"/>
      <c r="P16" s="251">
        <f t="shared" ca="1" si="6"/>
        <v>0</v>
      </c>
      <c r="Q16" s="250"/>
      <c r="R16" s="250"/>
      <c r="S16" s="252">
        <f t="shared" ca="1" si="7"/>
        <v>0</v>
      </c>
      <c r="T16" s="253" t="str">
        <f t="shared" ca="1" si="8"/>
        <v/>
      </c>
      <c r="U16" s="36"/>
      <c r="V16" s="249">
        <f t="shared" ca="1" si="9"/>
        <v>0</v>
      </c>
      <c r="W16" s="250"/>
      <c r="X16" s="250"/>
      <c r="Y16" s="251">
        <f t="shared" ca="1" si="10"/>
        <v>0</v>
      </c>
      <c r="Z16" s="250"/>
      <c r="AA16" s="250"/>
      <c r="AB16" s="252">
        <f t="shared" ca="1" si="11"/>
        <v>0</v>
      </c>
      <c r="AC16" s="253" t="str">
        <f t="shared" ca="1" si="12"/>
        <v/>
      </c>
      <c r="AD16" s="249">
        <f t="shared" ca="1" si="13"/>
        <v>0</v>
      </c>
      <c r="AE16" s="250"/>
      <c r="AF16" s="250"/>
      <c r="AG16" s="251">
        <f t="shared" ca="1" si="14"/>
        <v>0</v>
      </c>
      <c r="AH16" s="250"/>
      <c r="AI16" s="250"/>
      <c r="AJ16" s="252">
        <f t="shared" ca="1" si="15"/>
        <v>0</v>
      </c>
      <c r="AK16" s="253" t="str">
        <f t="shared" ca="1" si="16"/>
        <v/>
      </c>
      <c r="AL16" s="36"/>
      <c r="AM16" s="249">
        <f t="shared" ca="1" si="17"/>
        <v>0</v>
      </c>
      <c r="AN16" s="250"/>
      <c r="AO16" s="250"/>
      <c r="AP16" s="251">
        <f t="shared" ca="1" si="18"/>
        <v>0</v>
      </c>
      <c r="AQ16" s="250"/>
      <c r="AR16" s="250"/>
      <c r="AS16" s="252">
        <f t="shared" ca="1" si="19"/>
        <v>0</v>
      </c>
      <c r="AT16" s="253" t="str">
        <f t="shared" ca="1" si="20"/>
        <v/>
      </c>
      <c r="AU16" s="249">
        <f t="shared" ca="1" si="21"/>
        <v>0</v>
      </c>
      <c r="AV16" s="250"/>
      <c r="AW16" s="250"/>
      <c r="AX16" s="251">
        <f t="shared" ca="1" si="22"/>
        <v>0</v>
      </c>
      <c r="AY16" s="250"/>
      <c r="AZ16" s="250"/>
      <c r="BA16" s="252">
        <f t="shared" ca="1" si="23"/>
        <v>0</v>
      </c>
      <c r="BB16" s="253" t="str">
        <f t="shared" ca="1" si="24"/>
        <v/>
      </c>
      <c r="BC16" s="249">
        <f t="shared" ca="1" si="25"/>
        <v>0</v>
      </c>
      <c r="BD16" s="250"/>
      <c r="BE16" s="250"/>
      <c r="BF16" s="251">
        <f t="shared" ca="1" si="26"/>
        <v>0</v>
      </c>
      <c r="BG16" s="250"/>
      <c r="BH16" s="250"/>
      <c r="BI16" s="252">
        <f t="shared" ca="1" si="27"/>
        <v>0</v>
      </c>
      <c r="BJ16" s="253" t="str">
        <f t="shared" ca="1" si="28"/>
        <v/>
      </c>
      <c r="BK16" s="134">
        <f t="shared" ca="1" si="29"/>
        <v>0</v>
      </c>
      <c r="BL16" s="82" t="str">
        <f t="shared" ca="1" si="30"/>
        <v/>
      </c>
      <c r="BM16" s="88">
        <v>68</v>
      </c>
      <c r="BN16" s="88">
        <v>68</v>
      </c>
      <c r="BO16" s="88">
        <v>68</v>
      </c>
      <c r="BP16" s="88">
        <v>68</v>
      </c>
      <c r="BQ16" s="88">
        <v>76.666666666666671</v>
      </c>
      <c r="BR16" s="88">
        <v>68</v>
      </c>
      <c r="BS16" s="88">
        <v>77.142857142857139</v>
      </c>
      <c r="BT16" s="88">
        <v>34</v>
      </c>
      <c r="BU16" s="102">
        <f t="shared" ca="1" si="0"/>
        <v>0</v>
      </c>
      <c r="BV16" s="103">
        <f t="shared" ca="1" si="31"/>
        <v>0</v>
      </c>
      <c r="BW16" s="82" t="str">
        <f t="shared" ca="1" si="32"/>
        <v/>
      </c>
    </row>
    <row r="17" spans="1:75" ht="24.6" customHeight="1">
      <c r="A17" s="259">
        <v>12</v>
      </c>
      <c r="B17" s="262" t="str">
        <f t="shared" ca="1" si="1"/>
        <v>પરમાર અજયકુમાર રમેશભાઇ</v>
      </c>
      <c r="C17" s="167">
        <f>STUDENTS!D136</f>
        <v>0</v>
      </c>
      <c r="D17" s="168">
        <f>STUDENTS!D138</f>
        <v>0</v>
      </c>
      <c r="E17" s="249">
        <f t="shared" ca="1" si="33"/>
        <v>0</v>
      </c>
      <c r="F17" s="250"/>
      <c r="G17" s="250"/>
      <c r="H17" s="251">
        <f t="shared" ca="1" si="2"/>
        <v>0</v>
      </c>
      <c r="I17" s="250"/>
      <c r="J17" s="250"/>
      <c r="K17" s="252">
        <f t="shared" ca="1" si="3"/>
        <v>0</v>
      </c>
      <c r="L17" s="253" t="str">
        <f t="shared" ca="1" si="4"/>
        <v/>
      </c>
      <c r="M17" s="249">
        <f t="shared" ca="1" si="5"/>
        <v>0</v>
      </c>
      <c r="N17" s="250"/>
      <c r="O17" s="250"/>
      <c r="P17" s="251">
        <f t="shared" ca="1" si="6"/>
        <v>0</v>
      </c>
      <c r="Q17" s="250"/>
      <c r="R17" s="250"/>
      <c r="S17" s="252">
        <f t="shared" ca="1" si="7"/>
        <v>0</v>
      </c>
      <c r="T17" s="253" t="str">
        <f t="shared" ca="1" si="8"/>
        <v/>
      </c>
      <c r="U17" s="36"/>
      <c r="V17" s="249">
        <f t="shared" ca="1" si="9"/>
        <v>0</v>
      </c>
      <c r="W17" s="250"/>
      <c r="X17" s="250"/>
      <c r="Y17" s="251">
        <f t="shared" ca="1" si="10"/>
        <v>0</v>
      </c>
      <c r="Z17" s="250"/>
      <c r="AA17" s="250"/>
      <c r="AB17" s="252">
        <f t="shared" ca="1" si="11"/>
        <v>0</v>
      </c>
      <c r="AC17" s="253" t="str">
        <f t="shared" ca="1" si="12"/>
        <v/>
      </c>
      <c r="AD17" s="249">
        <f t="shared" ca="1" si="13"/>
        <v>0</v>
      </c>
      <c r="AE17" s="250"/>
      <c r="AF17" s="250"/>
      <c r="AG17" s="251">
        <f t="shared" ca="1" si="14"/>
        <v>0</v>
      </c>
      <c r="AH17" s="250"/>
      <c r="AI17" s="250"/>
      <c r="AJ17" s="252">
        <f t="shared" ca="1" si="15"/>
        <v>0</v>
      </c>
      <c r="AK17" s="253" t="str">
        <f t="shared" ca="1" si="16"/>
        <v/>
      </c>
      <c r="AL17" s="36"/>
      <c r="AM17" s="249">
        <f t="shared" ca="1" si="17"/>
        <v>0</v>
      </c>
      <c r="AN17" s="250"/>
      <c r="AO17" s="250"/>
      <c r="AP17" s="251">
        <f t="shared" ca="1" si="18"/>
        <v>0</v>
      </c>
      <c r="AQ17" s="250"/>
      <c r="AR17" s="250"/>
      <c r="AS17" s="252">
        <f t="shared" ca="1" si="19"/>
        <v>0</v>
      </c>
      <c r="AT17" s="253" t="str">
        <f t="shared" ca="1" si="20"/>
        <v/>
      </c>
      <c r="AU17" s="249">
        <f t="shared" ca="1" si="21"/>
        <v>0</v>
      </c>
      <c r="AV17" s="250"/>
      <c r="AW17" s="250"/>
      <c r="AX17" s="251">
        <f t="shared" ca="1" si="22"/>
        <v>0</v>
      </c>
      <c r="AY17" s="250"/>
      <c r="AZ17" s="250"/>
      <c r="BA17" s="252">
        <f t="shared" ca="1" si="23"/>
        <v>0</v>
      </c>
      <c r="BB17" s="253" t="str">
        <f t="shared" ca="1" si="24"/>
        <v/>
      </c>
      <c r="BC17" s="249">
        <f t="shared" ca="1" si="25"/>
        <v>0</v>
      </c>
      <c r="BD17" s="250"/>
      <c r="BE17" s="250"/>
      <c r="BF17" s="251">
        <f t="shared" ca="1" si="26"/>
        <v>0</v>
      </c>
      <c r="BG17" s="250"/>
      <c r="BH17" s="250"/>
      <c r="BI17" s="252">
        <f t="shared" ca="1" si="27"/>
        <v>0</v>
      </c>
      <c r="BJ17" s="253" t="str">
        <f t="shared" ca="1" si="28"/>
        <v/>
      </c>
      <c r="BK17" s="134">
        <f t="shared" ca="1" si="29"/>
        <v>0</v>
      </c>
      <c r="BL17" s="82" t="str">
        <f t="shared" ca="1" si="30"/>
        <v/>
      </c>
      <c r="BM17" s="88">
        <v>68</v>
      </c>
      <c r="BN17" s="88">
        <v>68</v>
      </c>
      <c r="BO17" s="88">
        <v>68</v>
      </c>
      <c r="BP17" s="88">
        <v>68</v>
      </c>
      <c r="BQ17" s="88">
        <v>76.666666666666671</v>
      </c>
      <c r="BR17" s="88">
        <v>68</v>
      </c>
      <c r="BS17" s="88">
        <v>77.142857142857139</v>
      </c>
      <c r="BT17" s="88">
        <v>34</v>
      </c>
      <c r="BU17" s="102">
        <f t="shared" ca="1" si="0"/>
        <v>0</v>
      </c>
      <c r="BV17" s="103">
        <f t="shared" ca="1" si="31"/>
        <v>0</v>
      </c>
      <c r="BW17" s="82" t="str">
        <f t="shared" ca="1" si="32"/>
        <v/>
      </c>
    </row>
    <row r="18" spans="1:75" ht="24.6" customHeight="1">
      <c r="A18" s="259">
        <v>13</v>
      </c>
      <c r="B18" s="262" t="str">
        <f t="shared" ca="1" si="1"/>
        <v>કંડોળીયા અલ્પેશકુમાર ભરતભાઇ</v>
      </c>
      <c r="C18" s="167">
        <f>STUDENTS!D148</f>
        <v>0</v>
      </c>
      <c r="D18" s="168">
        <f>STUDENTS!D150</f>
        <v>0</v>
      </c>
      <c r="E18" s="249">
        <f t="shared" ca="1" si="33"/>
        <v>0</v>
      </c>
      <c r="F18" s="250"/>
      <c r="G18" s="250"/>
      <c r="H18" s="251">
        <f t="shared" ca="1" si="2"/>
        <v>0</v>
      </c>
      <c r="I18" s="250"/>
      <c r="J18" s="250"/>
      <c r="K18" s="252">
        <f t="shared" ca="1" si="3"/>
        <v>0</v>
      </c>
      <c r="L18" s="253" t="str">
        <f t="shared" ca="1" si="4"/>
        <v/>
      </c>
      <c r="M18" s="249">
        <f t="shared" ca="1" si="5"/>
        <v>0</v>
      </c>
      <c r="N18" s="250"/>
      <c r="O18" s="250"/>
      <c r="P18" s="251">
        <f t="shared" ca="1" si="6"/>
        <v>0</v>
      </c>
      <c r="Q18" s="250"/>
      <c r="R18" s="250"/>
      <c r="S18" s="252">
        <f t="shared" ca="1" si="7"/>
        <v>0</v>
      </c>
      <c r="T18" s="253" t="str">
        <f t="shared" ca="1" si="8"/>
        <v/>
      </c>
      <c r="U18" s="36"/>
      <c r="V18" s="249">
        <f t="shared" ca="1" si="9"/>
        <v>0</v>
      </c>
      <c r="W18" s="250"/>
      <c r="X18" s="250"/>
      <c r="Y18" s="251">
        <f t="shared" ca="1" si="10"/>
        <v>0</v>
      </c>
      <c r="Z18" s="250"/>
      <c r="AA18" s="250"/>
      <c r="AB18" s="252">
        <f t="shared" ca="1" si="11"/>
        <v>0</v>
      </c>
      <c r="AC18" s="253" t="str">
        <f t="shared" ca="1" si="12"/>
        <v/>
      </c>
      <c r="AD18" s="249">
        <f t="shared" ca="1" si="13"/>
        <v>0</v>
      </c>
      <c r="AE18" s="250"/>
      <c r="AF18" s="250"/>
      <c r="AG18" s="251">
        <f t="shared" ca="1" si="14"/>
        <v>0</v>
      </c>
      <c r="AH18" s="250"/>
      <c r="AI18" s="250"/>
      <c r="AJ18" s="252">
        <f t="shared" ca="1" si="15"/>
        <v>0</v>
      </c>
      <c r="AK18" s="253" t="str">
        <f t="shared" ca="1" si="16"/>
        <v/>
      </c>
      <c r="AL18" s="36"/>
      <c r="AM18" s="249">
        <f t="shared" ca="1" si="17"/>
        <v>0</v>
      </c>
      <c r="AN18" s="250"/>
      <c r="AO18" s="250"/>
      <c r="AP18" s="251">
        <f t="shared" ca="1" si="18"/>
        <v>0</v>
      </c>
      <c r="AQ18" s="250"/>
      <c r="AR18" s="250"/>
      <c r="AS18" s="252">
        <f t="shared" ca="1" si="19"/>
        <v>0</v>
      </c>
      <c r="AT18" s="253" t="str">
        <f t="shared" ca="1" si="20"/>
        <v/>
      </c>
      <c r="AU18" s="249">
        <f t="shared" ca="1" si="21"/>
        <v>0</v>
      </c>
      <c r="AV18" s="250"/>
      <c r="AW18" s="250"/>
      <c r="AX18" s="251">
        <f t="shared" ca="1" si="22"/>
        <v>0</v>
      </c>
      <c r="AY18" s="250"/>
      <c r="AZ18" s="250"/>
      <c r="BA18" s="252">
        <f t="shared" ca="1" si="23"/>
        <v>0</v>
      </c>
      <c r="BB18" s="253" t="str">
        <f t="shared" ca="1" si="24"/>
        <v/>
      </c>
      <c r="BC18" s="249">
        <f t="shared" ca="1" si="25"/>
        <v>0</v>
      </c>
      <c r="BD18" s="250"/>
      <c r="BE18" s="250"/>
      <c r="BF18" s="251">
        <f t="shared" ca="1" si="26"/>
        <v>0</v>
      </c>
      <c r="BG18" s="250"/>
      <c r="BH18" s="250"/>
      <c r="BI18" s="252">
        <f t="shared" ca="1" si="27"/>
        <v>0</v>
      </c>
      <c r="BJ18" s="253" t="str">
        <f t="shared" ca="1" si="28"/>
        <v/>
      </c>
      <c r="BK18" s="134">
        <f t="shared" ca="1" si="29"/>
        <v>0</v>
      </c>
      <c r="BL18" s="82" t="str">
        <f t="shared" ca="1" si="30"/>
        <v/>
      </c>
      <c r="BM18" s="88">
        <v>68</v>
      </c>
      <c r="BN18" s="88">
        <v>68</v>
      </c>
      <c r="BO18" s="88">
        <v>68</v>
      </c>
      <c r="BP18" s="88">
        <v>68</v>
      </c>
      <c r="BQ18" s="88">
        <v>76.666666666666671</v>
      </c>
      <c r="BR18" s="88">
        <v>68</v>
      </c>
      <c r="BS18" s="88">
        <v>77.142857142857139</v>
      </c>
      <c r="BT18" s="88">
        <v>34</v>
      </c>
      <c r="BU18" s="102">
        <f t="shared" ca="1" si="0"/>
        <v>0</v>
      </c>
      <c r="BV18" s="103">
        <f t="shared" ca="1" si="31"/>
        <v>0</v>
      </c>
      <c r="BW18" s="82" t="str">
        <f t="shared" ca="1" si="32"/>
        <v/>
      </c>
    </row>
    <row r="19" spans="1:75" ht="24.6" customHeight="1">
      <c r="A19" s="259">
        <v>14</v>
      </c>
      <c r="B19" s="262" t="str">
        <f t="shared" ca="1" si="1"/>
        <v>મકવાણા તરંગકુમાર કિશોરભાઇ</v>
      </c>
      <c r="C19" s="167">
        <f>STUDENTS!D160</f>
        <v>0</v>
      </c>
      <c r="D19" s="168">
        <f>STUDENTS!D162</f>
        <v>0</v>
      </c>
      <c r="E19" s="249">
        <f t="shared" ca="1" si="33"/>
        <v>0</v>
      </c>
      <c r="F19" s="250"/>
      <c r="G19" s="250"/>
      <c r="H19" s="251">
        <f t="shared" ca="1" si="2"/>
        <v>0</v>
      </c>
      <c r="I19" s="250"/>
      <c r="J19" s="250"/>
      <c r="K19" s="252">
        <f t="shared" ca="1" si="3"/>
        <v>0</v>
      </c>
      <c r="L19" s="253" t="str">
        <f t="shared" ca="1" si="4"/>
        <v/>
      </c>
      <c r="M19" s="249">
        <f t="shared" ca="1" si="5"/>
        <v>0</v>
      </c>
      <c r="N19" s="250"/>
      <c r="O19" s="250"/>
      <c r="P19" s="251">
        <f t="shared" ca="1" si="6"/>
        <v>0</v>
      </c>
      <c r="Q19" s="250"/>
      <c r="R19" s="250"/>
      <c r="S19" s="252">
        <f t="shared" ca="1" si="7"/>
        <v>0</v>
      </c>
      <c r="T19" s="253" t="str">
        <f t="shared" ca="1" si="8"/>
        <v/>
      </c>
      <c r="U19" s="36"/>
      <c r="V19" s="249">
        <f t="shared" ca="1" si="9"/>
        <v>0</v>
      </c>
      <c r="W19" s="250"/>
      <c r="X19" s="250"/>
      <c r="Y19" s="251">
        <f t="shared" ca="1" si="10"/>
        <v>0</v>
      </c>
      <c r="Z19" s="250"/>
      <c r="AA19" s="250"/>
      <c r="AB19" s="252">
        <f t="shared" ca="1" si="11"/>
        <v>0</v>
      </c>
      <c r="AC19" s="253" t="str">
        <f t="shared" ca="1" si="12"/>
        <v/>
      </c>
      <c r="AD19" s="249">
        <f t="shared" ca="1" si="13"/>
        <v>0</v>
      </c>
      <c r="AE19" s="250"/>
      <c r="AF19" s="250"/>
      <c r="AG19" s="251">
        <f t="shared" ca="1" si="14"/>
        <v>0</v>
      </c>
      <c r="AH19" s="250"/>
      <c r="AI19" s="250"/>
      <c r="AJ19" s="252">
        <f t="shared" ca="1" si="15"/>
        <v>0</v>
      </c>
      <c r="AK19" s="253" t="str">
        <f t="shared" ca="1" si="16"/>
        <v/>
      </c>
      <c r="AL19" s="36"/>
      <c r="AM19" s="249">
        <f t="shared" ca="1" si="17"/>
        <v>0</v>
      </c>
      <c r="AN19" s="250"/>
      <c r="AO19" s="250"/>
      <c r="AP19" s="251">
        <f t="shared" ca="1" si="18"/>
        <v>0</v>
      </c>
      <c r="AQ19" s="250"/>
      <c r="AR19" s="250"/>
      <c r="AS19" s="252">
        <f t="shared" ca="1" si="19"/>
        <v>0</v>
      </c>
      <c r="AT19" s="253" t="str">
        <f t="shared" ca="1" si="20"/>
        <v/>
      </c>
      <c r="AU19" s="249">
        <f t="shared" ca="1" si="21"/>
        <v>0</v>
      </c>
      <c r="AV19" s="250"/>
      <c r="AW19" s="250"/>
      <c r="AX19" s="251">
        <f t="shared" ca="1" si="22"/>
        <v>0</v>
      </c>
      <c r="AY19" s="250"/>
      <c r="AZ19" s="250"/>
      <c r="BA19" s="252">
        <f t="shared" ca="1" si="23"/>
        <v>0</v>
      </c>
      <c r="BB19" s="253" t="str">
        <f t="shared" ca="1" si="24"/>
        <v/>
      </c>
      <c r="BC19" s="249">
        <f t="shared" ca="1" si="25"/>
        <v>0</v>
      </c>
      <c r="BD19" s="250"/>
      <c r="BE19" s="250"/>
      <c r="BF19" s="251">
        <f t="shared" ca="1" si="26"/>
        <v>0</v>
      </c>
      <c r="BG19" s="250"/>
      <c r="BH19" s="250"/>
      <c r="BI19" s="252">
        <f t="shared" ca="1" si="27"/>
        <v>0</v>
      </c>
      <c r="BJ19" s="253" t="str">
        <f t="shared" ca="1" si="28"/>
        <v/>
      </c>
      <c r="BK19" s="134">
        <f t="shared" ca="1" si="29"/>
        <v>0</v>
      </c>
      <c r="BL19" s="82" t="str">
        <f t="shared" ca="1" si="30"/>
        <v/>
      </c>
      <c r="BM19" s="88">
        <v>68</v>
      </c>
      <c r="BN19" s="88">
        <v>68</v>
      </c>
      <c r="BO19" s="88">
        <v>68</v>
      </c>
      <c r="BP19" s="88">
        <v>68</v>
      </c>
      <c r="BQ19" s="88">
        <v>76.666666666666671</v>
      </c>
      <c r="BR19" s="88">
        <v>68</v>
      </c>
      <c r="BS19" s="88">
        <v>77.142857142857139</v>
      </c>
      <c r="BT19" s="88">
        <v>34</v>
      </c>
      <c r="BU19" s="102">
        <f t="shared" ca="1" si="0"/>
        <v>0</v>
      </c>
      <c r="BV19" s="103">
        <f t="shared" ca="1" si="31"/>
        <v>0</v>
      </c>
      <c r="BW19" s="82" t="str">
        <f t="shared" ca="1" si="32"/>
        <v/>
      </c>
    </row>
    <row r="20" spans="1:75" ht="24.6" customHeight="1">
      <c r="A20" s="259">
        <v>15</v>
      </c>
      <c r="B20" s="262" t="str">
        <f t="shared" ca="1" si="1"/>
        <v>ઢીમેચા સતીષ હનુભાઇ</v>
      </c>
      <c r="C20" s="167">
        <f>STUDENTS!D172</f>
        <v>0</v>
      </c>
      <c r="D20" s="168">
        <f>STUDENTS!D174</f>
        <v>0</v>
      </c>
      <c r="E20" s="249">
        <f t="shared" ca="1" si="33"/>
        <v>0</v>
      </c>
      <c r="F20" s="250"/>
      <c r="G20" s="250"/>
      <c r="H20" s="251">
        <f t="shared" ca="1" si="2"/>
        <v>0</v>
      </c>
      <c r="I20" s="250"/>
      <c r="J20" s="250"/>
      <c r="K20" s="252">
        <f t="shared" ca="1" si="3"/>
        <v>0</v>
      </c>
      <c r="L20" s="253" t="str">
        <f t="shared" ca="1" si="4"/>
        <v/>
      </c>
      <c r="M20" s="249">
        <f t="shared" ca="1" si="5"/>
        <v>0</v>
      </c>
      <c r="N20" s="250"/>
      <c r="O20" s="250"/>
      <c r="P20" s="251">
        <f t="shared" ca="1" si="6"/>
        <v>0</v>
      </c>
      <c r="Q20" s="250"/>
      <c r="R20" s="250"/>
      <c r="S20" s="252">
        <f t="shared" ca="1" si="7"/>
        <v>0</v>
      </c>
      <c r="T20" s="253" t="str">
        <f t="shared" ca="1" si="8"/>
        <v/>
      </c>
      <c r="U20" s="36"/>
      <c r="V20" s="249">
        <f t="shared" ca="1" si="9"/>
        <v>0</v>
      </c>
      <c r="W20" s="250"/>
      <c r="X20" s="250"/>
      <c r="Y20" s="251">
        <f t="shared" ca="1" si="10"/>
        <v>0</v>
      </c>
      <c r="Z20" s="250"/>
      <c r="AA20" s="250"/>
      <c r="AB20" s="252">
        <f t="shared" ca="1" si="11"/>
        <v>0</v>
      </c>
      <c r="AC20" s="253" t="str">
        <f t="shared" ca="1" si="12"/>
        <v/>
      </c>
      <c r="AD20" s="249">
        <f t="shared" ca="1" si="13"/>
        <v>0</v>
      </c>
      <c r="AE20" s="250"/>
      <c r="AF20" s="250"/>
      <c r="AG20" s="251">
        <f t="shared" ca="1" si="14"/>
        <v>0</v>
      </c>
      <c r="AH20" s="250"/>
      <c r="AI20" s="250"/>
      <c r="AJ20" s="252">
        <f t="shared" ca="1" si="15"/>
        <v>0</v>
      </c>
      <c r="AK20" s="253" t="str">
        <f t="shared" ca="1" si="16"/>
        <v/>
      </c>
      <c r="AL20" s="36"/>
      <c r="AM20" s="249">
        <f t="shared" ca="1" si="17"/>
        <v>0</v>
      </c>
      <c r="AN20" s="250"/>
      <c r="AO20" s="250"/>
      <c r="AP20" s="251">
        <f t="shared" ca="1" si="18"/>
        <v>0</v>
      </c>
      <c r="AQ20" s="250"/>
      <c r="AR20" s="250"/>
      <c r="AS20" s="252">
        <f t="shared" ca="1" si="19"/>
        <v>0</v>
      </c>
      <c r="AT20" s="253" t="str">
        <f t="shared" ca="1" si="20"/>
        <v/>
      </c>
      <c r="AU20" s="249">
        <f t="shared" ca="1" si="21"/>
        <v>6</v>
      </c>
      <c r="AV20" s="250"/>
      <c r="AW20" s="250"/>
      <c r="AX20" s="251">
        <f t="shared" ca="1" si="22"/>
        <v>0</v>
      </c>
      <c r="AY20" s="250"/>
      <c r="AZ20" s="250"/>
      <c r="BA20" s="252">
        <f t="shared" ca="1" si="23"/>
        <v>6</v>
      </c>
      <c r="BB20" s="253" t="str">
        <f t="shared" ca="1" si="24"/>
        <v>E</v>
      </c>
      <c r="BC20" s="249">
        <f t="shared" ca="1" si="25"/>
        <v>0</v>
      </c>
      <c r="BD20" s="250"/>
      <c r="BE20" s="250"/>
      <c r="BF20" s="251">
        <f t="shared" ca="1" si="26"/>
        <v>0</v>
      </c>
      <c r="BG20" s="250"/>
      <c r="BH20" s="250"/>
      <c r="BI20" s="252">
        <f t="shared" ca="1" si="27"/>
        <v>0</v>
      </c>
      <c r="BJ20" s="253" t="str">
        <f t="shared" ca="1" si="28"/>
        <v/>
      </c>
      <c r="BK20" s="134">
        <f t="shared" ca="1" si="29"/>
        <v>0</v>
      </c>
      <c r="BL20" s="82" t="str">
        <f t="shared" ca="1" si="30"/>
        <v/>
      </c>
      <c r="BM20" s="88">
        <v>68</v>
      </c>
      <c r="BN20" s="88">
        <v>68</v>
      </c>
      <c r="BO20" s="88">
        <v>68</v>
      </c>
      <c r="BP20" s="88">
        <v>68</v>
      </c>
      <c r="BQ20" s="88">
        <v>76.666666666666671</v>
      </c>
      <c r="BR20" s="88">
        <v>68</v>
      </c>
      <c r="BS20" s="88">
        <v>77.142857142857139</v>
      </c>
      <c r="BT20" s="88">
        <v>34</v>
      </c>
      <c r="BU20" s="102">
        <f t="shared" ca="1" si="0"/>
        <v>6</v>
      </c>
      <c r="BV20" s="103">
        <f t="shared" ca="1" si="31"/>
        <v>0.33</v>
      </c>
      <c r="BW20" s="82" t="str">
        <f t="shared" ca="1" si="32"/>
        <v>E</v>
      </c>
    </row>
    <row r="21" spans="1:75" ht="24.6" customHeight="1">
      <c r="A21" s="259">
        <v>16</v>
      </c>
      <c r="B21" s="262" t="str">
        <f t="shared" ca="1" si="1"/>
        <v>ખુમાણ શિવરાજભાઇ બાબુભાઇ</v>
      </c>
      <c r="C21" s="167">
        <f>STUDENTS!D184</f>
        <v>0</v>
      </c>
      <c r="D21" s="168">
        <f>STUDENTS!D186</f>
        <v>0</v>
      </c>
      <c r="E21" s="249">
        <f t="shared" ca="1" si="33"/>
        <v>0</v>
      </c>
      <c r="F21" s="250"/>
      <c r="G21" s="250"/>
      <c r="H21" s="251">
        <f t="shared" ca="1" si="2"/>
        <v>0</v>
      </c>
      <c r="I21" s="250"/>
      <c r="J21" s="250"/>
      <c r="K21" s="252">
        <f t="shared" ca="1" si="3"/>
        <v>0</v>
      </c>
      <c r="L21" s="253" t="str">
        <f t="shared" ca="1" si="4"/>
        <v/>
      </c>
      <c r="M21" s="249">
        <f t="shared" ca="1" si="5"/>
        <v>0</v>
      </c>
      <c r="N21" s="250"/>
      <c r="O21" s="250"/>
      <c r="P21" s="251">
        <f t="shared" ca="1" si="6"/>
        <v>0</v>
      </c>
      <c r="Q21" s="250"/>
      <c r="R21" s="250"/>
      <c r="S21" s="252">
        <f t="shared" ca="1" si="7"/>
        <v>0</v>
      </c>
      <c r="T21" s="253" t="str">
        <f t="shared" ca="1" si="8"/>
        <v/>
      </c>
      <c r="U21" s="36"/>
      <c r="V21" s="249">
        <f t="shared" ca="1" si="9"/>
        <v>0</v>
      </c>
      <c r="W21" s="250"/>
      <c r="X21" s="250"/>
      <c r="Y21" s="251">
        <f t="shared" ca="1" si="10"/>
        <v>0</v>
      </c>
      <c r="Z21" s="250"/>
      <c r="AA21" s="250"/>
      <c r="AB21" s="252">
        <f t="shared" ca="1" si="11"/>
        <v>0</v>
      </c>
      <c r="AC21" s="253" t="str">
        <f t="shared" ca="1" si="12"/>
        <v/>
      </c>
      <c r="AD21" s="249">
        <f t="shared" ca="1" si="13"/>
        <v>0</v>
      </c>
      <c r="AE21" s="250"/>
      <c r="AF21" s="250"/>
      <c r="AG21" s="251">
        <f t="shared" ca="1" si="14"/>
        <v>0</v>
      </c>
      <c r="AH21" s="250"/>
      <c r="AI21" s="250"/>
      <c r="AJ21" s="252">
        <f t="shared" ca="1" si="15"/>
        <v>0</v>
      </c>
      <c r="AK21" s="253" t="str">
        <f t="shared" ca="1" si="16"/>
        <v/>
      </c>
      <c r="AL21" s="36"/>
      <c r="AM21" s="249">
        <f t="shared" ca="1" si="17"/>
        <v>0</v>
      </c>
      <c r="AN21" s="250"/>
      <c r="AO21" s="250"/>
      <c r="AP21" s="251">
        <f t="shared" ca="1" si="18"/>
        <v>0</v>
      </c>
      <c r="AQ21" s="250"/>
      <c r="AR21" s="250"/>
      <c r="AS21" s="252">
        <f t="shared" ca="1" si="19"/>
        <v>0</v>
      </c>
      <c r="AT21" s="253" t="str">
        <f t="shared" ca="1" si="20"/>
        <v/>
      </c>
      <c r="AU21" s="249">
        <f t="shared" ca="1" si="21"/>
        <v>0</v>
      </c>
      <c r="AV21" s="250"/>
      <c r="AW21" s="250"/>
      <c r="AX21" s="251">
        <f t="shared" ca="1" si="22"/>
        <v>0</v>
      </c>
      <c r="AY21" s="250"/>
      <c r="AZ21" s="250"/>
      <c r="BA21" s="252">
        <f t="shared" ca="1" si="23"/>
        <v>0</v>
      </c>
      <c r="BB21" s="253" t="str">
        <f t="shared" ca="1" si="24"/>
        <v/>
      </c>
      <c r="BC21" s="249">
        <f t="shared" ca="1" si="25"/>
        <v>0</v>
      </c>
      <c r="BD21" s="250"/>
      <c r="BE21" s="250"/>
      <c r="BF21" s="251">
        <f t="shared" ca="1" si="26"/>
        <v>0</v>
      </c>
      <c r="BG21" s="250"/>
      <c r="BH21" s="250"/>
      <c r="BI21" s="252">
        <f t="shared" ca="1" si="27"/>
        <v>0</v>
      </c>
      <c r="BJ21" s="253" t="str">
        <f t="shared" ca="1" si="28"/>
        <v/>
      </c>
      <c r="BK21" s="134">
        <f t="shared" ca="1" si="29"/>
        <v>0</v>
      </c>
      <c r="BL21" s="82" t="str">
        <f t="shared" ca="1" si="30"/>
        <v/>
      </c>
      <c r="BM21" s="88">
        <v>68</v>
      </c>
      <c r="BN21" s="88">
        <v>68</v>
      </c>
      <c r="BO21" s="88">
        <v>68</v>
      </c>
      <c r="BP21" s="88">
        <v>68</v>
      </c>
      <c r="BQ21" s="88">
        <v>76.666666666666671</v>
      </c>
      <c r="BR21" s="88">
        <v>68</v>
      </c>
      <c r="BS21" s="88">
        <v>77.142857142857139</v>
      </c>
      <c r="BT21" s="88">
        <v>34</v>
      </c>
      <c r="BU21" s="102">
        <f t="shared" ca="1" si="0"/>
        <v>0</v>
      </c>
      <c r="BV21" s="103">
        <f t="shared" ca="1" si="31"/>
        <v>0</v>
      </c>
      <c r="BW21" s="82" t="str">
        <f t="shared" ca="1" si="32"/>
        <v/>
      </c>
    </row>
    <row r="22" spans="1:75" ht="24.6" customHeight="1">
      <c r="A22" s="259">
        <v>17</v>
      </c>
      <c r="B22" s="262" t="str">
        <f t="shared" ca="1" si="1"/>
        <v>માથાસુરીયા દિનેશભાઇ અમરાભાઇ</v>
      </c>
      <c r="C22" s="167">
        <f>STUDENTS!D196</f>
        <v>0</v>
      </c>
      <c r="D22" s="168">
        <f>STUDENTS!D198</f>
        <v>0</v>
      </c>
      <c r="E22" s="249">
        <f t="shared" ca="1" si="33"/>
        <v>0</v>
      </c>
      <c r="F22" s="250"/>
      <c r="G22" s="250"/>
      <c r="H22" s="251">
        <f t="shared" ca="1" si="2"/>
        <v>0</v>
      </c>
      <c r="I22" s="250"/>
      <c r="J22" s="250"/>
      <c r="K22" s="252">
        <f t="shared" ca="1" si="3"/>
        <v>0</v>
      </c>
      <c r="L22" s="253" t="str">
        <f t="shared" ca="1" si="4"/>
        <v/>
      </c>
      <c r="M22" s="249">
        <f t="shared" ca="1" si="5"/>
        <v>0</v>
      </c>
      <c r="N22" s="250"/>
      <c r="O22" s="250"/>
      <c r="P22" s="251">
        <f t="shared" ca="1" si="6"/>
        <v>0</v>
      </c>
      <c r="Q22" s="250"/>
      <c r="R22" s="250"/>
      <c r="S22" s="252">
        <f t="shared" ca="1" si="7"/>
        <v>0</v>
      </c>
      <c r="T22" s="253" t="str">
        <f t="shared" ca="1" si="8"/>
        <v/>
      </c>
      <c r="U22" s="36"/>
      <c r="V22" s="249">
        <f t="shared" ca="1" si="9"/>
        <v>0</v>
      </c>
      <c r="W22" s="250"/>
      <c r="X22" s="250"/>
      <c r="Y22" s="251">
        <f t="shared" ca="1" si="10"/>
        <v>0</v>
      </c>
      <c r="Z22" s="250"/>
      <c r="AA22" s="250"/>
      <c r="AB22" s="252">
        <f t="shared" ca="1" si="11"/>
        <v>0</v>
      </c>
      <c r="AC22" s="253" t="str">
        <f t="shared" ca="1" si="12"/>
        <v/>
      </c>
      <c r="AD22" s="249">
        <f t="shared" ca="1" si="13"/>
        <v>0</v>
      </c>
      <c r="AE22" s="250"/>
      <c r="AF22" s="250"/>
      <c r="AG22" s="251">
        <f t="shared" ca="1" si="14"/>
        <v>0</v>
      </c>
      <c r="AH22" s="250"/>
      <c r="AI22" s="250"/>
      <c r="AJ22" s="252">
        <f t="shared" ca="1" si="15"/>
        <v>0</v>
      </c>
      <c r="AK22" s="253" t="str">
        <f t="shared" ca="1" si="16"/>
        <v/>
      </c>
      <c r="AL22" s="36"/>
      <c r="AM22" s="249">
        <f t="shared" ca="1" si="17"/>
        <v>0</v>
      </c>
      <c r="AN22" s="250"/>
      <c r="AO22" s="250"/>
      <c r="AP22" s="251">
        <f t="shared" ca="1" si="18"/>
        <v>0</v>
      </c>
      <c r="AQ22" s="250"/>
      <c r="AR22" s="250"/>
      <c r="AS22" s="252">
        <f t="shared" ca="1" si="19"/>
        <v>0</v>
      </c>
      <c r="AT22" s="253" t="str">
        <f t="shared" ca="1" si="20"/>
        <v/>
      </c>
      <c r="AU22" s="249">
        <f t="shared" ca="1" si="21"/>
        <v>0</v>
      </c>
      <c r="AV22" s="250"/>
      <c r="AW22" s="250"/>
      <c r="AX22" s="251">
        <f t="shared" ca="1" si="22"/>
        <v>3</v>
      </c>
      <c r="AY22" s="250"/>
      <c r="AZ22" s="250"/>
      <c r="BA22" s="252">
        <f t="shared" ca="1" si="23"/>
        <v>3</v>
      </c>
      <c r="BB22" s="253" t="str">
        <f t="shared" ca="1" si="24"/>
        <v>E</v>
      </c>
      <c r="BC22" s="249">
        <f t="shared" ca="1" si="25"/>
        <v>0</v>
      </c>
      <c r="BD22" s="250"/>
      <c r="BE22" s="250"/>
      <c r="BF22" s="251">
        <f t="shared" ca="1" si="26"/>
        <v>0</v>
      </c>
      <c r="BG22" s="250"/>
      <c r="BH22" s="250"/>
      <c r="BI22" s="252">
        <f t="shared" ca="1" si="27"/>
        <v>0</v>
      </c>
      <c r="BJ22" s="253" t="str">
        <f t="shared" ca="1" si="28"/>
        <v/>
      </c>
      <c r="BK22" s="134">
        <f t="shared" ca="1" si="29"/>
        <v>0</v>
      </c>
      <c r="BL22" s="82" t="str">
        <f t="shared" ca="1" si="30"/>
        <v/>
      </c>
      <c r="BM22" s="88">
        <v>68</v>
      </c>
      <c r="BN22" s="88">
        <v>68</v>
      </c>
      <c r="BO22" s="88">
        <v>68</v>
      </c>
      <c r="BP22" s="88">
        <v>68</v>
      </c>
      <c r="BQ22" s="88">
        <v>76.666666666666671</v>
      </c>
      <c r="BR22" s="88">
        <v>68</v>
      </c>
      <c r="BS22" s="88">
        <v>77.142857142857139</v>
      </c>
      <c r="BT22" s="88">
        <v>34</v>
      </c>
      <c r="BU22" s="102">
        <f t="shared" ca="1" si="0"/>
        <v>3</v>
      </c>
      <c r="BV22" s="103">
        <f t="shared" ca="1" si="31"/>
        <v>0.17</v>
      </c>
      <c r="BW22" s="82" t="str">
        <f t="shared" ca="1" si="32"/>
        <v>E</v>
      </c>
    </row>
    <row r="23" spans="1:75" ht="24.6" customHeight="1">
      <c r="A23" s="259">
        <v>18</v>
      </c>
      <c r="B23" s="262" t="str">
        <f t="shared" ca="1" si="1"/>
        <v>વાઘેલા હરેશ જીલુભાઇ</v>
      </c>
      <c r="C23" s="167">
        <f>STUDENTS!D208</f>
        <v>0</v>
      </c>
      <c r="D23" s="168">
        <f>STUDENTS!D210</f>
        <v>0</v>
      </c>
      <c r="E23" s="249">
        <f t="shared" ca="1" si="33"/>
        <v>0</v>
      </c>
      <c r="F23" s="250"/>
      <c r="G23" s="250"/>
      <c r="H23" s="251">
        <f t="shared" ca="1" si="2"/>
        <v>0</v>
      </c>
      <c r="I23" s="250"/>
      <c r="J23" s="250"/>
      <c r="K23" s="252">
        <f t="shared" ca="1" si="3"/>
        <v>0</v>
      </c>
      <c r="L23" s="253" t="str">
        <f t="shared" ca="1" si="4"/>
        <v/>
      </c>
      <c r="M23" s="249">
        <f t="shared" ca="1" si="5"/>
        <v>0</v>
      </c>
      <c r="N23" s="250"/>
      <c r="O23" s="250"/>
      <c r="P23" s="251">
        <f t="shared" ca="1" si="6"/>
        <v>0</v>
      </c>
      <c r="Q23" s="250"/>
      <c r="R23" s="250"/>
      <c r="S23" s="252">
        <f t="shared" ca="1" si="7"/>
        <v>0</v>
      </c>
      <c r="T23" s="253" t="str">
        <f t="shared" ca="1" si="8"/>
        <v/>
      </c>
      <c r="U23" s="36"/>
      <c r="V23" s="249">
        <f t="shared" ca="1" si="9"/>
        <v>0</v>
      </c>
      <c r="W23" s="250"/>
      <c r="X23" s="250"/>
      <c r="Y23" s="251">
        <f t="shared" ca="1" si="10"/>
        <v>0</v>
      </c>
      <c r="Z23" s="250"/>
      <c r="AA23" s="250"/>
      <c r="AB23" s="252">
        <f t="shared" ca="1" si="11"/>
        <v>0</v>
      </c>
      <c r="AC23" s="253" t="str">
        <f t="shared" ca="1" si="12"/>
        <v/>
      </c>
      <c r="AD23" s="249">
        <f t="shared" ca="1" si="13"/>
        <v>0</v>
      </c>
      <c r="AE23" s="250"/>
      <c r="AF23" s="250"/>
      <c r="AG23" s="251">
        <f t="shared" ca="1" si="14"/>
        <v>0</v>
      </c>
      <c r="AH23" s="250"/>
      <c r="AI23" s="250"/>
      <c r="AJ23" s="252">
        <f t="shared" ca="1" si="15"/>
        <v>0</v>
      </c>
      <c r="AK23" s="253" t="str">
        <f t="shared" ca="1" si="16"/>
        <v/>
      </c>
      <c r="AL23" s="36"/>
      <c r="AM23" s="249">
        <f t="shared" ca="1" si="17"/>
        <v>0</v>
      </c>
      <c r="AN23" s="250"/>
      <c r="AO23" s="250"/>
      <c r="AP23" s="251">
        <f t="shared" ca="1" si="18"/>
        <v>0</v>
      </c>
      <c r="AQ23" s="250"/>
      <c r="AR23" s="250"/>
      <c r="AS23" s="252">
        <f t="shared" ca="1" si="19"/>
        <v>0</v>
      </c>
      <c r="AT23" s="253" t="str">
        <f t="shared" ca="1" si="20"/>
        <v/>
      </c>
      <c r="AU23" s="249">
        <f t="shared" ca="1" si="21"/>
        <v>0</v>
      </c>
      <c r="AV23" s="250"/>
      <c r="AW23" s="250"/>
      <c r="AX23" s="251">
        <f t="shared" ca="1" si="22"/>
        <v>0</v>
      </c>
      <c r="AY23" s="250"/>
      <c r="AZ23" s="250"/>
      <c r="BA23" s="252">
        <f t="shared" ca="1" si="23"/>
        <v>0</v>
      </c>
      <c r="BB23" s="253" t="str">
        <f t="shared" ca="1" si="24"/>
        <v/>
      </c>
      <c r="BC23" s="249">
        <f t="shared" ca="1" si="25"/>
        <v>0</v>
      </c>
      <c r="BD23" s="250"/>
      <c r="BE23" s="250"/>
      <c r="BF23" s="251">
        <f t="shared" ca="1" si="26"/>
        <v>0</v>
      </c>
      <c r="BG23" s="250"/>
      <c r="BH23" s="250"/>
      <c r="BI23" s="252">
        <f t="shared" ca="1" si="27"/>
        <v>0</v>
      </c>
      <c r="BJ23" s="253" t="str">
        <f t="shared" ca="1" si="28"/>
        <v/>
      </c>
      <c r="BK23" s="134">
        <f t="shared" ca="1" si="29"/>
        <v>0</v>
      </c>
      <c r="BL23" s="82" t="str">
        <f t="shared" ca="1" si="30"/>
        <v/>
      </c>
      <c r="BM23" s="88">
        <v>68</v>
      </c>
      <c r="BN23" s="88">
        <v>68</v>
      </c>
      <c r="BO23" s="88">
        <v>68</v>
      </c>
      <c r="BP23" s="88">
        <v>68</v>
      </c>
      <c r="BQ23" s="88">
        <v>76.666666666666671</v>
      </c>
      <c r="BR23" s="88">
        <v>68</v>
      </c>
      <c r="BS23" s="88">
        <v>77.142857142857139</v>
      </c>
      <c r="BT23" s="88">
        <v>34</v>
      </c>
      <c r="BU23" s="102">
        <f t="shared" ca="1" si="0"/>
        <v>0</v>
      </c>
      <c r="BV23" s="103">
        <f t="shared" ca="1" si="31"/>
        <v>0</v>
      </c>
      <c r="BW23" s="82" t="str">
        <f t="shared" ca="1" si="32"/>
        <v/>
      </c>
    </row>
    <row r="24" spans="1:75" ht="24.6" customHeight="1">
      <c r="A24" s="259">
        <v>19</v>
      </c>
      <c r="B24" s="262" t="str">
        <f t="shared" ca="1" si="1"/>
        <v>પરમાર દિલીપકુમાર મધુભાઇ</v>
      </c>
      <c r="C24" s="167">
        <f>STUDENTS!D220</f>
        <v>0</v>
      </c>
      <c r="D24" s="168">
        <f>STUDENTS!D222</f>
        <v>0</v>
      </c>
      <c r="E24" s="249">
        <f t="shared" ca="1" si="33"/>
        <v>0</v>
      </c>
      <c r="F24" s="250"/>
      <c r="G24" s="250"/>
      <c r="H24" s="251">
        <f t="shared" ca="1" si="2"/>
        <v>0</v>
      </c>
      <c r="I24" s="250"/>
      <c r="J24" s="250"/>
      <c r="K24" s="252">
        <f t="shared" ca="1" si="3"/>
        <v>0</v>
      </c>
      <c r="L24" s="253" t="str">
        <f t="shared" ca="1" si="4"/>
        <v/>
      </c>
      <c r="M24" s="249">
        <f t="shared" ca="1" si="5"/>
        <v>0</v>
      </c>
      <c r="N24" s="250"/>
      <c r="O24" s="250"/>
      <c r="P24" s="251">
        <f t="shared" ca="1" si="6"/>
        <v>0</v>
      </c>
      <c r="Q24" s="250"/>
      <c r="R24" s="250"/>
      <c r="S24" s="252">
        <f t="shared" ca="1" si="7"/>
        <v>0</v>
      </c>
      <c r="T24" s="253" t="str">
        <f t="shared" ca="1" si="8"/>
        <v/>
      </c>
      <c r="U24" s="36"/>
      <c r="V24" s="249">
        <f t="shared" ca="1" si="9"/>
        <v>0</v>
      </c>
      <c r="W24" s="250"/>
      <c r="X24" s="250"/>
      <c r="Y24" s="251">
        <f t="shared" ca="1" si="10"/>
        <v>0</v>
      </c>
      <c r="Z24" s="250"/>
      <c r="AA24" s="250"/>
      <c r="AB24" s="252">
        <f t="shared" ca="1" si="11"/>
        <v>0</v>
      </c>
      <c r="AC24" s="253" t="str">
        <f t="shared" ca="1" si="12"/>
        <v/>
      </c>
      <c r="AD24" s="249">
        <f t="shared" ca="1" si="13"/>
        <v>0</v>
      </c>
      <c r="AE24" s="250"/>
      <c r="AF24" s="250"/>
      <c r="AG24" s="251">
        <f t="shared" ca="1" si="14"/>
        <v>0</v>
      </c>
      <c r="AH24" s="250"/>
      <c r="AI24" s="250"/>
      <c r="AJ24" s="252">
        <f t="shared" ca="1" si="15"/>
        <v>0</v>
      </c>
      <c r="AK24" s="253" t="str">
        <f t="shared" ca="1" si="16"/>
        <v/>
      </c>
      <c r="AL24" s="36"/>
      <c r="AM24" s="249">
        <f t="shared" ca="1" si="17"/>
        <v>0</v>
      </c>
      <c r="AN24" s="250"/>
      <c r="AO24" s="250"/>
      <c r="AP24" s="251">
        <f t="shared" ca="1" si="18"/>
        <v>0</v>
      </c>
      <c r="AQ24" s="250"/>
      <c r="AR24" s="250"/>
      <c r="AS24" s="252">
        <f t="shared" ca="1" si="19"/>
        <v>0</v>
      </c>
      <c r="AT24" s="253" t="str">
        <f t="shared" ca="1" si="20"/>
        <v/>
      </c>
      <c r="AU24" s="249">
        <f t="shared" ca="1" si="21"/>
        <v>0</v>
      </c>
      <c r="AV24" s="250"/>
      <c r="AW24" s="250"/>
      <c r="AX24" s="251">
        <f t="shared" ca="1" si="22"/>
        <v>0</v>
      </c>
      <c r="AY24" s="250"/>
      <c r="AZ24" s="250"/>
      <c r="BA24" s="252">
        <f t="shared" ca="1" si="23"/>
        <v>0</v>
      </c>
      <c r="BB24" s="253" t="str">
        <f t="shared" ca="1" si="24"/>
        <v/>
      </c>
      <c r="BC24" s="249">
        <f t="shared" ca="1" si="25"/>
        <v>0</v>
      </c>
      <c r="BD24" s="250"/>
      <c r="BE24" s="250"/>
      <c r="BF24" s="251">
        <f t="shared" ca="1" si="26"/>
        <v>0</v>
      </c>
      <c r="BG24" s="250"/>
      <c r="BH24" s="250"/>
      <c r="BI24" s="252">
        <f t="shared" ca="1" si="27"/>
        <v>0</v>
      </c>
      <c r="BJ24" s="253" t="str">
        <f t="shared" ca="1" si="28"/>
        <v/>
      </c>
      <c r="BK24" s="134">
        <f t="shared" ca="1" si="29"/>
        <v>28</v>
      </c>
      <c r="BL24" s="82" t="str">
        <f t="shared" ca="1" si="30"/>
        <v>E</v>
      </c>
      <c r="BM24" s="88">
        <v>68</v>
      </c>
      <c r="BN24" s="88">
        <v>68</v>
      </c>
      <c r="BO24" s="88">
        <v>68</v>
      </c>
      <c r="BP24" s="88">
        <v>68</v>
      </c>
      <c r="BQ24" s="88">
        <v>76.666666666666671</v>
      </c>
      <c r="BR24" s="88">
        <v>68</v>
      </c>
      <c r="BS24" s="88">
        <v>77.142857142857139</v>
      </c>
      <c r="BT24" s="88">
        <v>34</v>
      </c>
      <c r="BU24" s="102">
        <f t="shared" ca="1" si="0"/>
        <v>28</v>
      </c>
      <c r="BV24" s="103">
        <f t="shared" ca="1" si="31"/>
        <v>1.56</v>
      </c>
      <c r="BW24" s="82" t="str">
        <f t="shared" ca="1" si="32"/>
        <v>E</v>
      </c>
    </row>
    <row r="25" spans="1:75" ht="24.6" customHeight="1">
      <c r="A25" s="259">
        <v>20</v>
      </c>
      <c r="B25" s="262" t="str">
        <f t="shared" ca="1" si="1"/>
        <v>વિરપરા કૃણાલ હરેશભાઇ</v>
      </c>
      <c r="C25" s="167">
        <f>STUDENTS!D232</f>
        <v>0</v>
      </c>
      <c r="D25" s="168">
        <f>STUDENTS!D234</f>
        <v>0</v>
      </c>
      <c r="E25" s="249">
        <f t="shared" ca="1" si="33"/>
        <v>0</v>
      </c>
      <c r="F25" s="250"/>
      <c r="G25" s="250"/>
      <c r="H25" s="251">
        <f t="shared" ca="1" si="2"/>
        <v>0</v>
      </c>
      <c r="I25" s="250"/>
      <c r="J25" s="250"/>
      <c r="K25" s="252">
        <f t="shared" ca="1" si="3"/>
        <v>0</v>
      </c>
      <c r="L25" s="253" t="str">
        <f t="shared" ca="1" si="4"/>
        <v/>
      </c>
      <c r="M25" s="249">
        <f t="shared" ca="1" si="5"/>
        <v>0</v>
      </c>
      <c r="N25" s="250"/>
      <c r="O25" s="250"/>
      <c r="P25" s="251">
        <f t="shared" ca="1" si="6"/>
        <v>0</v>
      </c>
      <c r="Q25" s="250"/>
      <c r="R25" s="250"/>
      <c r="S25" s="252">
        <f t="shared" ca="1" si="7"/>
        <v>0</v>
      </c>
      <c r="T25" s="253" t="str">
        <f t="shared" ca="1" si="8"/>
        <v/>
      </c>
      <c r="U25" s="36"/>
      <c r="V25" s="249">
        <f t="shared" ca="1" si="9"/>
        <v>0</v>
      </c>
      <c r="W25" s="250"/>
      <c r="X25" s="250"/>
      <c r="Y25" s="251">
        <f t="shared" ca="1" si="10"/>
        <v>0</v>
      </c>
      <c r="Z25" s="250"/>
      <c r="AA25" s="250"/>
      <c r="AB25" s="252">
        <f t="shared" ca="1" si="11"/>
        <v>0</v>
      </c>
      <c r="AC25" s="253" t="str">
        <f t="shared" ca="1" si="12"/>
        <v/>
      </c>
      <c r="AD25" s="249">
        <f t="shared" ca="1" si="13"/>
        <v>0</v>
      </c>
      <c r="AE25" s="250"/>
      <c r="AF25" s="250"/>
      <c r="AG25" s="251">
        <f t="shared" ca="1" si="14"/>
        <v>0</v>
      </c>
      <c r="AH25" s="250"/>
      <c r="AI25" s="250"/>
      <c r="AJ25" s="252">
        <f t="shared" ca="1" si="15"/>
        <v>0</v>
      </c>
      <c r="AK25" s="253" t="str">
        <f t="shared" ca="1" si="16"/>
        <v/>
      </c>
      <c r="AL25" s="36"/>
      <c r="AM25" s="249">
        <f t="shared" ca="1" si="17"/>
        <v>0</v>
      </c>
      <c r="AN25" s="250"/>
      <c r="AO25" s="250"/>
      <c r="AP25" s="251">
        <f t="shared" ca="1" si="18"/>
        <v>0</v>
      </c>
      <c r="AQ25" s="250"/>
      <c r="AR25" s="250"/>
      <c r="AS25" s="252">
        <f t="shared" ca="1" si="19"/>
        <v>0</v>
      </c>
      <c r="AT25" s="253" t="str">
        <f t="shared" ca="1" si="20"/>
        <v/>
      </c>
      <c r="AU25" s="249">
        <f t="shared" ca="1" si="21"/>
        <v>0</v>
      </c>
      <c r="AV25" s="250"/>
      <c r="AW25" s="250"/>
      <c r="AX25" s="251">
        <f t="shared" ca="1" si="22"/>
        <v>0</v>
      </c>
      <c r="AY25" s="250"/>
      <c r="AZ25" s="250"/>
      <c r="BA25" s="252">
        <f t="shared" ca="1" si="23"/>
        <v>0</v>
      </c>
      <c r="BB25" s="253" t="str">
        <f t="shared" ca="1" si="24"/>
        <v/>
      </c>
      <c r="BC25" s="249">
        <f t="shared" ca="1" si="25"/>
        <v>0</v>
      </c>
      <c r="BD25" s="250"/>
      <c r="BE25" s="250"/>
      <c r="BF25" s="251">
        <f t="shared" ca="1" si="26"/>
        <v>0</v>
      </c>
      <c r="BG25" s="250"/>
      <c r="BH25" s="250"/>
      <c r="BI25" s="252">
        <f t="shared" ca="1" si="27"/>
        <v>0</v>
      </c>
      <c r="BJ25" s="253" t="str">
        <f t="shared" ca="1" si="28"/>
        <v/>
      </c>
      <c r="BK25" s="134">
        <f t="shared" ca="1" si="29"/>
        <v>26</v>
      </c>
      <c r="BL25" s="82" t="str">
        <f t="shared" ca="1" si="30"/>
        <v>E</v>
      </c>
      <c r="BM25" s="88">
        <v>68</v>
      </c>
      <c r="BN25" s="88">
        <v>68</v>
      </c>
      <c r="BO25" s="88">
        <v>68</v>
      </c>
      <c r="BP25" s="88">
        <v>68</v>
      </c>
      <c r="BQ25" s="88">
        <v>76.666666666666671</v>
      </c>
      <c r="BR25" s="88">
        <v>68</v>
      </c>
      <c r="BS25" s="88">
        <v>77.142857142857139</v>
      </c>
      <c r="BT25" s="88">
        <v>34</v>
      </c>
      <c r="BU25" s="102">
        <f t="shared" ca="1" si="0"/>
        <v>26</v>
      </c>
      <c r="BV25" s="103">
        <f t="shared" ca="1" si="31"/>
        <v>1.44</v>
      </c>
      <c r="BW25" s="82" t="str">
        <f t="shared" ca="1" si="32"/>
        <v>E</v>
      </c>
    </row>
    <row r="26" spans="1:75" ht="24.6" customHeight="1">
      <c r="A26" s="259">
        <v>21</v>
      </c>
      <c r="B26" s="262" t="str">
        <f t="shared" ca="1" si="1"/>
        <v>મકરૂબિયા જીજ્ઞેશભાઇ અશોકભાઇ</v>
      </c>
      <c r="C26" s="167">
        <f>STUDENTS!D244</f>
        <v>0</v>
      </c>
      <c r="D26" s="168">
        <f>STUDENTS!D246</f>
        <v>0</v>
      </c>
      <c r="E26" s="249">
        <f t="shared" ca="1" si="33"/>
        <v>0</v>
      </c>
      <c r="F26" s="250"/>
      <c r="G26" s="250"/>
      <c r="H26" s="251">
        <f t="shared" ca="1" si="2"/>
        <v>0</v>
      </c>
      <c r="I26" s="250"/>
      <c r="J26" s="250"/>
      <c r="K26" s="252">
        <f t="shared" ca="1" si="3"/>
        <v>0</v>
      </c>
      <c r="L26" s="253" t="str">
        <f t="shared" ca="1" si="4"/>
        <v/>
      </c>
      <c r="M26" s="249">
        <f t="shared" ca="1" si="5"/>
        <v>0</v>
      </c>
      <c r="N26" s="250"/>
      <c r="O26" s="250"/>
      <c r="P26" s="251">
        <f t="shared" ca="1" si="6"/>
        <v>0</v>
      </c>
      <c r="Q26" s="250"/>
      <c r="R26" s="250"/>
      <c r="S26" s="252">
        <f t="shared" ca="1" si="7"/>
        <v>0</v>
      </c>
      <c r="T26" s="253" t="str">
        <f t="shared" ca="1" si="8"/>
        <v/>
      </c>
      <c r="U26" s="36"/>
      <c r="V26" s="249">
        <f t="shared" ca="1" si="9"/>
        <v>0</v>
      </c>
      <c r="W26" s="250"/>
      <c r="X26" s="250"/>
      <c r="Y26" s="251">
        <f t="shared" ca="1" si="10"/>
        <v>0</v>
      </c>
      <c r="Z26" s="250"/>
      <c r="AA26" s="250"/>
      <c r="AB26" s="252">
        <f t="shared" ca="1" si="11"/>
        <v>0</v>
      </c>
      <c r="AC26" s="253" t="str">
        <f t="shared" ca="1" si="12"/>
        <v/>
      </c>
      <c r="AD26" s="249">
        <f t="shared" ca="1" si="13"/>
        <v>0</v>
      </c>
      <c r="AE26" s="250"/>
      <c r="AF26" s="250"/>
      <c r="AG26" s="251">
        <f t="shared" ca="1" si="14"/>
        <v>0</v>
      </c>
      <c r="AH26" s="250"/>
      <c r="AI26" s="250"/>
      <c r="AJ26" s="252">
        <f t="shared" ca="1" si="15"/>
        <v>0</v>
      </c>
      <c r="AK26" s="253" t="str">
        <f t="shared" ca="1" si="16"/>
        <v/>
      </c>
      <c r="AL26" s="36"/>
      <c r="AM26" s="249">
        <f t="shared" ca="1" si="17"/>
        <v>0</v>
      </c>
      <c r="AN26" s="250"/>
      <c r="AO26" s="250"/>
      <c r="AP26" s="251">
        <f t="shared" ca="1" si="18"/>
        <v>0</v>
      </c>
      <c r="AQ26" s="250"/>
      <c r="AR26" s="250"/>
      <c r="AS26" s="252">
        <f t="shared" ca="1" si="19"/>
        <v>0</v>
      </c>
      <c r="AT26" s="253" t="str">
        <f t="shared" ca="1" si="20"/>
        <v/>
      </c>
      <c r="AU26" s="249">
        <f t="shared" ca="1" si="21"/>
        <v>0</v>
      </c>
      <c r="AV26" s="250"/>
      <c r="AW26" s="250"/>
      <c r="AX26" s="251">
        <f t="shared" ca="1" si="22"/>
        <v>0</v>
      </c>
      <c r="AY26" s="250"/>
      <c r="AZ26" s="250"/>
      <c r="BA26" s="252">
        <f t="shared" ca="1" si="23"/>
        <v>0</v>
      </c>
      <c r="BB26" s="253" t="str">
        <f t="shared" ca="1" si="24"/>
        <v/>
      </c>
      <c r="BC26" s="249">
        <f t="shared" ca="1" si="25"/>
        <v>0</v>
      </c>
      <c r="BD26" s="250"/>
      <c r="BE26" s="250"/>
      <c r="BF26" s="251">
        <f t="shared" ca="1" si="26"/>
        <v>0</v>
      </c>
      <c r="BG26" s="250"/>
      <c r="BH26" s="250"/>
      <c r="BI26" s="252">
        <f t="shared" ca="1" si="27"/>
        <v>0</v>
      </c>
      <c r="BJ26" s="253" t="str">
        <f t="shared" ca="1" si="28"/>
        <v/>
      </c>
      <c r="BK26" s="134">
        <f t="shared" ca="1" si="29"/>
        <v>8</v>
      </c>
      <c r="BL26" s="82" t="str">
        <f t="shared" ca="1" si="30"/>
        <v>E</v>
      </c>
      <c r="BM26" s="88">
        <v>68</v>
      </c>
      <c r="BN26" s="88">
        <v>68</v>
      </c>
      <c r="BO26" s="88">
        <v>68</v>
      </c>
      <c r="BP26" s="88">
        <v>68</v>
      </c>
      <c r="BQ26" s="88">
        <v>76.666666666666671</v>
      </c>
      <c r="BR26" s="88">
        <v>68</v>
      </c>
      <c r="BS26" s="88">
        <v>77.142857142857139</v>
      </c>
      <c r="BT26" s="88">
        <v>34</v>
      </c>
      <c r="BU26" s="102">
        <f t="shared" ca="1" si="0"/>
        <v>8</v>
      </c>
      <c r="BV26" s="103">
        <f t="shared" ca="1" si="31"/>
        <v>0.44</v>
      </c>
      <c r="BW26" s="82" t="str">
        <f t="shared" ca="1" si="32"/>
        <v>E</v>
      </c>
    </row>
    <row r="27" spans="1:75" ht="24.6" customHeight="1">
      <c r="A27" s="259">
        <v>22</v>
      </c>
      <c r="B27" s="262" t="str">
        <f t="shared" ca="1" si="1"/>
        <v>ખિમસુરીયા જ્યોત્સના મુકેશભાઇ</v>
      </c>
      <c r="C27" s="167">
        <f>STUDENTS!D256</f>
        <v>0</v>
      </c>
      <c r="D27" s="168">
        <f>STUDENTS!D258</f>
        <v>0</v>
      </c>
      <c r="E27" s="249">
        <f t="shared" ca="1" si="33"/>
        <v>0</v>
      </c>
      <c r="F27" s="250"/>
      <c r="G27" s="250"/>
      <c r="H27" s="251">
        <f t="shared" ca="1" si="2"/>
        <v>0</v>
      </c>
      <c r="I27" s="250"/>
      <c r="J27" s="250"/>
      <c r="K27" s="252">
        <f t="shared" ca="1" si="3"/>
        <v>0</v>
      </c>
      <c r="L27" s="253" t="str">
        <f t="shared" ca="1" si="4"/>
        <v/>
      </c>
      <c r="M27" s="249">
        <f t="shared" ca="1" si="5"/>
        <v>0</v>
      </c>
      <c r="N27" s="250"/>
      <c r="O27" s="250"/>
      <c r="P27" s="251">
        <f t="shared" ca="1" si="6"/>
        <v>0</v>
      </c>
      <c r="Q27" s="250"/>
      <c r="R27" s="250"/>
      <c r="S27" s="252">
        <f t="shared" ca="1" si="7"/>
        <v>0</v>
      </c>
      <c r="T27" s="253" t="str">
        <f t="shared" ca="1" si="8"/>
        <v/>
      </c>
      <c r="U27" s="36"/>
      <c r="V27" s="249">
        <f t="shared" ca="1" si="9"/>
        <v>0</v>
      </c>
      <c r="W27" s="250"/>
      <c r="X27" s="250"/>
      <c r="Y27" s="251">
        <f t="shared" ca="1" si="10"/>
        <v>0</v>
      </c>
      <c r="Z27" s="250"/>
      <c r="AA27" s="250"/>
      <c r="AB27" s="252">
        <f t="shared" ca="1" si="11"/>
        <v>0</v>
      </c>
      <c r="AC27" s="253" t="str">
        <f t="shared" ca="1" si="12"/>
        <v/>
      </c>
      <c r="AD27" s="249">
        <f t="shared" ca="1" si="13"/>
        <v>0</v>
      </c>
      <c r="AE27" s="250"/>
      <c r="AF27" s="250"/>
      <c r="AG27" s="251">
        <f t="shared" ca="1" si="14"/>
        <v>0</v>
      </c>
      <c r="AH27" s="250"/>
      <c r="AI27" s="250"/>
      <c r="AJ27" s="252">
        <f t="shared" ca="1" si="15"/>
        <v>0</v>
      </c>
      <c r="AK27" s="253" t="str">
        <f t="shared" ca="1" si="16"/>
        <v/>
      </c>
      <c r="AL27" s="36"/>
      <c r="AM27" s="249">
        <f t="shared" ca="1" si="17"/>
        <v>0</v>
      </c>
      <c r="AN27" s="250"/>
      <c r="AO27" s="250"/>
      <c r="AP27" s="251">
        <f t="shared" ca="1" si="18"/>
        <v>0</v>
      </c>
      <c r="AQ27" s="250"/>
      <c r="AR27" s="250"/>
      <c r="AS27" s="252">
        <f t="shared" ca="1" si="19"/>
        <v>0</v>
      </c>
      <c r="AT27" s="253" t="str">
        <f t="shared" ca="1" si="20"/>
        <v/>
      </c>
      <c r="AU27" s="249">
        <f t="shared" ca="1" si="21"/>
        <v>0</v>
      </c>
      <c r="AV27" s="250"/>
      <c r="AW27" s="250"/>
      <c r="AX27" s="251">
        <f t="shared" ca="1" si="22"/>
        <v>0</v>
      </c>
      <c r="AY27" s="250"/>
      <c r="AZ27" s="250"/>
      <c r="BA27" s="252">
        <f t="shared" ca="1" si="23"/>
        <v>0</v>
      </c>
      <c r="BB27" s="253" t="str">
        <f t="shared" ca="1" si="24"/>
        <v/>
      </c>
      <c r="BC27" s="249">
        <f t="shared" ca="1" si="25"/>
        <v>0</v>
      </c>
      <c r="BD27" s="250"/>
      <c r="BE27" s="250"/>
      <c r="BF27" s="251">
        <f t="shared" ca="1" si="26"/>
        <v>0</v>
      </c>
      <c r="BG27" s="250"/>
      <c r="BH27" s="250"/>
      <c r="BI27" s="252">
        <f t="shared" ca="1" si="27"/>
        <v>0</v>
      </c>
      <c r="BJ27" s="253" t="str">
        <f t="shared" ca="1" si="28"/>
        <v/>
      </c>
      <c r="BK27" s="134">
        <f t="shared" ca="1" si="29"/>
        <v>0</v>
      </c>
      <c r="BL27" s="82" t="str">
        <f t="shared" ca="1" si="30"/>
        <v/>
      </c>
      <c r="BM27" s="88">
        <v>68</v>
      </c>
      <c r="BN27" s="88">
        <v>68</v>
      </c>
      <c r="BO27" s="88">
        <v>68</v>
      </c>
      <c r="BP27" s="88">
        <v>68</v>
      </c>
      <c r="BQ27" s="88">
        <v>76.666666666666671</v>
      </c>
      <c r="BR27" s="88">
        <v>68</v>
      </c>
      <c r="BS27" s="88">
        <v>77.142857142857139</v>
      </c>
      <c r="BT27" s="88">
        <v>34</v>
      </c>
      <c r="BU27" s="102">
        <f t="shared" ca="1" si="0"/>
        <v>0</v>
      </c>
      <c r="BV27" s="103">
        <f t="shared" ca="1" si="31"/>
        <v>0</v>
      </c>
      <c r="BW27" s="82" t="str">
        <f t="shared" ca="1" si="32"/>
        <v/>
      </c>
    </row>
    <row r="28" spans="1:75" ht="24.6" customHeight="1">
      <c r="A28" s="259">
        <v>23</v>
      </c>
      <c r="B28" s="262" t="str">
        <f t="shared" ca="1" si="1"/>
        <v>ગરણિયા રાજલબેન સામતભાઇ</v>
      </c>
      <c r="C28" s="167">
        <f>STUDENTS!D268</f>
        <v>0</v>
      </c>
      <c r="D28" s="168">
        <f>STUDENTS!D270</f>
        <v>0</v>
      </c>
      <c r="E28" s="249">
        <f t="shared" ca="1" si="33"/>
        <v>0</v>
      </c>
      <c r="F28" s="250"/>
      <c r="G28" s="250"/>
      <c r="H28" s="251">
        <f t="shared" ca="1" si="2"/>
        <v>0</v>
      </c>
      <c r="I28" s="250"/>
      <c r="J28" s="250"/>
      <c r="K28" s="252">
        <f t="shared" ca="1" si="3"/>
        <v>0</v>
      </c>
      <c r="L28" s="253" t="str">
        <f t="shared" ca="1" si="4"/>
        <v/>
      </c>
      <c r="M28" s="249">
        <f t="shared" ca="1" si="5"/>
        <v>0</v>
      </c>
      <c r="N28" s="250"/>
      <c r="O28" s="250"/>
      <c r="P28" s="251">
        <f t="shared" ca="1" si="6"/>
        <v>0</v>
      </c>
      <c r="Q28" s="250"/>
      <c r="R28" s="250"/>
      <c r="S28" s="252">
        <f t="shared" ca="1" si="7"/>
        <v>0</v>
      </c>
      <c r="T28" s="253" t="str">
        <f t="shared" ca="1" si="8"/>
        <v/>
      </c>
      <c r="U28" s="36"/>
      <c r="V28" s="249">
        <f t="shared" ca="1" si="9"/>
        <v>0</v>
      </c>
      <c r="W28" s="250"/>
      <c r="X28" s="250"/>
      <c r="Y28" s="251">
        <f t="shared" ca="1" si="10"/>
        <v>0</v>
      </c>
      <c r="Z28" s="250"/>
      <c r="AA28" s="250"/>
      <c r="AB28" s="252">
        <f t="shared" ca="1" si="11"/>
        <v>0</v>
      </c>
      <c r="AC28" s="253" t="str">
        <f t="shared" ca="1" si="12"/>
        <v/>
      </c>
      <c r="AD28" s="249">
        <f t="shared" ca="1" si="13"/>
        <v>0</v>
      </c>
      <c r="AE28" s="250"/>
      <c r="AF28" s="250"/>
      <c r="AG28" s="251">
        <f t="shared" ca="1" si="14"/>
        <v>0</v>
      </c>
      <c r="AH28" s="250"/>
      <c r="AI28" s="250"/>
      <c r="AJ28" s="252">
        <f t="shared" ca="1" si="15"/>
        <v>0</v>
      </c>
      <c r="AK28" s="253" t="str">
        <f t="shared" ca="1" si="16"/>
        <v/>
      </c>
      <c r="AL28" s="36"/>
      <c r="AM28" s="249">
        <f t="shared" ca="1" si="17"/>
        <v>0</v>
      </c>
      <c r="AN28" s="250"/>
      <c r="AO28" s="250"/>
      <c r="AP28" s="251">
        <f t="shared" ca="1" si="18"/>
        <v>0</v>
      </c>
      <c r="AQ28" s="250"/>
      <c r="AR28" s="250"/>
      <c r="AS28" s="252">
        <f t="shared" ca="1" si="19"/>
        <v>0</v>
      </c>
      <c r="AT28" s="253" t="str">
        <f t="shared" ca="1" si="20"/>
        <v/>
      </c>
      <c r="AU28" s="249">
        <f t="shared" ca="1" si="21"/>
        <v>0</v>
      </c>
      <c r="AV28" s="250"/>
      <c r="AW28" s="250"/>
      <c r="AX28" s="251">
        <f t="shared" ca="1" si="22"/>
        <v>0</v>
      </c>
      <c r="AY28" s="250"/>
      <c r="AZ28" s="250"/>
      <c r="BA28" s="252">
        <f t="shared" ca="1" si="23"/>
        <v>0</v>
      </c>
      <c r="BB28" s="253" t="str">
        <f t="shared" ca="1" si="24"/>
        <v/>
      </c>
      <c r="BC28" s="249">
        <f t="shared" ca="1" si="25"/>
        <v>0</v>
      </c>
      <c r="BD28" s="250"/>
      <c r="BE28" s="250"/>
      <c r="BF28" s="251">
        <f t="shared" ca="1" si="26"/>
        <v>0</v>
      </c>
      <c r="BG28" s="250"/>
      <c r="BH28" s="250"/>
      <c r="BI28" s="252">
        <f t="shared" ca="1" si="27"/>
        <v>0</v>
      </c>
      <c r="BJ28" s="253" t="str">
        <f t="shared" ca="1" si="28"/>
        <v/>
      </c>
      <c r="BK28" s="134">
        <f t="shared" ca="1" si="29"/>
        <v>0</v>
      </c>
      <c r="BL28" s="82" t="str">
        <f t="shared" ca="1" si="30"/>
        <v/>
      </c>
      <c r="BM28" s="88">
        <v>68</v>
      </c>
      <c r="BN28" s="88">
        <v>68</v>
      </c>
      <c r="BO28" s="88">
        <v>68</v>
      </c>
      <c r="BP28" s="88">
        <v>68</v>
      </c>
      <c r="BQ28" s="88">
        <v>76.666666666666671</v>
      </c>
      <c r="BR28" s="88">
        <v>68</v>
      </c>
      <c r="BS28" s="88">
        <v>77.142857142857139</v>
      </c>
      <c r="BT28" s="88">
        <v>34</v>
      </c>
      <c r="BU28" s="102">
        <f t="shared" ca="1" si="0"/>
        <v>0</v>
      </c>
      <c r="BV28" s="103">
        <f t="shared" ca="1" si="31"/>
        <v>0</v>
      </c>
      <c r="BW28" s="82" t="str">
        <f t="shared" ca="1" si="32"/>
        <v/>
      </c>
    </row>
    <row r="29" spans="1:75" ht="24.6" customHeight="1">
      <c r="A29" s="259">
        <v>24</v>
      </c>
      <c r="B29" s="262" t="str">
        <f t="shared" ca="1" si="1"/>
        <v>ગરણિયા નિરાલીબેન પ્રદીપભાઇ</v>
      </c>
      <c r="C29" s="167">
        <f>STUDENTS!D280</f>
        <v>0</v>
      </c>
      <c r="D29" s="168">
        <f>STUDENTS!D282</f>
        <v>0</v>
      </c>
      <c r="E29" s="249">
        <f t="shared" ca="1" si="33"/>
        <v>0</v>
      </c>
      <c r="F29" s="250"/>
      <c r="G29" s="250"/>
      <c r="H29" s="251">
        <f t="shared" ca="1" si="2"/>
        <v>0</v>
      </c>
      <c r="I29" s="250"/>
      <c r="J29" s="250"/>
      <c r="K29" s="252">
        <f t="shared" ca="1" si="3"/>
        <v>0</v>
      </c>
      <c r="L29" s="253" t="str">
        <f t="shared" ca="1" si="4"/>
        <v/>
      </c>
      <c r="M29" s="249">
        <f t="shared" ca="1" si="5"/>
        <v>0</v>
      </c>
      <c r="N29" s="250"/>
      <c r="O29" s="250"/>
      <c r="P29" s="251">
        <f t="shared" ca="1" si="6"/>
        <v>0</v>
      </c>
      <c r="Q29" s="250"/>
      <c r="R29" s="250"/>
      <c r="S29" s="252">
        <f t="shared" ca="1" si="7"/>
        <v>0</v>
      </c>
      <c r="T29" s="253" t="str">
        <f t="shared" ca="1" si="8"/>
        <v/>
      </c>
      <c r="U29" s="36"/>
      <c r="V29" s="249">
        <f t="shared" ca="1" si="9"/>
        <v>0</v>
      </c>
      <c r="W29" s="250"/>
      <c r="X29" s="250"/>
      <c r="Y29" s="251">
        <f t="shared" ca="1" si="10"/>
        <v>0</v>
      </c>
      <c r="Z29" s="250"/>
      <c r="AA29" s="250"/>
      <c r="AB29" s="252">
        <f t="shared" ca="1" si="11"/>
        <v>0</v>
      </c>
      <c r="AC29" s="253" t="str">
        <f t="shared" ca="1" si="12"/>
        <v/>
      </c>
      <c r="AD29" s="249">
        <f t="shared" ca="1" si="13"/>
        <v>0</v>
      </c>
      <c r="AE29" s="250"/>
      <c r="AF29" s="250"/>
      <c r="AG29" s="251">
        <f t="shared" ca="1" si="14"/>
        <v>0</v>
      </c>
      <c r="AH29" s="250"/>
      <c r="AI29" s="250"/>
      <c r="AJ29" s="252">
        <f t="shared" ca="1" si="15"/>
        <v>0</v>
      </c>
      <c r="AK29" s="253" t="str">
        <f t="shared" ca="1" si="16"/>
        <v/>
      </c>
      <c r="AL29" s="36"/>
      <c r="AM29" s="249">
        <f t="shared" ca="1" si="17"/>
        <v>0</v>
      </c>
      <c r="AN29" s="250"/>
      <c r="AO29" s="250"/>
      <c r="AP29" s="251">
        <f t="shared" ca="1" si="18"/>
        <v>0</v>
      </c>
      <c r="AQ29" s="250"/>
      <c r="AR29" s="250"/>
      <c r="AS29" s="252">
        <f t="shared" ca="1" si="19"/>
        <v>0</v>
      </c>
      <c r="AT29" s="253" t="str">
        <f t="shared" ca="1" si="20"/>
        <v/>
      </c>
      <c r="AU29" s="249">
        <f t="shared" ca="1" si="21"/>
        <v>0</v>
      </c>
      <c r="AV29" s="250"/>
      <c r="AW29" s="250"/>
      <c r="AX29" s="251">
        <f t="shared" ca="1" si="22"/>
        <v>0</v>
      </c>
      <c r="AY29" s="250"/>
      <c r="AZ29" s="250"/>
      <c r="BA29" s="252">
        <f t="shared" ca="1" si="23"/>
        <v>0</v>
      </c>
      <c r="BB29" s="253" t="str">
        <f t="shared" ca="1" si="24"/>
        <v/>
      </c>
      <c r="BC29" s="249">
        <f t="shared" ca="1" si="25"/>
        <v>0</v>
      </c>
      <c r="BD29" s="250"/>
      <c r="BE29" s="250"/>
      <c r="BF29" s="251">
        <f t="shared" ca="1" si="26"/>
        <v>3</v>
      </c>
      <c r="BG29" s="250"/>
      <c r="BH29" s="250"/>
      <c r="BI29" s="252">
        <f t="shared" ca="1" si="27"/>
        <v>3</v>
      </c>
      <c r="BJ29" s="253" t="str">
        <f t="shared" ca="1" si="28"/>
        <v>E</v>
      </c>
      <c r="BK29" s="134">
        <f t="shared" ca="1" si="29"/>
        <v>0</v>
      </c>
      <c r="BL29" s="82" t="str">
        <f t="shared" ca="1" si="30"/>
        <v/>
      </c>
      <c r="BM29" s="88">
        <v>68</v>
      </c>
      <c r="BN29" s="88">
        <v>68</v>
      </c>
      <c r="BO29" s="88">
        <v>68</v>
      </c>
      <c r="BP29" s="88">
        <v>68</v>
      </c>
      <c r="BQ29" s="88">
        <v>76.666666666666671</v>
      </c>
      <c r="BR29" s="88">
        <v>68</v>
      </c>
      <c r="BS29" s="88">
        <v>77.142857142857139</v>
      </c>
      <c r="BT29" s="88">
        <v>34</v>
      </c>
      <c r="BU29" s="102">
        <f t="shared" ca="1" si="0"/>
        <v>3</v>
      </c>
      <c r="BV29" s="103">
        <f t="shared" ca="1" si="31"/>
        <v>0.17</v>
      </c>
      <c r="BW29" s="82" t="str">
        <f t="shared" ca="1" si="32"/>
        <v>E</v>
      </c>
    </row>
    <row r="30" spans="1:75" ht="24.6" customHeight="1">
      <c r="A30" s="259">
        <v>25</v>
      </c>
      <c r="B30" s="262" t="str">
        <f t="shared" ca="1" si="1"/>
        <v>ગરણિયા રાધાબેન લક્ષ્મણભાઇ</v>
      </c>
      <c r="C30" s="167">
        <f>STUDENTS!D292</f>
        <v>0</v>
      </c>
      <c r="D30" s="168">
        <f>STUDENTS!D294</f>
        <v>0</v>
      </c>
      <c r="E30" s="249">
        <f t="shared" ca="1" si="33"/>
        <v>0</v>
      </c>
      <c r="F30" s="250"/>
      <c r="G30" s="250"/>
      <c r="H30" s="251">
        <f t="shared" ca="1" si="2"/>
        <v>0</v>
      </c>
      <c r="I30" s="250"/>
      <c r="J30" s="250"/>
      <c r="K30" s="252">
        <f t="shared" ca="1" si="3"/>
        <v>0</v>
      </c>
      <c r="L30" s="253" t="str">
        <f t="shared" ca="1" si="4"/>
        <v/>
      </c>
      <c r="M30" s="249">
        <f t="shared" ca="1" si="5"/>
        <v>0</v>
      </c>
      <c r="N30" s="250"/>
      <c r="O30" s="250"/>
      <c r="P30" s="251">
        <f t="shared" ca="1" si="6"/>
        <v>0</v>
      </c>
      <c r="Q30" s="250"/>
      <c r="R30" s="250"/>
      <c r="S30" s="252">
        <f t="shared" ca="1" si="7"/>
        <v>0</v>
      </c>
      <c r="T30" s="253" t="str">
        <f t="shared" ca="1" si="8"/>
        <v/>
      </c>
      <c r="U30" s="36"/>
      <c r="V30" s="249">
        <f t="shared" ca="1" si="9"/>
        <v>0</v>
      </c>
      <c r="W30" s="250"/>
      <c r="X30" s="250"/>
      <c r="Y30" s="251">
        <f t="shared" ca="1" si="10"/>
        <v>0</v>
      </c>
      <c r="Z30" s="250"/>
      <c r="AA30" s="250"/>
      <c r="AB30" s="252">
        <f t="shared" ca="1" si="11"/>
        <v>0</v>
      </c>
      <c r="AC30" s="253" t="str">
        <f t="shared" ca="1" si="12"/>
        <v/>
      </c>
      <c r="AD30" s="249">
        <f t="shared" ca="1" si="13"/>
        <v>0</v>
      </c>
      <c r="AE30" s="250"/>
      <c r="AF30" s="250"/>
      <c r="AG30" s="251">
        <f t="shared" ca="1" si="14"/>
        <v>0</v>
      </c>
      <c r="AH30" s="250"/>
      <c r="AI30" s="250"/>
      <c r="AJ30" s="252">
        <f t="shared" ca="1" si="15"/>
        <v>0</v>
      </c>
      <c r="AK30" s="253" t="str">
        <f t="shared" ca="1" si="16"/>
        <v/>
      </c>
      <c r="AL30" s="36"/>
      <c r="AM30" s="249">
        <f t="shared" ca="1" si="17"/>
        <v>0</v>
      </c>
      <c r="AN30" s="250"/>
      <c r="AO30" s="250"/>
      <c r="AP30" s="251">
        <f t="shared" ca="1" si="18"/>
        <v>0</v>
      </c>
      <c r="AQ30" s="250"/>
      <c r="AR30" s="250"/>
      <c r="AS30" s="252">
        <f t="shared" ca="1" si="19"/>
        <v>0</v>
      </c>
      <c r="AT30" s="253" t="str">
        <f t="shared" ca="1" si="20"/>
        <v/>
      </c>
      <c r="AU30" s="249">
        <f t="shared" ca="1" si="21"/>
        <v>0</v>
      </c>
      <c r="AV30" s="250"/>
      <c r="AW30" s="250"/>
      <c r="AX30" s="251">
        <f t="shared" ca="1" si="22"/>
        <v>0</v>
      </c>
      <c r="AY30" s="250"/>
      <c r="AZ30" s="250"/>
      <c r="BA30" s="252">
        <f t="shared" ca="1" si="23"/>
        <v>0</v>
      </c>
      <c r="BB30" s="253" t="str">
        <f t="shared" ca="1" si="24"/>
        <v/>
      </c>
      <c r="BC30" s="249">
        <f t="shared" ca="1" si="25"/>
        <v>0</v>
      </c>
      <c r="BD30" s="250"/>
      <c r="BE30" s="250"/>
      <c r="BF30" s="251">
        <f t="shared" ca="1" si="26"/>
        <v>0</v>
      </c>
      <c r="BG30" s="250"/>
      <c r="BH30" s="250"/>
      <c r="BI30" s="252">
        <f t="shared" ca="1" si="27"/>
        <v>0</v>
      </c>
      <c r="BJ30" s="253" t="str">
        <f t="shared" ca="1" si="28"/>
        <v/>
      </c>
      <c r="BK30" s="134">
        <f t="shared" ca="1" si="29"/>
        <v>0</v>
      </c>
      <c r="BL30" s="82" t="str">
        <f t="shared" ca="1" si="30"/>
        <v/>
      </c>
      <c r="BM30" s="88">
        <v>68</v>
      </c>
      <c r="BN30" s="88">
        <v>68</v>
      </c>
      <c r="BO30" s="88">
        <v>68</v>
      </c>
      <c r="BP30" s="88">
        <v>68</v>
      </c>
      <c r="BQ30" s="88">
        <v>76.666666666666671</v>
      </c>
      <c r="BR30" s="88">
        <v>68</v>
      </c>
      <c r="BS30" s="88">
        <v>77.142857142857139</v>
      </c>
      <c r="BT30" s="88">
        <v>34</v>
      </c>
      <c r="BU30" s="102">
        <f t="shared" ca="1" si="0"/>
        <v>0</v>
      </c>
      <c r="BV30" s="103">
        <f t="shared" ca="1" si="31"/>
        <v>0</v>
      </c>
      <c r="BW30" s="82" t="str">
        <f t="shared" ca="1" si="32"/>
        <v/>
      </c>
    </row>
    <row r="31" spans="1:75" ht="24.6" customHeight="1">
      <c r="A31" s="259">
        <v>26</v>
      </c>
      <c r="B31" s="262" t="str">
        <f t="shared" ca="1" si="1"/>
        <v>ગૌસ્વામિ મયુરીબેન રમેશગીરી</v>
      </c>
      <c r="C31" s="167">
        <f>STUDENTS!D304</f>
        <v>0</v>
      </c>
      <c r="D31" s="168">
        <f>STUDENTS!D306</f>
        <v>0</v>
      </c>
      <c r="E31" s="249">
        <f t="shared" ca="1" si="33"/>
        <v>0</v>
      </c>
      <c r="F31" s="250"/>
      <c r="G31" s="250"/>
      <c r="H31" s="251">
        <f t="shared" ca="1" si="2"/>
        <v>0</v>
      </c>
      <c r="I31" s="250"/>
      <c r="J31" s="250"/>
      <c r="K31" s="252">
        <f t="shared" ca="1" si="3"/>
        <v>0</v>
      </c>
      <c r="L31" s="253" t="str">
        <f t="shared" ca="1" si="4"/>
        <v/>
      </c>
      <c r="M31" s="249">
        <f t="shared" ca="1" si="5"/>
        <v>0</v>
      </c>
      <c r="N31" s="250"/>
      <c r="O31" s="250"/>
      <c r="P31" s="251">
        <f t="shared" ca="1" si="6"/>
        <v>0</v>
      </c>
      <c r="Q31" s="250"/>
      <c r="R31" s="250"/>
      <c r="S31" s="252">
        <f t="shared" ca="1" si="7"/>
        <v>0</v>
      </c>
      <c r="T31" s="253" t="str">
        <f t="shared" ca="1" si="8"/>
        <v/>
      </c>
      <c r="U31" s="36"/>
      <c r="V31" s="249">
        <f t="shared" ca="1" si="9"/>
        <v>3</v>
      </c>
      <c r="W31" s="250"/>
      <c r="X31" s="250"/>
      <c r="Y31" s="251">
        <f t="shared" ca="1" si="10"/>
        <v>0</v>
      </c>
      <c r="Z31" s="250"/>
      <c r="AA31" s="250"/>
      <c r="AB31" s="252">
        <f t="shared" ca="1" si="11"/>
        <v>3</v>
      </c>
      <c r="AC31" s="253" t="str">
        <f t="shared" ca="1" si="12"/>
        <v>E</v>
      </c>
      <c r="AD31" s="249">
        <f t="shared" ca="1" si="13"/>
        <v>0</v>
      </c>
      <c r="AE31" s="250"/>
      <c r="AF31" s="250"/>
      <c r="AG31" s="251">
        <f t="shared" ca="1" si="14"/>
        <v>3</v>
      </c>
      <c r="AH31" s="250"/>
      <c r="AI31" s="250"/>
      <c r="AJ31" s="252">
        <f t="shared" ca="1" si="15"/>
        <v>3</v>
      </c>
      <c r="AK31" s="253" t="str">
        <f t="shared" ca="1" si="16"/>
        <v>E</v>
      </c>
      <c r="AL31" s="36"/>
      <c r="AM31" s="249">
        <f t="shared" ca="1" si="17"/>
        <v>0</v>
      </c>
      <c r="AN31" s="250"/>
      <c r="AO31" s="250"/>
      <c r="AP31" s="251">
        <f t="shared" ca="1" si="18"/>
        <v>0</v>
      </c>
      <c r="AQ31" s="250"/>
      <c r="AR31" s="250"/>
      <c r="AS31" s="252">
        <f t="shared" ca="1" si="19"/>
        <v>0</v>
      </c>
      <c r="AT31" s="253" t="str">
        <f t="shared" ca="1" si="20"/>
        <v/>
      </c>
      <c r="AU31" s="249">
        <f t="shared" ca="1" si="21"/>
        <v>0</v>
      </c>
      <c r="AV31" s="250"/>
      <c r="AW31" s="250"/>
      <c r="AX31" s="251">
        <f t="shared" ca="1" si="22"/>
        <v>0</v>
      </c>
      <c r="AY31" s="250"/>
      <c r="AZ31" s="250"/>
      <c r="BA31" s="252">
        <f t="shared" ca="1" si="23"/>
        <v>0</v>
      </c>
      <c r="BB31" s="253" t="str">
        <f t="shared" ca="1" si="24"/>
        <v/>
      </c>
      <c r="BC31" s="249">
        <f t="shared" ca="1" si="25"/>
        <v>0</v>
      </c>
      <c r="BD31" s="250"/>
      <c r="BE31" s="250"/>
      <c r="BF31" s="251">
        <f t="shared" ca="1" si="26"/>
        <v>0</v>
      </c>
      <c r="BG31" s="250"/>
      <c r="BH31" s="250"/>
      <c r="BI31" s="252">
        <f t="shared" ca="1" si="27"/>
        <v>0</v>
      </c>
      <c r="BJ31" s="253" t="str">
        <f t="shared" ca="1" si="28"/>
        <v/>
      </c>
      <c r="BK31" s="134">
        <f t="shared" ca="1" si="29"/>
        <v>0</v>
      </c>
      <c r="BL31" s="82" t="str">
        <f t="shared" ca="1" si="30"/>
        <v/>
      </c>
      <c r="BM31" s="88">
        <v>68</v>
      </c>
      <c r="BN31" s="88">
        <v>68</v>
      </c>
      <c r="BO31" s="88">
        <v>68</v>
      </c>
      <c r="BP31" s="88">
        <v>68</v>
      </c>
      <c r="BQ31" s="88">
        <v>76.666666666666671</v>
      </c>
      <c r="BR31" s="88">
        <v>68</v>
      </c>
      <c r="BS31" s="88">
        <v>77.142857142857139</v>
      </c>
      <c r="BT31" s="88">
        <v>34</v>
      </c>
      <c r="BU31" s="102">
        <f t="shared" ca="1" si="0"/>
        <v>6</v>
      </c>
      <c r="BV31" s="103">
        <f t="shared" ca="1" si="31"/>
        <v>0.33</v>
      </c>
      <c r="BW31" s="82" t="str">
        <f t="shared" ca="1" si="32"/>
        <v>E</v>
      </c>
    </row>
    <row r="32" spans="1:75" ht="24.6" customHeight="1">
      <c r="A32" s="259">
        <v>27</v>
      </c>
      <c r="B32" s="262" t="str">
        <f t="shared" ca="1" si="1"/>
        <v>બતાડા જાનકી વાલાભાઇ</v>
      </c>
      <c r="C32" s="167">
        <f>STUDENTS!D316</f>
        <v>0</v>
      </c>
      <c r="D32" s="168">
        <f>STUDENTS!D318</f>
        <v>0</v>
      </c>
      <c r="E32" s="249">
        <f t="shared" ca="1" si="33"/>
        <v>0</v>
      </c>
      <c r="F32" s="250"/>
      <c r="G32" s="250"/>
      <c r="H32" s="251">
        <f t="shared" ca="1" si="2"/>
        <v>0</v>
      </c>
      <c r="I32" s="250"/>
      <c r="J32" s="250"/>
      <c r="K32" s="252">
        <f t="shared" ca="1" si="3"/>
        <v>0</v>
      </c>
      <c r="L32" s="253" t="str">
        <f t="shared" ca="1" si="4"/>
        <v/>
      </c>
      <c r="M32" s="249">
        <f t="shared" ca="1" si="5"/>
        <v>0</v>
      </c>
      <c r="N32" s="250"/>
      <c r="O32" s="250"/>
      <c r="P32" s="251">
        <f t="shared" ca="1" si="6"/>
        <v>0</v>
      </c>
      <c r="Q32" s="250"/>
      <c r="R32" s="250"/>
      <c r="S32" s="252">
        <f t="shared" ca="1" si="7"/>
        <v>0</v>
      </c>
      <c r="T32" s="253" t="str">
        <f t="shared" ca="1" si="8"/>
        <v/>
      </c>
      <c r="U32" s="36"/>
      <c r="V32" s="249">
        <f t="shared" ca="1" si="9"/>
        <v>3</v>
      </c>
      <c r="W32" s="250"/>
      <c r="X32" s="250"/>
      <c r="Y32" s="251">
        <f t="shared" ca="1" si="10"/>
        <v>0</v>
      </c>
      <c r="Z32" s="250"/>
      <c r="AA32" s="250"/>
      <c r="AB32" s="252">
        <f t="shared" ca="1" si="11"/>
        <v>3</v>
      </c>
      <c r="AC32" s="253" t="str">
        <f t="shared" ca="1" si="12"/>
        <v>E</v>
      </c>
      <c r="AD32" s="249">
        <f t="shared" ca="1" si="13"/>
        <v>0</v>
      </c>
      <c r="AE32" s="250"/>
      <c r="AF32" s="250"/>
      <c r="AG32" s="251">
        <f t="shared" ca="1" si="14"/>
        <v>0</v>
      </c>
      <c r="AH32" s="250"/>
      <c r="AI32" s="250"/>
      <c r="AJ32" s="252">
        <f t="shared" ca="1" si="15"/>
        <v>0</v>
      </c>
      <c r="AK32" s="253" t="str">
        <f t="shared" ca="1" si="16"/>
        <v/>
      </c>
      <c r="AL32" s="36"/>
      <c r="AM32" s="249">
        <f t="shared" ca="1" si="17"/>
        <v>0</v>
      </c>
      <c r="AN32" s="250"/>
      <c r="AO32" s="250"/>
      <c r="AP32" s="251">
        <f t="shared" ca="1" si="18"/>
        <v>0</v>
      </c>
      <c r="AQ32" s="250"/>
      <c r="AR32" s="250"/>
      <c r="AS32" s="252">
        <f t="shared" ca="1" si="19"/>
        <v>0</v>
      </c>
      <c r="AT32" s="253" t="str">
        <f t="shared" ca="1" si="20"/>
        <v/>
      </c>
      <c r="AU32" s="249">
        <f t="shared" ca="1" si="21"/>
        <v>0</v>
      </c>
      <c r="AV32" s="250"/>
      <c r="AW32" s="250"/>
      <c r="AX32" s="251">
        <f t="shared" ca="1" si="22"/>
        <v>0</v>
      </c>
      <c r="AY32" s="250"/>
      <c r="AZ32" s="250"/>
      <c r="BA32" s="252">
        <f t="shared" ca="1" si="23"/>
        <v>0</v>
      </c>
      <c r="BB32" s="253" t="str">
        <f t="shared" ca="1" si="24"/>
        <v/>
      </c>
      <c r="BC32" s="249">
        <f t="shared" ca="1" si="25"/>
        <v>0</v>
      </c>
      <c r="BD32" s="250"/>
      <c r="BE32" s="250"/>
      <c r="BF32" s="251">
        <f t="shared" ca="1" si="26"/>
        <v>6</v>
      </c>
      <c r="BG32" s="250"/>
      <c r="BH32" s="250"/>
      <c r="BI32" s="252">
        <f t="shared" ca="1" si="27"/>
        <v>6</v>
      </c>
      <c r="BJ32" s="253" t="str">
        <f t="shared" ca="1" si="28"/>
        <v>E</v>
      </c>
      <c r="BK32" s="134">
        <f t="shared" ca="1" si="29"/>
        <v>0</v>
      </c>
      <c r="BL32" s="82" t="str">
        <f t="shared" ca="1" si="30"/>
        <v/>
      </c>
      <c r="BM32" s="88">
        <v>68</v>
      </c>
      <c r="BN32" s="88">
        <v>68</v>
      </c>
      <c r="BO32" s="88">
        <v>68</v>
      </c>
      <c r="BP32" s="88">
        <v>68</v>
      </c>
      <c r="BQ32" s="88">
        <v>76.666666666666671</v>
      </c>
      <c r="BR32" s="88">
        <v>68</v>
      </c>
      <c r="BS32" s="88">
        <v>77.142857142857139</v>
      </c>
      <c r="BT32" s="88">
        <v>34</v>
      </c>
      <c r="BU32" s="102">
        <f t="shared" ca="1" si="0"/>
        <v>9</v>
      </c>
      <c r="BV32" s="103">
        <f t="shared" ca="1" si="31"/>
        <v>0.5</v>
      </c>
      <c r="BW32" s="82" t="str">
        <f t="shared" ca="1" si="32"/>
        <v>E</v>
      </c>
    </row>
    <row r="33" spans="1:75" ht="24.6" customHeight="1">
      <c r="A33" s="259">
        <v>28</v>
      </c>
      <c r="B33" s="262" t="str">
        <f t="shared" ca="1" si="1"/>
        <v>બતાડા ક્રિષ્નાબેન દેવશીભાઇ</v>
      </c>
      <c r="C33" s="167">
        <f>STUDENTS!D328</f>
        <v>0</v>
      </c>
      <c r="D33" s="168">
        <f>STUDENTS!D330</f>
        <v>0</v>
      </c>
      <c r="E33" s="249">
        <f t="shared" ca="1" si="33"/>
        <v>0</v>
      </c>
      <c r="F33" s="250"/>
      <c r="G33" s="250"/>
      <c r="H33" s="251">
        <f t="shared" ca="1" si="2"/>
        <v>0</v>
      </c>
      <c r="I33" s="250"/>
      <c r="J33" s="250"/>
      <c r="K33" s="252">
        <f t="shared" ca="1" si="3"/>
        <v>0</v>
      </c>
      <c r="L33" s="253" t="str">
        <f t="shared" ca="1" si="4"/>
        <v/>
      </c>
      <c r="M33" s="249">
        <f t="shared" ca="1" si="5"/>
        <v>0</v>
      </c>
      <c r="N33" s="250"/>
      <c r="O33" s="250"/>
      <c r="P33" s="251">
        <f t="shared" ca="1" si="6"/>
        <v>0</v>
      </c>
      <c r="Q33" s="250"/>
      <c r="R33" s="250"/>
      <c r="S33" s="252">
        <f t="shared" ca="1" si="7"/>
        <v>0</v>
      </c>
      <c r="T33" s="253" t="str">
        <f t="shared" ca="1" si="8"/>
        <v/>
      </c>
      <c r="U33" s="36"/>
      <c r="V33" s="249">
        <f t="shared" ca="1" si="9"/>
        <v>0</v>
      </c>
      <c r="W33" s="250"/>
      <c r="X33" s="250"/>
      <c r="Y33" s="251">
        <f t="shared" ca="1" si="10"/>
        <v>0</v>
      </c>
      <c r="Z33" s="250"/>
      <c r="AA33" s="250"/>
      <c r="AB33" s="252">
        <f t="shared" ca="1" si="11"/>
        <v>0</v>
      </c>
      <c r="AC33" s="253" t="str">
        <f t="shared" ca="1" si="12"/>
        <v/>
      </c>
      <c r="AD33" s="249">
        <f t="shared" ca="1" si="13"/>
        <v>0</v>
      </c>
      <c r="AE33" s="250"/>
      <c r="AF33" s="250"/>
      <c r="AG33" s="251">
        <f t="shared" ca="1" si="14"/>
        <v>0</v>
      </c>
      <c r="AH33" s="250"/>
      <c r="AI33" s="250"/>
      <c r="AJ33" s="252">
        <f t="shared" ca="1" si="15"/>
        <v>0</v>
      </c>
      <c r="AK33" s="253" t="str">
        <f t="shared" ca="1" si="16"/>
        <v/>
      </c>
      <c r="AL33" s="36"/>
      <c r="AM33" s="249">
        <f t="shared" ca="1" si="17"/>
        <v>0</v>
      </c>
      <c r="AN33" s="250"/>
      <c r="AO33" s="250"/>
      <c r="AP33" s="251">
        <f t="shared" ca="1" si="18"/>
        <v>0</v>
      </c>
      <c r="AQ33" s="250"/>
      <c r="AR33" s="250"/>
      <c r="AS33" s="252">
        <f t="shared" ca="1" si="19"/>
        <v>0</v>
      </c>
      <c r="AT33" s="253" t="str">
        <f t="shared" ca="1" si="20"/>
        <v/>
      </c>
      <c r="AU33" s="249">
        <f t="shared" ca="1" si="21"/>
        <v>0</v>
      </c>
      <c r="AV33" s="250"/>
      <c r="AW33" s="250"/>
      <c r="AX33" s="251">
        <f t="shared" ca="1" si="22"/>
        <v>0</v>
      </c>
      <c r="AY33" s="250"/>
      <c r="AZ33" s="250"/>
      <c r="BA33" s="252">
        <f t="shared" ca="1" si="23"/>
        <v>0</v>
      </c>
      <c r="BB33" s="253" t="str">
        <f t="shared" ca="1" si="24"/>
        <v/>
      </c>
      <c r="BC33" s="249">
        <f t="shared" ca="1" si="25"/>
        <v>0</v>
      </c>
      <c r="BD33" s="250"/>
      <c r="BE33" s="250"/>
      <c r="BF33" s="251">
        <f t="shared" ca="1" si="26"/>
        <v>0</v>
      </c>
      <c r="BG33" s="250"/>
      <c r="BH33" s="250"/>
      <c r="BI33" s="252">
        <f t="shared" ca="1" si="27"/>
        <v>0</v>
      </c>
      <c r="BJ33" s="253" t="str">
        <f t="shared" ca="1" si="28"/>
        <v/>
      </c>
      <c r="BK33" s="134">
        <f t="shared" ca="1" si="29"/>
        <v>0</v>
      </c>
      <c r="BL33" s="82" t="str">
        <f t="shared" ca="1" si="30"/>
        <v/>
      </c>
      <c r="BM33" s="88">
        <v>68</v>
      </c>
      <c r="BN33" s="88">
        <v>68</v>
      </c>
      <c r="BO33" s="88">
        <v>68</v>
      </c>
      <c r="BP33" s="88">
        <v>68</v>
      </c>
      <c r="BQ33" s="88">
        <v>76.666666666666671</v>
      </c>
      <c r="BR33" s="88">
        <v>68</v>
      </c>
      <c r="BS33" s="88">
        <v>77.142857142857139</v>
      </c>
      <c r="BT33" s="88">
        <v>34</v>
      </c>
      <c r="BU33" s="102">
        <f t="shared" ca="1" si="0"/>
        <v>0</v>
      </c>
      <c r="BV33" s="103">
        <f t="shared" ca="1" si="31"/>
        <v>0</v>
      </c>
      <c r="BW33" s="82" t="str">
        <f t="shared" ca="1" si="32"/>
        <v/>
      </c>
    </row>
    <row r="34" spans="1:75" ht="24.6" customHeight="1">
      <c r="A34" s="259">
        <v>29</v>
      </c>
      <c r="B34" s="262" t="str">
        <f t="shared" ca="1" si="1"/>
        <v>પરમાર અનિષા રમેશભાઇ</v>
      </c>
      <c r="C34" s="167">
        <f>STUDENTS!D340</f>
        <v>0</v>
      </c>
      <c r="D34" s="168">
        <f>STUDENTS!D342</f>
        <v>0</v>
      </c>
      <c r="E34" s="249">
        <f t="shared" ca="1" si="33"/>
        <v>0</v>
      </c>
      <c r="F34" s="250"/>
      <c r="G34" s="250"/>
      <c r="H34" s="251">
        <f t="shared" ca="1" si="2"/>
        <v>0</v>
      </c>
      <c r="I34" s="250"/>
      <c r="J34" s="250"/>
      <c r="K34" s="252">
        <f t="shared" ca="1" si="3"/>
        <v>0</v>
      </c>
      <c r="L34" s="253" t="str">
        <f t="shared" ca="1" si="4"/>
        <v/>
      </c>
      <c r="M34" s="249">
        <f t="shared" ca="1" si="5"/>
        <v>0</v>
      </c>
      <c r="N34" s="250"/>
      <c r="O34" s="250"/>
      <c r="P34" s="251">
        <f t="shared" ca="1" si="6"/>
        <v>0</v>
      </c>
      <c r="Q34" s="250"/>
      <c r="R34" s="250"/>
      <c r="S34" s="252">
        <f t="shared" ca="1" si="7"/>
        <v>0</v>
      </c>
      <c r="T34" s="253" t="str">
        <f t="shared" ca="1" si="8"/>
        <v/>
      </c>
      <c r="U34" s="36"/>
      <c r="V34" s="249">
        <f t="shared" ca="1" si="9"/>
        <v>0</v>
      </c>
      <c r="W34" s="250"/>
      <c r="X34" s="250"/>
      <c r="Y34" s="251">
        <f t="shared" ca="1" si="10"/>
        <v>0</v>
      </c>
      <c r="Z34" s="250"/>
      <c r="AA34" s="250"/>
      <c r="AB34" s="252">
        <f t="shared" ca="1" si="11"/>
        <v>0</v>
      </c>
      <c r="AC34" s="253" t="str">
        <f t="shared" ca="1" si="12"/>
        <v/>
      </c>
      <c r="AD34" s="249">
        <f t="shared" ca="1" si="13"/>
        <v>0</v>
      </c>
      <c r="AE34" s="250"/>
      <c r="AF34" s="250"/>
      <c r="AG34" s="251">
        <f t="shared" ca="1" si="14"/>
        <v>3</v>
      </c>
      <c r="AH34" s="250"/>
      <c r="AI34" s="250"/>
      <c r="AJ34" s="252">
        <f t="shared" ca="1" si="15"/>
        <v>3</v>
      </c>
      <c r="AK34" s="253" t="str">
        <f t="shared" ca="1" si="16"/>
        <v>E</v>
      </c>
      <c r="AL34" s="36"/>
      <c r="AM34" s="249">
        <f t="shared" ca="1" si="17"/>
        <v>0</v>
      </c>
      <c r="AN34" s="250"/>
      <c r="AO34" s="250"/>
      <c r="AP34" s="251">
        <f t="shared" ca="1" si="18"/>
        <v>0</v>
      </c>
      <c r="AQ34" s="250"/>
      <c r="AR34" s="250"/>
      <c r="AS34" s="252">
        <f t="shared" ca="1" si="19"/>
        <v>0</v>
      </c>
      <c r="AT34" s="253" t="str">
        <f t="shared" ca="1" si="20"/>
        <v/>
      </c>
      <c r="AU34" s="249">
        <f t="shared" ca="1" si="21"/>
        <v>0</v>
      </c>
      <c r="AV34" s="250"/>
      <c r="AW34" s="250"/>
      <c r="AX34" s="251">
        <f t="shared" ca="1" si="22"/>
        <v>0</v>
      </c>
      <c r="AY34" s="250"/>
      <c r="AZ34" s="250"/>
      <c r="BA34" s="252">
        <f t="shared" ca="1" si="23"/>
        <v>0</v>
      </c>
      <c r="BB34" s="253" t="str">
        <f t="shared" ca="1" si="24"/>
        <v/>
      </c>
      <c r="BC34" s="249">
        <f t="shared" ca="1" si="25"/>
        <v>0</v>
      </c>
      <c r="BD34" s="250"/>
      <c r="BE34" s="250"/>
      <c r="BF34" s="251">
        <f t="shared" ca="1" si="26"/>
        <v>0</v>
      </c>
      <c r="BG34" s="250"/>
      <c r="BH34" s="250"/>
      <c r="BI34" s="252">
        <f t="shared" ca="1" si="27"/>
        <v>0</v>
      </c>
      <c r="BJ34" s="253" t="str">
        <f t="shared" ca="1" si="28"/>
        <v/>
      </c>
      <c r="BK34" s="134">
        <f t="shared" ca="1" si="29"/>
        <v>0</v>
      </c>
      <c r="BL34" s="82" t="str">
        <f t="shared" ca="1" si="30"/>
        <v/>
      </c>
      <c r="BM34" s="88">
        <v>68</v>
      </c>
      <c r="BN34" s="88">
        <v>68</v>
      </c>
      <c r="BO34" s="88">
        <v>68</v>
      </c>
      <c r="BP34" s="88">
        <v>68</v>
      </c>
      <c r="BQ34" s="88">
        <v>76.666666666666671</v>
      </c>
      <c r="BR34" s="88">
        <v>68</v>
      </c>
      <c r="BS34" s="88">
        <v>77.142857142857139</v>
      </c>
      <c r="BT34" s="88">
        <v>34</v>
      </c>
      <c r="BU34" s="102">
        <f t="shared" ca="1" si="0"/>
        <v>3</v>
      </c>
      <c r="BV34" s="103">
        <f t="shared" ca="1" si="31"/>
        <v>0.17</v>
      </c>
      <c r="BW34" s="82" t="str">
        <f t="shared" ca="1" si="32"/>
        <v>E</v>
      </c>
    </row>
    <row r="35" spans="1:75" ht="24.6" customHeight="1">
      <c r="A35" s="259">
        <v>30</v>
      </c>
      <c r="B35" s="262" t="str">
        <f t="shared" ca="1" si="1"/>
        <v>મકરૂબિયા નમ્રતા વશરામભાઇ</v>
      </c>
      <c r="C35" s="167">
        <f>STUDENTS!D352</f>
        <v>0</v>
      </c>
      <c r="D35" s="168">
        <f>STUDENTS!D354</f>
        <v>0</v>
      </c>
      <c r="E35" s="249">
        <f t="shared" ca="1" si="33"/>
        <v>0</v>
      </c>
      <c r="F35" s="250"/>
      <c r="G35" s="250"/>
      <c r="H35" s="251">
        <f t="shared" ca="1" si="2"/>
        <v>0</v>
      </c>
      <c r="I35" s="250"/>
      <c r="J35" s="250"/>
      <c r="K35" s="252">
        <f t="shared" ca="1" si="3"/>
        <v>0</v>
      </c>
      <c r="L35" s="253" t="str">
        <f t="shared" ca="1" si="4"/>
        <v/>
      </c>
      <c r="M35" s="249">
        <f t="shared" ca="1" si="5"/>
        <v>0</v>
      </c>
      <c r="N35" s="250"/>
      <c r="O35" s="250"/>
      <c r="P35" s="251">
        <f t="shared" ca="1" si="6"/>
        <v>0</v>
      </c>
      <c r="Q35" s="250"/>
      <c r="R35" s="250"/>
      <c r="S35" s="252">
        <f t="shared" ca="1" si="7"/>
        <v>0</v>
      </c>
      <c r="T35" s="253" t="str">
        <f t="shared" ca="1" si="8"/>
        <v/>
      </c>
      <c r="U35" s="36"/>
      <c r="V35" s="249">
        <f t="shared" ca="1" si="9"/>
        <v>0</v>
      </c>
      <c r="W35" s="250"/>
      <c r="X35" s="250"/>
      <c r="Y35" s="251">
        <f t="shared" ca="1" si="10"/>
        <v>0</v>
      </c>
      <c r="Z35" s="250"/>
      <c r="AA35" s="250"/>
      <c r="AB35" s="252">
        <f t="shared" ca="1" si="11"/>
        <v>0</v>
      </c>
      <c r="AC35" s="253" t="str">
        <f t="shared" ca="1" si="12"/>
        <v/>
      </c>
      <c r="AD35" s="249">
        <f t="shared" ca="1" si="13"/>
        <v>0</v>
      </c>
      <c r="AE35" s="250"/>
      <c r="AF35" s="250"/>
      <c r="AG35" s="251">
        <f t="shared" ca="1" si="14"/>
        <v>0</v>
      </c>
      <c r="AH35" s="250"/>
      <c r="AI35" s="250"/>
      <c r="AJ35" s="252">
        <f t="shared" ca="1" si="15"/>
        <v>0</v>
      </c>
      <c r="AK35" s="253" t="str">
        <f t="shared" ca="1" si="16"/>
        <v/>
      </c>
      <c r="AL35" s="36"/>
      <c r="AM35" s="249">
        <f t="shared" ca="1" si="17"/>
        <v>0</v>
      </c>
      <c r="AN35" s="250"/>
      <c r="AO35" s="250"/>
      <c r="AP35" s="251">
        <f t="shared" ca="1" si="18"/>
        <v>0</v>
      </c>
      <c r="AQ35" s="250"/>
      <c r="AR35" s="250"/>
      <c r="AS35" s="252">
        <f t="shared" ca="1" si="19"/>
        <v>0</v>
      </c>
      <c r="AT35" s="253" t="str">
        <f t="shared" ca="1" si="20"/>
        <v/>
      </c>
      <c r="AU35" s="249">
        <f t="shared" ca="1" si="21"/>
        <v>0</v>
      </c>
      <c r="AV35" s="250"/>
      <c r="AW35" s="250"/>
      <c r="AX35" s="251">
        <f t="shared" ca="1" si="22"/>
        <v>0</v>
      </c>
      <c r="AY35" s="250"/>
      <c r="AZ35" s="250"/>
      <c r="BA35" s="252">
        <f t="shared" ca="1" si="23"/>
        <v>0</v>
      </c>
      <c r="BB35" s="253" t="str">
        <f t="shared" ca="1" si="24"/>
        <v/>
      </c>
      <c r="BC35" s="249">
        <f t="shared" ca="1" si="25"/>
        <v>0</v>
      </c>
      <c r="BD35" s="250"/>
      <c r="BE35" s="250"/>
      <c r="BF35" s="251">
        <f t="shared" ca="1" si="26"/>
        <v>0</v>
      </c>
      <c r="BG35" s="250"/>
      <c r="BH35" s="250"/>
      <c r="BI35" s="252">
        <f t="shared" ca="1" si="27"/>
        <v>0</v>
      </c>
      <c r="BJ35" s="253" t="str">
        <f t="shared" ca="1" si="28"/>
        <v/>
      </c>
      <c r="BK35" s="134">
        <f t="shared" ca="1" si="29"/>
        <v>21</v>
      </c>
      <c r="BL35" s="82" t="str">
        <f t="shared" ca="1" si="30"/>
        <v>E</v>
      </c>
      <c r="BM35" s="88">
        <v>68</v>
      </c>
      <c r="BN35" s="88">
        <v>68</v>
      </c>
      <c r="BO35" s="88">
        <v>68</v>
      </c>
      <c r="BP35" s="88">
        <v>68</v>
      </c>
      <c r="BQ35" s="88">
        <v>76.666666666666671</v>
      </c>
      <c r="BR35" s="88">
        <v>68</v>
      </c>
      <c r="BS35" s="88">
        <v>77.142857142857139</v>
      </c>
      <c r="BT35" s="88">
        <v>34</v>
      </c>
      <c r="BU35" s="102">
        <f t="shared" ca="1" si="0"/>
        <v>21</v>
      </c>
      <c r="BV35" s="103">
        <f t="shared" ca="1" si="31"/>
        <v>1.17</v>
      </c>
      <c r="BW35" s="82" t="str">
        <f t="shared" ca="1" si="32"/>
        <v>E</v>
      </c>
    </row>
    <row r="36" spans="1:75" ht="24.6" customHeight="1">
      <c r="A36" s="259">
        <v>31</v>
      </c>
      <c r="B36" s="262">
        <f t="shared" ca="1" si="1"/>
        <v>0</v>
      </c>
      <c r="C36" s="167">
        <f>STUDENTS!D364</f>
        <v>0</v>
      </c>
      <c r="D36" s="168">
        <f>STUDENTS!D366</f>
        <v>0</v>
      </c>
      <c r="E36" s="249">
        <f t="shared" ca="1" si="33"/>
        <v>0</v>
      </c>
      <c r="F36" s="250"/>
      <c r="G36" s="250"/>
      <c r="H36" s="251">
        <f t="shared" ca="1" si="2"/>
        <v>0</v>
      </c>
      <c r="I36" s="250"/>
      <c r="J36" s="250"/>
      <c r="K36" s="252">
        <f t="shared" ca="1" si="3"/>
        <v>0</v>
      </c>
      <c r="L36" s="253" t="str">
        <f t="shared" ca="1" si="4"/>
        <v/>
      </c>
      <c r="M36" s="249">
        <f t="shared" ca="1" si="5"/>
        <v>0</v>
      </c>
      <c r="N36" s="250"/>
      <c r="O36" s="250"/>
      <c r="P36" s="251">
        <f t="shared" ca="1" si="6"/>
        <v>0</v>
      </c>
      <c r="Q36" s="250"/>
      <c r="R36" s="250"/>
      <c r="S36" s="252">
        <f t="shared" ca="1" si="7"/>
        <v>0</v>
      </c>
      <c r="T36" s="253" t="str">
        <f t="shared" ca="1" si="8"/>
        <v/>
      </c>
      <c r="U36" s="36"/>
      <c r="V36" s="249">
        <f t="shared" ca="1" si="9"/>
        <v>0</v>
      </c>
      <c r="W36" s="250"/>
      <c r="X36" s="250"/>
      <c r="Y36" s="251">
        <f t="shared" ca="1" si="10"/>
        <v>0</v>
      </c>
      <c r="Z36" s="250"/>
      <c r="AA36" s="250"/>
      <c r="AB36" s="252">
        <f t="shared" ca="1" si="11"/>
        <v>0</v>
      </c>
      <c r="AC36" s="253" t="str">
        <f t="shared" ca="1" si="12"/>
        <v/>
      </c>
      <c r="AD36" s="249">
        <f t="shared" ca="1" si="13"/>
        <v>0</v>
      </c>
      <c r="AE36" s="250"/>
      <c r="AF36" s="250"/>
      <c r="AG36" s="251">
        <f t="shared" ca="1" si="14"/>
        <v>0</v>
      </c>
      <c r="AH36" s="250"/>
      <c r="AI36" s="250"/>
      <c r="AJ36" s="252">
        <f t="shared" ca="1" si="15"/>
        <v>0</v>
      </c>
      <c r="AK36" s="253" t="str">
        <f t="shared" ca="1" si="16"/>
        <v/>
      </c>
      <c r="AL36" s="36"/>
      <c r="AM36" s="249">
        <f t="shared" ca="1" si="17"/>
        <v>0</v>
      </c>
      <c r="AN36" s="250"/>
      <c r="AO36" s="250"/>
      <c r="AP36" s="251">
        <f t="shared" ca="1" si="18"/>
        <v>0</v>
      </c>
      <c r="AQ36" s="250"/>
      <c r="AR36" s="250"/>
      <c r="AS36" s="252">
        <f t="shared" ca="1" si="19"/>
        <v>0</v>
      </c>
      <c r="AT36" s="253" t="str">
        <f t="shared" ca="1" si="20"/>
        <v/>
      </c>
      <c r="AU36" s="249">
        <f t="shared" ca="1" si="21"/>
        <v>0</v>
      </c>
      <c r="AV36" s="250"/>
      <c r="AW36" s="250"/>
      <c r="AX36" s="251">
        <f t="shared" ca="1" si="22"/>
        <v>0</v>
      </c>
      <c r="AY36" s="250"/>
      <c r="AZ36" s="250"/>
      <c r="BA36" s="252">
        <f t="shared" ca="1" si="23"/>
        <v>0</v>
      </c>
      <c r="BB36" s="253" t="str">
        <f t="shared" ca="1" si="24"/>
        <v/>
      </c>
      <c r="BC36" s="249">
        <f t="shared" ca="1" si="25"/>
        <v>0</v>
      </c>
      <c r="BD36" s="250"/>
      <c r="BE36" s="250"/>
      <c r="BF36" s="251">
        <f t="shared" ca="1" si="26"/>
        <v>0</v>
      </c>
      <c r="BG36" s="250"/>
      <c r="BH36" s="250"/>
      <c r="BI36" s="252">
        <f t="shared" ca="1" si="27"/>
        <v>0</v>
      </c>
      <c r="BJ36" s="253" t="str">
        <f t="shared" ca="1" si="28"/>
        <v/>
      </c>
      <c r="BK36" s="134">
        <f t="shared" ca="1" si="29"/>
        <v>0</v>
      </c>
      <c r="BL36" s="82" t="str">
        <f t="shared" ca="1" si="30"/>
        <v/>
      </c>
      <c r="BM36" s="88">
        <v>68</v>
      </c>
      <c r="BN36" s="88">
        <v>68</v>
      </c>
      <c r="BO36" s="88">
        <v>68</v>
      </c>
      <c r="BP36" s="88">
        <v>68</v>
      </c>
      <c r="BQ36" s="88">
        <v>76.666666666666671</v>
      </c>
      <c r="BR36" s="88">
        <v>68</v>
      </c>
      <c r="BS36" s="88">
        <v>77.142857142857139</v>
      </c>
      <c r="BT36" s="88">
        <v>34</v>
      </c>
      <c r="BU36" s="102">
        <f t="shared" ca="1" si="0"/>
        <v>0</v>
      </c>
      <c r="BV36" s="103">
        <f t="shared" ca="1" si="31"/>
        <v>0</v>
      </c>
      <c r="BW36" s="82" t="str">
        <f t="shared" ca="1" si="32"/>
        <v/>
      </c>
    </row>
    <row r="37" spans="1:75" ht="24.6" customHeight="1">
      <c r="A37" s="259">
        <v>32</v>
      </c>
      <c r="B37" s="262">
        <f t="shared" ca="1" si="1"/>
        <v>0</v>
      </c>
      <c r="C37" s="167">
        <f>STUDENTS!D376</f>
        <v>0</v>
      </c>
      <c r="D37" s="168">
        <f>STUDENTS!D378</f>
        <v>0</v>
      </c>
      <c r="E37" s="249">
        <f t="shared" ca="1" si="33"/>
        <v>0</v>
      </c>
      <c r="F37" s="250"/>
      <c r="G37" s="250"/>
      <c r="H37" s="251">
        <f t="shared" ca="1" si="2"/>
        <v>0</v>
      </c>
      <c r="I37" s="250"/>
      <c r="J37" s="250"/>
      <c r="K37" s="252">
        <f t="shared" ca="1" si="3"/>
        <v>0</v>
      </c>
      <c r="L37" s="253" t="str">
        <f t="shared" ca="1" si="4"/>
        <v/>
      </c>
      <c r="M37" s="249">
        <f t="shared" ca="1" si="5"/>
        <v>0</v>
      </c>
      <c r="N37" s="250"/>
      <c r="O37" s="250"/>
      <c r="P37" s="251">
        <f t="shared" ca="1" si="6"/>
        <v>0</v>
      </c>
      <c r="Q37" s="250"/>
      <c r="R37" s="250"/>
      <c r="S37" s="252">
        <f t="shared" ca="1" si="7"/>
        <v>0</v>
      </c>
      <c r="T37" s="253" t="str">
        <f t="shared" ca="1" si="8"/>
        <v/>
      </c>
      <c r="U37" s="36"/>
      <c r="V37" s="249">
        <f t="shared" ca="1" si="9"/>
        <v>0</v>
      </c>
      <c r="W37" s="250"/>
      <c r="X37" s="250"/>
      <c r="Y37" s="251">
        <f t="shared" ca="1" si="10"/>
        <v>0</v>
      </c>
      <c r="Z37" s="250"/>
      <c r="AA37" s="250"/>
      <c r="AB37" s="252">
        <f t="shared" ca="1" si="11"/>
        <v>0</v>
      </c>
      <c r="AC37" s="253" t="str">
        <f t="shared" ca="1" si="12"/>
        <v/>
      </c>
      <c r="AD37" s="249">
        <f t="shared" ca="1" si="13"/>
        <v>0</v>
      </c>
      <c r="AE37" s="250"/>
      <c r="AF37" s="250"/>
      <c r="AG37" s="251">
        <f t="shared" ca="1" si="14"/>
        <v>0</v>
      </c>
      <c r="AH37" s="250"/>
      <c r="AI37" s="250"/>
      <c r="AJ37" s="252">
        <f t="shared" ca="1" si="15"/>
        <v>0</v>
      </c>
      <c r="AK37" s="253" t="str">
        <f t="shared" ca="1" si="16"/>
        <v/>
      </c>
      <c r="AL37" s="36"/>
      <c r="AM37" s="249">
        <f t="shared" ca="1" si="17"/>
        <v>0</v>
      </c>
      <c r="AN37" s="250"/>
      <c r="AO37" s="250"/>
      <c r="AP37" s="251">
        <f t="shared" ca="1" si="18"/>
        <v>0</v>
      </c>
      <c r="AQ37" s="250"/>
      <c r="AR37" s="250"/>
      <c r="AS37" s="252">
        <f t="shared" ca="1" si="19"/>
        <v>0</v>
      </c>
      <c r="AT37" s="253" t="str">
        <f t="shared" ca="1" si="20"/>
        <v/>
      </c>
      <c r="AU37" s="249">
        <f t="shared" ca="1" si="21"/>
        <v>0</v>
      </c>
      <c r="AV37" s="250"/>
      <c r="AW37" s="250"/>
      <c r="AX37" s="251">
        <f t="shared" ca="1" si="22"/>
        <v>0</v>
      </c>
      <c r="AY37" s="250"/>
      <c r="AZ37" s="250"/>
      <c r="BA37" s="252">
        <f t="shared" ca="1" si="23"/>
        <v>0</v>
      </c>
      <c r="BB37" s="253" t="str">
        <f t="shared" ca="1" si="24"/>
        <v/>
      </c>
      <c r="BC37" s="249">
        <f t="shared" ca="1" si="25"/>
        <v>0</v>
      </c>
      <c r="BD37" s="250"/>
      <c r="BE37" s="250"/>
      <c r="BF37" s="251">
        <f t="shared" ca="1" si="26"/>
        <v>0</v>
      </c>
      <c r="BG37" s="250"/>
      <c r="BH37" s="250"/>
      <c r="BI37" s="252">
        <f t="shared" ca="1" si="27"/>
        <v>0</v>
      </c>
      <c r="BJ37" s="253" t="str">
        <f t="shared" ca="1" si="28"/>
        <v/>
      </c>
      <c r="BK37" s="134">
        <f t="shared" ca="1" si="29"/>
        <v>0</v>
      </c>
      <c r="BL37" s="82" t="str">
        <f t="shared" ca="1" si="30"/>
        <v/>
      </c>
      <c r="BM37" s="88">
        <v>68</v>
      </c>
      <c r="BN37" s="88">
        <v>68</v>
      </c>
      <c r="BO37" s="88">
        <v>68</v>
      </c>
      <c r="BP37" s="88">
        <v>68</v>
      </c>
      <c r="BQ37" s="88">
        <v>76.666666666666671</v>
      </c>
      <c r="BR37" s="88">
        <v>68</v>
      </c>
      <c r="BS37" s="88">
        <v>77.142857142857139</v>
      </c>
      <c r="BT37" s="88">
        <v>34</v>
      </c>
      <c r="BU37" s="102">
        <f t="shared" ca="1" si="0"/>
        <v>0</v>
      </c>
      <c r="BV37" s="103">
        <f t="shared" ca="1" si="31"/>
        <v>0</v>
      </c>
      <c r="BW37" s="82" t="str">
        <f t="shared" ca="1" si="32"/>
        <v/>
      </c>
    </row>
    <row r="38" spans="1:75" ht="24.6" customHeight="1">
      <c r="A38" s="259">
        <v>33</v>
      </c>
      <c r="B38" s="262">
        <f t="shared" ca="1" si="1"/>
        <v>0</v>
      </c>
      <c r="C38" s="167">
        <f>STUDENTS!D388</f>
        <v>0</v>
      </c>
      <c r="D38" s="168">
        <f>STUDENTS!D390</f>
        <v>0</v>
      </c>
      <c r="E38" s="249">
        <f t="shared" ca="1" si="33"/>
        <v>0</v>
      </c>
      <c r="F38" s="250"/>
      <c r="G38" s="250"/>
      <c r="H38" s="251">
        <f t="shared" ca="1" si="2"/>
        <v>0</v>
      </c>
      <c r="I38" s="250"/>
      <c r="J38" s="250"/>
      <c r="K38" s="252">
        <f t="shared" ca="1" si="3"/>
        <v>0</v>
      </c>
      <c r="L38" s="253" t="str">
        <f t="shared" ca="1" si="4"/>
        <v/>
      </c>
      <c r="M38" s="249">
        <f t="shared" ca="1" si="5"/>
        <v>0</v>
      </c>
      <c r="N38" s="250"/>
      <c r="O38" s="250"/>
      <c r="P38" s="251">
        <f t="shared" ca="1" si="6"/>
        <v>0</v>
      </c>
      <c r="Q38" s="250"/>
      <c r="R38" s="250"/>
      <c r="S38" s="252">
        <f t="shared" ca="1" si="7"/>
        <v>0</v>
      </c>
      <c r="T38" s="253" t="str">
        <f t="shared" ca="1" si="8"/>
        <v/>
      </c>
      <c r="U38" s="36"/>
      <c r="V38" s="249">
        <f t="shared" ca="1" si="9"/>
        <v>0</v>
      </c>
      <c r="W38" s="250"/>
      <c r="X38" s="250"/>
      <c r="Y38" s="251">
        <f t="shared" ca="1" si="10"/>
        <v>0</v>
      </c>
      <c r="Z38" s="250"/>
      <c r="AA38" s="250"/>
      <c r="AB38" s="252">
        <f t="shared" ca="1" si="11"/>
        <v>0</v>
      </c>
      <c r="AC38" s="253" t="str">
        <f t="shared" ca="1" si="12"/>
        <v/>
      </c>
      <c r="AD38" s="249">
        <f t="shared" ca="1" si="13"/>
        <v>0</v>
      </c>
      <c r="AE38" s="250"/>
      <c r="AF38" s="250"/>
      <c r="AG38" s="251">
        <f t="shared" ca="1" si="14"/>
        <v>0</v>
      </c>
      <c r="AH38" s="250"/>
      <c r="AI38" s="250"/>
      <c r="AJ38" s="252">
        <f t="shared" ca="1" si="15"/>
        <v>0</v>
      </c>
      <c r="AK38" s="253" t="str">
        <f t="shared" ca="1" si="16"/>
        <v/>
      </c>
      <c r="AL38" s="36"/>
      <c r="AM38" s="249">
        <f t="shared" ca="1" si="17"/>
        <v>0</v>
      </c>
      <c r="AN38" s="250"/>
      <c r="AO38" s="250"/>
      <c r="AP38" s="251">
        <f t="shared" ca="1" si="18"/>
        <v>0</v>
      </c>
      <c r="AQ38" s="250"/>
      <c r="AR38" s="250"/>
      <c r="AS38" s="252">
        <f t="shared" ca="1" si="19"/>
        <v>0</v>
      </c>
      <c r="AT38" s="253" t="str">
        <f t="shared" ca="1" si="20"/>
        <v/>
      </c>
      <c r="AU38" s="249">
        <f t="shared" ca="1" si="21"/>
        <v>0</v>
      </c>
      <c r="AV38" s="250"/>
      <c r="AW38" s="250"/>
      <c r="AX38" s="251">
        <f t="shared" ca="1" si="22"/>
        <v>0</v>
      </c>
      <c r="AY38" s="250"/>
      <c r="AZ38" s="250"/>
      <c r="BA38" s="252">
        <f t="shared" ca="1" si="23"/>
        <v>0</v>
      </c>
      <c r="BB38" s="253" t="str">
        <f t="shared" ca="1" si="24"/>
        <v/>
      </c>
      <c r="BC38" s="249">
        <f t="shared" ca="1" si="25"/>
        <v>0</v>
      </c>
      <c r="BD38" s="250"/>
      <c r="BE38" s="250"/>
      <c r="BF38" s="251">
        <f t="shared" ca="1" si="26"/>
        <v>0</v>
      </c>
      <c r="BG38" s="250"/>
      <c r="BH38" s="250"/>
      <c r="BI38" s="252">
        <f t="shared" ca="1" si="27"/>
        <v>0</v>
      </c>
      <c r="BJ38" s="253" t="str">
        <f t="shared" ca="1" si="28"/>
        <v/>
      </c>
      <c r="BK38" s="134">
        <f t="shared" ca="1" si="29"/>
        <v>0</v>
      </c>
      <c r="BL38" s="82" t="str">
        <f t="shared" ca="1" si="30"/>
        <v/>
      </c>
      <c r="BM38" s="88">
        <v>68</v>
      </c>
      <c r="BN38" s="88">
        <v>68</v>
      </c>
      <c r="BO38" s="88">
        <v>68</v>
      </c>
      <c r="BP38" s="88">
        <v>68</v>
      </c>
      <c r="BQ38" s="88">
        <v>76.666666666666671</v>
      </c>
      <c r="BR38" s="88">
        <v>68</v>
      </c>
      <c r="BS38" s="88">
        <v>77.142857142857139</v>
      </c>
      <c r="BT38" s="88">
        <v>34</v>
      </c>
      <c r="BU38" s="102">
        <f t="shared" ca="1" si="0"/>
        <v>0</v>
      </c>
      <c r="BV38" s="103">
        <f t="shared" ca="1" si="31"/>
        <v>0</v>
      </c>
      <c r="BW38" s="82" t="str">
        <f t="shared" ca="1" si="32"/>
        <v/>
      </c>
    </row>
    <row r="39" spans="1:75" ht="24.6" customHeight="1">
      <c r="A39" s="259">
        <v>34</v>
      </c>
      <c r="B39" s="262">
        <f t="shared" ca="1" si="1"/>
        <v>0</v>
      </c>
      <c r="C39" s="167">
        <f>STUDENTS!D400</f>
        <v>0</v>
      </c>
      <c r="D39" s="168">
        <f>STUDENTS!D402</f>
        <v>0</v>
      </c>
      <c r="E39" s="249">
        <f t="shared" ca="1" si="33"/>
        <v>0</v>
      </c>
      <c r="F39" s="250"/>
      <c r="G39" s="250"/>
      <c r="H39" s="251">
        <f t="shared" ca="1" si="2"/>
        <v>0</v>
      </c>
      <c r="I39" s="250"/>
      <c r="J39" s="250"/>
      <c r="K39" s="252">
        <f t="shared" ca="1" si="3"/>
        <v>0</v>
      </c>
      <c r="L39" s="253" t="str">
        <f t="shared" ca="1" si="4"/>
        <v/>
      </c>
      <c r="M39" s="249">
        <f t="shared" ca="1" si="5"/>
        <v>0</v>
      </c>
      <c r="N39" s="250"/>
      <c r="O39" s="250"/>
      <c r="P39" s="251">
        <f t="shared" ca="1" si="6"/>
        <v>0</v>
      </c>
      <c r="Q39" s="250"/>
      <c r="R39" s="250"/>
      <c r="S39" s="252">
        <f t="shared" ca="1" si="7"/>
        <v>0</v>
      </c>
      <c r="T39" s="253" t="str">
        <f t="shared" ca="1" si="8"/>
        <v/>
      </c>
      <c r="U39" s="36"/>
      <c r="V39" s="249">
        <f t="shared" ca="1" si="9"/>
        <v>0</v>
      </c>
      <c r="W39" s="250"/>
      <c r="X39" s="250"/>
      <c r="Y39" s="251">
        <f t="shared" ca="1" si="10"/>
        <v>0</v>
      </c>
      <c r="Z39" s="250"/>
      <c r="AA39" s="250"/>
      <c r="AB39" s="252">
        <f t="shared" ca="1" si="11"/>
        <v>0</v>
      </c>
      <c r="AC39" s="253" t="str">
        <f t="shared" ca="1" si="12"/>
        <v/>
      </c>
      <c r="AD39" s="249">
        <f t="shared" ca="1" si="13"/>
        <v>0</v>
      </c>
      <c r="AE39" s="250"/>
      <c r="AF39" s="250"/>
      <c r="AG39" s="251">
        <f t="shared" ca="1" si="14"/>
        <v>0</v>
      </c>
      <c r="AH39" s="250"/>
      <c r="AI39" s="250"/>
      <c r="AJ39" s="252">
        <f t="shared" ca="1" si="15"/>
        <v>0</v>
      </c>
      <c r="AK39" s="253" t="str">
        <f t="shared" ca="1" si="16"/>
        <v/>
      </c>
      <c r="AL39" s="36"/>
      <c r="AM39" s="249">
        <f t="shared" ca="1" si="17"/>
        <v>0</v>
      </c>
      <c r="AN39" s="250"/>
      <c r="AO39" s="250"/>
      <c r="AP39" s="251">
        <f t="shared" ca="1" si="18"/>
        <v>0</v>
      </c>
      <c r="AQ39" s="250"/>
      <c r="AR39" s="250"/>
      <c r="AS39" s="252">
        <f t="shared" ca="1" si="19"/>
        <v>0</v>
      </c>
      <c r="AT39" s="253" t="str">
        <f t="shared" ca="1" si="20"/>
        <v/>
      </c>
      <c r="AU39" s="249">
        <f t="shared" ca="1" si="21"/>
        <v>0</v>
      </c>
      <c r="AV39" s="250"/>
      <c r="AW39" s="250"/>
      <c r="AX39" s="251">
        <f t="shared" ca="1" si="22"/>
        <v>0</v>
      </c>
      <c r="AY39" s="250"/>
      <c r="AZ39" s="250"/>
      <c r="BA39" s="252">
        <f t="shared" ca="1" si="23"/>
        <v>0</v>
      </c>
      <c r="BB39" s="253" t="str">
        <f t="shared" ca="1" si="24"/>
        <v/>
      </c>
      <c r="BC39" s="249">
        <f t="shared" ca="1" si="25"/>
        <v>0</v>
      </c>
      <c r="BD39" s="250"/>
      <c r="BE39" s="250"/>
      <c r="BF39" s="251">
        <f t="shared" ca="1" si="26"/>
        <v>0</v>
      </c>
      <c r="BG39" s="250"/>
      <c r="BH39" s="250"/>
      <c r="BI39" s="252">
        <f t="shared" ca="1" si="27"/>
        <v>0</v>
      </c>
      <c r="BJ39" s="253" t="str">
        <f t="shared" ca="1" si="28"/>
        <v/>
      </c>
      <c r="BK39" s="134">
        <f t="shared" ca="1" si="29"/>
        <v>0</v>
      </c>
      <c r="BL39" s="82" t="str">
        <f t="shared" ca="1" si="30"/>
        <v/>
      </c>
      <c r="BM39" s="88">
        <v>68</v>
      </c>
      <c r="BN39" s="88">
        <v>68</v>
      </c>
      <c r="BO39" s="88">
        <v>68</v>
      </c>
      <c r="BP39" s="88">
        <v>68</v>
      </c>
      <c r="BQ39" s="88">
        <v>76.666666666666671</v>
      </c>
      <c r="BR39" s="88">
        <v>68</v>
      </c>
      <c r="BS39" s="88">
        <v>77.142857142857139</v>
      </c>
      <c r="BT39" s="88">
        <v>34</v>
      </c>
      <c r="BU39" s="102">
        <f t="shared" ca="1" si="0"/>
        <v>0</v>
      </c>
      <c r="BV39" s="103">
        <f t="shared" ca="1" si="31"/>
        <v>0</v>
      </c>
      <c r="BW39" s="82" t="str">
        <f t="shared" ca="1" si="32"/>
        <v/>
      </c>
    </row>
    <row r="40" spans="1:75" ht="24.6" customHeight="1">
      <c r="A40" s="260">
        <v>35</v>
      </c>
      <c r="B40" s="263">
        <f t="shared" ca="1" si="1"/>
        <v>0</v>
      </c>
      <c r="C40" s="169">
        <f>STUDENTS!D412</f>
        <v>0</v>
      </c>
      <c r="D40" s="170">
        <f>STUDENTS!D414</f>
        <v>0</v>
      </c>
      <c r="E40" s="254">
        <f t="shared" ca="1" si="33"/>
        <v>0</v>
      </c>
      <c r="F40" s="255"/>
      <c r="G40" s="255"/>
      <c r="H40" s="256">
        <f t="shared" ca="1" si="2"/>
        <v>0</v>
      </c>
      <c r="I40" s="255"/>
      <c r="J40" s="255"/>
      <c r="K40" s="257">
        <f t="shared" ca="1" si="3"/>
        <v>0</v>
      </c>
      <c r="L40" s="258" t="str">
        <f t="shared" ca="1" si="4"/>
        <v/>
      </c>
      <c r="M40" s="254">
        <f t="shared" ca="1" si="5"/>
        <v>0</v>
      </c>
      <c r="N40" s="255"/>
      <c r="O40" s="255"/>
      <c r="P40" s="256">
        <f t="shared" ca="1" si="6"/>
        <v>0</v>
      </c>
      <c r="Q40" s="255"/>
      <c r="R40" s="255"/>
      <c r="S40" s="257">
        <f t="shared" ca="1" si="7"/>
        <v>0</v>
      </c>
      <c r="T40" s="258" t="str">
        <f t="shared" ca="1" si="8"/>
        <v/>
      </c>
      <c r="U40" s="36"/>
      <c r="V40" s="254">
        <f t="shared" ca="1" si="9"/>
        <v>0</v>
      </c>
      <c r="W40" s="255"/>
      <c r="X40" s="255"/>
      <c r="Y40" s="256">
        <f t="shared" ca="1" si="10"/>
        <v>0</v>
      </c>
      <c r="Z40" s="255"/>
      <c r="AA40" s="255"/>
      <c r="AB40" s="257">
        <f t="shared" ca="1" si="11"/>
        <v>0</v>
      </c>
      <c r="AC40" s="258" t="str">
        <f t="shared" ca="1" si="12"/>
        <v/>
      </c>
      <c r="AD40" s="254">
        <f t="shared" ca="1" si="13"/>
        <v>0</v>
      </c>
      <c r="AE40" s="255"/>
      <c r="AF40" s="255"/>
      <c r="AG40" s="256">
        <f t="shared" ca="1" si="14"/>
        <v>0</v>
      </c>
      <c r="AH40" s="255"/>
      <c r="AI40" s="255"/>
      <c r="AJ40" s="257">
        <f t="shared" ca="1" si="15"/>
        <v>0</v>
      </c>
      <c r="AK40" s="258" t="str">
        <f t="shared" ca="1" si="16"/>
        <v/>
      </c>
      <c r="AL40" s="92"/>
      <c r="AM40" s="254">
        <f t="shared" ca="1" si="17"/>
        <v>0</v>
      </c>
      <c r="AN40" s="255"/>
      <c r="AO40" s="255"/>
      <c r="AP40" s="256">
        <f t="shared" ca="1" si="18"/>
        <v>0</v>
      </c>
      <c r="AQ40" s="255"/>
      <c r="AR40" s="255"/>
      <c r="AS40" s="257">
        <f t="shared" ca="1" si="19"/>
        <v>0</v>
      </c>
      <c r="AT40" s="258" t="str">
        <f t="shared" ca="1" si="20"/>
        <v/>
      </c>
      <c r="AU40" s="254">
        <f t="shared" ca="1" si="21"/>
        <v>0</v>
      </c>
      <c r="AV40" s="255"/>
      <c r="AW40" s="255"/>
      <c r="AX40" s="256">
        <f t="shared" ca="1" si="22"/>
        <v>0</v>
      </c>
      <c r="AY40" s="255"/>
      <c r="AZ40" s="255"/>
      <c r="BA40" s="257">
        <f t="shared" ca="1" si="23"/>
        <v>0</v>
      </c>
      <c r="BB40" s="258" t="str">
        <f t="shared" ca="1" si="24"/>
        <v/>
      </c>
      <c r="BC40" s="254">
        <f t="shared" ca="1" si="25"/>
        <v>0</v>
      </c>
      <c r="BD40" s="255"/>
      <c r="BE40" s="255"/>
      <c r="BF40" s="256">
        <f t="shared" ca="1" si="26"/>
        <v>0</v>
      </c>
      <c r="BG40" s="255"/>
      <c r="BH40" s="255"/>
      <c r="BI40" s="257">
        <f t="shared" ca="1" si="27"/>
        <v>0</v>
      </c>
      <c r="BJ40" s="258" t="str">
        <f t="shared" ca="1" si="28"/>
        <v/>
      </c>
      <c r="BK40" s="135">
        <f t="shared" ca="1" si="29"/>
        <v>0</v>
      </c>
      <c r="BL40" s="83" t="str">
        <f t="shared" ca="1" si="30"/>
        <v/>
      </c>
      <c r="BM40" s="88">
        <v>68</v>
      </c>
      <c r="BN40" s="88">
        <v>68</v>
      </c>
      <c r="BO40" s="88">
        <v>68</v>
      </c>
      <c r="BP40" s="88">
        <v>68</v>
      </c>
      <c r="BQ40" s="88">
        <v>76.666666666666671</v>
      </c>
      <c r="BR40" s="88">
        <v>68</v>
      </c>
      <c r="BS40" s="88">
        <v>77.142857142857139</v>
      </c>
      <c r="BT40" s="88">
        <v>34</v>
      </c>
      <c r="BU40" s="104">
        <f t="shared" ca="1" si="0"/>
        <v>0</v>
      </c>
      <c r="BV40" s="105">
        <f t="shared" ca="1" si="31"/>
        <v>0</v>
      </c>
      <c r="BW40" s="83" t="str">
        <f t="shared" ca="1" si="32"/>
        <v/>
      </c>
    </row>
  </sheetData>
  <sheetProtection password="DC6E" sheet="1" objects="1" scenarios="1"/>
  <mergeCells count="51">
    <mergeCell ref="AU3:AW3"/>
    <mergeCell ref="AX3:AZ3"/>
    <mergeCell ref="AJ3:AJ4"/>
    <mergeCell ref="AK3:AK4"/>
    <mergeCell ref="AM3:AO3"/>
    <mergeCell ref="AP3:AR3"/>
    <mergeCell ref="AS3:AS4"/>
    <mergeCell ref="AT3:AT4"/>
    <mergeCell ref="AG3:AI3"/>
    <mergeCell ref="K3:K4"/>
    <mergeCell ref="L3:L4"/>
    <mergeCell ref="M3:O3"/>
    <mergeCell ref="P3:R3"/>
    <mergeCell ref="S3:S4"/>
    <mergeCell ref="T3:T4"/>
    <mergeCell ref="V3:X3"/>
    <mergeCell ref="Y3:AA3"/>
    <mergeCell ref="AB3:AB4"/>
    <mergeCell ref="AC3:AC4"/>
    <mergeCell ref="AD3:AF3"/>
    <mergeCell ref="BS2:BS4"/>
    <mergeCell ref="BT2:BT4"/>
    <mergeCell ref="BU2:BU4"/>
    <mergeCell ref="BV2:BV4"/>
    <mergeCell ref="BW2:BW4"/>
    <mergeCell ref="A3:A4"/>
    <mergeCell ref="B3:B4"/>
    <mergeCell ref="C3:C4"/>
    <mergeCell ref="E3:G3"/>
    <mergeCell ref="H3:J3"/>
    <mergeCell ref="BR2:BR4"/>
    <mergeCell ref="BC2:BJ2"/>
    <mergeCell ref="BK2:BK4"/>
    <mergeCell ref="BL2:BL4"/>
    <mergeCell ref="BA3:BA4"/>
    <mergeCell ref="BB3:BB4"/>
    <mergeCell ref="BC3:BE3"/>
    <mergeCell ref="BF3:BH3"/>
    <mergeCell ref="BI3:BI4"/>
    <mergeCell ref="BJ3:BJ4"/>
    <mergeCell ref="AU2:BB2"/>
    <mergeCell ref="BM2:BM4"/>
    <mergeCell ref="BN2:BN4"/>
    <mergeCell ref="BO2:BO4"/>
    <mergeCell ref="BP2:BP4"/>
    <mergeCell ref="BQ2:BQ4"/>
    <mergeCell ref="E2:L2"/>
    <mergeCell ref="M2:T2"/>
    <mergeCell ref="V2:AC2"/>
    <mergeCell ref="AD2:AK2"/>
    <mergeCell ref="AM2:AT2"/>
  </mergeCells>
  <conditionalFormatting sqref="BD7:BD40 BG7:BG40 T6:U40 AC6:AC40 AK6:AL40 AT6:AT40 BB6:BB40 BI6:BJ40 BL6:BL40 BW5:BW40 L6:L40">
    <cfRule type="cellIs" dxfId="2" priority="4" stopIfTrue="1" operator="between">
      <formula>"E"</formula>
      <formula>"E"</formula>
    </cfRule>
  </conditionalFormatting>
  <conditionalFormatting sqref="C6:C67 B6:B40">
    <cfRule type="cellIs" dxfId="1" priority="3" stopIfTrue="1" operator="equal">
      <formula>0</formula>
    </cfRule>
  </conditionalFormatting>
  <conditionalFormatting sqref="D6:D40">
    <cfRule type="cellIs" dxfId="0" priority="1" stopIfTrue="1" operator="equal">
      <formula>"00/01/1900"</formula>
    </cfRule>
  </conditionalFormatting>
  <dataValidations count="2">
    <dataValidation type="whole" allowBlank="1" showErrorMessage="1" errorTitle="સૂચના" error="0 થી 40 સુધીની સંખ્યા ઉમેરો." promptTitle="ઇનપુટ" prompt="0 થી 40 સુધીની સંખ્યા ઉમેરો." sqref="AX6:AY40 BC6:BD40 H6:I40 F6:F40 M6:N40 P6:Q40 V6:W40 Y6:Z40 AD6:AE40 AG6:AH40 AM6:AN40 AP6:AQ40 AU6:AV40 BF6:BG40">
      <formula1>0</formula1>
      <formula2>40</formula2>
    </dataValidation>
    <dataValidation type="whole" allowBlank="1" showInputMessage="1" showErrorMessage="1" errorTitle="સૂચના" error="0 થી 20સુધીની સંખ્યા ઉમેરો..." sqref="G6:G40 BH6:BH40 O6:O40 R6:R40 X6:X40 AA6:AA40 AF6:AF40 AI6:AI40 AO6:AO40 AR6:AR40 AW6:AW40 AZ6:AZ40 BE6:BE40 J6:J40">
      <formula1>0</formula1>
      <formula2>20</formula2>
    </dataValidation>
  </dataValidations>
  <hyperlinks>
    <hyperlink ref="A1" location="INDEX!A1" display="INDEX"/>
  </hyperlinks>
  <pageMargins left="0.2" right="0.2" top="0.25" bottom="0.25" header="0" footer="0"/>
  <pageSetup paperSize="5" scale="90" orientation="portrait" horizontalDpi="300" verticalDpi="300" r:id="rId1"/>
  <colBreaks count="3" manualBreakCount="3">
    <brk id="12" max="1048575" man="1"/>
    <brk id="29" max="1048575" man="1"/>
    <brk id="46" max="48"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5" tint="-0.249977111117893"/>
  </sheetPr>
  <dimension ref="A1:X47"/>
  <sheetViews>
    <sheetView showGridLines="0" view="pageBreakPreview" topLeftCell="A25" zoomScaleSheetLayoutView="100" workbookViewId="0">
      <selection activeCell="V31" sqref="V31"/>
    </sheetView>
  </sheetViews>
  <sheetFormatPr defaultColWidth="0" defaultRowHeight="15" zeroHeight="1"/>
  <cols>
    <col min="1" max="1" width="2.140625" style="41" customWidth="1"/>
    <col min="2" max="2" width="1.7109375" style="41" customWidth="1"/>
    <col min="3" max="3" width="10.42578125" style="41" customWidth="1"/>
    <col min="4" max="21" width="4.42578125" style="41" customWidth="1"/>
    <col min="22" max="22" width="9" style="41" customWidth="1"/>
    <col min="23" max="23" width="1.85546875" style="41" customWidth="1"/>
    <col min="24" max="24" width="2.28515625" style="41" customWidth="1"/>
    <col min="25" max="16384" width="9.140625" style="41" hidden="1"/>
  </cols>
  <sheetData>
    <row r="1" spans="1:24" ht="15.75" thickBot="1">
      <c r="A1" s="708" t="s">
        <v>492</v>
      </c>
      <c r="B1" s="708"/>
      <c r="C1" s="708"/>
    </row>
    <row r="2" spans="1:24" ht="20.25" thickBot="1">
      <c r="A2" s="214"/>
      <c r="B2" s="215"/>
      <c r="C2" s="215"/>
      <c r="D2" s="215"/>
      <c r="E2" s="215"/>
      <c r="F2" s="215"/>
      <c r="G2" s="216" t="s">
        <v>184</v>
      </c>
      <c r="H2" s="216"/>
      <c r="I2" s="216"/>
      <c r="J2" s="216"/>
      <c r="K2" s="216"/>
      <c r="L2" s="216"/>
      <c r="M2" s="216"/>
      <c r="N2" s="216"/>
      <c r="O2" s="216"/>
      <c r="P2" s="216"/>
      <c r="Q2" s="216"/>
      <c r="R2" s="216"/>
      <c r="S2" s="216"/>
      <c r="T2" s="216"/>
      <c r="U2" s="216"/>
      <c r="V2" s="216"/>
      <c r="W2" s="216"/>
      <c r="X2" s="217"/>
    </row>
    <row r="3" spans="1:24" ht="30" customHeight="1">
      <c r="A3" s="218"/>
      <c r="B3" s="63"/>
      <c r="C3" s="709" t="str">
        <f>SCHOOL!B8</f>
        <v>જિલ્લા પંચાયત શિક્ષણ સમિતિ, અમરેલી</v>
      </c>
      <c r="D3" s="709"/>
      <c r="E3" s="709"/>
      <c r="F3" s="709"/>
      <c r="G3" s="709"/>
      <c r="H3" s="709"/>
      <c r="I3" s="709"/>
      <c r="J3" s="709"/>
      <c r="K3" s="709"/>
      <c r="L3" s="709"/>
      <c r="M3" s="709"/>
      <c r="N3" s="709"/>
      <c r="O3" s="709"/>
      <c r="P3" s="709"/>
      <c r="Q3" s="709"/>
      <c r="R3" s="709"/>
      <c r="S3" s="709"/>
      <c r="T3" s="709"/>
      <c r="U3" s="709"/>
      <c r="V3" s="709"/>
      <c r="W3" s="64"/>
      <c r="X3" s="219"/>
    </row>
    <row r="4" spans="1:24" ht="42" customHeight="1">
      <c r="A4" s="220"/>
      <c r="B4" s="65"/>
      <c r="C4" s="710" t="s">
        <v>350</v>
      </c>
      <c r="D4" s="710"/>
      <c r="E4" s="710"/>
      <c r="F4" s="710"/>
      <c r="G4" s="710"/>
      <c r="H4" s="710"/>
      <c r="I4" s="710"/>
      <c r="J4" s="710"/>
      <c r="K4" s="710"/>
      <c r="L4" s="710"/>
      <c r="M4" s="710"/>
      <c r="N4" s="710"/>
      <c r="O4" s="710"/>
      <c r="P4" s="710"/>
      <c r="Q4" s="710"/>
      <c r="R4" s="710"/>
      <c r="S4" s="710"/>
      <c r="T4" s="710"/>
      <c r="U4" s="710"/>
      <c r="V4" s="710"/>
      <c r="W4" s="66"/>
      <c r="X4" s="219"/>
    </row>
    <row r="5" spans="1:24">
      <c r="A5" s="220"/>
      <c r="B5" s="65"/>
      <c r="C5" s="42"/>
      <c r="D5" s="42"/>
      <c r="E5" s="42"/>
      <c r="F5" s="42"/>
      <c r="G5" s="42"/>
      <c r="H5" s="42"/>
      <c r="I5" s="42"/>
      <c r="J5" s="42"/>
      <c r="K5" s="42"/>
      <c r="L5" s="42"/>
      <c r="M5" s="42"/>
      <c r="N5" s="42"/>
      <c r="O5" s="42"/>
      <c r="P5" s="42"/>
      <c r="Q5" s="42"/>
      <c r="R5" s="42"/>
      <c r="S5" s="42"/>
      <c r="T5" s="42"/>
      <c r="U5" s="42"/>
      <c r="V5" s="42"/>
      <c r="W5" s="67"/>
      <c r="X5" s="219"/>
    </row>
    <row r="6" spans="1:24">
      <c r="A6" s="220"/>
      <c r="B6" s="65"/>
      <c r="C6" s="42"/>
      <c r="D6" s="42"/>
      <c r="E6" s="42"/>
      <c r="F6" s="42"/>
      <c r="G6" s="42"/>
      <c r="H6" s="42"/>
      <c r="I6" s="42"/>
      <c r="J6" s="42"/>
      <c r="K6" s="42"/>
      <c r="L6" s="42"/>
      <c r="M6" s="42"/>
      <c r="N6" s="42"/>
      <c r="O6" s="42"/>
      <c r="P6" s="42"/>
      <c r="Q6" s="42"/>
      <c r="R6" s="42"/>
      <c r="S6" s="42"/>
      <c r="T6" s="42"/>
      <c r="U6" s="42"/>
      <c r="V6" s="42"/>
      <c r="W6" s="67"/>
      <c r="X6" s="219"/>
    </row>
    <row r="7" spans="1:24">
      <c r="A7" s="220"/>
      <c r="B7" s="65"/>
      <c r="C7" s="42"/>
      <c r="D7" s="42"/>
      <c r="E7" s="42"/>
      <c r="F7" s="42"/>
      <c r="G7" s="42"/>
      <c r="H7" s="42"/>
      <c r="I7" s="42"/>
      <c r="J7" s="42"/>
      <c r="K7" s="42"/>
      <c r="L7" s="42"/>
      <c r="M7" s="42"/>
      <c r="N7" s="42"/>
      <c r="O7" s="42"/>
      <c r="P7" s="42"/>
      <c r="Q7" s="42"/>
      <c r="R7" s="42"/>
      <c r="S7" s="42"/>
      <c r="T7" s="42"/>
      <c r="U7" s="42"/>
      <c r="V7" s="42"/>
      <c r="W7" s="67"/>
      <c r="X7" s="219"/>
    </row>
    <row r="8" spans="1:24">
      <c r="A8" s="220"/>
      <c r="B8" s="65"/>
      <c r="C8" s="42"/>
      <c r="D8" s="42"/>
      <c r="E8" s="42"/>
      <c r="F8" s="42"/>
      <c r="G8" s="42"/>
      <c r="H8" s="42"/>
      <c r="I8" s="42"/>
      <c r="J8" s="42"/>
      <c r="K8" s="42"/>
      <c r="L8" s="42"/>
      <c r="M8" s="42"/>
      <c r="N8" s="42"/>
      <c r="O8" s="42"/>
      <c r="P8" s="42"/>
      <c r="Q8" s="42"/>
      <c r="R8" s="42"/>
      <c r="S8" s="42"/>
      <c r="T8" s="42"/>
      <c r="U8" s="42"/>
      <c r="V8" s="42"/>
      <c r="W8" s="67"/>
      <c r="X8" s="219"/>
    </row>
    <row r="9" spans="1:24">
      <c r="A9" s="220"/>
      <c r="B9" s="65"/>
      <c r="C9" s="42"/>
      <c r="D9" s="42"/>
      <c r="E9" s="42"/>
      <c r="F9" s="42"/>
      <c r="G9" s="42"/>
      <c r="H9" s="42"/>
      <c r="I9" s="42"/>
      <c r="J9" s="42"/>
      <c r="K9" s="42"/>
      <c r="L9" s="42"/>
      <c r="M9" s="42"/>
      <c r="N9" s="42"/>
      <c r="O9" s="42"/>
      <c r="P9" s="42"/>
      <c r="Q9" s="42"/>
      <c r="R9" s="42"/>
      <c r="S9" s="42"/>
      <c r="T9" s="42"/>
      <c r="U9" s="42"/>
      <c r="V9" s="42"/>
      <c r="W9" s="67"/>
      <c r="X9" s="219"/>
    </row>
    <row r="10" spans="1:24">
      <c r="A10" s="220"/>
      <c r="B10" s="65"/>
      <c r="C10" s="42"/>
      <c r="D10" s="42"/>
      <c r="E10" s="42"/>
      <c r="F10" s="42"/>
      <c r="G10" s="42"/>
      <c r="H10" s="42"/>
      <c r="I10" s="42"/>
      <c r="J10" s="42"/>
      <c r="K10" s="42"/>
      <c r="L10" s="42"/>
      <c r="M10" s="42"/>
      <c r="N10" s="42"/>
      <c r="O10" s="42"/>
      <c r="P10" s="42"/>
      <c r="Q10" s="42"/>
      <c r="R10" s="42"/>
      <c r="S10" s="42"/>
      <c r="T10" s="42"/>
      <c r="U10" s="42"/>
      <c r="V10" s="42"/>
      <c r="W10" s="67"/>
      <c r="X10" s="219"/>
    </row>
    <row r="11" spans="1:24">
      <c r="A11" s="220"/>
      <c r="B11" s="65"/>
      <c r="C11" s="42"/>
      <c r="D11" s="42"/>
      <c r="E11" s="42"/>
      <c r="F11" s="42"/>
      <c r="G11" s="42"/>
      <c r="H11" s="42"/>
      <c r="I11" s="42"/>
      <c r="J11" s="42"/>
      <c r="K11" s="42"/>
      <c r="L11" s="42"/>
      <c r="M11" s="42"/>
      <c r="N11" s="42"/>
      <c r="O11" s="42"/>
      <c r="P11" s="42"/>
      <c r="Q11" s="42"/>
      <c r="R11" s="42"/>
      <c r="S11" s="42"/>
      <c r="T11" s="42"/>
      <c r="U11" s="42"/>
      <c r="V11" s="42"/>
      <c r="W11" s="67"/>
      <c r="X11" s="219"/>
    </row>
    <row r="12" spans="1:24">
      <c r="A12" s="220"/>
      <c r="B12" s="65"/>
      <c r="C12" s="42"/>
      <c r="D12" s="42"/>
      <c r="E12" s="42"/>
      <c r="F12" s="42"/>
      <c r="G12" s="42"/>
      <c r="H12" s="42"/>
      <c r="I12" s="42"/>
      <c r="J12" s="42"/>
      <c r="K12" s="42"/>
      <c r="L12" s="42"/>
      <c r="M12" s="42"/>
      <c r="N12" s="42"/>
      <c r="O12" s="42"/>
      <c r="P12" s="42"/>
      <c r="Q12" s="42"/>
      <c r="R12" s="42"/>
      <c r="S12" s="42"/>
      <c r="T12" s="42"/>
      <c r="U12" s="42"/>
      <c r="V12" s="42"/>
      <c r="W12" s="67"/>
      <c r="X12" s="219"/>
    </row>
    <row r="13" spans="1:24" ht="38.25" customHeight="1">
      <c r="A13" s="220"/>
      <c r="B13" s="65"/>
      <c r="C13" s="42"/>
      <c r="D13" s="42"/>
      <c r="E13" s="42"/>
      <c r="F13" s="42"/>
      <c r="G13" s="42"/>
      <c r="H13" s="42"/>
      <c r="I13" s="42"/>
      <c r="J13" s="42"/>
      <c r="K13" s="42"/>
      <c r="L13" s="42"/>
      <c r="M13" s="42"/>
      <c r="N13" s="42"/>
      <c r="O13" s="42"/>
      <c r="P13" s="42"/>
      <c r="Q13" s="42"/>
      <c r="R13" s="42"/>
      <c r="S13" s="42"/>
      <c r="T13" s="42"/>
      <c r="U13" s="42"/>
      <c r="V13" s="42"/>
      <c r="W13" s="67"/>
      <c r="X13" s="219"/>
    </row>
    <row r="14" spans="1:24" ht="24.95" customHeight="1">
      <c r="A14" s="220"/>
      <c r="B14" s="65"/>
      <c r="C14" s="57"/>
      <c r="D14" s="654" t="s">
        <v>182</v>
      </c>
      <c r="E14" s="655"/>
      <c r="F14" s="655"/>
      <c r="G14" s="655"/>
      <c r="H14" s="656" t="str">
        <f>SCHOOL!B3</f>
        <v>શ્રી ખારા પ્રાથમિક શાળા</v>
      </c>
      <c r="I14" s="656"/>
      <c r="J14" s="656"/>
      <c r="K14" s="656"/>
      <c r="L14" s="656"/>
      <c r="M14" s="656"/>
      <c r="N14" s="656"/>
      <c r="O14" s="655" t="s">
        <v>181</v>
      </c>
      <c r="P14" s="655"/>
      <c r="Q14" s="655"/>
      <c r="R14" s="656" t="str">
        <f>SCHOOL!B4</f>
        <v>ખારા</v>
      </c>
      <c r="S14" s="656"/>
      <c r="T14" s="656"/>
      <c r="U14" s="657"/>
      <c r="V14" s="57"/>
      <c r="W14" s="68"/>
      <c r="X14" s="219"/>
    </row>
    <row r="15" spans="1:24" ht="24.95" customHeight="1">
      <c r="A15" s="220"/>
      <c r="B15" s="65"/>
      <c r="C15" s="57"/>
      <c r="D15" s="658" t="s">
        <v>12</v>
      </c>
      <c r="E15" s="659"/>
      <c r="F15" s="659"/>
      <c r="G15" s="659"/>
      <c r="H15" s="660">
        <v>1</v>
      </c>
      <c r="I15" s="660"/>
      <c r="J15" s="660"/>
      <c r="K15" s="660"/>
      <c r="L15" s="660"/>
      <c r="M15" s="660"/>
      <c r="N15" s="660"/>
      <c r="O15" s="659" t="s">
        <v>1</v>
      </c>
      <c r="P15" s="659"/>
      <c r="Q15" s="659"/>
      <c r="R15" s="661" t="str">
        <f>SCHOOL!B5</f>
        <v>લીલીયા</v>
      </c>
      <c r="S15" s="661"/>
      <c r="T15" s="661"/>
      <c r="U15" s="662"/>
      <c r="V15" s="57"/>
      <c r="W15" s="69"/>
      <c r="X15" s="219"/>
    </row>
    <row r="16" spans="1:24" ht="24.95" customHeight="1">
      <c r="A16" s="220"/>
      <c r="B16" s="65"/>
      <c r="C16" s="57"/>
      <c r="D16" s="658" t="s">
        <v>180</v>
      </c>
      <c r="E16" s="659"/>
      <c r="F16" s="659"/>
      <c r="G16" s="659"/>
      <c r="H16" s="661" t="str">
        <f>SCHOOL!D5</f>
        <v>નરેશભાઇ કે. ઢાકેચા</v>
      </c>
      <c r="I16" s="661"/>
      <c r="J16" s="661"/>
      <c r="K16" s="661"/>
      <c r="L16" s="661"/>
      <c r="M16" s="661"/>
      <c r="N16" s="661"/>
      <c r="O16" s="659" t="s">
        <v>2</v>
      </c>
      <c r="P16" s="659"/>
      <c r="Q16" s="659"/>
      <c r="R16" s="661" t="str">
        <f>SCHOOL!B6</f>
        <v>અમરેલી</v>
      </c>
      <c r="S16" s="661"/>
      <c r="T16" s="661"/>
      <c r="U16" s="662"/>
      <c r="V16" s="57"/>
      <c r="W16" s="69"/>
      <c r="X16" s="219"/>
    </row>
    <row r="17" spans="1:24" ht="24.95" customHeight="1">
      <c r="A17" s="220"/>
      <c r="B17" s="65"/>
      <c r="C17" s="57"/>
      <c r="D17" s="658" t="s">
        <v>179</v>
      </c>
      <c r="E17" s="659"/>
      <c r="F17" s="659"/>
      <c r="G17" s="659"/>
      <c r="H17" s="661" t="str">
        <f>SCHOOL!B9</f>
        <v>પાંચતલાવડા</v>
      </c>
      <c r="I17" s="661"/>
      <c r="J17" s="661"/>
      <c r="K17" s="661"/>
      <c r="L17" s="661"/>
      <c r="M17" s="661"/>
      <c r="N17" s="661"/>
      <c r="O17" s="659" t="s">
        <v>148</v>
      </c>
      <c r="P17" s="659"/>
      <c r="Q17" s="659"/>
      <c r="R17" s="661" t="str">
        <f>SCHOOL!D4</f>
        <v xml:space="preserve"> ---</v>
      </c>
      <c r="S17" s="661"/>
      <c r="T17" s="661"/>
      <c r="U17" s="662"/>
      <c r="V17" s="57"/>
      <c r="W17" s="69"/>
      <c r="X17" s="219"/>
    </row>
    <row r="18" spans="1:24" ht="24.95" customHeight="1">
      <c r="A18" s="220"/>
      <c r="B18" s="65"/>
      <c r="C18" s="57"/>
      <c r="D18" s="663" t="s">
        <v>178</v>
      </c>
      <c r="E18" s="664"/>
      <c r="F18" s="664"/>
      <c r="G18" s="664"/>
      <c r="H18" s="665" t="str">
        <f>SCHOOL!B10</f>
        <v>પાંચતલાવડા</v>
      </c>
      <c r="I18" s="665"/>
      <c r="J18" s="665"/>
      <c r="K18" s="665"/>
      <c r="L18" s="665"/>
      <c r="M18" s="665"/>
      <c r="N18" s="665"/>
      <c r="O18" s="664" t="s">
        <v>177</v>
      </c>
      <c r="P18" s="664"/>
      <c r="Q18" s="664"/>
      <c r="R18" s="666">
        <f>SCHOOL!D7</f>
        <v>0</v>
      </c>
      <c r="S18" s="666"/>
      <c r="T18" s="666"/>
      <c r="U18" s="667"/>
      <c r="V18" s="57"/>
      <c r="W18" s="69"/>
      <c r="X18" s="219"/>
    </row>
    <row r="19" spans="1:24" ht="45" customHeight="1">
      <c r="A19" s="220"/>
      <c r="B19" s="65"/>
      <c r="C19" s="42"/>
      <c r="D19" s="42"/>
      <c r="E19" s="42"/>
      <c r="F19" s="42"/>
      <c r="G19" s="42"/>
      <c r="H19" s="42"/>
      <c r="I19" s="42"/>
      <c r="J19" s="42"/>
      <c r="K19" s="42"/>
      <c r="L19" s="42"/>
      <c r="M19" s="42"/>
      <c r="N19" s="42"/>
      <c r="O19" s="42"/>
      <c r="P19" s="42"/>
      <c r="Q19" s="42"/>
      <c r="R19" s="42"/>
      <c r="S19" s="42"/>
      <c r="T19" s="42"/>
      <c r="U19" s="42" t="s">
        <v>176</v>
      </c>
      <c r="V19" s="42"/>
      <c r="W19" s="67"/>
      <c r="X19" s="219"/>
    </row>
    <row r="20" spans="1:24" ht="34.5" customHeight="1">
      <c r="A20" s="221"/>
      <c r="B20" s="70"/>
      <c r="C20" s="668" t="s">
        <v>332</v>
      </c>
      <c r="D20" s="668"/>
      <c r="E20" s="668"/>
      <c r="F20" s="668"/>
      <c r="G20" s="668"/>
      <c r="H20" s="668"/>
      <c r="I20" s="668"/>
      <c r="J20" s="668"/>
      <c r="K20" s="668"/>
      <c r="L20" s="668"/>
      <c r="M20" s="668"/>
      <c r="N20" s="668"/>
      <c r="O20" s="668"/>
      <c r="P20" s="668"/>
      <c r="Q20" s="668"/>
      <c r="R20" s="668"/>
      <c r="S20" s="668"/>
      <c r="T20" s="668"/>
      <c r="U20" s="668"/>
      <c r="V20" s="668"/>
      <c r="W20" s="71"/>
      <c r="X20" s="222"/>
    </row>
    <row r="21" spans="1:24" ht="24.95" customHeight="1">
      <c r="A21" s="220"/>
      <c r="B21" s="65"/>
      <c r="C21" s="720" t="s">
        <v>33</v>
      </c>
      <c r="D21" s="722" t="s">
        <v>168</v>
      </c>
      <c r="E21" s="722"/>
      <c r="F21" s="722"/>
      <c r="G21" s="671" t="s">
        <v>167</v>
      </c>
      <c r="H21" s="671"/>
      <c r="I21" s="671"/>
      <c r="J21" s="671" t="s">
        <v>166</v>
      </c>
      <c r="K21" s="671"/>
      <c r="L21" s="671"/>
      <c r="M21" s="671" t="s">
        <v>165</v>
      </c>
      <c r="N21" s="671"/>
      <c r="O21" s="671"/>
      <c r="P21" s="671" t="s">
        <v>104</v>
      </c>
      <c r="Q21" s="671"/>
      <c r="R21" s="671"/>
      <c r="S21" s="711" t="s">
        <v>15</v>
      </c>
      <c r="T21" s="712"/>
      <c r="U21" s="712"/>
      <c r="V21" s="713"/>
      <c r="W21" s="72"/>
      <c r="X21" s="219"/>
    </row>
    <row r="22" spans="1:24" ht="24.95" customHeight="1">
      <c r="A22" s="220"/>
      <c r="B22" s="65"/>
      <c r="C22" s="721"/>
      <c r="D22" s="43" t="s">
        <v>170</v>
      </c>
      <c r="E22" s="43" t="s">
        <v>169</v>
      </c>
      <c r="F22" s="44" t="s">
        <v>104</v>
      </c>
      <c r="G22" s="43" t="s">
        <v>170</v>
      </c>
      <c r="H22" s="43" t="s">
        <v>169</v>
      </c>
      <c r="I22" s="44" t="s">
        <v>104</v>
      </c>
      <c r="J22" s="43" t="s">
        <v>170</v>
      </c>
      <c r="K22" s="43" t="s">
        <v>169</v>
      </c>
      <c r="L22" s="44" t="s">
        <v>104</v>
      </c>
      <c r="M22" s="43" t="s">
        <v>170</v>
      </c>
      <c r="N22" s="43" t="s">
        <v>169</v>
      </c>
      <c r="O22" s="44" t="s">
        <v>104</v>
      </c>
      <c r="P22" s="43" t="s">
        <v>170</v>
      </c>
      <c r="Q22" s="43" t="s">
        <v>169</v>
      </c>
      <c r="R22" s="44" t="s">
        <v>104</v>
      </c>
      <c r="S22" s="714"/>
      <c r="T22" s="715"/>
      <c r="U22" s="715"/>
      <c r="V22" s="716"/>
      <c r="W22" s="72"/>
      <c r="X22" s="219"/>
    </row>
    <row r="23" spans="1:24" ht="24.95" customHeight="1">
      <c r="A23" s="220"/>
      <c r="B23" s="65"/>
      <c r="C23" s="45" t="s">
        <v>352</v>
      </c>
      <c r="D23" s="37">
        <v>2</v>
      </c>
      <c r="E23" s="37">
        <v>1</v>
      </c>
      <c r="F23" s="38">
        <f>SUM(D23:E23)</f>
        <v>3</v>
      </c>
      <c r="G23" s="37">
        <v>0</v>
      </c>
      <c r="H23" s="37">
        <v>0</v>
      </c>
      <c r="I23" s="38">
        <f>SUM(G23:H23)</f>
        <v>0</v>
      </c>
      <c r="J23" s="37">
        <v>0</v>
      </c>
      <c r="K23" s="37">
        <v>1</v>
      </c>
      <c r="L23" s="38">
        <f>SUM(J23:K23)</f>
        <v>1</v>
      </c>
      <c r="M23" s="37">
        <v>2</v>
      </c>
      <c r="N23" s="37">
        <v>0</v>
      </c>
      <c r="O23" s="38">
        <f>SUM(M23:N23)</f>
        <v>2</v>
      </c>
      <c r="P23" s="37">
        <f>D23+G23+J23+M23</f>
        <v>4</v>
      </c>
      <c r="Q23" s="37">
        <f>E23+H23+K23+N23</f>
        <v>2</v>
      </c>
      <c r="R23" s="38">
        <f>SUM(P23:Q23)</f>
        <v>6</v>
      </c>
      <c r="S23" s="717"/>
      <c r="T23" s="718"/>
      <c r="U23" s="718"/>
      <c r="V23" s="719"/>
      <c r="W23" s="73"/>
      <c r="X23" s="219"/>
    </row>
    <row r="24" spans="1:24" ht="24" customHeight="1">
      <c r="A24" s="220"/>
      <c r="B24" s="65"/>
      <c r="C24" s="42"/>
      <c r="D24" s="42"/>
      <c r="E24" s="42"/>
      <c r="F24" s="42"/>
      <c r="G24" s="42"/>
      <c r="H24" s="42"/>
      <c r="I24" s="42"/>
      <c r="J24" s="42"/>
      <c r="K24" s="42"/>
      <c r="L24" s="42"/>
      <c r="M24" s="42"/>
      <c r="N24" s="42"/>
      <c r="O24" s="42"/>
      <c r="P24" s="42"/>
      <c r="Q24" s="42"/>
      <c r="R24" s="42"/>
      <c r="S24" s="42"/>
      <c r="T24" s="42"/>
      <c r="U24" s="42"/>
      <c r="V24" s="42"/>
      <c r="W24" s="67"/>
      <c r="X24" s="219"/>
    </row>
    <row r="25" spans="1:24" s="358" customFormat="1" ht="39.75" customHeight="1">
      <c r="A25" s="220"/>
      <c r="B25" s="65"/>
      <c r="C25" s="726" t="s">
        <v>351</v>
      </c>
      <c r="D25" s="727"/>
      <c r="E25" s="727"/>
      <c r="F25" s="727"/>
      <c r="G25" s="727"/>
      <c r="H25" s="727"/>
      <c r="I25" s="727"/>
      <c r="J25" s="727"/>
      <c r="K25" s="728" t="s">
        <v>352</v>
      </c>
      <c r="L25" s="729"/>
      <c r="M25" s="726" t="s">
        <v>353</v>
      </c>
      <c r="N25" s="727"/>
      <c r="O25" s="727"/>
      <c r="P25" s="727"/>
      <c r="Q25" s="727"/>
      <c r="R25" s="727"/>
      <c r="S25" s="727"/>
      <c r="T25" s="727"/>
      <c r="U25" s="727"/>
      <c r="V25" s="366" t="s">
        <v>352</v>
      </c>
      <c r="W25" s="359"/>
      <c r="X25" s="360"/>
    </row>
    <row r="26" spans="1:24" s="358" customFormat="1" ht="24" customHeight="1">
      <c r="A26" s="220"/>
      <c r="B26" s="65"/>
      <c r="C26" s="361">
        <v>1</v>
      </c>
      <c r="D26" s="732" t="s">
        <v>354</v>
      </c>
      <c r="E26" s="732"/>
      <c r="F26" s="732"/>
      <c r="G26" s="732"/>
      <c r="H26" s="732"/>
      <c r="I26" s="732"/>
      <c r="J26" s="732"/>
      <c r="K26" s="730"/>
      <c r="L26" s="731"/>
      <c r="M26" s="736">
        <v>1</v>
      </c>
      <c r="N26" s="737"/>
      <c r="O26" s="732" t="s">
        <v>355</v>
      </c>
      <c r="P26" s="732"/>
      <c r="Q26" s="732"/>
      <c r="R26" s="732"/>
      <c r="S26" s="732"/>
      <c r="T26" s="732"/>
      <c r="U26" s="732"/>
      <c r="V26" s="367"/>
      <c r="W26" s="67"/>
      <c r="X26" s="219"/>
    </row>
    <row r="27" spans="1:24" s="358" customFormat="1" ht="24" customHeight="1">
      <c r="A27" s="220"/>
      <c r="B27" s="65"/>
      <c r="C27" s="362">
        <v>2</v>
      </c>
      <c r="D27" s="725" t="s">
        <v>356</v>
      </c>
      <c r="E27" s="725"/>
      <c r="F27" s="725"/>
      <c r="G27" s="725"/>
      <c r="H27" s="725"/>
      <c r="I27" s="725"/>
      <c r="J27" s="725"/>
      <c r="K27" s="723"/>
      <c r="L27" s="724"/>
      <c r="M27" s="738">
        <v>2</v>
      </c>
      <c r="N27" s="739"/>
      <c r="O27" s="725" t="s">
        <v>357</v>
      </c>
      <c r="P27" s="725"/>
      <c r="Q27" s="725"/>
      <c r="R27" s="725"/>
      <c r="S27" s="725"/>
      <c r="T27" s="725"/>
      <c r="U27" s="725"/>
      <c r="V27" s="368"/>
      <c r="W27" s="67"/>
      <c r="X27" s="219"/>
    </row>
    <row r="28" spans="1:24" s="358" customFormat="1" ht="24" customHeight="1">
      <c r="A28" s="220"/>
      <c r="B28" s="65"/>
      <c r="C28" s="362">
        <v>3</v>
      </c>
      <c r="D28" s="725" t="s">
        <v>358</v>
      </c>
      <c r="E28" s="725"/>
      <c r="F28" s="725"/>
      <c r="G28" s="725"/>
      <c r="H28" s="725"/>
      <c r="I28" s="725"/>
      <c r="J28" s="725"/>
      <c r="K28" s="723"/>
      <c r="L28" s="724"/>
      <c r="M28" s="738">
        <v>3</v>
      </c>
      <c r="N28" s="739"/>
      <c r="O28" s="725" t="s">
        <v>358</v>
      </c>
      <c r="P28" s="725"/>
      <c r="Q28" s="725"/>
      <c r="R28" s="725"/>
      <c r="S28" s="725"/>
      <c r="T28" s="725"/>
      <c r="U28" s="725"/>
      <c r="V28" s="368"/>
      <c r="W28" s="67"/>
      <c r="X28" s="219"/>
    </row>
    <row r="29" spans="1:24" s="358" customFormat="1" ht="24" customHeight="1">
      <c r="A29" s="220"/>
      <c r="B29" s="65"/>
      <c r="C29" s="362">
        <v>4</v>
      </c>
      <c r="D29" s="725" t="s">
        <v>359</v>
      </c>
      <c r="E29" s="725"/>
      <c r="F29" s="725"/>
      <c r="G29" s="725"/>
      <c r="H29" s="725"/>
      <c r="I29" s="725"/>
      <c r="J29" s="725"/>
      <c r="K29" s="723"/>
      <c r="L29" s="724"/>
      <c r="M29" s="738">
        <v>4</v>
      </c>
      <c r="N29" s="739"/>
      <c r="O29" s="725" t="s">
        <v>360</v>
      </c>
      <c r="P29" s="725"/>
      <c r="Q29" s="725"/>
      <c r="R29" s="725"/>
      <c r="S29" s="725"/>
      <c r="T29" s="725"/>
      <c r="U29" s="725"/>
      <c r="V29" s="368"/>
      <c r="W29" s="67"/>
      <c r="X29" s="219"/>
    </row>
    <row r="30" spans="1:24" s="358" customFormat="1" ht="24" customHeight="1">
      <c r="A30" s="220"/>
      <c r="B30" s="65"/>
      <c r="C30" s="362">
        <v>5</v>
      </c>
      <c r="D30" s="725" t="s">
        <v>361</v>
      </c>
      <c r="E30" s="725"/>
      <c r="F30" s="725"/>
      <c r="G30" s="725"/>
      <c r="H30" s="725"/>
      <c r="I30" s="725"/>
      <c r="J30" s="725"/>
      <c r="K30" s="723"/>
      <c r="L30" s="724"/>
      <c r="M30" s="738">
        <v>5</v>
      </c>
      <c r="N30" s="739"/>
      <c r="O30" s="725" t="s">
        <v>362</v>
      </c>
      <c r="P30" s="725"/>
      <c r="Q30" s="725"/>
      <c r="R30" s="725"/>
      <c r="S30" s="725"/>
      <c r="T30" s="725"/>
      <c r="U30" s="725"/>
      <c r="V30" s="368"/>
      <c r="W30" s="67"/>
      <c r="X30" s="219"/>
    </row>
    <row r="31" spans="1:24" s="358" customFormat="1" ht="24" customHeight="1">
      <c r="A31" s="220"/>
      <c r="B31" s="65"/>
      <c r="C31" s="362">
        <v>6</v>
      </c>
      <c r="D31" s="725" t="s">
        <v>363</v>
      </c>
      <c r="E31" s="725"/>
      <c r="F31" s="725"/>
      <c r="G31" s="725"/>
      <c r="H31" s="725"/>
      <c r="I31" s="725"/>
      <c r="J31" s="725"/>
      <c r="K31" s="723"/>
      <c r="L31" s="724"/>
      <c r="M31" s="738">
        <v>6</v>
      </c>
      <c r="N31" s="739"/>
      <c r="O31" s="725" t="s">
        <v>364</v>
      </c>
      <c r="P31" s="725"/>
      <c r="Q31" s="725"/>
      <c r="R31" s="725"/>
      <c r="S31" s="725"/>
      <c r="T31" s="725"/>
      <c r="U31" s="725"/>
      <c r="V31" s="368"/>
      <c r="W31" s="67"/>
      <c r="X31" s="219"/>
    </row>
    <row r="32" spans="1:24" s="358" customFormat="1" ht="24" customHeight="1">
      <c r="A32" s="220"/>
      <c r="B32" s="65"/>
      <c r="C32" s="362">
        <v>7</v>
      </c>
      <c r="D32" s="725" t="s">
        <v>365</v>
      </c>
      <c r="E32" s="725"/>
      <c r="F32" s="725"/>
      <c r="G32" s="725"/>
      <c r="H32" s="725"/>
      <c r="I32" s="725"/>
      <c r="J32" s="725"/>
      <c r="K32" s="723"/>
      <c r="L32" s="724"/>
      <c r="M32" s="738">
        <v>7</v>
      </c>
      <c r="N32" s="739"/>
      <c r="O32" s="725" t="s">
        <v>366</v>
      </c>
      <c r="P32" s="725"/>
      <c r="Q32" s="725"/>
      <c r="R32" s="725"/>
      <c r="S32" s="725"/>
      <c r="T32" s="725"/>
      <c r="U32" s="725"/>
      <c r="V32" s="368"/>
      <c r="W32" s="67"/>
      <c r="X32" s="219"/>
    </row>
    <row r="33" spans="1:24" s="358" customFormat="1" ht="24" customHeight="1">
      <c r="A33" s="220"/>
      <c r="B33" s="65"/>
      <c r="C33" s="362">
        <v>8</v>
      </c>
      <c r="D33" s="725" t="s">
        <v>367</v>
      </c>
      <c r="E33" s="725"/>
      <c r="F33" s="725"/>
      <c r="G33" s="725"/>
      <c r="H33" s="725"/>
      <c r="I33" s="725"/>
      <c r="J33" s="725"/>
      <c r="K33" s="723"/>
      <c r="L33" s="724"/>
      <c r="M33" s="738">
        <v>8</v>
      </c>
      <c r="N33" s="739"/>
      <c r="O33" s="725" t="s">
        <v>368</v>
      </c>
      <c r="P33" s="725"/>
      <c r="Q33" s="725"/>
      <c r="R33" s="725"/>
      <c r="S33" s="725"/>
      <c r="T33" s="725"/>
      <c r="U33" s="725"/>
      <c r="V33" s="368"/>
      <c r="W33" s="67"/>
      <c r="X33" s="219"/>
    </row>
    <row r="34" spans="1:24" s="358" customFormat="1" ht="24" customHeight="1">
      <c r="A34" s="220"/>
      <c r="B34" s="65"/>
      <c r="C34" s="362">
        <v>9</v>
      </c>
      <c r="D34" s="725" t="s">
        <v>369</v>
      </c>
      <c r="E34" s="725"/>
      <c r="F34" s="725"/>
      <c r="G34" s="725"/>
      <c r="H34" s="725"/>
      <c r="I34" s="725"/>
      <c r="J34" s="725"/>
      <c r="K34" s="723"/>
      <c r="L34" s="724"/>
      <c r="M34" s="738">
        <v>9</v>
      </c>
      <c r="N34" s="739"/>
      <c r="O34" s="725" t="s">
        <v>370</v>
      </c>
      <c r="P34" s="725"/>
      <c r="Q34" s="725"/>
      <c r="R34" s="725"/>
      <c r="S34" s="725"/>
      <c r="T34" s="725"/>
      <c r="U34" s="725"/>
      <c r="V34" s="368"/>
      <c r="W34" s="67"/>
      <c r="X34" s="219"/>
    </row>
    <row r="35" spans="1:24" s="358" customFormat="1" ht="24" customHeight="1">
      <c r="A35" s="220"/>
      <c r="B35" s="65"/>
      <c r="C35" s="362">
        <v>10</v>
      </c>
      <c r="D35" s="725" t="s">
        <v>368</v>
      </c>
      <c r="E35" s="725"/>
      <c r="F35" s="725"/>
      <c r="G35" s="725"/>
      <c r="H35" s="725"/>
      <c r="I35" s="725"/>
      <c r="J35" s="725"/>
      <c r="K35" s="723"/>
      <c r="L35" s="724"/>
      <c r="M35" s="738">
        <v>10</v>
      </c>
      <c r="N35" s="739"/>
      <c r="O35" s="725" t="s">
        <v>371</v>
      </c>
      <c r="P35" s="725"/>
      <c r="Q35" s="725"/>
      <c r="R35" s="725"/>
      <c r="S35" s="725"/>
      <c r="T35" s="725"/>
      <c r="U35" s="725"/>
      <c r="V35" s="368"/>
      <c r="W35" s="67"/>
      <c r="X35" s="219"/>
    </row>
    <row r="36" spans="1:24" s="358" customFormat="1" ht="24" customHeight="1">
      <c r="A36" s="220"/>
      <c r="B36" s="65"/>
      <c r="C36" s="362">
        <v>11</v>
      </c>
      <c r="D36" s="725" t="s">
        <v>372</v>
      </c>
      <c r="E36" s="725"/>
      <c r="F36" s="725"/>
      <c r="G36" s="725"/>
      <c r="H36" s="725"/>
      <c r="I36" s="725"/>
      <c r="J36" s="725"/>
      <c r="K36" s="723"/>
      <c r="L36" s="724"/>
      <c r="M36" s="738">
        <v>11</v>
      </c>
      <c r="N36" s="739"/>
      <c r="O36" s="725" t="s">
        <v>373</v>
      </c>
      <c r="P36" s="725"/>
      <c r="Q36" s="725"/>
      <c r="R36" s="725"/>
      <c r="S36" s="725"/>
      <c r="T36" s="725"/>
      <c r="U36" s="725"/>
      <c r="V36" s="368"/>
      <c r="W36" s="67"/>
      <c r="X36" s="219"/>
    </row>
    <row r="37" spans="1:24" s="358" customFormat="1" ht="24" customHeight="1">
      <c r="A37" s="220"/>
      <c r="B37" s="65"/>
      <c r="C37" s="362">
        <v>12</v>
      </c>
      <c r="D37" s="725" t="s">
        <v>374</v>
      </c>
      <c r="E37" s="725"/>
      <c r="F37" s="725"/>
      <c r="G37" s="725"/>
      <c r="H37" s="725"/>
      <c r="I37" s="725"/>
      <c r="J37" s="725"/>
      <c r="K37" s="723"/>
      <c r="L37" s="724"/>
      <c r="M37" s="738"/>
      <c r="N37" s="739"/>
      <c r="O37" s="725"/>
      <c r="P37" s="725"/>
      <c r="Q37" s="725"/>
      <c r="R37" s="725"/>
      <c r="S37" s="725"/>
      <c r="T37" s="725"/>
      <c r="U37" s="725"/>
      <c r="V37" s="364"/>
      <c r="W37" s="67"/>
      <c r="X37" s="219"/>
    </row>
    <row r="38" spans="1:24" s="358" customFormat="1" ht="24" customHeight="1">
      <c r="A38" s="220"/>
      <c r="B38" s="65"/>
      <c r="C38" s="362">
        <v>13</v>
      </c>
      <c r="D38" s="725" t="s">
        <v>375</v>
      </c>
      <c r="E38" s="725"/>
      <c r="F38" s="725"/>
      <c r="G38" s="725"/>
      <c r="H38" s="725"/>
      <c r="I38" s="725"/>
      <c r="J38" s="725"/>
      <c r="K38" s="723"/>
      <c r="L38" s="724"/>
      <c r="M38" s="738"/>
      <c r="N38" s="739"/>
      <c r="O38" s="725"/>
      <c r="P38" s="725"/>
      <c r="Q38" s="725"/>
      <c r="R38" s="725"/>
      <c r="S38" s="725"/>
      <c r="T38" s="725"/>
      <c r="U38" s="725"/>
      <c r="V38" s="364"/>
      <c r="W38" s="67"/>
      <c r="X38" s="219"/>
    </row>
    <row r="39" spans="1:24" s="358" customFormat="1" ht="24" customHeight="1">
      <c r="A39" s="220"/>
      <c r="B39" s="65"/>
      <c r="C39" s="363">
        <v>14</v>
      </c>
      <c r="D39" s="735" t="s">
        <v>376</v>
      </c>
      <c r="E39" s="735"/>
      <c r="F39" s="735"/>
      <c r="G39" s="735"/>
      <c r="H39" s="735"/>
      <c r="I39" s="735"/>
      <c r="J39" s="735"/>
      <c r="K39" s="733"/>
      <c r="L39" s="734"/>
      <c r="M39" s="740"/>
      <c r="N39" s="741"/>
      <c r="O39" s="735"/>
      <c r="P39" s="735"/>
      <c r="Q39" s="735"/>
      <c r="R39" s="735"/>
      <c r="S39" s="735"/>
      <c r="T39" s="735"/>
      <c r="U39" s="735"/>
      <c r="V39" s="365"/>
      <c r="W39" s="67"/>
      <c r="X39" s="219"/>
    </row>
    <row r="40" spans="1:24" ht="20.25" customHeight="1">
      <c r="A40" s="220"/>
      <c r="B40" s="65"/>
      <c r="C40" s="42"/>
      <c r="D40" s="48"/>
      <c r="E40" s="42"/>
      <c r="F40" s="42"/>
      <c r="G40" s="42"/>
      <c r="H40" s="42"/>
      <c r="I40" s="42"/>
      <c r="J40" s="42"/>
      <c r="K40" s="42"/>
      <c r="L40" s="42"/>
      <c r="M40" s="42"/>
      <c r="N40" s="42"/>
      <c r="O40" s="42"/>
      <c r="P40" s="42"/>
      <c r="Q40" s="42"/>
      <c r="R40" s="42"/>
      <c r="S40" s="42"/>
      <c r="T40" s="42"/>
      <c r="U40" s="42"/>
      <c r="V40" s="42"/>
      <c r="W40" s="67"/>
      <c r="X40" s="219"/>
    </row>
    <row r="41" spans="1:24" ht="19.5" customHeight="1">
      <c r="A41" s="220"/>
      <c r="B41" s="65"/>
      <c r="C41" s="42"/>
      <c r="D41" s="42"/>
      <c r="E41" s="42"/>
      <c r="F41" s="42"/>
      <c r="G41" s="42"/>
      <c r="H41" s="42"/>
      <c r="I41" s="42"/>
      <c r="J41" s="42"/>
      <c r="K41" s="672" t="s">
        <v>164</v>
      </c>
      <c r="L41" s="672"/>
      <c r="M41" s="672"/>
      <c r="N41" s="672"/>
      <c r="O41" s="42"/>
      <c r="P41" s="42"/>
      <c r="Q41" s="42"/>
      <c r="R41" s="42"/>
      <c r="S41" s="42"/>
      <c r="T41" s="42"/>
      <c r="U41" s="42"/>
      <c r="V41" s="42"/>
      <c r="W41" s="67"/>
      <c r="X41" s="219"/>
    </row>
    <row r="42" spans="1:24" ht="27.75" customHeight="1">
      <c r="A42" s="220"/>
      <c r="B42" s="65"/>
      <c r="C42" s="42"/>
      <c r="D42" s="42"/>
      <c r="E42" s="672" t="s">
        <v>163</v>
      </c>
      <c r="F42" s="672"/>
      <c r="G42" s="672"/>
      <c r="H42" s="672"/>
      <c r="I42" s="42"/>
      <c r="J42" s="48"/>
      <c r="K42" s="48"/>
      <c r="L42" s="42"/>
      <c r="M42" s="42"/>
      <c r="N42" s="42"/>
      <c r="O42" s="42"/>
      <c r="P42" s="42"/>
      <c r="Q42" s="672" t="s">
        <v>162</v>
      </c>
      <c r="R42" s="672"/>
      <c r="S42" s="672"/>
      <c r="T42" s="672"/>
      <c r="U42" s="42"/>
      <c r="V42" s="42"/>
      <c r="W42" s="67"/>
      <c r="X42" s="219"/>
    </row>
    <row r="43" spans="1:24" ht="23.25" customHeight="1">
      <c r="A43" s="220"/>
      <c r="B43" s="65"/>
      <c r="C43" s="42"/>
      <c r="D43" s="42"/>
      <c r="E43" s="673"/>
      <c r="F43" s="673"/>
      <c r="G43" s="673"/>
      <c r="H43" s="673"/>
      <c r="I43" s="42"/>
      <c r="J43" s="42"/>
      <c r="K43" s="42"/>
      <c r="L43" s="42"/>
      <c r="M43" s="42"/>
      <c r="N43" s="42"/>
      <c r="O43" s="42"/>
      <c r="P43" s="42"/>
      <c r="Q43" s="674"/>
      <c r="R43" s="674"/>
      <c r="S43" s="674"/>
      <c r="T43" s="674"/>
      <c r="U43" s="42"/>
      <c r="V43" s="42"/>
      <c r="W43" s="67"/>
      <c r="X43" s="219"/>
    </row>
    <row r="44" spans="1:24">
      <c r="A44" s="220"/>
      <c r="B44" s="65"/>
      <c r="C44" s="42"/>
      <c r="D44" s="42"/>
      <c r="E44" s="42"/>
      <c r="F44" s="42"/>
      <c r="G44" s="42"/>
      <c r="H44" s="42"/>
      <c r="I44" s="42"/>
      <c r="J44" s="42"/>
      <c r="K44" s="42"/>
      <c r="L44" s="42"/>
      <c r="M44" s="42"/>
      <c r="N44" s="42"/>
      <c r="O44" s="42"/>
      <c r="P44" s="42"/>
      <c r="Q44" s="42"/>
      <c r="R44" s="42"/>
      <c r="S44" s="42"/>
      <c r="T44" s="42"/>
      <c r="U44" s="42"/>
      <c r="V44" s="42"/>
      <c r="W44" s="67"/>
      <c r="X44" s="219"/>
    </row>
    <row r="45" spans="1:24" ht="15.75" thickBot="1">
      <c r="A45" s="220"/>
      <c r="B45" s="75"/>
      <c r="C45" s="76"/>
      <c r="D45" s="76"/>
      <c r="E45" s="76"/>
      <c r="F45" s="76"/>
      <c r="G45" s="76"/>
      <c r="H45" s="76"/>
      <c r="I45" s="76"/>
      <c r="J45" s="76"/>
      <c r="K45" s="76"/>
      <c r="L45" s="76"/>
      <c r="M45" s="76"/>
      <c r="N45" s="76"/>
      <c r="O45" s="76"/>
      <c r="P45" s="76"/>
      <c r="Q45" s="76"/>
      <c r="R45" s="76"/>
      <c r="S45" s="76"/>
      <c r="T45" s="76"/>
      <c r="U45" s="76"/>
      <c r="V45" s="76"/>
      <c r="W45" s="77"/>
      <c r="X45" s="219"/>
    </row>
    <row r="46" spans="1:24" ht="15.75" thickBot="1">
      <c r="A46" s="223"/>
      <c r="B46" s="224"/>
      <c r="C46" s="224"/>
      <c r="D46" s="224"/>
      <c r="E46" s="224"/>
      <c r="F46" s="224"/>
      <c r="G46" s="224"/>
      <c r="H46" s="224"/>
      <c r="I46" s="224"/>
      <c r="J46" s="224"/>
      <c r="K46" s="224"/>
      <c r="L46" s="224"/>
      <c r="M46" s="224"/>
      <c r="N46" s="224"/>
      <c r="O46" s="224"/>
      <c r="P46" s="224"/>
      <c r="Q46" s="224"/>
      <c r="R46" s="224"/>
      <c r="S46" s="224"/>
      <c r="T46" s="224"/>
      <c r="U46" s="224"/>
      <c r="V46" s="224"/>
      <c r="W46" s="224"/>
      <c r="X46" s="225"/>
    </row>
    <row r="47" spans="1:24" hidden="1">
      <c r="A47" s="49"/>
      <c r="B47" s="49"/>
      <c r="C47" s="49"/>
      <c r="D47" s="49"/>
      <c r="E47" s="49"/>
      <c r="F47" s="49"/>
      <c r="G47" s="49"/>
      <c r="H47" s="49"/>
      <c r="I47" s="49"/>
      <c r="J47" s="49"/>
      <c r="K47" s="49"/>
      <c r="L47" s="49"/>
      <c r="M47" s="49"/>
      <c r="N47" s="49"/>
      <c r="O47" s="49"/>
      <c r="P47" s="49"/>
      <c r="Q47" s="49"/>
      <c r="R47" s="49"/>
      <c r="S47" s="49"/>
      <c r="T47" s="49"/>
      <c r="U47" s="49"/>
      <c r="V47" s="49"/>
      <c r="W47" s="49"/>
      <c r="X47" s="49"/>
    </row>
  </sheetData>
  <sheetProtection password="DC6E" sheet="1" objects="1" scenarios="1"/>
  <mergeCells count="96">
    <mergeCell ref="O39:U39"/>
    <mergeCell ref="O32:U32"/>
    <mergeCell ref="O33:U33"/>
    <mergeCell ref="O34:U34"/>
    <mergeCell ref="O35:U35"/>
    <mergeCell ref="O36:U36"/>
    <mergeCell ref="O37:U37"/>
    <mergeCell ref="M32:N32"/>
    <mergeCell ref="M33:N33"/>
    <mergeCell ref="M34:N34"/>
    <mergeCell ref="M35:N35"/>
    <mergeCell ref="O38:U38"/>
    <mergeCell ref="O29:U29"/>
    <mergeCell ref="O30:U30"/>
    <mergeCell ref="O31:U31"/>
    <mergeCell ref="M30:N30"/>
    <mergeCell ref="M31:N31"/>
    <mergeCell ref="K38:L38"/>
    <mergeCell ref="K39:L39"/>
    <mergeCell ref="D39:J39"/>
    <mergeCell ref="D38:J38"/>
    <mergeCell ref="M25:U25"/>
    <mergeCell ref="M26:N26"/>
    <mergeCell ref="M27:N27"/>
    <mergeCell ref="M28:N28"/>
    <mergeCell ref="M29:N29"/>
    <mergeCell ref="M36:N36"/>
    <mergeCell ref="M37:N37"/>
    <mergeCell ref="M38:N38"/>
    <mergeCell ref="M39:N39"/>
    <mergeCell ref="O26:U26"/>
    <mergeCell ref="O27:U27"/>
    <mergeCell ref="O28:U28"/>
    <mergeCell ref="C25:J25"/>
    <mergeCell ref="K25:L25"/>
    <mergeCell ref="K26:L26"/>
    <mergeCell ref="K27:L27"/>
    <mergeCell ref="K28:L28"/>
    <mergeCell ref="D26:J26"/>
    <mergeCell ref="D27:J27"/>
    <mergeCell ref="D28:J28"/>
    <mergeCell ref="D35:J35"/>
    <mergeCell ref="D36:J36"/>
    <mergeCell ref="D37:J37"/>
    <mergeCell ref="K29:L29"/>
    <mergeCell ref="K30:L30"/>
    <mergeCell ref="K31:L31"/>
    <mergeCell ref="K32:L32"/>
    <mergeCell ref="D31:J31"/>
    <mergeCell ref="D32:J32"/>
    <mergeCell ref="K36:L36"/>
    <mergeCell ref="K37:L37"/>
    <mergeCell ref="K33:L33"/>
    <mergeCell ref="K34:L34"/>
    <mergeCell ref="D29:J29"/>
    <mergeCell ref="D33:J33"/>
    <mergeCell ref="D34:J34"/>
    <mergeCell ref="E43:H43"/>
    <mergeCell ref="Q43:T43"/>
    <mergeCell ref="S21:V22"/>
    <mergeCell ref="S23:V23"/>
    <mergeCell ref="C20:V20"/>
    <mergeCell ref="C21:C22"/>
    <mergeCell ref="D21:F21"/>
    <mergeCell ref="G21:I21"/>
    <mergeCell ref="J21:L21"/>
    <mergeCell ref="M21:O21"/>
    <mergeCell ref="P21:R21"/>
    <mergeCell ref="K35:L35"/>
    <mergeCell ref="D30:J30"/>
    <mergeCell ref="K41:N41"/>
    <mergeCell ref="E42:H42"/>
    <mergeCell ref="Q42:T42"/>
    <mergeCell ref="D17:G17"/>
    <mergeCell ref="H17:N17"/>
    <mergeCell ref="O17:Q17"/>
    <mergeCell ref="R17:U17"/>
    <mergeCell ref="D18:G18"/>
    <mergeCell ref="H18:N18"/>
    <mergeCell ref="O18:Q18"/>
    <mergeCell ref="R18:U18"/>
    <mergeCell ref="D15:G15"/>
    <mergeCell ref="H15:N15"/>
    <mergeCell ref="O15:Q15"/>
    <mergeCell ref="R15:U15"/>
    <mergeCell ref="D16:G16"/>
    <mergeCell ref="H16:N16"/>
    <mergeCell ref="O16:Q16"/>
    <mergeCell ref="R16:U16"/>
    <mergeCell ref="A1:C1"/>
    <mergeCell ref="C3:V3"/>
    <mergeCell ref="C4:V4"/>
    <mergeCell ref="D14:G14"/>
    <mergeCell ref="H14:N14"/>
    <mergeCell ref="O14:Q14"/>
    <mergeCell ref="R14:U14"/>
  </mergeCells>
  <hyperlinks>
    <hyperlink ref="A1:C1" location="INDEX!A1" display="INDEX"/>
  </hyperlinks>
  <pageMargins left="0.59" right="0.25" top="0.36" bottom="0.25" header="0" footer="0"/>
  <pageSetup paperSize="5" scale="89" orientation="portrait" horizontalDpi="300" verticalDpi="300"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499984740745262"/>
  </sheetPr>
  <dimension ref="A1:WXE38"/>
  <sheetViews>
    <sheetView view="pageBreakPreview" zoomScaleSheetLayoutView="100" workbookViewId="0">
      <selection activeCell="I2" sqref="I2"/>
    </sheetView>
  </sheetViews>
  <sheetFormatPr defaultColWidth="0" defaultRowHeight="12.75" zeroHeight="1"/>
  <cols>
    <col min="1" max="1" width="5" style="369" customWidth="1"/>
    <col min="2" max="2" width="35.28515625" style="369" customWidth="1"/>
    <col min="3" max="3" width="8" style="369" customWidth="1"/>
    <col min="4" max="31" width="5.7109375" style="489" customWidth="1"/>
    <col min="32" max="32" width="3.7109375" style="369" customWidth="1"/>
    <col min="33" max="43" width="5.28515625" style="489" customWidth="1"/>
    <col min="44" max="44" width="89.85546875" style="489" customWidth="1"/>
    <col min="45" max="49" width="3.7109375" style="369" hidden="1"/>
    <col min="50" max="256" width="9.140625" style="369" hidden="1"/>
    <col min="257" max="257" width="3" style="369" hidden="1"/>
    <col min="258" max="258" width="37.28515625" style="369" hidden="1"/>
    <col min="259" max="259" width="3.85546875" style="369" hidden="1"/>
    <col min="260" max="305" width="3.7109375" style="369" hidden="1"/>
    <col min="306" max="512" width="9.140625" style="369" hidden="1"/>
    <col min="513" max="513" width="3" style="369" hidden="1"/>
    <col min="514" max="514" width="37.28515625" style="369" hidden="1"/>
    <col min="515" max="515" width="3.85546875" style="369" hidden="1"/>
    <col min="516" max="561" width="3.7109375" style="369" hidden="1"/>
    <col min="562" max="768" width="9.140625" style="369" hidden="1"/>
    <col min="769" max="769" width="3" style="369" hidden="1"/>
    <col min="770" max="770" width="37.28515625" style="369" hidden="1"/>
    <col min="771" max="771" width="3.85546875" style="369" hidden="1"/>
    <col min="772" max="817" width="3.7109375" style="369" hidden="1"/>
    <col min="818" max="1024" width="9.140625" style="369" hidden="1"/>
    <col min="1025" max="1025" width="3" style="369" hidden="1"/>
    <col min="1026" max="1026" width="37.28515625" style="369" hidden="1"/>
    <col min="1027" max="1027" width="3.85546875" style="369" hidden="1"/>
    <col min="1028" max="1073" width="3.7109375" style="369" hidden="1"/>
    <col min="1074" max="1280" width="9.140625" style="369" hidden="1"/>
    <col min="1281" max="1281" width="3" style="369" hidden="1"/>
    <col min="1282" max="1282" width="37.28515625" style="369" hidden="1"/>
    <col min="1283" max="1283" width="3.85546875" style="369" hidden="1"/>
    <col min="1284" max="1329" width="3.7109375" style="369" hidden="1"/>
    <col min="1330" max="1536" width="9.140625" style="369" hidden="1"/>
    <col min="1537" max="1537" width="3" style="369" hidden="1"/>
    <col min="1538" max="1538" width="37.28515625" style="369" hidden="1"/>
    <col min="1539" max="1539" width="3.85546875" style="369" hidden="1"/>
    <col min="1540" max="1585" width="3.7109375" style="369" hidden="1"/>
    <col min="1586" max="1792" width="9.140625" style="369" hidden="1"/>
    <col min="1793" max="1793" width="3" style="369" hidden="1"/>
    <col min="1794" max="1794" width="37.28515625" style="369" hidden="1"/>
    <col min="1795" max="1795" width="3.85546875" style="369" hidden="1"/>
    <col min="1796" max="1841" width="3.7109375" style="369" hidden="1"/>
    <col min="1842" max="2048" width="9.140625" style="369" hidden="1"/>
    <col min="2049" max="2049" width="3" style="369" hidden="1"/>
    <col min="2050" max="2050" width="37.28515625" style="369" hidden="1"/>
    <col min="2051" max="2051" width="3.85546875" style="369" hidden="1"/>
    <col min="2052" max="2097" width="3.7109375" style="369" hidden="1"/>
    <col min="2098" max="2304" width="9.140625" style="369" hidden="1"/>
    <col min="2305" max="2305" width="3" style="369" hidden="1"/>
    <col min="2306" max="2306" width="37.28515625" style="369" hidden="1"/>
    <col min="2307" max="2307" width="3.85546875" style="369" hidden="1"/>
    <col min="2308" max="2353" width="3.7109375" style="369" hidden="1"/>
    <col min="2354" max="2560" width="9.140625" style="369" hidden="1"/>
    <col min="2561" max="2561" width="3" style="369" hidden="1"/>
    <col min="2562" max="2562" width="37.28515625" style="369" hidden="1"/>
    <col min="2563" max="2563" width="3.85546875" style="369" hidden="1"/>
    <col min="2564" max="2609" width="3.7109375" style="369" hidden="1"/>
    <col min="2610" max="2816" width="9.140625" style="369" hidden="1"/>
    <col min="2817" max="2817" width="3" style="369" hidden="1"/>
    <col min="2818" max="2818" width="37.28515625" style="369" hidden="1"/>
    <col min="2819" max="2819" width="3.85546875" style="369" hidden="1"/>
    <col min="2820" max="2865" width="3.7109375" style="369" hidden="1"/>
    <col min="2866" max="3072" width="9.140625" style="369" hidden="1"/>
    <col min="3073" max="3073" width="3" style="369" hidden="1"/>
    <col min="3074" max="3074" width="37.28515625" style="369" hidden="1"/>
    <col min="3075" max="3075" width="3.85546875" style="369" hidden="1"/>
    <col min="3076" max="3121" width="3.7109375" style="369" hidden="1"/>
    <col min="3122" max="3328" width="9.140625" style="369" hidden="1"/>
    <col min="3329" max="3329" width="3" style="369" hidden="1"/>
    <col min="3330" max="3330" width="37.28515625" style="369" hidden="1"/>
    <col min="3331" max="3331" width="3.85546875" style="369" hidden="1"/>
    <col min="3332" max="3377" width="3.7109375" style="369" hidden="1"/>
    <col min="3378" max="3584" width="9.140625" style="369" hidden="1"/>
    <col min="3585" max="3585" width="3" style="369" hidden="1"/>
    <col min="3586" max="3586" width="37.28515625" style="369" hidden="1"/>
    <col min="3587" max="3587" width="3.85546875" style="369" hidden="1"/>
    <col min="3588" max="3633" width="3.7109375" style="369" hidden="1"/>
    <col min="3634" max="3840" width="9.140625" style="369" hidden="1"/>
    <col min="3841" max="3841" width="3" style="369" hidden="1"/>
    <col min="3842" max="3842" width="37.28515625" style="369" hidden="1"/>
    <col min="3843" max="3843" width="3.85546875" style="369" hidden="1"/>
    <col min="3844" max="3889" width="3.7109375" style="369" hidden="1"/>
    <col min="3890" max="4096" width="9.140625" style="369" hidden="1"/>
    <col min="4097" max="4097" width="3" style="369" hidden="1"/>
    <col min="4098" max="4098" width="37.28515625" style="369" hidden="1"/>
    <col min="4099" max="4099" width="3.85546875" style="369" hidden="1"/>
    <col min="4100" max="4145" width="3.7109375" style="369" hidden="1"/>
    <col min="4146" max="4352" width="9.140625" style="369" hidden="1"/>
    <col min="4353" max="4353" width="3" style="369" hidden="1"/>
    <col min="4354" max="4354" width="37.28515625" style="369" hidden="1"/>
    <col min="4355" max="4355" width="3.85546875" style="369" hidden="1"/>
    <col min="4356" max="4401" width="3.7109375" style="369" hidden="1"/>
    <col min="4402" max="4608" width="9.140625" style="369" hidden="1"/>
    <col min="4609" max="4609" width="3" style="369" hidden="1"/>
    <col min="4610" max="4610" width="37.28515625" style="369" hidden="1"/>
    <col min="4611" max="4611" width="3.85546875" style="369" hidden="1"/>
    <col min="4612" max="4657" width="3.7109375" style="369" hidden="1"/>
    <col min="4658" max="4864" width="9.140625" style="369" hidden="1"/>
    <col min="4865" max="4865" width="3" style="369" hidden="1"/>
    <col min="4866" max="4866" width="37.28515625" style="369" hidden="1"/>
    <col min="4867" max="4867" width="3.85546875" style="369" hidden="1"/>
    <col min="4868" max="4913" width="3.7109375" style="369" hidden="1"/>
    <col min="4914" max="5120" width="9.140625" style="369" hidden="1"/>
    <col min="5121" max="5121" width="3" style="369" hidden="1"/>
    <col min="5122" max="5122" width="37.28515625" style="369" hidden="1"/>
    <col min="5123" max="5123" width="3.85546875" style="369" hidden="1"/>
    <col min="5124" max="5169" width="3.7109375" style="369" hidden="1"/>
    <col min="5170" max="5376" width="9.140625" style="369" hidden="1"/>
    <col min="5377" max="5377" width="3" style="369" hidden="1"/>
    <col min="5378" max="5378" width="37.28515625" style="369" hidden="1"/>
    <col min="5379" max="5379" width="3.85546875" style="369" hidden="1"/>
    <col min="5380" max="5425" width="3.7109375" style="369" hidden="1"/>
    <col min="5426" max="5632" width="9.140625" style="369" hidden="1"/>
    <col min="5633" max="5633" width="3" style="369" hidden="1"/>
    <col min="5634" max="5634" width="37.28515625" style="369" hidden="1"/>
    <col min="5635" max="5635" width="3.85546875" style="369" hidden="1"/>
    <col min="5636" max="5681" width="3.7109375" style="369" hidden="1"/>
    <col min="5682" max="5888" width="9.140625" style="369" hidden="1"/>
    <col min="5889" max="5889" width="3" style="369" hidden="1"/>
    <col min="5890" max="5890" width="37.28515625" style="369" hidden="1"/>
    <col min="5891" max="5891" width="3.85546875" style="369" hidden="1"/>
    <col min="5892" max="5937" width="3.7109375" style="369" hidden="1"/>
    <col min="5938" max="6144" width="9.140625" style="369" hidden="1"/>
    <col min="6145" max="6145" width="3" style="369" hidden="1"/>
    <col min="6146" max="6146" width="37.28515625" style="369" hidden="1"/>
    <col min="6147" max="6147" width="3.85546875" style="369" hidden="1"/>
    <col min="6148" max="6193" width="3.7109375" style="369" hidden="1"/>
    <col min="6194" max="6400" width="9.140625" style="369" hidden="1"/>
    <col min="6401" max="6401" width="3" style="369" hidden="1"/>
    <col min="6402" max="6402" width="37.28515625" style="369" hidden="1"/>
    <col min="6403" max="6403" width="3.85546875" style="369" hidden="1"/>
    <col min="6404" max="6449" width="3.7109375" style="369" hidden="1"/>
    <col min="6450" max="6656" width="9.140625" style="369" hidden="1"/>
    <col min="6657" max="6657" width="3" style="369" hidden="1"/>
    <col min="6658" max="6658" width="37.28515625" style="369" hidden="1"/>
    <col min="6659" max="6659" width="3.85546875" style="369" hidden="1"/>
    <col min="6660" max="6705" width="3.7109375" style="369" hidden="1"/>
    <col min="6706" max="6912" width="9.140625" style="369" hidden="1"/>
    <col min="6913" max="6913" width="3" style="369" hidden="1"/>
    <col min="6914" max="6914" width="37.28515625" style="369" hidden="1"/>
    <col min="6915" max="6915" width="3.85546875" style="369" hidden="1"/>
    <col min="6916" max="6961" width="3.7109375" style="369" hidden="1"/>
    <col min="6962" max="7168" width="9.140625" style="369" hidden="1"/>
    <col min="7169" max="7169" width="3" style="369" hidden="1"/>
    <col min="7170" max="7170" width="37.28515625" style="369" hidden="1"/>
    <col min="7171" max="7171" width="3.85546875" style="369" hidden="1"/>
    <col min="7172" max="7217" width="3.7109375" style="369" hidden="1"/>
    <col min="7218" max="7424" width="9.140625" style="369" hidden="1"/>
    <col min="7425" max="7425" width="3" style="369" hidden="1"/>
    <col min="7426" max="7426" width="37.28515625" style="369" hidden="1"/>
    <col min="7427" max="7427" width="3.85546875" style="369" hidden="1"/>
    <col min="7428" max="7473" width="3.7109375" style="369" hidden="1"/>
    <col min="7474" max="7680" width="9.140625" style="369" hidden="1"/>
    <col min="7681" max="7681" width="3" style="369" hidden="1"/>
    <col min="7682" max="7682" width="37.28515625" style="369" hidden="1"/>
    <col min="7683" max="7683" width="3.85546875" style="369" hidden="1"/>
    <col min="7684" max="7729" width="3.7109375" style="369" hidden="1"/>
    <col min="7730" max="7936" width="9.140625" style="369" hidden="1"/>
    <col min="7937" max="7937" width="3" style="369" hidden="1"/>
    <col min="7938" max="7938" width="37.28515625" style="369" hidden="1"/>
    <col min="7939" max="7939" width="3.85546875" style="369" hidden="1"/>
    <col min="7940" max="7985" width="3.7109375" style="369" hidden="1"/>
    <col min="7986" max="8192" width="9.140625" style="369" hidden="1"/>
    <col min="8193" max="8193" width="3" style="369" hidden="1"/>
    <col min="8194" max="8194" width="37.28515625" style="369" hidden="1"/>
    <col min="8195" max="8195" width="3.85546875" style="369" hidden="1"/>
    <col min="8196" max="8241" width="3.7109375" style="369" hidden="1"/>
    <col min="8242" max="8448" width="9.140625" style="369" hidden="1"/>
    <col min="8449" max="8449" width="3" style="369" hidden="1"/>
    <col min="8450" max="8450" width="37.28515625" style="369" hidden="1"/>
    <col min="8451" max="8451" width="3.85546875" style="369" hidden="1"/>
    <col min="8452" max="8497" width="3.7109375" style="369" hidden="1"/>
    <col min="8498" max="8704" width="9.140625" style="369" hidden="1"/>
    <col min="8705" max="8705" width="3" style="369" hidden="1"/>
    <col min="8706" max="8706" width="37.28515625" style="369" hidden="1"/>
    <col min="8707" max="8707" width="3.85546875" style="369" hidden="1"/>
    <col min="8708" max="8753" width="3.7109375" style="369" hidden="1"/>
    <col min="8754" max="8960" width="9.140625" style="369" hidden="1"/>
    <col min="8961" max="8961" width="3" style="369" hidden="1"/>
    <col min="8962" max="8962" width="37.28515625" style="369" hidden="1"/>
    <col min="8963" max="8963" width="3.85546875" style="369" hidden="1"/>
    <col min="8964" max="9009" width="3.7109375" style="369" hidden="1"/>
    <col min="9010" max="9216" width="9.140625" style="369" hidden="1"/>
    <col min="9217" max="9217" width="3" style="369" hidden="1"/>
    <col min="9218" max="9218" width="37.28515625" style="369" hidden="1"/>
    <col min="9219" max="9219" width="3.85546875" style="369" hidden="1"/>
    <col min="9220" max="9265" width="3.7109375" style="369" hidden="1"/>
    <col min="9266" max="9472" width="9.140625" style="369" hidden="1"/>
    <col min="9473" max="9473" width="3" style="369" hidden="1"/>
    <col min="9474" max="9474" width="37.28515625" style="369" hidden="1"/>
    <col min="9475" max="9475" width="3.85546875" style="369" hidden="1"/>
    <col min="9476" max="9521" width="3.7109375" style="369" hidden="1"/>
    <col min="9522" max="9728" width="9.140625" style="369" hidden="1"/>
    <col min="9729" max="9729" width="3" style="369" hidden="1"/>
    <col min="9730" max="9730" width="37.28515625" style="369" hidden="1"/>
    <col min="9731" max="9731" width="3.85546875" style="369" hidden="1"/>
    <col min="9732" max="9777" width="3.7109375" style="369" hidden="1"/>
    <col min="9778" max="9984" width="9.140625" style="369" hidden="1"/>
    <col min="9985" max="9985" width="3" style="369" hidden="1"/>
    <col min="9986" max="9986" width="37.28515625" style="369" hidden="1"/>
    <col min="9987" max="9987" width="3.85546875" style="369" hidden="1"/>
    <col min="9988" max="10033" width="3.7109375" style="369" hidden="1"/>
    <col min="10034" max="10240" width="9.140625" style="369" hidden="1"/>
    <col min="10241" max="10241" width="3" style="369" hidden="1"/>
    <col min="10242" max="10242" width="37.28515625" style="369" hidden="1"/>
    <col min="10243" max="10243" width="3.85546875" style="369" hidden="1"/>
    <col min="10244" max="10289" width="3.7109375" style="369" hidden="1"/>
    <col min="10290" max="10496" width="9.140625" style="369" hidden="1"/>
    <col min="10497" max="10497" width="3" style="369" hidden="1"/>
    <col min="10498" max="10498" width="37.28515625" style="369" hidden="1"/>
    <col min="10499" max="10499" width="3.85546875" style="369" hidden="1"/>
    <col min="10500" max="10545" width="3.7109375" style="369" hidden="1"/>
    <col min="10546" max="10752" width="9.140625" style="369" hidden="1"/>
    <col min="10753" max="10753" width="3" style="369" hidden="1"/>
    <col min="10754" max="10754" width="37.28515625" style="369" hidden="1"/>
    <col min="10755" max="10755" width="3.85546875" style="369" hidden="1"/>
    <col min="10756" max="10801" width="3.7109375" style="369" hidden="1"/>
    <col min="10802" max="11008" width="9.140625" style="369" hidden="1"/>
    <col min="11009" max="11009" width="3" style="369" hidden="1"/>
    <col min="11010" max="11010" width="37.28515625" style="369" hidden="1"/>
    <col min="11011" max="11011" width="3.85546875" style="369" hidden="1"/>
    <col min="11012" max="11057" width="3.7109375" style="369" hidden="1"/>
    <col min="11058" max="11264" width="9.140625" style="369" hidden="1"/>
    <col min="11265" max="11265" width="3" style="369" hidden="1"/>
    <col min="11266" max="11266" width="37.28515625" style="369" hidden="1"/>
    <col min="11267" max="11267" width="3.85546875" style="369" hidden="1"/>
    <col min="11268" max="11313" width="3.7109375" style="369" hidden="1"/>
    <col min="11314" max="11520" width="9.140625" style="369" hidden="1"/>
    <col min="11521" max="11521" width="3" style="369" hidden="1"/>
    <col min="11522" max="11522" width="37.28515625" style="369" hidden="1"/>
    <col min="11523" max="11523" width="3.85546875" style="369" hidden="1"/>
    <col min="11524" max="11569" width="3.7109375" style="369" hidden="1"/>
    <col min="11570" max="11776" width="9.140625" style="369" hidden="1"/>
    <col min="11777" max="11777" width="3" style="369" hidden="1"/>
    <col min="11778" max="11778" width="37.28515625" style="369" hidden="1"/>
    <col min="11779" max="11779" width="3.85546875" style="369" hidden="1"/>
    <col min="11780" max="11825" width="3.7109375" style="369" hidden="1"/>
    <col min="11826" max="12032" width="9.140625" style="369" hidden="1"/>
    <col min="12033" max="12033" width="3" style="369" hidden="1"/>
    <col min="12034" max="12034" width="37.28515625" style="369" hidden="1"/>
    <col min="12035" max="12035" width="3.85546875" style="369" hidden="1"/>
    <col min="12036" max="12081" width="3.7109375" style="369" hidden="1"/>
    <col min="12082" max="12288" width="9.140625" style="369" hidden="1"/>
    <col min="12289" max="12289" width="3" style="369" hidden="1"/>
    <col min="12290" max="12290" width="37.28515625" style="369" hidden="1"/>
    <col min="12291" max="12291" width="3.85546875" style="369" hidden="1"/>
    <col min="12292" max="12337" width="3.7109375" style="369" hidden="1"/>
    <col min="12338" max="12544" width="9.140625" style="369" hidden="1"/>
    <col min="12545" max="12545" width="3" style="369" hidden="1"/>
    <col min="12546" max="12546" width="37.28515625" style="369" hidden="1"/>
    <col min="12547" max="12547" width="3.85546875" style="369" hidden="1"/>
    <col min="12548" max="12593" width="3.7109375" style="369" hidden="1"/>
    <col min="12594" max="12800" width="9.140625" style="369" hidden="1"/>
    <col min="12801" max="12801" width="3" style="369" hidden="1"/>
    <col min="12802" max="12802" width="37.28515625" style="369" hidden="1"/>
    <col min="12803" max="12803" width="3.85546875" style="369" hidden="1"/>
    <col min="12804" max="12849" width="3.7109375" style="369" hidden="1"/>
    <col min="12850" max="13056" width="9.140625" style="369" hidden="1"/>
    <col min="13057" max="13057" width="3" style="369" hidden="1"/>
    <col min="13058" max="13058" width="37.28515625" style="369" hidden="1"/>
    <col min="13059" max="13059" width="3.85546875" style="369" hidden="1"/>
    <col min="13060" max="13105" width="3.7109375" style="369" hidden="1"/>
    <col min="13106" max="13312" width="9.140625" style="369" hidden="1"/>
    <col min="13313" max="13313" width="3" style="369" hidden="1"/>
    <col min="13314" max="13314" width="37.28515625" style="369" hidden="1"/>
    <col min="13315" max="13315" width="3.85546875" style="369" hidden="1"/>
    <col min="13316" max="13361" width="3.7109375" style="369" hidden="1"/>
    <col min="13362" max="13568" width="9.140625" style="369" hidden="1"/>
    <col min="13569" max="13569" width="3" style="369" hidden="1"/>
    <col min="13570" max="13570" width="37.28515625" style="369" hidden="1"/>
    <col min="13571" max="13571" width="3.85546875" style="369" hidden="1"/>
    <col min="13572" max="13617" width="3.7109375" style="369" hidden="1"/>
    <col min="13618" max="13824" width="9.140625" style="369" hidden="1"/>
    <col min="13825" max="13825" width="3" style="369" hidden="1"/>
    <col min="13826" max="13826" width="37.28515625" style="369" hidden="1"/>
    <col min="13827" max="13827" width="3.85546875" style="369" hidden="1"/>
    <col min="13828" max="13873" width="3.7109375" style="369" hidden="1"/>
    <col min="13874" max="14080" width="9.140625" style="369" hidden="1"/>
    <col min="14081" max="14081" width="3" style="369" hidden="1"/>
    <col min="14082" max="14082" width="37.28515625" style="369" hidden="1"/>
    <col min="14083" max="14083" width="3.85546875" style="369" hidden="1"/>
    <col min="14084" max="14129" width="3.7109375" style="369" hidden="1"/>
    <col min="14130" max="14336" width="9.140625" style="369" hidden="1"/>
    <col min="14337" max="14337" width="3" style="369" hidden="1"/>
    <col min="14338" max="14338" width="37.28515625" style="369" hidden="1"/>
    <col min="14339" max="14339" width="3.85546875" style="369" hidden="1"/>
    <col min="14340" max="14385" width="3.7109375" style="369" hidden="1"/>
    <col min="14386" max="14592" width="9.140625" style="369" hidden="1"/>
    <col min="14593" max="14593" width="3" style="369" hidden="1"/>
    <col min="14594" max="14594" width="37.28515625" style="369" hidden="1"/>
    <col min="14595" max="14595" width="3.85546875" style="369" hidden="1"/>
    <col min="14596" max="14641" width="3.7109375" style="369" hidden="1"/>
    <col min="14642" max="14848" width="9.140625" style="369" hidden="1"/>
    <col min="14849" max="14849" width="3" style="369" hidden="1"/>
    <col min="14850" max="14850" width="37.28515625" style="369" hidden="1"/>
    <col min="14851" max="14851" width="3.85546875" style="369" hidden="1"/>
    <col min="14852" max="14897" width="3.7109375" style="369" hidden="1"/>
    <col min="14898" max="15104" width="9.140625" style="369" hidden="1"/>
    <col min="15105" max="15105" width="3" style="369" hidden="1"/>
    <col min="15106" max="15106" width="37.28515625" style="369" hidden="1"/>
    <col min="15107" max="15107" width="3.85546875" style="369" hidden="1"/>
    <col min="15108" max="15153" width="3.7109375" style="369" hidden="1"/>
    <col min="15154" max="15360" width="9.140625" style="369" hidden="1"/>
    <col min="15361" max="15361" width="3" style="369" hidden="1"/>
    <col min="15362" max="15362" width="37.28515625" style="369" hidden="1"/>
    <col min="15363" max="15363" width="3.85546875" style="369" hidden="1"/>
    <col min="15364" max="15409" width="3.7109375" style="369" hidden="1"/>
    <col min="15410" max="15616" width="9.140625" style="369" hidden="1"/>
    <col min="15617" max="15617" width="3" style="369" hidden="1"/>
    <col min="15618" max="15618" width="37.28515625" style="369" hidden="1"/>
    <col min="15619" max="15619" width="3.85546875" style="369" hidden="1"/>
    <col min="15620" max="15665" width="3.7109375" style="369" hidden="1"/>
    <col min="15666" max="15872" width="9.140625" style="369" hidden="1"/>
    <col min="15873" max="15873" width="3" style="369" hidden="1"/>
    <col min="15874" max="15874" width="37.28515625" style="369" hidden="1"/>
    <col min="15875" max="15875" width="3.85546875" style="369" hidden="1"/>
    <col min="15876" max="15921" width="3.7109375" style="369" hidden="1"/>
    <col min="15922" max="16128" width="9.140625" style="369" hidden="1"/>
    <col min="16129" max="16129" width="3" style="369" hidden="1"/>
    <col min="16130" max="16130" width="37.28515625" style="369" hidden="1"/>
    <col min="16131" max="16131" width="3.85546875" style="369" hidden="1"/>
    <col min="16132" max="16177" width="3.7109375" style="369" hidden="1"/>
    <col min="16178" max="16384" width="9.140625" style="369" hidden="1"/>
  </cols>
  <sheetData>
    <row r="1" spans="1:44" ht="27.75" customHeight="1">
      <c r="A1" s="471"/>
      <c r="B1" s="476" t="s">
        <v>492</v>
      </c>
      <c r="C1" s="472"/>
      <c r="D1" s="745" t="s">
        <v>440</v>
      </c>
      <c r="E1" s="746"/>
      <c r="F1" s="746"/>
      <c r="G1" s="746"/>
      <c r="H1" s="746"/>
      <c r="I1" s="746"/>
      <c r="J1" s="746"/>
      <c r="K1" s="746"/>
      <c r="L1" s="746"/>
      <c r="M1" s="746"/>
      <c r="N1" s="746"/>
      <c r="O1" s="746"/>
      <c r="P1" s="746"/>
      <c r="Q1" s="746"/>
      <c r="R1" s="746"/>
      <c r="S1" s="746"/>
      <c r="T1" s="746"/>
      <c r="U1" s="746"/>
      <c r="V1" s="746"/>
      <c r="W1" s="746"/>
      <c r="X1" s="746"/>
      <c r="Y1" s="746"/>
      <c r="Z1" s="746"/>
      <c r="AA1" s="746"/>
      <c r="AB1" s="746"/>
      <c r="AC1" s="746"/>
      <c r="AD1" s="746"/>
      <c r="AE1" s="747"/>
      <c r="AF1" s="395"/>
      <c r="AG1" s="742" t="s">
        <v>160</v>
      </c>
      <c r="AH1" s="743"/>
      <c r="AI1" s="743"/>
      <c r="AJ1" s="743"/>
      <c r="AK1" s="743"/>
      <c r="AL1" s="743"/>
      <c r="AM1" s="743"/>
      <c r="AN1" s="743"/>
      <c r="AO1" s="743"/>
      <c r="AP1" s="743"/>
      <c r="AQ1" s="744"/>
      <c r="AR1" s="406"/>
    </row>
    <row r="2" spans="1:44" s="370" customFormat="1" ht="197.25" customHeight="1">
      <c r="A2" s="473"/>
      <c r="B2" s="474"/>
      <c r="C2" s="475"/>
      <c r="D2" s="435" t="s">
        <v>384</v>
      </c>
      <c r="E2" s="399" t="s">
        <v>385</v>
      </c>
      <c r="F2" s="399" t="s">
        <v>386</v>
      </c>
      <c r="G2" s="399" t="s">
        <v>387</v>
      </c>
      <c r="H2" s="399" t="s">
        <v>388</v>
      </c>
      <c r="I2" s="400" t="s">
        <v>389</v>
      </c>
      <c r="J2" s="399" t="s">
        <v>390</v>
      </c>
      <c r="K2" s="399" t="s">
        <v>391</v>
      </c>
      <c r="L2" s="399" t="s">
        <v>392</v>
      </c>
      <c r="M2" s="399" t="s">
        <v>393</v>
      </c>
      <c r="N2" s="400" t="s">
        <v>394</v>
      </c>
      <c r="O2" s="399" t="s">
        <v>395</v>
      </c>
      <c r="P2" s="399" t="s">
        <v>396</v>
      </c>
      <c r="Q2" s="399" t="s">
        <v>397</v>
      </c>
      <c r="R2" s="399" t="s">
        <v>398</v>
      </c>
      <c r="S2" s="400" t="s">
        <v>399</v>
      </c>
      <c r="T2" s="399" t="s">
        <v>380</v>
      </c>
      <c r="U2" s="399" t="s">
        <v>400</v>
      </c>
      <c r="V2" s="399" t="s">
        <v>401</v>
      </c>
      <c r="W2" s="399" t="s">
        <v>381</v>
      </c>
      <c r="X2" s="400" t="s">
        <v>402</v>
      </c>
      <c r="Y2" s="399" t="s">
        <v>403</v>
      </c>
      <c r="Z2" s="399" t="s">
        <v>404</v>
      </c>
      <c r="AA2" s="399" t="s">
        <v>382</v>
      </c>
      <c r="AB2" s="399" t="s">
        <v>405</v>
      </c>
      <c r="AC2" s="400" t="s">
        <v>383</v>
      </c>
      <c r="AD2" s="399" t="s">
        <v>378</v>
      </c>
      <c r="AE2" s="436" t="s">
        <v>379</v>
      </c>
      <c r="AF2" s="395"/>
      <c r="AG2" s="437" t="s">
        <v>406</v>
      </c>
      <c r="AH2" s="389" t="s">
        <v>407</v>
      </c>
      <c r="AI2" s="389" t="s">
        <v>408</v>
      </c>
      <c r="AJ2" s="389" t="s">
        <v>409</v>
      </c>
      <c r="AK2" s="389" t="s">
        <v>410</v>
      </c>
      <c r="AL2" s="389" t="s">
        <v>411</v>
      </c>
      <c r="AM2" s="389" t="s">
        <v>412</v>
      </c>
      <c r="AN2" s="390" t="s">
        <v>413</v>
      </c>
      <c r="AO2" s="390" t="s">
        <v>414</v>
      </c>
      <c r="AP2" s="390" t="s">
        <v>415</v>
      </c>
      <c r="AQ2" s="392" t="s">
        <v>416</v>
      </c>
      <c r="AR2" s="407"/>
    </row>
    <row r="3" spans="1:44" ht="19.5" customHeight="1">
      <c r="A3" s="433" t="s">
        <v>377</v>
      </c>
      <c r="B3" s="434" t="s">
        <v>82</v>
      </c>
      <c r="C3" s="417" t="s">
        <v>14</v>
      </c>
      <c r="D3" s="421">
        <v>1</v>
      </c>
      <c r="E3" s="372">
        <v>2</v>
      </c>
      <c r="F3" s="372">
        <v>3</v>
      </c>
      <c r="G3" s="372">
        <v>4</v>
      </c>
      <c r="H3" s="372">
        <v>5</v>
      </c>
      <c r="I3" s="372">
        <v>6</v>
      </c>
      <c r="J3" s="372">
        <v>7</v>
      </c>
      <c r="K3" s="372">
        <v>8</v>
      </c>
      <c r="L3" s="372">
        <v>9</v>
      </c>
      <c r="M3" s="372">
        <v>10</v>
      </c>
      <c r="N3" s="372">
        <v>11</v>
      </c>
      <c r="O3" s="372">
        <v>12</v>
      </c>
      <c r="P3" s="372">
        <v>13</v>
      </c>
      <c r="Q3" s="372">
        <v>14</v>
      </c>
      <c r="R3" s="372">
        <v>15</v>
      </c>
      <c r="S3" s="372">
        <v>16</v>
      </c>
      <c r="T3" s="372">
        <v>17</v>
      </c>
      <c r="U3" s="372">
        <v>18</v>
      </c>
      <c r="V3" s="372">
        <v>19</v>
      </c>
      <c r="W3" s="372">
        <v>20</v>
      </c>
      <c r="X3" s="372">
        <v>21</v>
      </c>
      <c r="Y3" s="372">
        <v>22</v>
      </c>
      <c r="Z3" s="372">
        <v>23</v>
      </c>
      <c r="AA3" s="372">
        <v>24</v>
      </c>
      <c r="AB3" s="372">
        <v>25</v>
      </c>
      <c r="AC3" s="372">
        <v>26</v>
      </c>
      <c r="AD3" s="372">
        <v>27</v>
      </c>
      <c r="AE3" s="373">
        <v>28</v>
      </c>
      <c r="AF3" s="396"/>
      <c r="AG3" s="421">
        <v>1</v>
      </c>
      <c r="AH3" s="372">
        <v>2</v>
      </c>
      <c r="AI3" s="372">
        <v>3</v>
      </c>
      <c r="AJ3" s="372">
        <v>4</v>
      </c>
      <c r="AK3" s="372">
        <v>5</v>
      </c>
      <c r="AL3" s="372">
        <v>6</v>
      </c>
      <c r="AM3" s="372">
        <v>7</v>
      </c>
      <c r="AN3" s="372">
        <v>8</v>
      </c>
      <c r="AO3" s="372">
        <v>9</v>
      </c>
      <c r="AP3" s="372">
        <v>10</v>
      </c>
      <c r="AQ3" s="373">
        <v>11</v>
      </c>
      <c r="AR3" s="405" t="s">
        <v>437</v>
      </c>
    </row>
    <row r="4" spans="1:44" s="371" customFormat="1" ht="22.5" customHeight="1">
      <c r="A4" s="430">
        <v>1</v>
      </c>
      <c r="B4" s="431" t="str">
        <f ca="1">INDIRECT("STUDENTS!B"&amp;(ROW(A1)-1)*12+4)</f>
        <v>ગોહેલ રાજેશભાઇ ચીથરભાઇ</v>
      </c>
      <c r="C4" s="432">
        <f ca="1">INDIRECT("STUDENTS!H"&amp;(ROW(A1)-1)*12+10)</f>
        <v>231</v>
      </c>
      <c r="D4" s="480" t="s">
        <v>83</v>
      </c>
      <c r="E4" s="481" t="s">
        <v>83</v>
      </c>
      <c r="F4" s="481" t="s">
        <v>83</v>
      </c>
      <c r="G4" s="481" t="s">
        <v>83</v>
      </c>
      <c r="H4" s="481" t="s">
        <v>83</v>
      </c>
      <c r="I4" s="481" t="s">
        <v>83</v>
      </c>
      <c r="J4" s="481" t="s">
        <v>173</v>
      </c>
      <c r="K4" s="481" t="s">
        <v>173</v>
      </c>
      <c r="L4" s="481" t="s">
        <v>83</v>
      </c>
      <c r="M4" s="481" t="s">
        <v>83</v>
      </c>
      <c r="N4" s="481" t="s">
        <v>83</v>
      </c>
      <c r="O4" s="481" t="s">
        <v>83</v>
      </c>
      <c r="P4" s="481" t="s">
        <v>83</v>
      </c>
      <c r="Q4" s="481" t="s">
        <v>173</v>
      </c>
      <c r="R4" s="481" t="s">
        <v>173</v>
      </c>
      <c r="S4" s="481" t="s">
        <v>173</v>
      </c>
      <c r="T4" s="481" t="s">
        <v>173</v>
      </c>
      <c r="U4" s="481" t="s">
        <v>161</v>
      </c>
      <c r="V4" s="481" t="s">
        <v>173</v>
      </c>
      <c r="W4" s="481" t="s">
        <v>83</v>
      </c>
      <c r="X4" s="481" t="s">
        <v>83</v>
      </c>
      <c r="Y4" s="481" t="s">
        <v>83</v>
      </c>
      <c r="Z4" s="481" t="s">
        <v>83</v>
      </c>
      <c r="AA4" s="481" t="s">
        <v>83</v>
      </c>
      <c r="AB4" s="481" t="s">
        <v>173</v>
      </c>
      <c r="AC4" s="481" t="s">
        <v>83</v>
      </c>
      <c r="AD4" s="481" t="s">
        <v>83</v>
      </c>
      <c r="AE4" s="482" t="s">
        <v>83</v>
      </c>
      <c r="AF4" s="397"/>
      <c r="AG4" s="480" t="s">
        <v>83</v>
      </c>
      <c r="AH4" s="481" t="s">
        <v>83</v>
      </c>
      <c r="AI4" s="481" t="s">
        <v>173</v>
      </c>
      <c r="AJ4" s="481" t="s">
        <v>173</v>
      </c>
      <c r="AK4" s="481" t="s">
        <v>173</v>
      </c>
      <c r="AL4" s="481" t="s">
        <v>173</v>
      </c>
      <c r="AM4" s="481" t="s">
        <v>173</v>
      </c>
      <c r="AN4" s="481" t="s">
        <v>173</v>
      </c>
      <c r="AO4" s="481" t="s">
        <v>173</v>
      </c>
      <c r="AP4" s="481" t="s">
        <v>173</v>
      </c>
      <c r="AQ4" s="482" t="s">
        <v>173</v>
      </c>
      <c r="AR4" s="490" t="s">
        <v>441</v>
      </c>
    </row>
    <row r="5" spans="1:44" s="371" customFormat="1" ht="22.5" customHeight="1">
      <c r="A5" s="374">
        <v>2</v>
      </c>
      <c r="B5" s="428" t="str">
        <f ca="1">INDIRECT("STUDENTS!B"&amp;(ROW(A2)-1)*12+4)</f>
        <v>ખિમસુરીયા સાહિલકુમાર અરજણભાઇ</v>
      </c>
      <c r="C5" s="425">
        <f t="shared" ref="C5:C38" ca="1" si="0">INDIRECT("STUDENTS!H"&amp;(ROW(A2)-1)*12+10)</f>
        <v>0</v>
      </c>
      <c r="D5" s="483" t="s">
        <v>83</v>
      </c>
      <c r="E5" s="484" t="s">
        <v>83</v>
      </c>
      <c r="F5" s="484" t="s">
        <v>83</v>
      </c>
      <c r="G5" s="484" t="s">
        <v>83</v>
      </c>
      <c r="H5" s="484" t="s">
        <v>173</v>
      </c>
      <c r="I5" s="484" t="s">
        <v>83</v>
      </c>
      <c r="J5" s="484" t="s">
        <v>173</v>
      </c>
      <c r="K5" s="484" t="s">
        <v>173</v>
      </c>
      <c r="L5" s="484" t="s">
        <v>83</v>
      </c>
      <c r="M5" s="484" t="s">
        <v>83</v>
      </c>
      <c r="N5" s="484" t="s">
        <v>83</v>
      </c>
      <c r="O5" s="484" t="s">
        <v>83</v>
      </c>
      <c r="P5" s="484" t="s">
        <v>83</v>
      </c>
      <c r="Q5" s="484" t="s">
        <v>173</v>
      </c>
      <c r="R5" s="484" t="s">
        <v>173</v>
      </c>
      <c r="S5" s="484" t="s">
        <v>173</v>
      </c>
      <c r="T5" s="484" t="s">
        <v>173</v>
      </c>
      <c r="U5" s="484" t="s">
        <v>161</v>
      </c>
      <c r="V5" s="484" t="s">
        <v>173</v>
      </c>
      <c r="W5" s="484" t="s">
        <v>83</v>
      </c>
      <c r="X5" s="484" t="s">
        <v>83</v>
      </c>
      <c r="Y5" s="484" t="s">
        <v>83</v>
      </c>
      <c r="Z5" s="484" t="s">
        <v>83</v>
      </c>
      <c r="AA5" s="484" t="s">
        <v>83</v>
      </c>
      <c r="AB5" s="484" t="s">
        <v>173</v>
      </c>
      <c r="AC5" s="484" t="s">
        <v>83</v>
      </c>
      <c r="AD5" s="484" t="s">
        <v>83</v>
      </c>
      <c r="AE5" s="485" t="s">
        <v>83</v>
      </c>
      <c r="AF5" s="397"/>
      <c r="AG5" s="483" t="s">
        <v>83</v>
      </c>
      <c r="AH5" s="484" t="s">
        <v>83</v>
      </c>
      <c r="AI5" s="484" t="s">
        <v>173</v>
      </c>
      <c r="AJ5" s="484" t="s">
        <v>173</v>
      </c>
      <c r="AK5" s="484" t="s">
        <v>173</v>
      </c>
      <c r="AL5" s="484" t="s">
        <v>173</v>
      </c>
      <c r="AM5" s="484" t="s">
        <v>173</v>
      </c>
      <c r="AN5" s="484" t="s">
        <v>173</v>
      </c>
      <c r="AO5" s="484" t="s">
        <v>173</v>
      </c>
      <c r="AP5" s="484" t="s">
        <v>173</v>
      </c>
      <c r="AQ5" s="485" t="s">
        <v>173</v>
      </c>
      <c r="AR5" s="491"/>
    </row>
    <row r="6" spans="1:44" s="371" customFormat="1" ht="22.5" customHeight="1">
      <c r="A6" s="374">
        <v>3</v>
      </c>
      <c r="B6" s="428" t="str">
        <f t="shared" ref="B6:B38" ca="1" si="1">INDIRECT("STUDENTS!B"&amp;(ROW(A3)-1)*12+4)</f>
        <v>ગરણિયા મયુરકુમાર અશોકભાઇ</v>
      </c>
      <c r="C6" s="425">
        <f t="shared" ca="1" si="0"/>
        <v>0</v>
      </c>
      <c r="D6" s="483" t="s">
        <v>173</v>
      </c>
      <c r="E6" s="484" t="s">
        <v>83</v>
      </c>
      <c r="F6" s="484" t="s">
        <v>173</v>
      </c>
      <c r="G6" s="484" t="s">
        <v>83</v>
      </c>
      <c r="H6" s="484" t="s">
        <v>173</v>
      </c>
      <c r="I6" s="484" t="s">
        <v>83</v>
      </c>
      <c r="J6" s="484" t="s">
        <v>161</v>
      </c>
      <c r="K6" s="484" t="s">
        <v>161</v>
      </c>
      <c r="L6" s="484" t="s">
        <v>173</v>
      </c>
      <c r="M6" s="484" t="s">
        <v>83</v>
      </c>
      <c r="N6" s="484" t="s">
        <v>173</v>
      </c>
      <c r="O6" s="484" t="s">
        <v>173</v>
      </c>
      <c r="P6" s="484" t="s">
        <v>83</v>
      </c>
      <c r="Q6" s="484" t="s">
        <v>161</v>
      </c>
      <c r="R6" s="484" t="s">
        <v>161</v>
      </c>
      <c r="S6" s="484" t="s">
        <v>161</v>
      </c>
      <c r="T6" s="484" t="s">
        <v>161</v>
      </c>
      <c r="U6" s="484" t="s">
        <v>161</v>
      </c>
      <c r="V6" s="484" t="s">
        <v>161</v>
      </c>
      <c r="W6" s="484" t="s">
        <v>173</v>
      </c>
      <c r="X6" s="484" t="s">
        <v>173</v>
      </c>
      <c r="Y6" s="484" t="s">
        <v>173</v>
      </c>
      <c r="Z6" s="484" t="s">
        <v>83</v>
      </c>
      <c r="AA6" s="484" t="s">
        <v>173</v>
      </c>
      <c r="AB6" s="484" t="s">
        <v>161</v>
      </c>
      <c r="AC6" s="484" t="s">
        <v>83</v>
      </c>
      <c r="AD6" s="484" t="s">
        <v>83</v>
      </c>
      <c r="AE6" s="485" t="s">
        <v>173</v>
      </c>
      <c r="AF6" s="397"/>
      <c r="AG6" s="483" t="s">
        <v>83</v>
      </c>
      <c r="AH6" s="484" t="s">
        <v>83</v>
      </c>
      <c r="AI6" s="484" t="s">
        <v>161</v>
      </c>
      <c r="AJ6" s="484" t="s">
        <v>161</v>
      </c>
      <c r="AK6" s="484" t="s">
        <v>161</v>
      </c>
      <c r="AL6" s="484" t="s">
        <v>161</v>
      </c>
      <c r="AM6" s="484" t="s">
        <v>161</v>
      </c>
      <c r="AN6" s="484" t="s">
        <v>161</v>
      </c>
      <c r="AO6" s="484" t="s">
        <v>161</v>
      </c>
      <c r="AP6" s="484" t="s">
        <v>161</v>
      </c>
      <c r="AQ6" s="485" t="s">
        <v>161</v>
      </c>
      <c r="AR6" s="491"/>
    </row>
    <row r="7" spans="1:44" s="371" customFormat="1" ht="22.5" customHeight="1">
      <c r="A7" s="374">
        <v>4</v>
      </c>
      <c r="B7" s="428" t="str">
        <f t="shared" ca="1" si="1"/>
        <v>ગરણિયા અલ્પેશકુમાર મેરામભાઇ</v>
      </c>
      <c r="C7" s="425">
        <f t="shared" ca="1" si="0"/>
        <v>0</v>
      </c>
      <c r="D7" s="483" t="s">
        <v>173</v>
      </c>
      <c r="E7" s="484" t="s">
        <v>83</v>
      </c>
      <c r="F7" s="484" t="s">
        <v>173</v>
      </c>
      <c r="G7" s="484" t="s">
        <v>83</v>
      </c>
      <c r="H7" s="484" t="s">
        <v>173</v>
      </c>
      <c r="I7" s="484" t="s">
        <v>83</v>
      </c>
      <c r="J7" s="484" t="s">
        <v>161</v>
      </c>
      <c r="K7" s="484" t="s">
        <v>161</v>
      </c>
      <c r="L7" s="484" t="s">
        <v>173</v>
      </c>
      <c r="M7" s="484" t="s">
        <v>83</v>
      </c>
      <c r="N7" s="484" t="s">
        <v>173</v>
      </c>
      <c r="O7" s="484" t="s">
        <v>173</v>
      </c>
      <c r="P7" s="484" t="s">
        <v>173</v>
      </c>
      <c r="Q7" s="484" t="s">
        <v>161</v>
      </c>
      <c r="R7" s="484" t="s">
        <v>161</v>
      </c>
      <c r="S7" s="484" t="s">
        <v>161</v>
      </c>
      <c r="T7" s="484" t="s">
        <v>161</v>
      </c>
      <c r="U7" s="484" t="s">
        <v>161</v>
      </c>
      <c r="V7" s="484" t="s">
        <v>161</v>
      </c>
      <c r="W7" s="484" t="s">
        <v>173</v>
      </c>
      <c r="X7" s="484" t="s">
        <v>173</v>
      </c>
      <c r="Y7" s="484" t="s">
        <v>173</v>
      </c>
      <c r="Z7" s="484" t="s">
        <v>173</v>
      </c>
      <c r="AA7" s="484" t="s">
        <v>173</v>
      </c>
      <c r="AB7" s="484" t="s">
        <v>161</v>
      </c>
      <c r="AC7" s="484" t="s">
        <v>83</v>
      </c>
      <c r="AD7" s="484" t="s">
        <v>83</v>
      </c>
      <c r="AE7" s="485" t="s">
        <v>173</v>
      </c>
      <c r="AF7" s="397"/>
      <c r="AG7" s="483" t="s">
        <v>83</v>
      </c>
      <c r="AH7" s="484" t="s">
        <v>83</v>
      </c>
      <c r="AI7" s="484" t="s">
        <v>161</v>
      </c>
      <c r="AJ7" s="484" t="s">
        <v>161</v>
      </c>
      <c r="AK7" s="484" t="s">
        <v>161</v>
      </c>
      <c r="AL7" s="484" t="s">
        <v>161</v>
      </c>
      <c r="AM7" s="484" t="s">
        <v>161</v>
      </c>
      <c r="AN7" s="484" t="s">
        <v>161</v>
      </c>
      <c r="AO7" s="484" t="s">
        <v>161</v>
      </c>
      <c r="AP7" s="484" t="s">
        <v>161</v>
      </c>
      <c r="AQ7" s="485" t="s">
        <v>161</v>
      </c>
      <c r="AR7" s="491"/>
    </row>
    <row r="8" spans="1:44" s="371" customFormat="1" ht="22.5" customHeight="1">
      <c r="A8" s="374">
        <v>5</v>
      </c>
      <c r="B8" s="428" t="str">
        <f t="shared" ca="1" si="1"/>
        <v>ગરણિયા મિલન પોપટભાઇ</v>
      </c>
      <c r="C8" s="425">
        <f t="shared" ca="1" si="0"/>
        <v>0</v>
      </c>
      <c r="D8" s="483" t="s">
        <v>173</v>
      </c>
      <c r="E8" s="484" t="s">
        <v>83</v>
      </c>
      <c r="F8" s="484" t="s">
        <v>83</v>
      </c>
      <c r="G8" s="484" t="s">
        <v>83</v>
      </c>
      <c r="H8" s="484" t="s">
        <v>173</v>
      </c>
      <c r="I8" s="484" t="s">
        <v>83</v>
      </c>
      <c r="J8" s="484" t="s">
        <v>173</v>
      </c>
      <c r="K8" s="484" t="s">
        <v>173</v>
      </c>
      <c r="L8" s="484" t="s">
        <v>83</v>
      </c>
      <c r="M8" s="484" t="s">
        <v>83</v>
      </c>
      <c r="N8" s="484" t="s">
        <v>83</v>
      </c>
      <c r="O8" s="484" t="s">
        <v>173</v>
      </c>
      <c r="P8" s="484" t="s">
        <v>83</v>
      </c>
      <c r="Q8" s="484" t="s">
        <v>161</v>
      </c>
      <c r="R8" s="484" t="s">
        <v>83</v>
      </c>
      <c r="S8" s="484" t="s">
        <v>161</v>
      </c>
      <c r="T8" s="484" t="s">
        <v>173</v>
      </c>
      <c r="U8" s="484" t="s">
        <v>161</v>
      </c>
      <c r="V8" s="484" t="s">
        <v>173</v>
      </c>
      <c r="W8" s="484" t="s">
        <v>173</v>
      </c>
      <c r="X8" s="484" t="s">
        <v>83</v>
      </c>
      <c r="Y8" s="484" t="s">
        <v>83</v>
      </c>
      <c r="Z8" s="484" t="s">
        <v>83</v>
      </c>
      <c r="AA8" s="484" t="s">
        <v>83</v>
      </c>
      <c r="AB8" s="484" t="s">
        <v>83</v>
      </c>
      <c r="AC8" s="484" t="s">
        <v>83</v>
      </c>
      <c r="AD8" s="484" t="s">
        <v>83</v>
      </c>
      <c r="AE8" s="485" t="s">
        <v>83</v>
      </c>
      <c r="AF8" s="397"/>
      <c r="AG8" s="483" t="s">
        <v>83</v>
      </c>
      <c r="AH8" s="484" t="s">
        <v>83</v>
      </c>
      <c r="AI8" s="484" t="s">
        <v>173</v>
      </c>
      <c r="AJ8" s="484" t="s">
        <v>173</v>
      </c>
      <c r="AK8" s="484" t="s">
        <v>173</v>
      </c>
      <c r="AL8" s="484" t="s">
        <v>173</v>
      </c>
      <c r="AM8" s="484" t="s">
        <v>173</v>
      </c>
      <c r="AN8" s="484" t="s">
        <v>173</v>
      </c>
      <c r="AO8" s="484" t="s">
        <v>173</v>
      </c>
      <c r="AP8" s="484" t="s">
        <v>173</v>
      </c>
      <c r="AQ8" s="485" t="s">
        <v>173</v>
      </c>
      <c r="AR8" s="491"/>
    </row>
    <row r="9" spans="1:44" s="371" customFormat="1" ht="22.5" customHeight="1">
      <c r="A9" s="374">
        <v>6</v>
      </c>
      <c r="B9" s="428" t="str">
        <f t="shared" ca="1" si="1"/>
        <v>ગરણિયા મોહિત રાવતભાઇ</v>
      </c>
      <c r="C9" s="425">
        <f t="shared" ca="1" si="0"/>
        <v>0</v>
      </c>
      <c r="D9" s="483" t="s">
        <v>161</v>
      </c>
      <c r="E9" s="484" t="s">
        <v>83</v>
      </c>
      <c r="F9" s="484" t="s">
        <v>173</v>
      </c>
      <c r="G9" s="484" t="s">
        <v>83</v>
      </c>
      <c r="H9" s="484" t="s">
        <v>161</v>
      </c>
      <c r="I9" s="484" t="s">
        <v>83</v>
      </c>
      <c r="J9" s="484" t="s">
        <v>161</v>
      </c>
      <c r="K9" s="484" t="s">
        <v>173</v>
      </c>
      <c r="L9" s="484" t="s">
        <v>173</v>
      </c>
      <c r="M9" s="484" t="s">
        <v>83</v>
      </c>
      <c r="N9" s="484" t="s">
        <v>173</v>
      </c>
      <c r="O9" s="484" t="s">
        <v>173</v>
      </c>
      <c r="P9" s="484" t="s">
        <v>83</v>
      </c>
      <c r="Q9" s="484" t="s">
        <v>173</v>
      </c>
      <c r="R9" s="484" t="s">
        <v>173</v>
      </c>
      <c r="S9" s="484" t="s">
        <v>173</v>
      </c>
      <c r="T9" s="484" t="s">
        <v>173</v>
      </c>
      <c r="U9" s="484" t="s">
        <v>161</v>
      </c>
      <c r="V9" s="484" t="s">
        <v>161</v>
      </c>
      <c r="W9" s="484" t="s">
        <v>173</v>
      </c>
      <c r="X9" s="484" t="s">
        <v>173</v>
      </c>
      <c r="Y9" s="484" t="s">
        <v>173</v>
      </c>
      <c r="Z9" s="484" t="s">
        <v>83</v>
      </c>
      <c r="AA9" s="484" t="s">
        <v>173</v>
      </c>
      <c r="AB9" s="484" t="s">
        <v>173</v>
      </c>
      <c r="AC9" s="484" t="s">
        <v>83</v>
      </c>
      <c r="AD9" s="484" t="s">
        <v>83</v>
      </c>
      <c r="AE9" s="485" t="s">
        <v>173</v>
      </c>
      <c r="AF9" s="397"/>
      <c r="AG9" s="483" t="s">
        <v>83</v>
      </c>
      <c r="AH9" s="484" t="s">
        <v>83</v>
      </c>
      <c r="AI9" s="484" t="s">
        <v>161</v>
      </c>
      <c r="AJ9" s="484" t="s">
        <v>161</v>
      </c>
      <c r="AK9" s="484" t="s">
        <v>161</v>
      </c>
      <c r="AL9" s="484" t="s">
        <v>161</v>
      </c>
      <c r="AM9" s="484" t="s">
        <v>161</v>
      </c>
      <c r="AN9" s="484" t="s">
        <v>161</v>
      </c>
      <c r="AO9" s="484" t="s">
        <v>161</v>
      </c>
      <c r="AP9" s="484" t="s">
        <v>161</v>
      </c>
      <c r="AQ9" s="485" t="s">
        <v>161</v>
      </c>
      <c r="AR9" s="491"/>
    </row>
    <row r="10" spans="1:44" s="371" customFormat="1" ht="22.5" customHeight="1">
      <c r="A10" s="374">
        <v>7</v>
      </c>
      <c r="B10" s="428" t="str">
        <f t="shared" ca="1" si="1"/>
        <v>ગરણિયા સુમિત પોપટભાઇ</v>
      </c>
      <c r="C10" s="425">
        <f t="shared" ca="1" si="0"/>
        <v>0</v>
      </c>
      <c r="D10" s="483" t="s">
        <v>173</v>
      </c>
      <c r="E10" s="484" t="s">
        <v>83</v>
      </c>
      <c r="F10" s="484" t="s">
        <v>173</v>
      </c>
      <c r="G10" s="484" t="s">
        <v>83</v>
      </c>
      <c r="H10" s="484" t="s">
        <v>173</v>
      </c>
      <c r="I10" s="484" t="s">
        <v>83</v>
      </c>
      <c r="J10" s="484" t="s">
        <v>161</v>
      </c>
      <c r="K10" s="484" t="s">
        <v>161</v>
      </c>
      <c r="L10" s="484" t="s">
        <v>83</v>
      </c>
      <c r="M10" s="484" t="s">
        <v>83</v>
      </c>
      <c r="N10" s="484" t="s">
        <v>173</v>
      </c>
      <c r="O10" s="484" t="s">
        <v>173</v>
      </c>
      <c r="P10" s="484" t="s">
        <v>83</v>
      </c>
      <c r="Q10" s="484" t="s">
        <v>173</v>
      </c>
      <c r="R10" s="484" t="s">
        <v>161</v>
      </c>
      <c r="S10" s="484" t="s">
        <v>173</v>
      </c>
      <c r="T10" s="484" t="s">
        <v>173</v>
      </c>
      <c r="U10" s="484" t="s">
        <v>161</v>
      </c>
      <c r="V10" s="484" t="s">
        <v>161</v>
      </c>
      <c r="W10" s="484" t="s">
        <v>173</v>
      </c>
      <c r="X10" s="484" t="s">
        <v>173</v>
      </c>
      <c r="Y10" s="484" t="s">
        <v>173</v>
      </c>
      <c r="Z10" s="484" t="s">
        <v>83</v>
      </c>
      <c r="AA10" s="484" t="s">
        <v>173</v>
      </c>
      <c r="AB10" s="484" t="s">
        <v>173</v>
      </c>
      <c r="AC10" s="484" t="s">
        <v>83</v>
      </c>
      <c r="AD10" s="484" t="s">
        <v>83</v>
      </c>
      <c r="AE10" s="485" t="s">
        <v>173</v>
      </c>
      <c r="AF10" s="397"/>
      <c r="AG10" s="483" t="s">
        <v>83</v>
      </c>
      <c r="AH10" s="484" t="s">
        <v>83</v>
      </c>
      <c r="AI10" s="484" t="s">
        <v>161</v>
      </c>
      <c r="AJ10" s="484" t="s">
        <v>161</v>
      </c>
      <c r="AK10" s="484" t="s">
        <v>161</v>
      </c>
      <c r="AL10" s="484" t="s">
        <v>161</v>
      </c>
      <c r="AM10" s="484" t="s">
        <v>161</v>
      </c>
      <c r="AN10" s="484" t="s">
        <v>161</v>
      </c>
      <c r="AO10" s="484" t="s">
        <v>161</v>
      </c>
      <c r="AP10" s="484" t="s">
        <v>161</v>
      </c>
      <c r="AQ10" s="485" t="s">
        <v>161</v>
      </c>
      <c r="AR10" s="491"/>
    </row>
    <row r="11" spans="1:44" s="371" customFormat="1" ht="22.5" customHeight="1">
      <c r="A11" s="374">
        <v>8</v>
      </c>
      <c r="B11" s="428" t="str">
        <f t="shared" ca="1" si="1"/>
        <v>ગરણિયા રામકુભાઇ સાર્દૂળભાઇ</v>
      </c>
      <c r="C11" s="425">
        <f t="shared" ca="1" si="0"/>
        <v>0</v>
      </c>
      <c r="D11" s="483" t="s">
        <v>173</v>
      </c>
      <c r="E11" s="484" t="s">
        <v>83</v>
      </c>
      <c r="F11" s="484" t="s">
        <v>83</v>
      </c>
      <c r="G11" s="484" t="s">
        <v>83</v>
      </c>
      <c r="H11" s="484" t="s">
        <v>83</v>
      </c>
      <c r="I11" s="484" t="s">
        <v>83</v>
      </c>
      <c r="J11" s="484" t="s">
        <v>173</v>
      </c>
      <c r="K11" s="484" t="s">
        <v>173</v>
      </c>
      <c r="L11" s="484" t="s">
        <v>83</v>
      </c>
      <c r="M11" s="484" t="s">
        <v>83</v>
      </c>
      <c r="N11" s="484" t="s">
        <v>83</v>
      </c>
      <c r="O11" s="484" t="s">
        <v>83</v>
      </c>
      <c r="P11" s="484" t="s">
        <v>83</v>
      </c>
      <c r="Q11" s="484" t="s">
        <v>173</v>
      </c>
      <c r="R11" s="484" t="s">
        <v>173</v>
      </c>
      <c r="S11" s="484" t="s">
        <v>173</v>
      </c>
      <c r="T11" s="484" t="s">
        <v>173</v>
      </c>
      <c r="U11" s="484" t="s">
        <v>161</v>
      </c>
      <c r="V11" s="484" t="s">
        <v>173</v>
      </c>
      <c r="W11" s="484" t="s">
        <v>83</v>
      </c>
      <c r="X11" s="484" t="s">
        <v>83</v>
      </c>
      <c r="Y11" s="484" t="s">
        <v>173</v>
      </c>
      <c r="Z11" s="484" t="s">
        <v>83</v>
      </c>
      <c r="AA11" s="484" t="s">
        <v>83</v>
      </c>
      <c r="AB11" s="484" t="s">
        <v>173</v>
      </c>
      <c r="AC11" s="484" t="s">
        <v>83</v>
      </c>
      <c r="AD11" s="484" t="s">
        <v>83</v>
      </c>
      <c r="AE11" s="485" t="s">
        <v>83</v>
      </c>
      <c r="AF11" s="397"/>
      <c r="AG11" s="483" t="s">
        <v>83</v>
      </c>
      <c r="AH11" s="484" t="s">
        <v>83</v>
      </c>
      <c r="AI11" s="484" t="s">
        <v>173</v>
      </c>
      <c r="AJ11" s="484" t="s">
        <v>173</v>
      </c>
      <c r="AK11" s="484" t="s">
        <v>173</v>
      </c>
      <c r="AL11" s="484" t="s">
        <v>173</v>
      </c>
      <c r="AM11" s="484" t="s">
        <v>173</v>
      </c>
      <c r="AN11" s="484" t="s">
        <v>173</v>
      </c>
      <c r="AO11" s="484" t="s">
        <v>173</v>
      </c>
      <c r="AP11" s="484" t="s">
        <v>173</v>
      </c>
      <c r="AQ11" s="485" t="s">
        <v>173</v>
      </c>
      <c r="AR11" s="491"/>
    </row>
    <row r="12" spans="1:44" s="371" customFormat="1" ht="22.5" customHeight="1">
      <c r="A12" s="374">
        <v>9</v>
      </c>
      <c r="B12" s="428" t="str">
        <f t="shared" ca="1" si="1"/>
        <v>ડેર હિતેષકુમાર પ્રતાપભાઇ</v>
      </c>
      <c r="C12" s="425">
        <f t="shared" ca="1" si="0"/>
        <v>0</v>
      </c>
      <c r="D12" s="483" t="s">
        <v>173</v>
      </c>
      <c r="E12" s="484" t="s">
        <v>83</v>
      </c>
      <c r="F12" s="484" t="s">
        <v>83</v>
      </c>
      <c r="G12" s="484" t="s">
        <v>83</v>
      </c>
      <c r="H12" s="484" t="s">
        <v>83</v>
      </c>
      <c r="I12" s="484" t="s">
        <v>83</v>
      </c>
      <c r="J12" s="484" t="s">
        <v>173</v>
      </c>
      <c r="K12" s="484" t="s">
        <v>173</v>
      </c>
      <c r="L12" s="484" t="s">
        <v>83</v>
      </c>
      <c r="M12" s="484" t="s">
        <v>83</v>
      </c>
      <c r="N12" s="484" t="s">
        <v>83</v>
      </c>
      <c r="O12" s="484" t="s">
        <v>83</v>
      </c>
      <c r="P12" s="484" t="s">
        <v>83</v>
      </c>
      <c r="Q12" s="484" t="s">
        <v>173</v>
      </c>
      <c r="R12" s="484" t="s">
        <v>173</v>
      </c>
      <c r="S12" s="484" t="s">
        <v>173</v>
      </c>
      <c r="T12" s="484" t="s">
        <v>173</v>
      </c>
      <c r="U12" s="484" t="s">
        <v>161</v>
      </c>
      <c r="V12" s="484" t="s">
        <v>173</v>
      </c>
      <c r="W12" s="484" t="s">
        <v>83</v>
      </c>
      <c r="X12" s="484" t="s">
        <v>83</v>
      </c>
      <c r="Y12" s="484" t="s">
        <v>173</v>
      </c>
      <c r="Z12" s="484" t="s">
        <v>83</v>
      </c>
      <c r="AA12" s="484" t="s">
        <v>173</v>
      </c>
      <c r="AB12" s="484" t="s">
        <v>173</v>
      </c>
      <c r="AC12" s="484" t="s">
        <v>83</v>
      </c>
      <c r="AD12" s="484" t="s">
        <v>83</v>
      </c>
      <c r="AE12" s="485" t="s">
        <v>83</v>
      </c>
      <c r="AF12" s="397"/>
      <c r="AG12" s="483" t="s">
        <v>83</v>
      </c>
      <c r="AH12" s="484" t="s">
        <v>83</v>
      </c>
      <c r="AI12" s="484" t="s">
        <v>173</v>
      </c>
      <c r="AJ12" s="484" t="s">
        <v>173</v>
      </c>
      <c r="AK12" s="484" t="s">
        <v>173</v>
      </c>
      <c r="AL12" s="484" t="s">
        <v>173</v>
      </c>
      <c r="AM12" s="484" t="s">
        <v>173</v>
      </c>
      <c r="AN12" s="484" t="s">
        <v>173</v>
      </c>
      <c r="AO12" s="484" t="s">
        <v>173</v>
      </c>
      <c r="AP12" s="484" t="s">
        <v>173</v>
      </c>
      <c r="AQ12" s="485" t="s">
        <v>173</v>
      </c>
      <c r="AR12" s="491"/>
    </row>
    <row r="13" spans="1:44" s="371" customFormat="1" ht="22.5" customHeight="1">
      <c r="A13" s="374">
        <v>10</v>
      </c>
      <c r="B13" s="428" t="str">
        <f t="shared" ca="1" si="1"/>
        <v>વેકરીયા વિશાલકુમાર દિપકભાઇ</v>
      </c>
      <c r="C13" s="425">
        <f t="shared" ca="1" si="0"/>
        <v>0</v>
      </c>
      <c r="D13" s="483" t="s">
        <v>173</v>
      </c>
      <c r="E13" s="484" t="s">
        <v>83</v>
      </c>
      <c r="F13" s="484" t="s">
        <v>83</v>
      </c>
      <c r="G13" s="484" t="s">
        <v>83</v>
      </c>
      <c r="H13" s="484" t="s">
        <v>173</v>
      </c>
      <c r="I13" s="484" t="s">
        <v>83</v>
      </c>
      <c r="J13" s="484" t="s">
        <v>161</v>
      </c>
      <c r="K13" s="484" t="s">
        <v>173</v>
      </c>
      <c r="L13" s="484" t="s">
        <v>83</v>
      </c>
      <c r="M13" s="484" t="s">
        <v>83</v>
      </c>
      <c r="N13" s="484" t="s">
        <v>173</v>
      </c>
      <c r="O13" s="484" t="s">
        <v>173</v>
      </c>
      <c r="P13" s="484" t="s">
        <v>173</v>
      </c>
      <c r="Q13" s="484" t="s">
        <v>161</v>
      </c>
      <c r="R13" s="484" t="s">
        <v>161</v>
      </c>
      <c r="S13" s="484" t="s">
        <v>161</v>
      </c>
      <c r="T13" s="484" t="s">
        <v>161</v>
      </c>
      <c r="U13" s="484" t="s">
        <v>161</v>
      </c>
      <c r="V13" s="484" t="s">
        <v>161</v>
      </c>
      <c r="W13" s="484" t="s">
        <v>173</v>
      </c>
      <c r="X13" s="484" t="s">
        <v>173</v>
      </c>
      <c r="Y13" s="484" t="s">
        <v>161</v>
      </c>
      <c r="Z13" s="484" t="s">
        <v>83</v>
      </c>
      <c r="AA13" s="484" t="s">
        <v>161</v>
      </c>
      <c r="AB13" s="484" t="s">
        <v>161</v>
      </c>
      <c r="AC13" s="484" t="s">
        <v>83</v>
      </c>
      <c r="AD13" s="484" t="s">
        <v>83</v>
      </c>
      <c r="AE13" s="485" t="s">
        <v>173</v>
      </c>
      <c r="AF13" s="397"/>
      <c r="AG13" s="483" t="s">
        <v>83</v>
      </c>
      <c r="AH13" s="484" t="s">
        <v>83</v>
      </c>
      <c r="AI13" s="484" t="s">
        <v>161</v>
      </c>
      <c r="AJ13" s="484" t="s">
        <v>161</v>
      </c>
      <c r="AK13" s="484" t="s">
        <v>161</v>
      </c>
      <c r="AL13" s="484" t="s">
        <v>161</v>
      </c>
      <c r="AM13" s="484" t="s">
        <v>161</v>
      </c>
      <c r="AN13" s="484" t="s">
        <v>161</v>
      </c>
      <c r="AO13" s="484" t="s">
        <v>161</v>
      </c>
      <c r="AP13" s="484" t="s">
        <v>161</v>
      </c>
      <c r="AQ13" s="485" t="s">
        <v>161</v>
      </c>
      <c r="AR13" s="491"/>
    </row>
    <row r="14" spans="1:44" s="371" customFormat="1" ht="22.5" customHeight="1">
      <c r="A14" s="374">
        <v>11</v>
      </c>
      <c r="B14" s="428" t="str">
        <f t="shared" ca="1" si="1"/>
        <v>માણસુરીયા મહેન્દ્રભાઇ ભૂપતભાઇ</v>
      </c>
      <c r="C14" s="425">
        <f t="shared" ca="1" si="0"/>
        <v>0</v>
      </c>
      <c r="D14" s="483" t="s">
        <v>161</v>
      </c>
      <c r="E14" s="484" t="s">
        <v>83</v>
      </c>
      <c r="F14" s="484" t="s">
        <v>83</v>
      </c>
      <c r="G14" s="484" t="s">
        <v>83</v>
      </c>
      <c r="H14" s="484" t="s">
        <v>173</v>
      </c>
      <c r="I14" s="484" t="s">
        <v>83</v>
      </c>
      <c r="J14" s="484" t="s">
        <v>161</v>
      </c>
      <c r="K14" s="484" t="s">
        <v>161</v>
      </c>
      <c r="L14" s="484" t="s">
        <v>173</v>
      </c>
      <c r="M14" s="484" t="s">
        <v>83</v>
      </c>
      <c r="N14" s="484" t="s">
        <v>173</v>
      </c>
      <c r="O14" s="484" t="s">
        <v>173</v>
      </c>
      <c r="P14" s="484" t="s">
        <v>173</v>
      </c>
      <c r="Q14" s="484" t="s">
        <v>161</v>
      </c>
      <c r="R14" s="484" t="s">
        <v>161</v>
      </c>
      <c r="S14" s="484" t="s">
        <v>161</v>
      </c>
      <c r="T14" s="484" t="s">
        <v>161</v>
      </c>
      <c r="U14" s="484" t="s">
        <v>161</v>
      </c>
      <c r="V14" s="484" t="s">
        <v>161</v>
      </c>
      <c r="W14" s="484" t="s">
        <v>173</v>
      </c>
      <c r="X14" s="484" t="s">
        <v>173</v>
      </c>
      <c r="Y14" s="484" t="s">
        <v>161</v>
      </c>
      <c r="Z14" s="484" t="s">
        <v>83</v>
      </c>
      <c r="AA14" s="484" t="s">
        <v>161</v>
      </c>
      <c r="AB14" s="484" t="s">
        <v>161</v>
      </c>
      <c r="AC14" s="484" t="s">
        <v>83</v>
      </c>
      <c r="AD14" s="484" t="s">
        <v>83</v>
      </c>
      <c r="AE14" s="485" t="s">
        <v>161</v>
      </c>
      <c r="AF14" s="397"/>
      <c r="AG14" s="483" t="s">
        <v>83</v>
      </c>
      <c r="AH14" s="484" t="s">
        <v>83</v>
      </c>
      <c r="AI14" s="484" t="s">
        <v>161</v>
      </c>
      <c r="AJ14" s="484" t="s">
        <v>161</v>
      </c>
      <c r="AK14" s="484" t="s">
        <v>161</v>
      </c>
      <c r="AL14" s="484" t="s">
        <v>161</v>
      </c>
      <c r="AM14" s="484" t="s">
        <v>161</v>
      </c>
      <c r="AN14" s="484" t="s">
        <v>161</v>
      </c>
      <c r="AO14" s="484" t="s">
        <v>161</v>
      </c>
      <c r="AP14" s="484" t="s">
        <v>161</v>
      </c>
      <c r="AQ14" s="485" t="s">
        <v>161</v>
      </c>
      <c r="AR14" s="491"/>
    </row>
    <row r="15" spans="1:44" s="371" customFormat="1" ht="22.5" customHeight="1">
      <c r="A15" s="374">
        <v>12</v>
      </c>
      <c r="B15" s="428" t="str">
        <f t="shared" ca="1" si="1"/>
        <v>પરમાર અજયકુમાર રમેશભાઇ</v>
      </c>
      <c r="C15" s="425">
        <f t="shared" ca="1" si="0"/>
        <v>0</v>
      </c>
      <c r="D15" s="483" t="s">
        <v>161</v>
      </c>
      <c r="E15" s="484" t="s">
        <v>83</v>
      </c>
      <c r="F15" s="484" t="s">
        <v>83</v>
      </c>
      <c r="G15" s="484" t="s">
        <v>83</v>
      </c>
      <c r="H15" s="484" t="s">
        <v>173</v>
      </c>
      <c r="I15" s="484" t="s">
        <v>83</v>
      </c>
      <c r="J15" s="484" t="s">
        <v>161</v>
      </c>
      <c r="K15" s="484" t="s">
        <v>161</v>
      </c>
      <c r="L15" s="484" t="s">
        <v>83</v>
      </c>
      <c r="M15" s="484" t="s">
        <v>83</v>
      </c>
      <c r="N15" s="484" t="s">
        <v>173</v>
      </c>
      <c r="O15" s="484" t="s">
        <v>173</v>
      </c>
      <c r="P15" s="484" t="s">
        <v>173</v>
      </c>
      <c r="Q15" s="484" t="s">
        <v>161</v>
      </c>
      <c r="R15" s="484" t="s">
        <v>161</v>
      </c>
      <c r="S15" s="484" t="s">
        <v>161</v>
      </c>
      <c r="T15" s="484" t="s">
        <v>161</v>
      </c>
      <c r="U15" s="484" t="s">
        <v>161</v>
      </c>
      <c r="V15" s="484" t="s">
        <v>161</v>
      </c>
      <c r="W15" s="484" t="s">
        <v>173</v>
      </c>
      <c r="X15" s="484" t="s">
        <v>173</v>
      </c>
      <c r="Y15" s="484" t="s">
        <v>173</v>
      </c>
      <c r="Z15" s="484" t="s">
        <v>83</v>
      </c>
      <c r="AA15" s="484" t="s">
        <v>161</v>
      </c>
      <c r="AB15" s="484" t="s">
        <v>161</v>
      </c>
      <c r="AC15" s="484" t="s">
        <v>83</v>
      </c>
      <c r="AD15" s="484" t="s">
        <v>83</v>
      </c>
      <c r="AE15" s="485" t="s">
        <v>173</v>
      </c>
      <c r="AF15" s="397"/>
      <c r="AG15" s="483" t="s">
        <v>83</v>
      </c>
      <c r="AH15" s="484" t="s">
        <v>83</v>
      </c>
      <c r="AI15" s="484" t="s">
        <v>161</v>
      </c>
      <c r="AJ15" s="484" t="s">
        <v>161</v>
      </c>
      <c r="AK15" s="484" t="s">
        <v>161</v>
      </c>
      <c r="AL15" s="484" t="s">
        <v>161</v>
      </c>
      <c r="AM15" s="484" t="s">
        <v>161</v>
      </c>
      <c r="AN15" s="484" t="s">
        <v>161</v>
      </c>
      <c r="AO15" s="484" t="s">
        <v>161</v>
      </c>
      <c r="AP15" s="484" t="s">
        <v>161</v>
      </c>
      <c r="AQ15" s="485" t="s">
        <v>161</v>
      </c>
      <c r="AR15" s="491"/>
    </row>
    <row r="16" spans="1:44" s="371" customFormat="1" ht="22.5" customHeight="1">
      <c r="A16" s="374">
        <v>13</v>
      </c>
      <c r="B16" s="428" t="str">
        <f t="shared" ca="1" si="1"/>
        <v>કંડોળીયા અલ્પેશકુમાર ભરતભાઇ</v>
      </c>
      <c r="C16" s="425">
        <f t="shared" ca="1" si="0"/>
        <v>0</v>
      </c>
      <c r="D16" s="483" t="s">
        <v>161</v>
      </c>
      <c r="E16" s="484" t="s">
        <v>83</v>
      </c>
      <c r="F16" s="484" t="s">
        <v>173</v>
      </c>
      <c r="G16" s="484" t="s">
        <v>83</v>
      </c>
      <c r="H16" s="484" t="s">
        <v>161</v>
      </c>
      <c r="I16" s="484" t="s">
        <v>83</v>
      </c>
      <c r="J16" s="484" t="s">
        <v>161</v>
      </c>
      <c r="K16" s="484" t="s">
        <v>161</v>
      </c>
      <c r="L16" s="484" t="s">
        <v>173</v>
      </c>
      <c r="M16" s="484" t="s">
        <v>83</v>
      </c>
      <c r="N16" s="484" t="s">
        <v>161</v>
      </c>
      <c r="O16" s="484" t="s">
        <v>161</v>
      </c>
      <c r="P16" s="484" t="s">
        <v>161</v>
      </c>
      <c r="Q16" s="484" t="s">
        <v>161</v>
      </c>
      <c r="R16" s="484" t="s">
        <v>161</v>
      </c>
      <c r="S16" s="484" t="s">
        <v>161</v>
      </c>
      <c r="T16" s="484" t="s">
        <v>161</v>
      </c>
      <c r="U16" s="484" t="s">
        <v>161</v>
      </c>
      <c r="V16" s="484" t="s">
        <v>161</v>
      </c>
      <c r="W16" s="484" t="s">
        <v>161</v>
      </c>
      <c r="X16" s="484" t="s">
        <v>161</v>
      </c>
      <c r="Y16" s="484" t="s">
        <v>161</v>
      </c>
      <c r="Z16" s="484" t="s">
        <v>173</v>
      </c>
      <c r="AA16" s="484" t="s">
        <v>161</v>
      </c>
      <c r="AB16" s="484" t="s">
        <v>161</v>
      </c>
      <c r="AC16" s="484" t="s">
        <v>83</v>
      </c>
      <c r="AD16" s="484" t="s">
        <v>83</v>
      </c>
      <c r="AE16" s="485" t="s">
        <v>161</v>
      </c>
      <c r="AF16" s="397"/>
      <c r="AG16" s="483" t="s">
        <v>83</v>
      </c>
      <c r="AH16" s="484" t="s">
        <v>83</v>
      </c>
      <c r="AI16" s="484" t="s">
        <v>161</v>
      </c>
      <c r="AJ16" s="484" t="s">
        <v>161</v>
      </c>
      <c r="AK16" s="484" t="s">
        <v>161</v>
      </c>
      <c r="AL16" s="484" t="s">
        <v>161</v>
      </c>
      <c r="AM16" s="484" t="s">
        <v>161</v>
      </c>
      <c r="AN16" s="484" t="s">
        <v>161</v>
      </c>
      <c r="AO16" s="484" t="s">
        <v>161</v>
      </c>
      <c r="AP16" s="484" t="s">
        <v>161</v>
      </c>
      <c r="AQ16" s="485" t="s">
        <v>161</v>
      </c>
      <c r="AR16" s="491"/>
    </row>
    <row r="17" spans="1:44" s="371" customFormat="1" ht="22.5" customHeight="1">
      <c r="A17" s="374">
        <v>14</v>
      </c>
      <c r="B17" s="428" t="str">
        <f t="shared" ca="1" si="1"/>
        <v>મકવાણા તરંગકુમાર કિશોરભાઇ</v>
      </c>
      <c r="C17" s="425">
        <f t="shared" ca="1" si="0"/>
        <v>0</v>
      </c>
      <c r="D17" s="483" t="s">
        <v>161</v>
      </c>
      <c r="E17" s="484" t="s">
        <v>83</v>
      </c>
      <c r="F17" s="484" t="s">
        <v>161</v>
      </c>
      <c r="G17" s="484" t="s">
        <v>83</v>
      </c>
      <c r="H17" s="484" t="s">
        <v>161</v>
      </c>
      <c r="I17" s="484" t="s">
        <v>83</v>
      </c>
      <c r="J17" s="484" t="s">
        <v>161</v>
      </c>
      <c r="K17" s="484" t="s">
        <v>161</v>
      </c>
      <c r="L17" s="484" t="s">
        <v>161</v>
      </c>
      <c r="M17" s="484" t="s">
        <v>83</v>
      </c>
      <c r="N17" s="484" t="s">
        <v>161</v>
      </c>
      <c r="O17" s="484" t="s">
        <v>161</v>
      </c>
      <c r="P17" s="484" t="s">
        <v>161</v>
      </c>
      <c r="Q17" s="484" t="s">
        <v>161</v>
      </c>
      <c r="R17" s="484" t="s">
        <v>161</v>
      </c>
      <c r="S17" s="484" t="s">
        <v>161</v>
      </c>
      <c r="T17" s="484" t="s">
        <v>161</v>
      </c>
      <c r="U17" s="484" t="s">
        <v>161</v>
      </c>
      <c r="V17" s="484" t="s">
        <v>161</v>
      </c>
      <c r="W17" s="484" t="s">
        <v>161</v>
      </c>
      <c r="X17" s="484" t="s">
        <v>161</v>
      </c>
      <c r="Y17" s="484" t="s">
        <v>161</v>
      </c>
      <c r="Z17" s="484" t="s">
        <v>173</v>
      </c>
      <c r="AA17" s="484" t="s">
        <v>161</v>
      </c>
      <c r="AB17" s="484" t="s">
        <v>161</v>
      </c>
      <c r="AC17" s="484" t="s">
        <v>83</v>
      </c>
      <c r="AD17" s="484" t="s">
        <v>83</v>
      </c>
      <c r="AE17" s="485" t="s">
        <v>161</v>
      </c>
      <c r="AF17" s="397"/>
      <c r="AG17" s="483" t="s">
        <v>83</v>
      </c>
      <c r="AH17" s="484" t="s">
        <v>83</v>
      </c>
      <c r="AI17" s="484" t="s">
        <v>161</v>
      </c>
      <c r="AJ17" s="484" t="s">
        <v>161</v>
      </c>
      <c r="AK17" s="484" t="s">
        <v>161</v>
      </c>
      <c r="AL17" s="484" t="s">
        <v>161</v>
      </c>
      <c r="AM17" s="484" t="s">
        <v>161</v>
      </c>
      <c r="AN17" s="484" t="s">
        <v>161</v>
      </c>
      <c r="AO17" s="484" t="s">
        <v>161</v>
      </c>
      <c r="AP17" s="484" t="s">
        <v>161</v>
      </c>
      <c r="AQ17" s="485" t="s">
        <v>161</v>
      </c>
      <c r="AR17" s="491"/>
    </row>
    <row r="18" spans="1:44" s="371" customFormat="1" ht="22.5" customHeight="1">
      <c r="A18" s="374">
        <v>15</v>
      </c>
      <c r="B18" s="428" t="str">
        <f t="shared" ca="1" si="1"/>
        <v>ઢીમેચા સતીષ હનુભાઇ</v>
      </c>
      <c r="C18" s="425">
        <f t="shared" ca="1" si="0"/>
        <v>0</v>
      </c>
      <c r="D18" s="483" t="s">
        <v>161</v>
      </c>
      <c r="E18" s="484" t="s">
        <v>83</v>
      </c>
      <c r="F18" s="484" t="s">
        <v>173</v>
      </c>
      <c r="G18" s="484" t="s">
        <v>83</v>
      </c>
      <c r="H18" s="484" t="s">
        <v>173</v>
      </c>
      <c r="I18" s="484" t="s">
        <v>83</v>
      </c>
      <c r="J18" s="484" t="s">
        <v>173</v>
      </c>
      <c r="K18" s="484" t="s">
        <v>161</v>
      </c>
      <c r="L18" s="484" t="s">
        <v>173</v>
      </c>
      <c r="M18" s="484" t="s">
        <v>83</v>
      </c>
      <c r="N18" s="484" t="s">
        <v>173</v>
      </c>
      <c r="O18" s="484" t="s">
        <v>173</v>
      </c>
      <c r="P18" s="484" t="s">
        <v>83</v>
      </c>
      <c r="Q18" s="484" t="s">
        <v>173</v>
      </c>
      <c r="R18" s="484" t="s">
        <v>173</v>
      </c>
      <c r="S18" s="484" t="s">
        <v>161</v>
      </c>
      <c r="T18" s="484" t="s">
        <v>161</v>
      </c>
      <c r="U18" s="484" t="s">
        <v>161</v>
      </c>
      <c r="V18" s="484" t="s">
        <v>161</v>
      </c>
      <c r="W18" s="484" t="s">
        <v>173</v>
      </c>
      <c r="X18" s="484" t="s">
        <v>83</v>
      </c>
      <c r="Y18" s="484" t="s">
        <v>173</v>
      </c>
      <c r="Z18" s="484" t="s">
        <v>83</v>
      </c>
      <c r="AA18" s="484" t="s">
        <v>161</v>
      </c>
      <c r="AB18" s="484" t="s">
        <v>161</v>
      </c>
      <c r="AC18" s="484" t="s">
        <v>83</v>
      </c>
      <c r="AD18" s="484" t="s">
        <v>83</v>
      </c>
      <c r="AE18" s="485" t="s">
        <v>173</v>
      </c>
      <c r="AF18" s="397"/>
      <c r="AG18" s="483" t="s">
        <v>83</v>
      </c>
      <c r="AH18" s="484" t="s">
        <v>83</v>
      </c>
      <c r="AI18" s="484" t="s">
        <v>161</v>
      </c>
      <c r="AJ18" s="484" t="s">
        <v>161</v>
      </c>
      <c r="AK18" s="484" t="s">
        <v>161</v>
      </c>
      <c r="AL18" s="484" t="s">
        <v>161</v>
      </c>
      <c r="AM18" s="484" t="s">
        <v>161</v>
      </c>
      <c r="AN18" s="484" t="s">
        <v>161</v>
      </c>
      <c r="AO18" s="484" t="s">
        <v>161</v>
      </c>
      <c r="AP18" s="484" t="s">
        <v>161</v>
      </c>
      <c r="AQ18" s="485" t="s">
        <v>161</v>
      </c>
      <c r="AR18" s="491"/>
    </row>
    <row r="19" spans="1:44" s="371" customFormat="1" ht="22.5" customHeight="1">
      <c r="A19" s="374">
        <v>16</v>
      </c>
      <c r="B19" s="428" t="str">
        <f t="shared" ca="1" si="1"/>
        <v>ખુમાણ શિવરાજભાઇ બાબુભાઇ</v>
      </c>
      <c r="C19" s="425">
        <f t="shared" ca="1" si="0"/>
        <v>0</v>
      </c>
      <c r="D19" s="483" t="s">
        <v>161</v>
      </c>
      <c r="E19" s="484" t="s">
        <v>83</v>
      </c>
      <c r="F19" s="484" t="s">
        <v>83</v>
      </c>
      <c r="G19" s="484" t="s">
        <v>83</v>
      </c>
      <c r="H19" s="484" t="s">
        <v>173</v>
      </c>
      <c r="I19" s="484" t="s">
        <v>83</v>
      </c>
      <c r="J19" s="484" t="s">
        <v>161</v>
      </c>
      <c r="K19" s="484" t="s">
        <v>161</v>
      </c>
      <c r="L19" s="484" t="s">
        <v>83</v>
      </c>
      <c r="M19" s="484" t="s">
        <v>83</v>
      </c>
      <c r="N19" s="484" t="s">
        <v>173</v>
      </c>
      <c r="O19" s="484" t="s">
        <v>173</v>
      </c>
      <c r="P19" s="484" t="s">
        <v>83</v>
      </c>
      <c r="Q19" s="484" t="s">
        <v>161</v>
      </c>
      <c r="R19" s="484" t="s">
        <v>161</v>
      </c>
      <c r="S19" s="484" t="s">
        <v>161</v>
      </c>
      <c r="T19" s="484" t="s">
        <v>161</v>
      </c>
      <c r="U19" s="484" t="s">
        <v>161</v>
      </c>
      <c r="V19" s="484" t="s">
        <v>161</v>
      </c>
      <c r="W19" s="484" t="s">
        <v>173</v>
      </c>
      <c r="X19" s="484" t="s">
        <v>173</v>
      </c>
      <c r="Y19" s="484" t="s">
        <v>173</v>
      </c>
      <c r="Z19" s="484" t="s">
        <v>83</v>
      </c>
      <c r="AA19" s="484" t="s">
        <v>161</v>
      </c>
      <c r="AB19" s="484" t="s">
        <v>161</v>
      </c>
      <c r="AC19" s="484" t="s">
        <v>83</v>
      </c>
      <c r="AD19" s="484" t="s">
        <v>83</v>
      </c>
      <c r="AE19" s="485" t="s">
        <v>173</v>
      </c>
      <c r="AF19" s="397"/>
      <c r="AG19" s="483" t="s">
        <v>83</v>
      </c>
      <c r="AH19" s="484" t="s">
        <v>83</v>
      </c>
      <c r="AI19" s="484" t="s">
        <v>161</v>
      </c>
      <c r="AJ19" s="484" t="s">
        <v>161</v>
      </c>
      <c r="AK19" s="484" t="s">
        <v>161</v>
      </c>
      <c r="AL19" s="484" t="s">
        <v>161</v>
      </c>
      <c r="AM19" s="484" t="s">
        <v>161</v>
      </c>
      <c r="AN19" s="484" t="s">
        <v>161</v>
      </c>
      <c r="AO19" s="484" t="s">
        <v>161</v>
      </c>
      <c r="AP19" s="484" t="s">
        <v>161</v>
      </c>
      <c r="AQ19" s="485" t="s">
        <v>161</v>
      </c>
      <c r="AR19" s="491"/>
    </row>
    <row r="20" spans="1:44" s="371" customFormat="1" ht="22.5" customHeight="1">
      <c r="A20" s="374">
        <v>17</v>
      </c>
      <c r="B20" s="428" t="str">
        <f t="shared" ca="1" si="1"/>
        <v>માથાસુરીયા દિનેશભાઇ અમરાભાઇ</v>
      </c>
      <c r="C20" s="425">
        <f t="shared" ca="1" si="0"/>
        <v>0</v>
      </c>
      <c r="D20" s="483" t="s">
        <v>173</v>
      </c>
      <c r="E20" s="484" t="s">
        <v>83</v>
      </c>
      <c r="F20" s="484" t="s">
        <v>83</v>
      </c>
      <c r="G20" s="484" t="s">
        <v>83</v>
      </c>
      <c r="H20" s="484" t="s">
        <v>173</v>
      </c>
      <c r="I20" s="484" t="s">
        <v>83</v>
      </c>
      <c r="J20" s="484" t="s">
        <v>173</v>
      </c>
      <c r="K20" s="484" t="s">
        <v>83</v>
      </c>
      <c r="L20" s="484" t="s">
        <v>83</v>
      </c>
      <c r="M20" s="484" t="s">
        <v>83</v>
      </c>
      <c r="N20" s="484" t="s">
        <v>83</v>
      </c>
      <c r="O20" s="484" t="s">
        <v>173</v>
      </c>
      <c r="P20" s="484" t="s">
        <v>83</v>
      </c>
      <c r="Q20" s="484" t="s">
        <v>173</v>
      </c>
      <c r="R20" s="484" t="s">
        <v>83</v>
      </c>
      <c r="S20" s="484" t="s">
        <v>173</v>
      </c>
      <c r="T20" s="484" t="s">
        <v>173</v>
      </c>
      <c r="U20" s="484" t="s">
        <v>161</v>
      </c>
      <c r="V20" s="484" t="s">
        <v>173</v>
      </c>
      <c r="W20" s="484" t="s">
        <v>83</v>
      </c>
      <c r="X20" s="484" t="s">
        <v>83</v>
      </c>
      <c r="Y20" s="484" t="s">
        <v>173</v>
      </c>
      <c r="Z20" s="484" t="s">
        <v>83</v>
      </c>
      <c r="AA20" s="484" t="s">
        <v>83</v>
      </c>
      <c r="AB20" s="484" t="s">
        <v>83</v>
      </c>
      <c r="AC20" s="484" t="s">
        <v>83</v>
      </c>
      <c r="AD20" s="484" t="s">
        <v>83</v>
      </c>
      <c r="AE20" s="485" t="s">
        <v>173</v>
      </c>
      <c r="AF20" s="397"/>
      <c r="AG20" s="483" t="s">
        <v>83</v>
      </c>
      <c r="AH20" s="484" t="s">
        <v>83</v>
      </c>
      <c r="AI20" s="484" t="s">
        <v>173</v>
      </c>
      <c r="AJ20" s="484" t="s">
        <v>173</v>
      </c>
      <c r="AK20" s="484" t="s">
        <v>173</v>
      </c>
      <c r="AL20" s="484" t="s">
        <v>173</v>
      </c>
      <c r="AM20" s="484" t="s">
        <v>173</v>
      </c>
      <c r="AN20" s="484" t="s">
        <v>173</v>
      </c>
      <c r="AO20" s="484" t="s">
        <v>173</v>
      </c>
      <c r="AP20" s="484" t="s">
        <v>173</v>
      </c>
      <c r="AQ20" s="485" t="s">
        <v>173</v>
      </c>
      <c r="AR20" s="491"/>
    </row>
    <row r="21" spans="1:44" s="371" customFormat="1" ht="22.5" customHeight="1">
      <c r="A21" s="374">
        <v>18</v>
      </c>
      <c r="B21" s="428" t="str">
        <f t="shared" ca="1" si="1"/>
        <v>વાઘેલા હરેશ જીલુભાઇ</v>
      </c>
      <c r="C21" s="425">
        <f t="shared" ca="1" si="0"/>
        <v>0</v>
      </c>
      <c r="D21" s="483" t="s">
        <v>173</v>
      </c>
      <c r="E21" s="484" t="s">
        <v>83</v>
      </c>
      <c r="F21" s="484" t="s">
        <v>83</v>
      </c>
      <c r="G21" s="484" t="s">
        <v>83</v>
      </c>
      <c r="H21" s="484" t="s">
        <v>173</v>
      </c>
      <c r="I21" s="484" t="s">
        <v>83</v>
      </c>
      <c r="J21" s="484" t="s">
        <v>173</v>
      </c>
      <c r="K21" s="484" t="s">
        <v>173</v>
      </c>
      <c r="L21" s="484" t="s">
        <v>83</v>
      </c>
      <c r="M21" s="484" t="s">
        <v>83</v>
      </c>
      <c r="N21" s="484" t="s">
        <v>83</v>
      </c>
      <c r="O21" s="484" t="s">
        <v>173</v>
      </c>
      <c r="P21" s="484" t="s">
        <v>83</v>
      </c>
      <c r="Q21" s="484" t="s">
        <v>173</v>
      </c>
      <c r="R21" s="484" t="s">
        <v>173</v>
      </c>
      <c r="S21" s="484" t="s">
        <v>173</v>
      </c>
      <c r="T21" s="484" t="s">
        <v>173</v>
      </c>
      <c r="U21" s="484" t="s">
        <v>161</v>
      </c>
      <c r="V21" s="484" t="s">
        <v>173</v>
      </c>
      <c r="W21" s="484" t="s">
        <v>83</v>
      </c>
      <c r="X21" s="484" t="s">
        <v>83</v>
      </c>
      <c r="Y21" s="484" t="s">
        <v>173</v>
      </c>
      <c r="Z21" s="484" t="s">
        <v>83</v>
      </c>
      <c r="AA21" s="484" t="s">
        <v>83</v>
      </c>
      <c r="AB21" s="484" t="s">
        <v>83</v>
      </c>
      <c r="AC21" s="484" t="s">
        <v>83</v>
      </c>
      <c r="AD21" s="484" t="s">
        <v>83</v>
      </c>
      <c r="AE21" s="485" t="s">
        <v>173</v>
      </c>
      <c r="AF21" s="397"/>
      <c r="AG21" s="483" t="s">
        <v>83</v>
      </c>
      <c r="AH21" s="484" t="s">
        <v>83</v>
      </c>
      <c r="AI21" s="484" t="s">
        <v>83</v>
      </c>
      <c r="AJ21" s="484" t="s">
        <v>173</v>
      </c>
      <c r="AK21" s="484" t="s">
        <v>173</v>
      </c>
      <c r="AL21" s="484" t="s">
        <v>173</v>
      </c>
      <c r="AM21" s="484" t="s">
        <v>173</v>
      </c>
      <c r="AN21" s="484" t="s">
        <v>173</v>
      </c>
      <c r="AO21" s="484" t="s">
        <v>173</v>
      </c>
      <c r="AP21" s="484" t="s">
        <v>173</v>
      </c>
      <c r="AQ21" s="485" t="s">
        <v>173</v>
      </c>
      <c r="AR21" s="491"/>
    </row>
    <row r="22" spans="1:44" s="371" customFormat="1" ht="22.5" customHeight="1">
      <c r="A22" s="374">
        <v>19</v>
      </c>
      <c r="B22" s="428" t="str">
        <f t="shared" ca="1" si="1"/>
        <v>પરમાર દિલીપકુમાર મધુભાઇ</v>
      </c>
      <c r="C22" s="425">
        <f t="shared" ca="1" si="0"/>
        <v>0</v>
      </c>
      <c r="D22" s="483" t="s">
        <v>173</v>
      </c>
      <c r="E22" s="484" t="s">
        <v>83</v>
      </c>
      <c r="F22" s="484" t="s">
        <v>83</v>
      </c>
      <c r="G22" s="484" t="s">
        <v>83</v>
      </c>
      <c r="H22" s="484" t="s">
        <v>173</v>
      </c>
      <c r="I22" s="484" t="s">
        <v>83</v>
      </c>
      <c r="J22" s="484" t="s">
        <v>173</v>
      </c>
      <c r="K22" s="484" t="s">
        <v>173</v>
      </c>
      <c r="L22" s="484" t="s">
        <v>173</v>
      </c>
      <c r="M22" s="484" t="s">
        <v>83</v>
      </c>
      <c r="N22" s="484" t="s">
        <v>83</v>
      </c>
      <c r="O22" s="484" t="s">
        <v>173</v>
      </c>
      <c r="P22" s="484" t="s">
        <v>83</v>
      </c>
      <c r="Q22" s="484" t="s">
        <v>83</v>
      </c>
      <c r="R22" s="484" t="s">
        <v>173</v>
      </c>
      <c r="S22" s="484" t="s">
        <v>173</v>
      </c>
      <c r="T22" s="484" t="s">
        <v>173</v>
      </c>
      <c r="U22" s="484" t="s">
        <v>161</v>
      </c>
      <c r="V22" s="484" t="s">
        <v>173</v>
      </c>
      <c r="W22" s="484" t="s">
        <v>83</v>
      </c>
      <c r="X22" s="484" t="s">
        <v>83</v>
      </c>
      <c r="Y22" s="484" t="s">
        <v>173</v>
      </c>
      <c r="Z22" s="484" t="s">
        <v>83</v>
      </c>
      <c r="AA22" s="484" t="s">
        <v>173</v>
      </c>
      <c r="AB22" s="484" t="s">
        <v>173</v>
      </c>
      <c r="AC22" s="484" t="s">
        <v>83</v>
      </c>
      <c r="AD22" s="484" t="s">
        <v>83</v>
      </c>
      <c r="AE22" s="485" t="s">
        <v>173</v>
      </c>
      <c r="AF22" s="397"/>
      <c r="AG22" s="483" t="s">
        <v>83</v>
      </c>
      <c r="AH22" s="484" t="s">
        <v>83</v>
      </c>
      <c r="AI22" s="484" t="s">
        <v>173</v>
      </c>
      <c r="AJ22" s="484" t="s">
        <v>173</v>
      </c>
      <c r="AK22" s="484" t="s">
        <v>173</v>
      </c>
      <c r="AL22" s="484" t="s">
        <v>173</v>
      </c>
      <c r="AM22" s="484" t="s">
        <v>173</v>
      </c>
      <c r="AN22" s="484" t="s">
        <v>173</v>
      </c>
      <c r="AO22" s="484" t="s">
        <v>173</v>
      </c>
      <c r="AP22" s="484" t="s">
        <v>173</v>
      </c>
      <c r="AQ22" s="485" t="s">
        <v>173</v>
      </c>
      <c r="AR22" s="491"/>
    </row>
    <row r="23" spans="1:44" s="371" customFormat="1" ht="22.5" customHeight="1">
      <c r="A23" s="374">
        <v>20</v>
      </c>
      <c r="B23" s="428" t="str">
        <f t="shared" ca="1" si="1"/>
        <v>વિરપરા કૃણાલ હરેશભાઇ</v>
      </c>
      <c r="C23" s="425">
        <f t="shared" ca="1" si="0"/>
        <v>0</v>
      </c>
      <c r="D23" s="483" t="s">
        <v>173</v>
      </c>
      <c r="E23" s="484" t="s">
        <v>83</v>
      </c>
      <c r="F23" s="484" t="s">
        <v>83</v>
      </c>
      <c r="G23" s="484" t="s">
        <v>83</v>
      </c>
      <c r="H23" s="484" t="s">
        <v>173</v>
      </c>
      <c r="I23" s="484" t="s">
        <v>83</v>
      </c>
      <c r="J23" s="484" t="s">
        <v>173</v>
      </c>
      <c r="K23" s="484" t="s">
        <v>173</v>
      </c>
      <c r="L23" s="484" t="s">
        <v>83</v>
      </c>
      <c r="M23" s="484" t="s">
        <v>83</v>
      </c>
      <c r="N23" s="484" t="s">
        <v>83</v>
      </c>
      <c r="O23" s="484" t="s">
        <v>173</v>
      </c>
      <c r="P23" s="484" t="s">
        <v>83</v>
      </c>
      <c r="Q23" s="484" t="s">
        <v>173</v>
      </c>
      <c r="R23" s="484" t="s">
        <v>173</v>
      </c>
      <c r="S23" s="484" t="s">
        <v>173</v>
      </c>
      <c r="T23" s="484" t="s">
        <v>173</v>
      </c>
      <c r="U23" s="484" t="s">
        <v>161</v>
      </c>
      <c r="V23" s="484" t="s">
        <v>173</v>
      </c>
      <c r="W23" s="484" t="s">
        <v>83</v>
      </c>
      <c r="X23" s="484" t="s">
        <v>83</v>
      </c>
      <c r="Y23" s="484" t="s">
        <v>173</v>
      </c>
      <c r="Z23" s="484" t="s">
        <v>83</v>
      </c>
      <c r="AA23" s="484" t="s">
        <v>173</v>
      </c>
      <c r="AB23" s="484" t="s">
        <v>173</v>
      </c>
      <c r="AC23" s="484" t="s">
        <v>83</v>
      </c>
      <c r="AD23" s="484" t="s">
        <v>83</v>
      </c>
      <c r="AE23" s="485" t="s">
        <v>173</v>
      </c>
      <c r="AF23" s="397"/>
      <c r="AG23" s="483" t="s">
        <v>83</v>
      </c>
      <c r="AH23" s="484" t="s">
        <v>83</v>
      </c>
      <c r="AI23" s="484" t="s">
        <v>173</v>
      </c>
      <c r="AJ23" s="484" t="s">
        <v>173</v>
      </c>
      <c r="AK23" s="484" t="s">
        <v>173</v>
      </c>
      <c r="AL23" s="484" t="s">
        <v>173</v>
      </c>
      <c r="AM23" s="484" t="s">
        <v>173</v>
      </c>
      <c r="AN23" s="484" t="s">
        <v>173</v>
      </c>
      <c r="AO23" s="484" t="s">
        <v>173</v>
      </c>
      <c r="AP23" s="484" t="s">
        <v>173</v>
      </c>
      <c r="AQ23" s="485" t="s">
        <v>173</v>
      </c>
      <c r="AR23" s="491"/>
    </row>
    <row r="24" spans="1:44" ht="22.5" customHeight="1">
      <c r="A24" s="374">
        <v>21</v>
      </c>
      <c r="B24" s="428" t="str">
        <f t="shared" ca="1" si="1"/>
        <v>મકરૂબિયા જીજ્ઞેશભાઇ અશોકભાઇ</v>
      </c>
      <c r="C24" s="425">
        <f t="shared" ca="1" si="0"/>
        <v>0</v>
      </c>
      <c r="D24" s="483" t="s">
        <v>173</v>
      </c>
      <c r="E24" s="484" t="s">
        <v>83</v>
      </c>
      <c r="F24" s="484" t="s">
        <v>83</v>
      </c>
      <c r="G24" s="484" t="s">
        <v>83</v>
      </c>
      <c r="H24" s="484" t="s">
        <v>173</v>
      </c>
      <c r="I24" s="484" t="s">
        <v>83</v>
      </c>
      <c r="J24" s="484" t="s">
        <v>173</v>
      </c>
      <c r="K24" s="484" t="s">
        <v>173</v>
      </c>
      <c r="L24" s="484" t="s">
        <v>83</v>
      </c>
      <c r="M24" s="484" t="s">
        <v>83</v>
      </c>
      <c r="N24" s="484" t="s">
        <v>83</v>
      </c>
      <c r="O24" s="484" t="s">
        <v>173</v>
      </c>
      <c r="P24" s="484" t="s">
        <v>83</v>
      </c>
      <c r="Q24" s="484" t="s">
        <v>173</v>
      </c>
      <c r="R24" s="484" t="s">
        <v>173</v>
      </c>
      <c r="S24" s="484" t="s">
        <v>173</v>
      </c>
      <c r="T24" s="484" t="s">
        <v>173</v>
      </c>
      <c r="U24" s="484" t="s">
        <v>161</v>
      </c>
      <c r="V24" s="484" t="s">
        <v>173</v>
      </c>
      <c r="W24" s="484" t="s">
        <v>83</v>
      </c>
      <c r="X24" s="484" t="s">
        <v>83</v>
      </c>
      <c r="Y24" s="484" t="s">
        <v>173</v>
      </c>
      <c r="Z24" s="484" t="s">
        <v>83</v>
      </c>
      <c r="AA24" s="484" t="s">
        <v>173</v>
      </c>
      <c r="AB24" s="484" t="s">
        <v>173</v>
      </c>
      <c r="AC24" s="484" t="s">
        <v>83</v>
      </c>
      <c r="AD24" s="484" t="s">
        <v>83</v>
      </c>
      <c r="AE24" s="485" t="s">
        <v>173</v>
      </c>
      <c r="AF24" s="397"/>
      <c r="AG24" s="483" t="s">
        <v>83</v>
      </c>
      <c r="AH24" s="484" t="s">
        <v>83</v>
      </c>
      <c r="AI24" s="484" t="s">
        <v>173</v>
      </c>
      <c r="AJ24" s="484" t="s">
        <v>173</v>
      </c>
      <c r="AK24" s="484" t="s">
        <v>173</v>
      </c>
      <c r="AL24" s="484" t="s">
        <v>173</v>
      </c>
      <c r="AM24" s="484" t="s">
        <v>173</v>
      </c>
      <c r="AN24" s="484" t="s">
        <v>173</v>
      </c>
      <c r="AO24" s="484" t="s">
        <v>173</v>
      </c>
      <c r="AP24" s="484" t="s">
        <v>173</v>
      </c>
      <c r="AQ24" s="485" t="s">
        <v>173</v>
      </c>
      <c r="AR24" s="492"/>
    </row>
    <row r="25" spans="1:44" ht="22.5" customHeight="1">
      <c r="A25" s="374">
        <v>22</v>
      </c>
      <c r="B25" s="428" t="str">
        <f t="shared" ca="1" si="1"/>
        <v>ખિમસુરીયા જ્યોત્સના મુકેશભાઇ</v>
      </c>
      <c r="C25" s="425">
        <f t="shared" ca="1" si="0"/>
        <v>0</v>
      </c>
      <c r="D25" s="483" t="s">
        <v>173</v>
      </c>
      <c r="E25" s="484" t="s">
        <v>83</v>
      </c>
      <c r="F25" s="484" t="s">
        <v>83</v>
      </c>
      <c r="G25" s="484" t="s">
        <v>83</v>
      </c>
      <c r="H25" s="484" t="s">
        <v>173</v>
      </c>
      <c r="I25" s="484" t="s">
        <v>83</v>
      </c>
      <c r="J25" s="484" t="s">
        <v>173</v>
      </c>
      <c r="K25" s="484" t="s">
        <v>173</v>
      </c>
      <c r="L25" s="484" t="s">
        <v>83</v>
      </c>
      <c r="M25" s="484" t="s">
        <v>83</v>
      </c>
      <c r="N25" s="484" t="s">
        <v>83</v>
      </c>
      <c r="O25" s="484" t="s">
        <v>173</v>
      </c>
      <c r="P25" s="484" t="s">
        <v>83</v>
      </c>
      <c r="Q25" s="484" t="s">
        <v>173</v>
      </c>
      <c r="R25" s="484" t="s">
        <v>173</v>
      </c>
      <c r="S25" s="484" t="s">
        <v>173</v>
      </c>
      <c r="T25" s="484" t="s">
        <v>173</v>
      </c>
      <c r="U25" s="484" t="s">
        <v>161</v>
      </c>
      <c r="V25" s="484" t="s">
        <v>173</v>
      </c>
      <c r="W25" s="484" t="s">
        <v>83</v>
      </c>
      <c r="X25" s="484" t="s">
        <v>83</v>
      </c>
      <c r="Y25" s="484" t="s">
        <v>173</v>
      </c>
      <c r="Z25" s="484" t="s">
        <v>83</v>
      </c>
      <c r="AA25" s="484" t="s">
        <v>173</v>
      </c>
      <c r="AB25" s="484" t="s">
        <v>173</v>
      </c>
      <c r="AC25" s="484" t="s">
        <v>83</v>
      </c>
      <c r="AD25" s="484" t="s">
        <v>83</v>
      </c>
      <c r="AE25" s="485" t="s">
        <v>173</v>
      </c>
      <c r="AF25" s="397"/>
      <c r="AG25" s="483" t="s">
        <v>83</v>
      </c>
      <c r="AH25" s="484" t="s">
        <v>83</v>
      </c>
      <c r="AI25" s="484" t="s">
        <v>173</v>
      </c>
      <c r="AJ25" s="484" t="s">
        <v>173</v>
      </c>
      <c r="AK25" s="484" t="s">
        <v>173</v>
      </c>
      <c r="AL25" s="484" t="s">
        <v>173</v>
      </c>
      <c r="AM25" s="484" t="s">
        <v>173</v>
      </c>
      <c r="AN25" s="484" t="s">
        <v>173</v>
      </c>
      <c r="AO25" s="484" t="s">
        <v>173</v>
      </c>
      <c r="AP25" s="484" t="s">
        <v>173</v>
      </c>
      <c r="AQ25" s="485" t="s">
        <v>173</v>
      </c>
      <c r="AR25" s="492"/>
    </row>
    <row r="26" spans="1:44" ht="22.5" customHeight="1">
      <c r="A26" s="374">
        <v>23</v>
      </c>
      <c r="B26" s="428" t="str">
        <f t="shared" ca="1" si="1"/>
        <v>ગરણિયા રાજલબેન સામતભાઇ</v>
      </c>
      <c r="C26" s="425">
        <f t="shared" ca="1" si="0"/>
        <v>0</v>
      </c>
      <c r="D26" s="483" t="s">
        <v>173</v>
      </c>
      <c r="E26" s="484" t="s">
        <v>83</v>
      </c>
      <c r="F26" s="484" t="s">
        <v>83</v>
      </c>
      <c r="G26" s="484" t="s">
        <v>83</v>
      </c>
      <c r="H26" s="484" t="s">
        <v>173</v>
      </c>
      <c r="I26" s="484" t="s">
        <v>83</v>
      </c>
      <c r="J26" s="484" t="s">
        <v>173</v>
      </c>
      <c r="K26" s="484" t="s">
        <v>173</v>
      </c>
      <c r="L26" s="484" t="s">
        <v>83</v>
      </c>
      <c r="M26" s="484" t="s">
        <v>83</v>
      </c>
      <c r="N26" s="484" t="s">
        <v>83</v>
      </c>
      <c r="O26" s="484" t="s">
        <v>173</v>
      </c>
      <c r="P26" s="484" t="s">
        <v>83</v>
      </c>
      <c r="Q26" s="484" t="s">
        <v>173</v>
      </c>
      <c r="R26" s="484" t="s">
        <v>173</v>
      </c>
      <c r="S26" s="484" t="s">
        <v>173</v>
      </c>
      <c r="T26" s="484" t="s">
        <v>173</v>
      </c>
      <c r="U26" s="484" t="s">
        <v>161</v>
      </c>
      <c r="V26" s="484" t="s">
        <v>173</v>
      </c>
      <c r="W26" s="484" t="s">
        <v>83</v>
      </c>
      <c r="X26" s="484" t="s">
        <v>83</v>
      </c>
      <c r="Y26" s="484" t="s">
        <v>173</v>
      </c>
      <c r="Z26" s="484" t="s">
        <v>83</v>
      </c>
      <c r="AA26" s="484" t="s">
        <v>173</v>
      </c>
      <c r="AB26" s="484" t="s">
        <v>173</v>
      </c>
      <c r="AC26" s="484" t="s">
        <v>83</v>
      </c>
      <c r="AD26" s="484" t="s">
        <v>83</v>
      </c>
      <c r="AE26" s="485" t="s">
        <v>173</v>
      </c>
      <c r="AF26" s="397"/>
      <c r="AG26" s="483" t="s">
        <v>83</v>
      </c>
      <c r="AH26" s="484" t="s">
        <v>83</v>
      </c>
      <c r="AI26" s="484" t="s">
        <v>173</v>
      </c>
      <c r="AJ26" s="484" t="s">
        <v>173</v>
      </c>
      <c r="AK26" s="484" t="s">
        <v>173</v>
      </c>
      <c r="AL26" s="484" t="s">
        <v>173</v>
      </c>
      <c r="AM26" s="484" t="s">
        <v>173</v>
      </c>
      <c r="AN26" s="484" t="s">
        <v>173</v>
      </c>
      <c r="AO26" s="484" t="s">
        <v>173</v>
      </c>
      <c r="AP26" s="484" t="s">
        <v>173</v>
      </c>
      <c r="AQ26" s="485" t="s">
        <v>173</v>
      </c>
      <c r="AR26" s="492"/>
    </row>
    <row r="27" spans="1:44" ht="22.5" customHeight="1">
      <c r="A27" s="374">
        <v>24</v>
      </c>
      <c r="B27" s="428" t="str">
        <f t="shared" ca="1" si="1"/>
        <v>ગરણિયા નિરાલીબેન પ્રદીપભાઇ</v>
      </c>
      <c r="C27" s="425">
        <f t="shared" ca="1" si="0"/>
        <v>0</v>
      </c>
      <c r="D27" s="483" t="s">
        <v>173</v>
      </c>
      <c r="E27" s="484" t="s">
        <v>83</v>
      </c>
      <c r="F27" s="484" t="s">
        <v>83</v>
      </c>
      <c r="G27" s="484" t="s">
        <v>83</v>
      </c>
      <c r="H27" s="484" t="s">
        <v>173</v>
      </c>
      <c r="I27" s="484" t="s">
        <v>83</v>
      </c>
      <c r="J27" s="484" t="s">
        <v>173</v>
      </c>
      <c r="K27" s="484" t="s">
        <v>173</v>
      </c>
      <c r="L27" s="484" t="s">
        <v>83</v>
      </c>
      <c r="M27" s="484" t="s">
        <v>83</v>
      </c>
      <c r="N27" s="484" t="s">
        <v>83</v>
      </c>
      <c r="O27" s="484" t="s">
        <v>173</v>
      </c>
      <c r="P27" s="484" t="s">
        <v>83</v>
      </c>
      <c r="Q27" s="484" t="s">
        <v>173</v>
      </c>
      <c r="R27" s="484" t="s">
        <v>173</v>
      </c>
      <c r="S27" s="484" t="s">
        <v>173</v>
      </c>
      <c r="T27" s="484" t="s">
        <v>173</v>
      </c>
      <c r="U27" s="484" t="s">
        <v>161</v>
      </c>
      <c r="V27" s="484" t="s">
        <v>173</v>
      </c>
      <c r="W27" s="484" t="s">
        <v>83</v>
      </c>
      <c r="X27" s="484" t="s">
        <v>83</v>
      </c>
      <c r="Y27" s="484" t="s">
        <v>173</v>
      </c>
      <c r="Z27" s="484" t="s">
        <v>83</v>
      </c>
      <c r="AA27" s="484" t="s">
        <v>173</v>
      </c>
      <c r="AB27" s="484" t="s">
        <v>173</v>
      </c>
      <c r="AC27" s="484" t="s">
        <v>83</v>
      </c>
      <c r="AD27" s="484" t="s">
        <v>83</v>
      </c>
      <c r="AE27" s="485" t="s">
        <v>173</v>
      </c>
      <c r="AF27" s="397"/>
      <c r="AG27" s="483" t="s">
        <v>83</v>
      </c>
      <c r="AH27" s="484" t="s">
        <v>83</v>
      </c>
      <c r="AI27" s="484" t="s">
        <v>173</v>
      </c>
      <c r="AJ27" s="484" t="s">
        <v>173</v>
      </c>
      <c r="AK27" s="484" t="s">
        <v>173</v>
      </c>
      <c r="AL27" s="484" t="s">
        <v>173</v>
      </c>
      <c r="AM27" s="484" t="s">
        <v>173</v>
      </c>
      <c r="AN27" s="484" t="s">
        <v>173</v>
      </c>
      <c r="AO27" s="484" t="s">
        <v>173</v>
      </c>
      <c r="AP27" s="484" t="s">
        <v>173</v>
      </c>
      <c r="AQ27" s="485" t="s">
        <v>173</v>
      </c>
      <c r="AR27" s="492"/>
    </row>
    <row r="28" spans="1:44" ht="22.5" customHeight="1">
      <c r="A28" s="374">
        <v>25</v>
      </c>
      <c r="B28" s="428" t="str">
        <f t="shared" ca="1" si="1"/>
        <v>ગરણિયા રાધાબેન લક્ષ્મણભાઇ</v>
      </c>
      <c r="C28" s="425">
        <f t="shared" ca="1" si="0"/>
        <v>0</v>
      </c>
      <c r="D28" s="483" t="s">
        <v>173</v>
      </c>
      <c r="E28" s="484" t="s">
        <v>83</v>
      </c>
      <c r="F28" s="484" t="s">
        <v>83</v>
      </c>
      <c r="G28" s="484" t="s">
        <v>83</v>
      </c>
      <c r="H28" s="484" t="s">
        <v>173</v>
      </c>
      <c r="I28" s="484" t="s">
        <v>83</v>
      </c>
      <c r="J28" s="484" t="s">
        <v>173</v>
      </c>
      <c r="K28" s="484" t="s">
        <v>173</v>
      </c>
      <c r="L28" s="484" t="s">
        <v>83</v>
      </c>
      <c r="M28" s="484" t="s">
        <v>83</v>
      </c>
      <c r="N28" s="484" t="s">
        <v>83</v>
      </c>
      <c r="O28" s="484" t="s">
        <v>173</v>
      </c>
      <c r="P28" s="484" t="s">
        <v>83</v>
      </c>
      <c r="Q28" s="484" t="s">
        <v>173</v>
      </c>
      <c r="R28" s="484" t="s">
        <v>173</v>
      </c>
      <c r="S28" s="484" t="s">
        <v>173</v>
      </c>
      <c r="T28" s="484" t="s">
        <v>173</v>
      </c>
      <c r="U28" s="484" t="s">
        <v>161</v>
      </c>
      <c r="V28" s="484" t="s">
        <v>173</v>
      </c>
      <c r="W28" s="484" t="s">
        <v>83</v>
      </c>
      <c r="X28" s="484" t="s">
        <v>83</v>
      </c>
      <c r="Y28" s="484" t="s">
        <v>173</v>
      </c>
      <c r="Z28" s="484" t="s">
        <v>83</v>
      </c>
      <c r="AA28" s="484" t="s">
        <v>173</v>
      </c>
      <c r="AB28" s="484" t="s">
        <v>173</v>
      </c>
      <c r="AC28" s="484" t="s">
        <v>83</v>
      </c>
      <c r="AD28" s="484" t="s">
        <v>83</v>
      </c>
      <c r="AE28" s="485" t="s">
        <v>173</v>
      </c>
      <c r="AF28" s="397"/>
      <c r="AG28" s="483" t="s">
        <v>83</v>
      </c>
      <c r="AH28" s="484" t="s">
        <v>83</v>
      </c>
      <c r="AI28" s="484" t="s">
        <v>173</v>
      </c>
      <c r="AJ28" s="484" t="s">
        <v>173</v>
      </c>
      <c r="AK28" s="484" t="s">
        <v>173</v>
      </c>
      <c r="AL28" s="484" t="s">
        <v>173</v>
      </c>
      <c r="AM28" s="484" t="s">
        <v>173</v>
      </c>
      <c r="AN28" s="484" t="s">
        <v>173</v>
      </c>
      <c r="AO28" s="484" t="s">
        <v>173</v>
      </c>
      <c r="AP28" s="484" t="s">
        <v>173</v>
      </c>
      <c r="AQ28" s="485" t="s">
        <v>173</v>
      </c>
      <c r="AR28" s="492"/>
    </row>
    <row r="29" spans="1:44" ht="22.5" customHeight="1">
      <c r="A29" s="374">
        <v>26</v>
      </c>
      <c r="B29" s="428" t="str">
        <f t="shared" ca="1" si="1"/>
        <v>ગૌસ્વામિ મયુરીબેન રમેશગીરી</v>
      </c>
      <c r="C29" s="425">
        <f t="shared" ca="1" si="0"/>
        <v>0</v>
      </c>
      <c r="D29" s="483" t="s">
        <v>173</v>
      </c>
      <c r="E29" s="484" t="s">
        <v>83</v>
      </c>
      <c r="F29" s="484" t="s">
        <v>83</v>
      </c>
      <c r="G29" s="484" t="s">
        <v>83</v>
      </c>
      <c r="H29" s="484" t="s">
        <v>173</v>
      </c>
      <c r="I29" s="484" t="s">
        <v>83</v>
      </c>
      <c r="J29" s="484" t="s">
        <v>173</v>
      </c>
      <c r="K29" s="484" t="s">
        <v>173</v>
      </c>
      <c r="L29" s="484" t="s">
        <v>83</v>
      </c>
      <c r="M29" s="484" t="s">
        <v>83</v>
      </c>
      <c r="N29" s="484" t="s">
        <v>83</v>
      </c>
      <c r="O29" s="484" t="s">
        <v>173</v>
      </c>
      <c r="P29" s="484" t="s">
        <v>83</v>
      </c>
      <c r="Q29" s="484" t="s">
        <v>173</v>
      </c>
      <c r="R29" s="484" t="s">
        <v>173</v>
      </c>
      <c r="S29" s="484" t="s">
        <v>173</v>
      </c>
      <c r="T29" s="484" t="s">
        <v>173</v>
      </c>
      <c r="U29" s="484" t="s">
        <v>161</v>
      </c>
      <c r="V29" s="484" t="s">
        <v>173</v>
      </c>
      <c r="W29" s="484" t="s">
        <v>83</v>
      </c>
      <c r="X29" s="484" t="s">
        <v>83</v>
      </c>
      <c r="Y29" s="484" t="s">
        <v>173</v>
      </c>
      <c r="Z29" s="484" t="s">
        <v>83</v>
      </c>
      <c r="AA29" s="484" t="s">
        <v>173</v>
      </c>
      <c r="AB29" s="484" t="s">
        <v>173</v>
      </c>
      <c r="AC29" s="484" t="s">
        <v>83</v>
      </c>
      <c r="AD29" s="484" t="s">
        <v>83</v>
      </c>
      <c r="AE29" s="485" t="s">
        <v>173</v>
      </c>
      <c r="AF29" s="397"/>
      <c r="AG29" s="483" t="s">
        <v>83</v>
      </c>
      <c r="AH29" s="484" t="s">
        <v>83</v>
      </c>
      <c r="AI29" s="484" t="s">
        <v>173</v>
      </c>
      <c r="AJ29" s="484" t="s">
        <v>173</v>
      </c>
      <c r="AK29" s="484" t="s">
        <v>173</v>
      </c>
      <c r="AL29" s="484" t="s">
        <v>173</v>
      </c>
      <c r="AM29" s="484" t="s">
        <v>173</v>
      </c>
      <c r="AN29" s="484" t="s">
        <v>173</v>
      </c>
      <c r="AO29" s="484" t="s">
        <v>173</v>
      </c>
      <c r="AP29" s="484" t="s">
        <v>173</v>
      </c>
      <c r="AQ29" s="485" t="s">
        <v>173</v>
      </c>
      <c r="AR29" s="492"/>
    </row>
    <row r="30" spans="1:44" ht="22.5" customHeight="1">
      <c r="A30" s="374">
        <v>27</v>
      </c>
      <c r="B30" s="428" t="str">
        <f t="shared" ca="1" si="1"/>
        <v>બતાડા જાનકી વાલાભાઇ</v>
      </c>
      <c r="C30" s="425">
        <f t="shared" ca="1" si="0"/>
        <v>0</v>
      </c>
      <c r="D30" s="483" t="s">
        <v>173</v>
      </c>
      <c r="E30" s="484" t="s">
        <v>83</v>
      </c>
      <c r="F30" s="484" t="s">
        <v>83</v>
      </c>
      <c r="G30" s="484" t="s">
        <v>83</v>
      </c>
      <c r="H30" s="484" t="s">
        <v>173</v>
      </c>
      <c r="I30" s="484" t="s">
        <v>83</v>
      </c>
      <c r="J30" s="484" t="s">
        <v>173</v>
      </c>
      <c r="K30" s="484" t="s">
        <v>173</v>
      </c>
      <c r="L30" s="484" t="s">
        <v>83</v>
      </c>
      <c r="M30" s="484" t="s">
        <v>83</v>
      </c>
      <c r="N30" s="484" t="s">
        <v>83</v>
      </c>
      <c r="O30" s="484" t="s">
        <v>173</v>
      </c>
      <c r="P30" s="484" t="s">
        <v>83</v>
      </c>
      <c r="Q30" s="484" t="s">
        <v>173</v>
      </c>
      <c r="R30" s="484" t="s">
        <v>173</v>
      </c>
      <c r="S30" s="484" t="s">
        <v>173</v>
      </c>
      <c r="T30" s="484" t="s">
        <v>173</v>
      </c>
      <c r="U30" s="484" t="s">
        <v>161</v>
      </c>
      <c r="V30" s="484" t="s">
        <v>173</v>
      </c>
      <c r="W30" s="484" t="s">
        <v>83</v>
      </c>
      <c r="X30" s="484" t="s">
        <v>83</v>
      </c>
      <c r="Y30" s="484" t="s">
        <v>173</v>
      </c>
      <c r="Z30" s="484" t="s">
        <v>83</v>
      </c>
      <c r="AA30" s="484" t="s">
        <v>173</v>
      </c>
      <c r="AB30" s="484" t="s">
        <v>173</v>
      </c>
      <c r="AC30" s="484" t="s">
        <v>83</v>
      </c>
      <c r="AD30" s="484" t="s">
        <v>83</v>
      </c>
      <c r="AE30" s="485" t="s">
        <v>173</v>
      </c>
      <c r="AF30" s="397"/>
      <c r="AG30" s="483" t="s">
        <v>83</v>
      </c>
      <c r="AH30" s="484" t="s">
        <v>83</v>
      </c>
      <c r="AI30" s="484" t="s">
        <v>173</v>
      </c>
      <c r="AJ30" s="484" t="s">
        <v>173</v>
      </c>
      <c r="AK30" s="484" t="s">
        <v>173</v>
      </c>
      <c r="AL30" s="484" t="s">
        <v>173</v>
      </c>
      <c r="AM30" s="484" t="s">
        <v>173</v>
      </c>
      <c r="AN30" s="484" t="s">
        <v>173</v>
      </c>
      <c r="AO30" s="484" t="s">
        <v>173</v>
      </c>
      <c r="AP30" s="484" t="s">
        <v>173</v>
      </c>
      <c r="AQ30" s="485" t="s">
        <v>173</v>
      </c>
      <c r="AR30" s="492"/>
    </row>
    <row r="31" spans="1:44" ht="22.5" customHeight="1">
      <c r="A31" s="374">
        <v>28</v>
      </c>
      <c r="B31" s="428" t="str">
        <f t="shared" ca="1" si="1"/>
        <v>બતાડા ક્રિષ્નાબેન દેવશીભાઇ</v>
      </c>
      <c r="C31" s="425">
        <f t="shared" ca="1" si="0"/>
        <v>0</v>
      </c>
      <c r="D31" s="483" t="s">
        <v>173</v>
      </c>
      <c r="E31" s="484" t="s">
        <v>83</v>
      </c>
      <c r="F31" s="484" t="s">
        <v>83</v>
      </c>
      <c r="G31" s="484" t="s">
        <v>83</v>
      </c>
      <c r="H31" s="484" t="s">
        <v>173</v>
      </c>
      <c r="I31" s="484" t="s">
        <v>83</v>
      </c>
      <c r="J31" s="484" t="s">
        <v>173</v>
      </c>
      <c r="K31" s="484" t="s">
        <v>173</v>
      </c>
      <c r="L31" s="484" t="s">
        <v>83</v>
      </c>
      <c r="M31" s="484" t="s">
        <v>83</v>
      </c>
      <c r="N31" s="484" t="s">
        <v>83</v>
      </c>
      <c r="O31" s="484" t="s">
        <v>173</v>
      </c>
      <c r="P31" s="484" t="s">
        <v>83</v>
      </c>
      <c r="Q31" s="484" t="s">
        <v>173</v>
      </c>
      <c r="R31" s="484" t="s">
        <v>173</v>
      </c>
      <c r="S31" s="484" t="s">
        <v>173</v>
      </c>
      <c r="T31" s="484" t="s">
        <v>173</v>
      </c>
      <c r="U31" s="484" t="s">
        <v>161</v>
      </c>
      <c r="V31" s="484" t="s">
        <v>173</v>
      </c>
      <c r="W31" s="484" t="s">
        <v>83</v>
      </c>
      <c r="X31" s="484" t="s">
        <v>83</v>
      </c>
      <c r="Y31" s="484" t="s">
        <v>173</v>
      </c>
      <c r="Z31" s="484" t="s">
        <v>83</v>
      </c>
      <c r="AA31" s="484" t="s">
        <v>173</v>
      </c>
      <c r="AB31" s="484" t="s">
        <v>173</v>
      </c>
      <c r="AC31" s="484" t="s">
        <v>83</v>
      </c>
      <c r="AD31" s="484" t="s">
        <v>83</v>
      </c>
      <c r="AE31" s="485" t="s">
        <v>173</v>
      </c>
      <c r="AF31" s="397"/>
      <c r="AG31" s="483" t="s">
        <v>83</v>
      </c>
      <c r="AH31" s="484" t="s">
        <v>83</v>
      </c>
      <c r="AI31" s="484" t="s">
        <v>173</v>
      </c>
      <c r="AJ31" s="484" t="s">
        <v>173</v>
      </c>
      <c r="AK31" s="484" t="s">
        <v>173</v>
      </c>
      <c r="AL31" s="484" t="s">
        <v>173</v>
      </c>
      <c r="AM31" s="484" t="s">
        <v>173</v>
      </c>
      <c r="AN31" s="484" t="s">
        <v>173</v>
      </c>
      <c r="AO31" s="484" t="s">
        <v>173</v>
      </c>
      <c r="AP31" s="484" t="s">
        <v>173</v>
      </c>
      <c r="AQ31" s="485" t="s">
        <v>173</v>
      </c>
      <c r="AR31" s="492"/>
    </row>
    <row r="32" spans="1:44" ht="22.5" customHeight="1">
      <c r="A32" s="374">
        <v>29</v>
      </c>
      <c r="B32" s="428" t="str">
        <f t="shared" ca="1" si="1"/>
        <v>પરમાર અનિષા રમેશભાઇ</v>
      </c>
      <c r="C32" s="425">
        <f t="shared" ca="1" si="0"/>
        <v>0</v>
      </c>
      <c r="D32" s="483" t="s">
        <v>173</v>
      </c>
      <c r="E32" s="484" t="s">
        <v>83</v>
      </c>
      <c r="F32" s="484" t="s">
        <v>83</v>
      </c>
      <c r="G32" s="484" t="s">
        <v>83</v>
      </c>
      <c r="H32" s="484" t="s">
        <v>173</v>
      </c>
      <c r="I32" s="484" t="s">
        <v>83</v>
      </c>
      <c r="J32" s="484" t="s">
        <v>173</v>
      </c>
      <c r="K32" s="484" t="s">
        <v>173</v>
      </c>
      <c r="L32" s="484" t="s">
        <v>83</v>
      </c>
      <c r="M32" s="484" t="s">
        <v>83</v>
      </c>
      <c r="N32" s="484" t="s">
        <v>83</v>
      </c>
      <c r="O32" s="484" t="s">
        <v>173</v>
      </c>
      <c r="P32" s="484" t="s">
        <v>83</v>
      </c>
      <c r="Q32" s="484" t="s">
        <v>173</v>
      </c>
      <c r="R32" s="484" t="s">
        <v>173</v>
      </c>
      <c r="S32" s="484" t="s">
        <v>173</v>
      </c>
      <c r="T32" s="484" t="s">
        <v>173</v>
      </c>
      <c r="U32" s="484" t="s">
        <v>161</v>
      </c>
      <c r="V32" s="484" t="s">
        <v>173</v>
      </c>
      <c r="W32" s="484" t="s">
        <v>83</v>
      </c>
      <c r="X32" s="484" t="s">
        <v>83</v>
      </c>
      <c r="Y32" s="484" t="s">
        <v>173</v>
      </c>
      <c r="Z32" s="484" t="s">
        <v>83</v>
      </c>
      <c r="AA32" s="484" t="s">
        <v>173</v>
      </c>
      <c r="AB32" s="484" t="s">
        <v>173</v>
      </c>
      <c r="AC32" s="484" t="s">
        <v>83</v>
      </c>
      <c r="AD32" s="484" t="s">
        <v>83</v>
      </c>
      <c r="AE32" s="485" t="s">
        <v>173</v>
      </c>
      <c r="AF32" s="397"/>
      <c r="AG32" s="483" t="s">
        <v>83</v>
      </c>
      <c r="AH32" s="484" t="s">
        <v>83</v>
      </c>
      <c r="AI32" s="484" t="s">
        <v>173</v>
      </c>
      <c r="AJ32" s="484" t="s">
        <v>173</v>
      </c>
      <c r="AK32" s="484" t="s">
        <v>173</v>
      </c>
      <c r="AL32" s="484" t="s">
        <v>173</v>
      </c>
      <c r="AM32" s="484" t="s">
        <v>173</v>
      </c>
      <c r="AN32" s="484" t="s">
        <v>173</v>
      </c>
      <c r="AO32" s="484" t="s">
        <v>173</v>
      </c>
      <c r="AP32" s="484" t="s">
        <v>173</v>
      </c>
      <c r="AQ32" s="485" t="s">
        <v>173</v>
      </c>
      <c r="AR32" s="492"/>
    </row>
    <row r="33" spans="1:44" ht="22.5" customHeight="1">
      <c r="A33" s="374">
        <v>30</v>
      </c>
      <c r="B33" s="428" t="str">
        <f t="shared" ca="1" si="1"/>
        <v>મકરૂબિયા નમ્રતા વશરામભાઇ</v>
      </c>
      <c r="C33" s="425">
        <f t="shared" ca="1" si="0"/>
        <v>0</v>
      </c>
      <c r="D33" s="483" t="s">
        <v>173</v>
      </c>
      <c r="E33" s="484" t="s">
        <v>83</v>
      </c>
      <c r="F33" s="484" t="s">
        <v>83</v>
      </c>
      <c r="G33" s="484" t="s">
        <v>83</v>
      </c>
      <c r="H33" s="484" t="s">
        <v>173</v>
      </c>
      <c r="I33" s="484" t="s">
        <v>83</v>
      </c>
      <c r="J33" s="484" t="s">
        <v>173</v>
      </c>
      <c r="K33" s="484" t="s">
        <v>173</v>
      </c>
      <c r="L33" s="484" t="s">
        <v>83</v>
      </c>
      <c r="M33" s="484" t="s">
        <v>83</v>
      </c>
      <c r="N33" s="484" t="s">
        <v>83</v>
      </c>
      <c r="O33" s="484" t="s">
        <v>173</v>
      </c>
      <c r="P33" s="484" t="s">
        <v>83</v>
      </c>
      <c r="Q33" s="484" t="s">
        <v>173</v>
      </c>
      <c r="R33" s="484" t="s">
        <v>173</v>
      </c>
      <c r="S33" s="484" t="s">
        <v>173</v>
      </c>
      <c r="T33" s="484" t="s">
        <v>173</v>
      </c>
      <c r="U33" s="484" t="s">
        <v>161</v>
      </c>
      <c r="V33" s="484" t="s">
        <v>173</v>
      </c>
      <c r="W33" s="484" t="s">
        <v>83</v>
      </c>
      <c r="X33" s="484" t="s">
        <v>83</v>
      </c>
      <c r="Y33" s="484" t="s">
        <v>173</v>
      </c>
      <c r="Z33" s="484" t="s">
        <v>83</v>
      </c>
      <c r="AA33" s="484" t="s">
        <v>173</v>
      </c>
      <c r="AB33" s="484" t="s">
        <v>173</v>
      </c>
      <c r="AC33" s="484" t="s">
        <v>83</v>
      </c>
      <c r="AD33" s="484" t="s">
        <v>83</v>
      </c>
      <c r="AE33" s="485" t="s">
        <v>173</v>
      </c>
      <c r="AF33" s="397"/>
      <c r="AG33" s="483" t="s">
        <v>83</v>
      </c>
      <c r="AH33" s="484" t="s">
        <v>83</v>
      </c>
      <c r="AI33" s="484" t="s">
        <v>173</v>
      </c>
      <c r="AJ33" s="484" t="s">
        <v>173</v>
      </c>
      <c r="AK33" s="484" t="s">
        <v>173</v>
      </c>
      <c r="AL33" s="484" t="s">
        <v>173</v>
      </c>
      <c r="AM33" s="484" t="s">
        <v>173</v>
      </c>
      <c r="AN33" s="484" t="s">
        <v>173</v>
      </c>
      <c r="AO33" s="484" t="s">
        <v>173</v>
      </c>
      <c r="AP33" s="484" t="s">
        <v>173</v>
      </c>
      <c r="AQ33" s="485" t="s">
        <v>173</v>
      </c>
      <c r="AR33" s="492"/>
    </row>
    <row r="34" spans="1:44" ht="22.5" customHeight="1">
      <c r="A34" s="374">
        <v>31</v>
      </c>
      <c r="B34" s="428">
        <f t="shared" ca="1" si="1"/>
        <v>0</v>
      </c>
      <c r="C34" s="425">
        <f t="shared" ca="1" si="0"/>
        <v>0</v>
      </c>
      <c r="D34" s="483" t="s">
        <v>173</v>
      </c>
      <c r="E34" s="484" t="s">
        <v>83</v>
      </c>
      <c r="F34" s="484" t="s">
        <v>83</v>
      </c>
      <c r="G34" s="484" t="s">
        <v>83</v>
      </c>
      <c r="H34" s="484" t="s">
        <v>173</v>
      </c>
      <c r="I34" s="484" t="s">
        <v>83</v>
      </c>
      <c r="J34" s="484" t="s">
        <v>173</v>
      </c>
      <c r="K34" s="484" t="s">
        <v>173</v>
      </c>
      <c r="L34" s="484" t="s">
        <v>83</v>
      </c>
      <c r="M34" s="484" t="s">
        <v>83</v>
      </c>
      <c r="N34" s="484" t="s">
        <v>83</v>
      </c>
      <c r="O34" s="484" t="s">
        <v>173</v>
      </c>
      <c r="P34" s="484" t="s">
        <v>83</v>
      </c>
      <c r="Q34" s="484" t="s">
        <v>173</v>
      </c>
      <c r="R34" s="484" t="s">
        <v>173</v>
      </c>
      <c r="S34" s="484" t="s">
        <v>173</v>
      </c>
      <c r="T34" s="484" t="s">
        <v>173</v>
      </c>
      <c r="U34" s="484" t="s">
        <v>161</v>
      </c>
      <c r="V34" s="484" t="s">
        <v>173</v>
      </c>
      <c r="W34" s="484" t="s">
        <v>83</v>
      </c>
      <c r="X34" s="484" t="s">
        <v>83</v>
      </c>
      <c r="Y34" s="484" t="s">
        <v>173</v>
      </c>
      <c r="Z34" s="484" t="s">
        <v>83</v>
      </c>
      <c r="AA34" s="484" t="s">
        <v>173</v>
      </c>
      <c r="AB34" s="484" t="s">
        <v>173</v>
      </c>
      <c r="AC34" s="484" t="s">
        <v>83</v>
      </c>
      <c r="AD34" s="484" t="s">
        <v>83</v>
      </c>
      <c r="AE34" s="485" t="s">
        <v>173</v>
      </c>
      <c r="AF34" s="397"/>
      <c r="AG34" s="483" t="s">
        <v>83</v>
      </c>
      <c r="AH34" s="484" t="s">
        <v>83</v>
      </c>
      <c r="AI34" s="484" t="s">
        <v>173</v>
      </c>
      <c r="AJ34" s="484" t="s">
        <v>173</v>
      </c>
      <c r="AK34" s="484" t="s">
        <v>173</v>
      </c>
      <c r="AL34" s="484" t="s">
        <v>173</v>
      </c>
      <c r="AM34" s="484" t="s">
        <v>173</v>
      </c>
      <c r="AN34" s="484" t="s">
        <v>173</v>
      </c>
      <c r="AO34" s="484" t="s">
        <v>173</v>
      </c>
      <c r="AP34" s="484" t="s">
        <v>173</v>
      </c>
      <c r="AQ34" s="485" t="s">
        <v>173</v>
      </c>
      <c r="AR34" s="492"/>
    </row>
    <row r="35" spans="1:44" ht="22.5" customHeight="1">
      <c r="A35" s="374">
        <v>32</v>
      </c>
      <c r="B35" s="428">
        <f t="shared" ca="1" si="1"/>
        <v>0</v>
      </c>
      <c r="C35" s="425">
        <f t="shared" ca="1" si="0"/>
        <v>0</v>
      </c>
      <c r="D35" s="483" t="s">
        <v>173</v>
      </c>
      <c r="E35" s="484" t="s">
        <v>83</v>
      </c>
      <c r="F35" s="484" t="s">
        <v>83</v>
      </c>
      <c r="G35" s="484" t="s">
        <v>83</v>
      </c>
      <c r="H35" s="484" t="s">
        <v>173</v>
      </c>
      <c r="I35" s="484" t="s">
        <v>83</v>
      </c>
      <c r="J35" s="484" t="s">
        <v>173</v>
      </c>
      <c r="K35" s="484" t="s">
        <v>173</v>
      </c>
      <c r="L35" s="484" t="s">
        <v>83</v>
      </c>
      <c r="M35" s="484" t="s">
        <v>83</v>
      </c>
      <c r="N35" s="484" t="s">
        <v>83</v>
      </c>
      <c r="O35" s="484" t="s">
        <v>173</v>
      </c>
      <c r="P35" s="484" t="s">
        <v>83</v>
      </c>
      <c r="Q35" s="484" t="s">
        <v>173</v>
      </c>
      <c r="R35" s="484" t="s">
        <v>173</v>
      </c>
      <c r="S35" s="484" t="s">
        <v>173</v>
      </c>
      <c r="T35" s="484" t="s">
        <v>173</v>
      </c>
      <c r="U35" s="484" t="s">
        <v>161</v>
      </c>
      <c r="V35" s="484" t="s">
        <v>173</v>
      </c>
      <c r="W35" s="484" t="s">
        <v>83</v>
      </c>
      <c r="X35" s="484" t="s">
        <v>83</v>
      </c>
      <c r="Y35" s="484" t="s">
        <v>173</v>
      </c>
      <c r="Z35" s="484" t="s">
        <v>83</v>
      </c>
      <c r="AA35" s="484" t="s">
        <v>173</v>
      </c>
      <c r="AB35" s="484" t="s">
        <v>173</v>
      </c>
      <c r="AC35" s="484" t="s">
        <v>83</v>
      </c>
      <c r="AD35" s="484" t="s">
        <v>83</v>
      </c>
      <c r="AE35" s="485" t="s">
        <v>173</v>
      </c>
      <c r="AF35" s="397"/>
      <c r="AG35" s="483" t="s">
        <v>83</v>
      </c>
      <c r="AH35" s="484" t="s">
        <v>83</v>
      </c>
      <c r="AI35" s="484" t="s">
        <v>173</v>
      </c>
      <c r="AJ35" s="484" t="s">
        <v>173</v>
      </c>
      <c r="AK35" s="484" t="s">
        <v>173</v>
      </c>
      <c r="AL35" s="484" t="s">
        <v>173</v>
      </c>
      <c r="AM35" s="484" t="s">
        <v>173</v>
      </c>
      <c r="AN35" s="484" t="s">
        <v>173</v>
      </c>
      <c r="AO35" s="484" t="s">
        <v>173</v>
      </c>
      <c r="AP35" s="484" t="s">
        <v>173</v>
      </c>
      <c r="AQ35" s="485" t="s">
        <v>173</v>
      </c>
      <c r="AR35" s="492"/>
    </row>
    <row r="36" spans="1:44" ht="22.5" customHeight="1">
      <c r="A36" s="374">
        <v>33</v>
      </c>
      <c r="B36" s="428">
        <f t="shared" ca="1" si="1"/>
        <v>0</v>
      </c>
      <c r="C36" s="425">
        <f t="shared" ca="1" si="0"/>
        <v>0</v>
      </c>
      <c r="D36" s="483" t="s">
        <v>173</v>
      </c>
      <c r="E36" s="484" t="s">
        <v>83</v>
      </c>
      <c r="F36" s="484" t="s">
        <v>83</v>
      </c>
      <c r="G36" s="484" t="s">
        <v>83</v>
      </c>
      <c r="H36" s="484" t="s">
        <v>173</v>
      </c>
      <c r="I36" s="484" t="s">
        <v>83</v>
      </c>
      <c r="J36" s="484" t="s">
        <v>173</v>
      </c>
      <c r="K36" s="484" t="s">
        <v>173</v>
      </c>
      <c r="L36" s="484" t="s">
        <v>83</v>
      </c>
      <c r="M36" s="484" t="s">
        <v>83</v>
      </c>
      <c r="N36" s="484" t="s">
        <v>83</v>
      </c>
      <c r="O36" s="484" t="s">
        <v>173</v>
      </c>
      <c r="P36" s="484" t="s">
        <v>83</v>
      </c>
      <c r="Q36" s="484" t="s">
        <v>173</v>
      </c>
      <c r="R36" s="484" t="s">
        <v>173</v>
      </c>
      <c r="S36" s="484" t="s">
        <v>173</v>
      </c>
      <c r="T36" s="484" t="s">
        <v>173</v>
      </c>
      <c r="U36" s="484" t="s">
        <v>161</v>
      </c>
      <c r="V36" s="484" t="s">
        <v>173</v>
      </c>
      <c r="W36" s="484" t="s">
        <v>83</v>
      </c>
      <c r="X36" s="484" t="s">
        <v>83</v>
      </c>
      <c r="Y36" s="484" t="s">
        <v>173</v>
      </c>
      <c r="Z36" s="484" t="s">
        <v>83</v>
      </c>
      <c r="AA36" s="484" t="s">
        <v>173</v>
      </c>
      <c r="AB36" s="484" t="s">
        <v>173</v>
      </c>
      <c r="AC36" s="484" t="s">
        <v>83</v>
      </c>
      <c r="AD36" s="484" t="s">
        <v>83</v>
      </c>
      <c r="AE36" s="485" t="s">
        <v>173</v>
      </c>
      <c r="AF36" s="397"/>
      <c r="AG36" s="483" t="s">
        <v>83</v>
      </c>
      <c r="AH36" s="484" t="s">
        <v>83</v>
      </c>
      <c r="AI36" s="484" t="s">
        <v>173</v>
      </c>
      <c r="AJ36" s="484" t="s">
        <v>173</v>
      </c>
      <c r="AK36" s="484" t="s">
        <v>173</v>
      </c>
      <c r="AL36" s="484" t="s">
        <v>173</v>
      </c>
      <c r="AM36" s="484" t="s">
        <v>173</v>
      </c>
      <c r="AN36" s="484" t="s">
        <v>173</v>
      </c>
      <c r="AO36" s="484" t="s">
        <v>173</v>
      </c>
      <c r="AP36" s="484" t="s">
        <v>173</v>
      </c>
      <c r="AQ36" s="485" t="s">
        <v>173</v>
      </c>
      <c r="AR36" s="492"/>
    </row>
    <row r="37" spans="1:44" ht="22.5" customHeight="1">
      <c r="A37" s="374">
        <v>34</v>
      </c>
      <c r="B37" s="428">
        <f t="shared" ca="1" si="1"/>
        <v>0</v>
      </c>
      <c r="C37" s="425">
        <f t="shared" ca="1" si="0"/>
        <v>0</v>
      </c>
      <c r="D37" s="483" t="s">
        <v>173</v>
      </c>
      <c r="E37" s="484" t="s">
        <v>83</v>
      </c>
      <c r="F37" s="484" t="s">
        <v>83</v>
      </c>
      <c r="G37" s="484" t="s">
        <v>83</v>
      </c>
      <c r="H37" s="484" t="s">
        <v>173</v>
      </c>
      <c r="I37" s="484" t="s">
        <v>83</v>
      </c>
      <c r="J37" s="484" t="s">
        <v>173</v>
      </c>
      <c r="K37" s="484" t="s">
        <v>173</v>
      </c>
      <c r="L37" s="484" t="s">
        <v>83</v>
      </c>
      <c r="M37" s="484" t="s">
        <v>83</v>
      </c>
      <c r="N37" s="484" t="s">
        <v>83</v>
      </c>
      <c r="O37" s="484" t="s">
        <v>173</v>
      </c>
      <c r="P37" s="484" t="s">
        <v>83</v>
      </c>
      <c r="Q37" s="484" t="s">
        <v>173</v>
      </c>
      <c r="R37" s="484" t="s">
        <v>173</v>
      </c>
      <c r="S37" s="484" t="s">
        <v>173</v>
      </c>
      <c r="T37" s="484" t="s">
        <v>173</v>
      </c>
      <c r="U37" s="484" t="s">
        <v>161</v>
      </c>
      <c r="V37" s="484" t="s">
        <v>173</v>
      </c>
      <c r="W37" s="484" t="s">
        <v>83</v>
      </c>
      <c r="X37" s="484" t="s">
        <v>83</v>
      </c>
      <c r="Y37" s="484" t="s">
        <v>173</v>
      </c>
      <c r="Z37" s="484" t="s">
        <v>83</v>
      </c>
      <c r="AA37" s="484" t="s">
        <v>173</v>
      </c>
      <c r="AB37" s="484" t="s">
        <v>173</v>
      </c>
      <c r="AC37" s="484" t="s">
        <v>83</v>
      </c>
      <c r="AD37" s="484" t="s">
        <v>83</v>
      </c>
      <c r="AE37" s="485" t="s">
        <v>173</v>
      </c>
      <c r="AF37" s="397"/>
      <c r="AG37" s="483" t="s">
        <v>83</v>
      </c>
      <c r="AH37" s="484" t="s">
        <v>83</v>
      </c>
      <c r="AI37" s="484" t="s">
        <v>173</v>
      </c>
      <c r="AJ37" s="484" t="s">
        <v>173</v>
      </c>
      <c r="AK37" s="484" t="s">
        <v>173</v>
      </c>
      <c r="AL37" s="484" t="s">
        <v>173</v>
      </c>
      <c r="AM37" s="484" t="s">
        <v>173</v>
      </c>
      <c r="AN37" s="484" t="s">
        <v>173</v>
      </c>
      <c r="AO37" s="484" t="s">
        <v>173</v>
      </c>
      <c r="AP37" s="484" t="s">
        <v>173</v>
      </c>
      <c r="AQ37" s="485" t="s">
        <v>173</v>
      </c>
      <c r="AR37" s="492"/>
    </row>
    <row r="38" spans="1:44" ht="22.5" customHeight="1">
      <c r="A38" s="375">
        <v>35</v>
      </c>
      <c r="B38" s="429">
        <f t="shared" ca="1" si="1"/>
        <v>0</v>
      </c>
      <c r="C38" s="426">
        <f t="shared" ca="1" si="0"/>
        <v>0</v>
      </c>
      <c r="D38" s="486" t="s">
        <v>173</v>
      </c>
      <c r="E38" s="487" t="s">
        <v>83</v>
      </c>
      <c r="F38" s="487" t="s">
        <v>83</v>
      </c>
      <c r="G38" s="487" t="s">
        <v>83</v>
      </c>
      <c r="H38" s="487" t="s">
        <v>173</v>
      </c>
      <c r="I38" s="487" t="s">
        <v>83</v>
      </c>
      <c r="J38" s="487" t="s">
        <v>173</v>
      </c>
      <c r="K38" s="487" t="s">
        <v>173</v>
      </c>
      <c r="L38" s="487" t="s">
        <v>83</v>
      </c>
      <c r="M38" s="487" t="s">
        <v>83</v>
      </c>
      <c r="N38" s="487" t="s">
        <v>83</v>
      </c>
      <c r="O38" s="487" t="s">
        <v>173</v>
      </c>
      <c r="P38" s="487" t="s">
        <v>83</v>
      </c>
      <c r="Q38" s="487" t="s">
        <v>173</v>
      </c>
      <c r="R38" s="487" t="s">
        <v>173</v>
      </c>
      <c r="S38" s="487" t="s">
        <v>173</v>
      </c>
      <c r="T38" s="487" t="s">
        <v>173</v>
      </c>
      <c r="U38" s="487" t="s">
        <v>161</v>
      </c>
      <c r="V38" s="487" t="s">
        <v>173</v>
      </c>
      <c r="W38" s="487" t="s">
        <v>83</v>
      </c>
      <c r="X38" s="487" t="s">
        <v>83</v>
      </c>
      <c r="Y38" s="487" t="s">
        <v>173</v>
      </c>
      <c r="Z38" s="487" t="s">
        <v>83</v>
      </c>
      <c r="AA38" s="487" t="s">
        <v>173</v>
      </c>
      <c r="AB38" s="487" t="s">
        <v>173</v>
      </c>
      <c r="AC38" s="487" t="s">
        <v>83</v>
      </c>
      <c r="AD38" s="487" t="s">
        <v>83</v>
      </c>
      <c r="AE38" s="488" t="s">
        <v>173</v>
      </c>
      <c r="AF38" s="397"/>
      <c r="AG38" s="486" t="s">
        <v>83</v>
      </c>
      <c r="AH38" s="487" t="s">
        <v>83</v>
      </c>
      <c r="AI38" s="487" t="s">
        <v>173</v>
      </c>
      <c r="AJ38" s="487" t="s">
        <v>173</v>
      </c>
      <c r="AK38" s="487" t="s">
        <v>173</v>
      </c>
      <c r="AL38" s="487" t="s">
        <v>173</v>
      </c>
      <c r="AM38" s="487" t="s">
        <v>173</v>
      </c>
      <c r="AN38" s="487" t="s">
        <v>173</v>
      </c>
      <c r="AO38" s="487" t="s">
        <v>173</v>
      </c>
      <c r="AP38" s="487" t="s">
        <v>173</v>
      </c>
      <c r="AQ38" s="488" t="s">
        <v>173</v>
      </c>
      <c r="AR38" s="493"/>
    </row>
  </sheetData>
  <sheetProtection password="DC6E" sheet="1" objects="1" scenarios="1"/>
  <mergeCells count="2">
    <mergeCell ref="AG1:AQ1"/>
    <mergeCell ref="D1:AE1"/>
  </mergeCells>
  <hyperlinks>
    <hyperlink ref="B1" location="INDEX!A1" display="INDEX"/>
  </hyperlinks>
  <pageMargins left="0.75" right="0.68" top="0.72" bottom="1" header="0.5" footer="0.5"/>
  <pageSetup paperSize="5" scale="87" orientation="portrait" horizontalDpi="300" verticalDpi="300" r:id="rId1"/>
  <headerFooter alignWithMargins="0"/>
  <colBreaks count="1" manualBreakCount="1">
    <brk id="13" max="37"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sheetPr>
  <dimension ref="A1:AV47"/>
  <sheetViews>
    <sheetView showGridLines="0" showZeros="0" view="pageBreakPreview" topLeftCell="W1" zoomScaleSheetLayoutView="100" workbookViewId="0">
      <pane ySplit="1" topLeftCell="A14" activePane="bottomLeft" state="frozen"/>
      <selection pane="bottomLeft" activeCell="AB25" sqref="AB25:AT27"/>
    </sheetView>
  </sheetViews>
  <sheetFormatPr defaultColWidth="0" defaultRowHeight="15" zeroHeight="1"/>
  <cols>
    <col min="1" max="2" width="1.7109375" style="138" customWidth="1"/>
    <col min="3" max="3" width="4" style="138" customWidth="1"/>
    <col min="4" max="4" width="6.42578125" style="138" customWidth="1"/>
    <col min="5" max="7" width="4" style="138" customWidth="1"/>
    <col min="8" max="8" width="5.5703125" style="138" customWidth="1"/>
    <col min="9" max="9" width="4" style="138" customWidth="1"/>
    <col min="10" max="10" width="5.28515625" style="138" customWidth="1"/>
    <col min="11" max="11" width="4" style="138" customWidth="1"/>
    <col min="12" max="12" width="5.140625" style="138" customWidth="1"/>
    <col min="13" max="14" width="4" style="138" customWidth="1"/>
    <col min="15" max="15" width="4.42578125" style="138" customWidth="1"/>
    <col min="16" max="16" width="5.5703125" style="138" customWidth="1"/>
    <col min="17" max="17" width="4.42578125" style="138" customWidth="1"/>
    <col min="18" max="18" width="4" style="138" customWidth="1"/>
    <col min="19" max="20" width="5.140625" style="138" customWidth="1"/>
    <col min="21" max="21" width="4.7109375" style="138" customWidth="1"/>
    <col min="22" max="22" width="5.5703125" style="138" customWidth="1"/>
    <col min="23" max="23" width="1.85546875" style="138" customWidth="1"/>
    <col min="24" max="26" width="1.7109375" style="138" customWidth="1"/>
    <col min="27" max="27" width="5" style="138" customWidth="1"/>
    <col min="28" max="28" width="4.85546875" style="138" customWidth="1"/>
    <col min="29" max="30" width="4" style="138" customWidth="1"/>
    <col min="31" max="31" width="5.28515625" style="138" customWidth="1"/>
    <col min="32" max="33" width="4" style="138" customWidth="1"/>
    <col min="34" max="34" width="5.28515625" style="138" customWidth="1"/>
    <col min="35" max="36" width="4" style="138" customWidth="1"/>
    <col min="37" max="37" width="5.28515625" style="138" customWidth="1"/>
    <col min="38" max="39" width="4" style="138" customWidth="1"/>
    <col min="40" max="40" width="5.140625" style="138" customWidth="1"/>
    <col min="41" max="42" width="4" style="138" customWidth="1"/>
    <col min="43" max="43" width="4.85546875" style="138" customWidth="1"/>
    <col min="44" max="45" width="4" style="138" customWidth="1"/>
    <col min="46" max="46" width="10.140625" style="138" customWidth="1"/>
    <col min="47" max="47" width="1.85546875" style="138" customWidth="1"/>
    <col min="48" max="48" width="1.7109375" style="138" customWidth="1"/>
    <col min="49" max="16384" width="9.140625" style="138" hidden="1"/>
  </cols>
  <sheetData>
    <row r="1" spans="1:48" ht="22.5" customHeight="1">
      <c r="A1" s="751" t="s">
        <v>492</v>
      </c>
      <c r="B1" s="751"/>
      <c r="C1" s="751"/>
      <c r="D1" s="751"/>
      <c r="I1" s="766" t="s">
        <v>207</v>
      </c>
      <c r="J1" s="766"/>
      <c r="K1" s="766"/>
      <c r="L1" s="766"/>
      <c r="M1" s="766"/>
      <c r="N1" s="766"/>
      <c r="O1" s="766"/>
      <c r="P1" s="766"/>
      <c r="Q1" s="766"/>
      <c r="R1" s="767">
        <v>1</v>
      </c>
      <c r="S1" s="767"/>
      <c r="AA1" s="768" t="s">
        <v>260</v>
      </c>
      <c r="AB1" s="768"/>
      <c r="AC1" s="768"/>
      <c r="AD1" s="768"/>
      <c r="AE1" s="768"/>
      <c r="AF1" s="768"/>
      <c r="AG1" s="768"/>
      <c r="AH1" s="768"/>
      <c r="AI1" s="768"/>
      <c r="AJ1" s="768"/>
      <c r="AK1" s="768"/>
      <c r="AL1" s="768"/>
      <c r="AM1" s="768"/>
      <c r="AN1" s="768"/>
      <c r="AO1" s="768"/>
      <c r="AP1" s="768"/>
      <c r="AQ1" s="768"/>
      <c r="AR1" s="768"/>
      <c r="AS1" s="768"/>
      <c r="AT1" s="768"/>
    </row>
    <row r="2" spans="1:48"/>
    <row r="3" spans="1:48" ht="21.75" customHeight="1" thickBot="1">
      <c r="A3" s="50"/>
      <c r="B3" s="51"/>
      <c r="C3" s="51"/>
      <c r="D3" s="51"/>
      <c r="E3" s="51"/>
      <c r="F3" s="51"/>
      <c r="G3" s="52" t="s">
        <v>184</v>
      </c>
      <c r="H3" s="52"/>
      <c r="I3" s="52"/>
      <c r="J3" s="52"/>
      <c r="K3" s="52"/>
      <c r="L3" s="52"/>
      <c r="M3" s="52"/>
      <c r="N3" s="52"/>
      <c r="O3" s="52"/>
      <c r="P3" s="52"/>
      <c r="Q3" s="52"/>
      <c r="R3" s="52"/>
      <c r="S3" s="52"/>
      <c r="T3" s="52"/>
      <c r="U3" s="52"/>
      <c r="V3" s="52"/>
      <c r="W3" s="52"/>
      <c r="X3" s="53"/>
      <c r="Y3" s="139"/>
      <c r="Z3" s="140"/>
      <c r="AA3" s="140"/>
      <c r="AB3" s="140"/>
      <c r="AC3" s="140"/>
      <c r="AD3" s="140"/>
      <c r="AE3" s="140"/>
      <c r="AF3" s="140"/>
      <c r="AG3" s="140"/>
      <c r="AH3" s="140"/>
      <c r="AI3" s="140"/>
      <c r="AJ3" s="140"/>
      <c r="AK3" s="140"/>
      <c r="AL3" s="140"/>
      <c r="AM3" s="140"/>
      <c r="AN3" s="140"/>
      <c r="AO3" s="140"/>
      <c r="AP3" s="140"/>
      <c r="AQ3" s="140"/>
      <c r="AR3" s="140"/>
      <c r="AS3" s="140"/>
      <c r="AT3" s="140"/>
      <c r="AU3" s="140"/>
      <c r="AV3" s="141"/>
    </row>
    <row r="4" spans="1:48" ht="16.5" customHeight="1">
      <c r="A4" s="54"/>
      <c r="B4" s="63"/>
      <c r="C4" s="769"/>
      <c r="D4" s="769"/>
      <c r="E4" s="769"/>
      <c r="F4" s="769"/>
      <c r="G4" s="769"/>
      <c r="H4" s="769"/>
      <c r="I4" s="769"/>
      <c r="J4" s="769"/>
      <c r="K4" s="769"/>
      <c r="L4" s="769"/>
      <c r="M4" s="769"/>
      <c r="N4" s="769"/>
      <c r="O4" s="769"/>
      <c r="P4" s="769"/>
      <c r="Q4" s="769"/>
      <c r="R4" s="769"/>
      <c r="S4" s="769"/>
      <c r="T4" s="769"/>
      <c r="U4" s="769"/>
      <c r="V4" s="769"/>
      <c r="W4" s="64"/>
      <c r="X4" s="55"/>
      <c r="Y4" s="142"/>
      <c r="Z4" s="143"/>
      <c r="AA4" s="812"/>
      <c r="AB4" s="812"/>
      <c r="AC4" s="812"/>
      <c r="AD4" s="812"/>
      <c r="AE4" s="812"/>
      <c r="AF4" s="812"/>
      <c r="AG4" s="812"/>
      <c r="AH4" s="812"/>
      <c r="AI4" s="812"/>
      <c r="AJ4" s="812"/>
      <c r="AK4" s="812"/>
      <c r="AL4" s="812"/>
      <c r="AM4" s="812"/>
      <c r="AN4" s="812"/>
      <c r="AO4" s="812"/>
      <c r="AP4" s="812"/>
      <c r="AQ4" s="812"/>
      <c r="AR4" s="812"/>
      <c r="AS4" s="812"/>
      <c r="AT4" s="812"/>
      <c r="AU4" s="145"/>
      <c r="AV4" s="146"/>
    </row>
    <row r="5" spans="1:48" ht="18" customHeight="1">
      <c r="A5" s="56"/>
      <c r="B5" s="65"/>
      <c r="C5" s="792" t="str">
        <f>SCHOOL!B8</f>
        <v>જિલ્લા પંચાયત શિક્ષણ સમિતિ, અમરેલી</v>
      </c>
      <c r="D5" s="792"/>
      <c r="E5" s="792"/>
      <c r="F5" s="792"/>
      <c r="G5" s="792"/>
      <c r="H5" s="792"/>
      <c r="I5" s="792"/>
      <c r="J5" s="792"/>
      <c r="K5" s="792"/>
      <c r="L5" s="792"/>
      <c r="M5" s="792"/>
      <c r="N5" s="792"/>
      <c r="O5" s="792"/>
      <c r="P5" s="792"/>
      <c r="Q5" s="792"/>
      <c r="R5" s="792"/>
      <c r="S5" s="792"/>
      <c r="T5" s="792"/>
      <c r="U5" s="792"/>
      <c r="V5" s="792"/>
      <c r="W5" s="66"/>
      <c r="X5" s="55"/>
      <c r="Y5" s="142"/>
      <c r="Z5" s="147"/>
      <c r="AA5" s="770" t="s">
        <v>160</v>
      </c>
      <c r="AB5" s="770"/>
      <c r="AC5" s="770"/>
      <c r="AD5" s="770"/>
      <c r="AE5" s="770"/>
      <c r="AF5" s="770"/>
      <c r="AG5" s="770"/>
      <c r="AH5" s="770"/>
      <c r="AI5" s="770"/>
      <c r="AJ5" s="770"/>
      <c r="AK5" s="770"/>
      <c r="AL5" s="770"/>
      <c r="AM5" s="770"/>
      <c r="AN5" s="770"/>
      <c r="AO5" s="770"/>
      <c r="AP5" s="770"/>
      <c r="AQ5" s="770"/>
      <c r="AR5" s="770"/>
      <c r="AS5" s="770"/>
      <c r="AT5" s="770"/>
      <c r="AU5" s="148"/>
      <c r="AV5" s="146"/>
    </row>
    <row r="6" spans="1:48" ht="18.95" customHeight="1">
      <c r="A6" s="56"/>
      <c r="B6" s="65"/>
      <c r="C6" s="377"/>
      <c r="D6" s="377"/>
      <c r="E6" s="377"/>
      <c r="F6" s="377"/>
      <c r="G6" s="377"/>
      <c r="H6" s="377"/>
      <c r="I6" s="377"/>
      <c r="J6" s="793" t="s">
        <v>418</v>
      </c>
      <c r="K6" s="793"/>
      <c r="L6" s="793"/>
      <c r="M6" s="793"/>
      <c r="N6" s="793"/>
      <c r="O6" s="793"/>
      <c r="P6" s="793"/>
      <c r="Q6" s="377"/>
      <c r="R6" s="377"/>
      <c r="S6" s="377"/>
      <c r="T6" s="377"/>
      <c r="U6" s="377"/>
      <c r="V6" s="377"/>
      <c r="W6" s="67"/>
      <c r="X6" s="55"/>
      <c r="Y6" s="142"/>
      <c r="Z6" s="147"/>
      <c r="AA6" s="385" t="s">
        <v>377</v>
      </c>
      <c r="AB6" s="777" t="s">
        <v>423</v>
      </c>
      <c r="AC6" s="777"/>
      <c r="AD6" s="777"/>
      <c r="AE6" s="777"/>
      <c r="AF6" s="777"/>
      <c r="AG6" s="777"/>
      <c r="AH6" s="777"/>
      <c r="AI6" s="777"/>
      <c r="AJ6" s="777"/>
      <c r="AK6" s="777"/>
      <c r="AL6" s="777" t="s">
        <v>427</v>
      </c>
      <c r="AM6" s="777"/>
      <c r="AN6" s="777"/>
      <c r="AO6" s="777" t="s">
        <v>428</v>
      </c>
      <c r="AP6" s="777"/>
      <c r="AQ6" s="777"/>
      <c r="AR6" s="777" t="s">
        <v>429</v>
      </c>
      <c r="AS6" s="777"/>
      <c r="AT6" s="777"/>
      <c r="AU6" s="148"/>
      <c r="AV6" s="146"/>
    </row>
    <row r="7" spans="1:48" ht="18.95" customHeight="1">
      <c r="A7" s="56"/>
      <c r="B7" s="65"/>
      <c r="C7" s="376"/>
      <c r="D7" s="376"/>
      <c r="E7" s="376"/>
      <c r="F7" s="376"/>
      <c r="G7" s="376"/>
      <c r="H7" s="376"/>
      <c r="I7" s="376"/>
      <c r="J7" s="793"/>
      <c r="K7" s="793"/>
      <c r="L7" s="793"/>
      <c r="M7" s="793"/>
      <c r="N7" s="793"/>
      <c r="O7" s="793"/>
      <c r="P7" s="793"/>
      <c r="Q7" s="376"/>
      <c r="R7" s="376"/>
      <c r="S7" s="376"/>
      <c r="T7" s="376"/>
      <c r="U7" s="376"/>
      <c r="V7" s="376"/>
      <c r="W7" s="67"/>
      <c r="X7" s="55"/>
      <c r="Y7" s="142"/>
      <c r="Z7" s="147"/>
      <c r="AA7" s="380">
        <v>1</v>
      </c>
      <c r="AB7" s="761" t="str">
        <f>'PARINAM STD-1'!AG2</f>
        <v>શાળાએ નિયમિત અને સમયસર આવે છે.</v>
      </c>
      <c r="AC7" s="762"/>
      <c r="AD7" s="762"/>
      <c r="AE7" s="762"/>
      <c r="AF7" s="762"/>
      <c r="AG7" s="762"/>
      <c r="AH7" s="762"/>
      <c r="AI7" s="762"/>
      <c r="AJ7" s="762"/>
      <c r="AK7" s="763"/>
      <c r="AL7" s="748" t="str">
        <f ca="1">IF(INDIRECT("'PARINAM STD-1'!AG"&amp;$R$1+4)="A","√","")</f>
        <v>√</v>
      </c>
      <c r="AM7" s="749"/>
      <c r="AN7" s="764"/>
      <c r="AO7" s="748" t="str">
        <f ca="1">IF(INDIRECT("'PARINAM STD-1'!AG"&amp;$R$1+4)="B","√","")</f>
        <v/>
      </c>
      <c r="AP7" s="749"/>
      <c r="AQ7" s="764"/>
      <c r="AR7" s="748" t="str">
        <f ca="1">IF(INDIRECT("'PARINAM STD-1'!AG"&amp;$R$1+4)="C","√","")</f>
        <v/>
      </c>
      <c r="AS7" s="749"/>
      <c r="AT7" s="750"/>
      <c r="AU7" s="148"/>
      <c r="AV7" s="146"/>
    </row>
    <row r="8" spans="1:48" ht="18.95" customHeight="1">
      <c r="A8" s="56"/>
      <c r="B8" s="65"/>
      <c r="C8" s="376"/>
      <c r="D8" s="376"/>
      <c r="E8" s="376"/>
      <c r="F8" s="376"/>
      <c r="G8" s="376"/>
      <c r="H8" s="376"/>
      <c r="I8" s="376"/>
      <c r="J8" s="57"/>
      <c r="K8" s="57"/>
      <c r="L8" s="57"/>
      <c r="M8" s="57"/>
      <c r="N8" s="57"/>
      <c r="O8" s="57"/>
      <c r="P8" s="57"/>
      <c r="Q8" s="376"/>
      <c r="R8" s="376"/>
      <c r="S8" s="376"/>
      <c r="T8" s="376"/>
      <c r="U8" s="376"/>
      <c r="V8" s="376"/>
      <c r="W8" s="67"/>
      <c r="X8" s="55"/>
      <c r="Y8" s="142"/>
      <c r="Z8" s="147"/>
      <c r="AA8" s="381">
        <v>2</v>
      </c>
      <c r="AB8" s="761" t="str">
        <f>'PARINAM STD-1'!AH2</f>
        <v>શરીર અને કપડાં સ્વચ્છ રાખે છે.</v>
      </c>
      <c r="AC8" s="762"/>
      <c r="AD8" s="762"/>
      <c r="AE8" s="762"/>
      <c r="AF8" s="762"/>
      <c r="AG8" s="762"/>
      <c r="AH8" s="762" t="s">
        <v>208</v>
      </c>
      <c r="AI8" s="762"/>
      <c r="AJ8" s="762"/>
      <c r="AK8" s="763"/>
      <c r="AL8" s="748" t="str">
        <f ca="1">IF(INDIRECT("'PARINAM STD-1'!AH"&amp;$R$1+4)="A","√","")</f>
        <v>√</v>
      </c>
      <c r="AM8" s="749"/>
      <c r="AN8" s="764"/>
      <c r="AO8" s="748" t="str">
        <f ca="1">IF(INDIRECT("'PARINAM STD-1'!AH"&amp;$R$1+4)="B","√","")</f>
        <v/>
      </c>
      <c r="AP8" s="749"/>
      <c r="AQ8" s="764"/>
      <c r="AR8" s="748" t="str">
        <f ca="1">IF(INDIRECT("'PARINAM STD-1'!AH"&amp;$R$1+4)="C","√","")</f>
        <v/>
      </c>
      <c r="AS8" s="749"/>
      <c r="AT8" s="750"/>
      <c r="AU8" s="148"/>
      <c r="AV8" s="146"/>
    </row>
    <row r="9" spans="1:48" ht="18.95" customHeight="1">
      <c r="A9" s="56"/>
      <c r="B9" s="65"/>
      <c r="C9" s="794" t="str">
        <f>SCHOOL!B3</f>
        <v>શ્રી ખારા પ્રાથમિક શાળા</v>
      </c>
      <c r="D9" s="794"/>
      <c r="E9" s="794"/>
      <c r="F9" s="794"/>
      <c r="G9" s="794"/>
      <c r="H9" s="794"/>
      <c r="I9" s="794"/>
      <c r="J9" s="794"/>
      <c r="K9" s="794"/>
      <c r="L9" s="794"/>
      <c r="M9" s="794"/>
      <c r="N9" s="794"/>
      <c r="O9" s="794"/>
      <c r="P9" s="794"/>
      <c r="Q9" s="794"/>
      <c r="R9" s="794"/>
      <c r="S9" s="794"/>
      <c r="T9" s="794"/>
      <c r="U9" s="794"/>
      <c r="V9" s="794"/>
      <c r="W9" s="67"/>
      <c r="X9" s="55"/>
      <c r="Y9" s="142"/>
      <c r="Z9" s="147"/>
      <c r="AA9" s="381">
        <v>3</v>
      </c>
      <c r="AB9" s="761" t="str">
        <f>'PARINAM STD-1'!AI2</f>
        <v>સમૂહમાં હળીમળીને રહે છે.</v>
      </c>
      <c r="AC9" s="762"/>
      <c r="AD9" s="762"/>
      <c r="AE9" s="762"/>
      <c r="AF9" s="762"/>
      <c r="AG9" s="762"/>
      <c r="AH9" s="762"/>
      <c r="AI9" s="762"/>
      <c r="AJ9" s="762"/>
      <c r="AK9" s="763"/>
      <c r="AL9" s="748" t="str">
        <f ca="1">IF(INDIRECT("'PARINAM STD-1'!AI"&amp;$R$1+4)="A","√","")</f>
        <v/>
      </c>
      <c r="AM9" s="749"/>
      <c r="AN9" s="764"/>
      <c r="AO9" s="748" t="str">
        <f ca="1">IF(INDIRECT("'PARINAM STD-1'!AI"&amp;$R$1+4)="B","√","")</f>
        <v>√</v>
      </c>
      <c r="AP9" s="749"/>
      <c r="AQ9" s="764"/>
      <c r="AR9" s="748" t="str">
        <f ca="1">IF(INDIRECT("'PARINAM STD-1'!AI"&amp;$R$1+4)="C","√","")</f>
        <v/>
      </c>
      <c r="AS9" s="749"/>
      <c r="AT9" s="750"/>
      <c r="AU9" s="148"/>
      <c r="AV9" s="146"/>
    </row>
    <row r="10" spans="1:48" ht="18.95" customHeight="1">
      <c r="A10" s="56"/>
      <c r="B10" s="65"/>
      <c r="C10" s="795"/>
      <c r="D10" s="795"/>
      <c r="E10" s="795"/>
      <c r="F10" s="795"/>
      <c r="G10" s="795"/>
      <c r="H10" s="795"/>
      <c r="I10" s="795"/>
      <c r="J10" s="795"/>
      <c r="K10" s="795"/>
      <c r="L10" s="795"/>
      <c r="M10" s="795"/>
      <c r="N10" s="795"/>
      <c r="O10" s="795"/>
      <c r="P10" s="795"/>
      <c r="Q10" s="795"/>
      <c r="R10" s="795"/>
      <c r="S10" s="795"/>
      <c r="T10" s="795"/>
      <c r="U10" s="795"/>
      <c r="V10" s="795"/>
      <c r="W10" s="67"/>
      <c r="X10" s="55"/>
      <c r="Y10" s="142"/>
      <c r="Z10" s="147"/>
      <c r="AA10" s="381">
        <v>4</v>
      </c>
      <c r="AB10" s="761" t="str">
        <f>'PARINAM STD-1'!AJ2</f>
        <v>વડીલો પ્રત્યે આદર ધરાવે છે.</v>
      </c>
      <c r="AC10" s="762"/>
      <c r="AD10" s="762"/>
      <c r="AE10" s="762"/>
      <c r="AF10" s="762"/>
      <c r="AG10" s="762"/>
      <c r="AH10" s="762"/>
      <c r="AI10" s="762"/>
      <c r="AJ10" s="762"/>
      <c r="AK10" s="763"/>
      <c r="AL10" s="748" t="str">
        <f ca="1">IF(INDIRECT("'PARINAM STD-1'!AJ"&amp;$R$1+4)="A","√","")</f>
        <v/>
      </c>
      <c r="AM10" s="749"/>
      <c r="AN10" s="764"/>
      <c r="AO10" s="748" t="str">
        <f ca="1">IF(INDIRECT("'PARINAM STD-1'!AJ"&amp;$R$1+4)="B","√","")</f>
        <v>√</v>
      </c>
      <c r="AP10" s="749"/>
      <c r="AQ10" s="764"/>
      <c r="AR10" s="748" t="str">
        <f ca="1">IF(INDIRECT("'PARINAM STD-1'!AJ"&amp;$R$1+4)="C","√","")</f>
        <v/>
      </c>
      <c r="AS10" s="749"/>
      <c r="AT10" s="750"/>
      <c r="AU10" s="148"/>
      <c r="AV10" s="146"/>
    </row>
    <row r="11" spans="1:48" ht="18.95" customHeight="1" thickBot="1">
      <c r="A11" s="56"/>
      <c r="B11" s="65"/>
      <c r="C11" s="796" t="s">
        <v>181</v>
      </c>
      <c r="D11" s="796"/>
      <c r="E11" s="797" t="str">
        <f>SCHOOL!B4</f>
        <v>ખારા</v>
      </c>
      <c r="F11" s="797"/>
      <c r="G11" s="797"/>
      <c r="H11" s="797"/>
      <c r="I11" s="796" t="s">
        <v>1</v>
      </c>
      <c r="J11" s="796"/>
      <c r="K11" s="797" t="str">
        <f>SCHOOL!B5</f>
        <v>લીલીયા</v>
      </c>
      <c r="L11" s="797"/>
      <c r="M11" s="797"/>
      <c r="N11" s="797"/>
      <c r="O11" s="797"/>
      <c r="P11" s="796" t="s">
        <v>2</v>
      </c>
      <c r="Q11" s="796"/>
      <c r="R11" s="797" t="str">
        <f>SCHOOL!B6</f>
        <v>અમરેલી</v>
      </c>
      <c r="S11" s="797"/>
      <c r="T11" s="797"/>
      <c r="U11" s="797"/>
      <c r="V11" s="797"/>
      <c r="W11" s="67"/>
      <c r="X11" s="55"/>
      <c r="Y11" s="142"/>
      <c r="Z11" s="147"/>
      <c r="AA11" s="381">
        <v>5</v>
      </c>
      <c r="AB11" s="761" t="str">
        <f>'PARINAM STD-1'!AK2</f>
        <v>શાળાકીય કાર્યક્રમોમાં સહકાર આપે છે.</v>
      </c>
      <c r="AC11" s="762"/>
      <c r="AD11" s="762"/>
      <c r="AE11" s="762"/>
      <c r="AF11" s="762"/>
      <c r="AG11" s="762"/>
      <c r="AH11" s="762"/>
      <c r="AI11" s="762"/>
      <c r="AJ11" s="762"/>
      <c r="AK11" s="763"/>
      <c r="AL11" s="748" t="str">
        <f ca="1">IF(INDIRECT("'PARINAM STD-1'!AK"&amp;$R$1+4)="A","√","")</f>
        <v/>
      </c>
      <c r="AM11" s="749"/>
      <c r="AN11" s="764"/>
      <c r="AO11" s="748" t="str">
        <f ca="1">IF(INDIRECT("'PARINAM STD-1'!AK"&amp;$R$1+4)="B","√","")</f>
        <v>√</v>
      </c>
      <c r="AP11" s="749"/>
      <c r="AQ11" s="764"/>
      <c r="AR11" s="748" t="str">
        <f ca="1">IF(INDIRECT("'PARINAM STD-1'!AK"&amp;$R$1+4)="C","√","")</f>
        <v/>
      </c>
      <c r="AS11" s="749"/>
      <c r="AT11" s="750"/>
      <c r="AU11" s="148"/>
      <c r="AV11" s="146"/>
    </row>
    <row r="12" spans="1:48" ht="18.95" customHeight="1">
      <c r="A12" s="56"/>
      <c r="B12" s="65"/>
      <c r="C12" s="778" t="s">
        <v>82</v>
      </c>
      <c r="D12" s="779"/>
      <c r="E12" s="779"/>
      <c r="F12" s="779"/>
      <c r="G12" s="780" t="str">
        <f ca="1">INDIRECT("STUDENTS!B"&amp;($R$1-1)*12+4)</f>
        <v>ગોહેલ રાજેશભાઇ ચીથરભાઇ</v>
      </c>
      <c r="H12" s="780"/>
      <c r="I12" s="780"/>
      <c r="J12" s="780"/>
      <c r="K12" s="780"/>
      <c r="L12" s="780"/>
      <c r="M12" s="780"/>
      <c r="N12" s="780"/>
      <c r="O12" s="780"/>
      <c r="P12" s="789" t="s">
        <v>192</v>
      </c>
      <c r="Q12" s="789"/>
      <c r="R12" s="790">
        <f ca="1">INDIRECT("STUDENTS!D"&amp;($R$1-1)*12+4)</f>
        <v>1555</v>
      </c>
      <c r="S12" s="790"/>
      <c r="T12" s="790"/>
      <c r="U12" s="790"/>
      <c r="V12" s="791"/>
      <c r="W12" s="67"/>
      <c r="X12" s="55"/>
      <c r="Y12" s="142"/>
      <c r="Z12" s="147"/>
      <c r="AA12" s="381">
        <v>6</v>
      </c>
      <c r="AB12" s="761" t="str">
        <f>'PARINAM STD-1'!AL2</f>
        <v>સત્ય બોલવાનું વલણ દાખવે છે.</v>
      </c>
      <c r="AC12" s="762"/>
      <c r="AD12" s="762"/>
      <c r="AE12" s="762"/>
      <c r="AF12" s="762"/>
      <c r="AG12" s="762"/>
      <c r="AH12" s="762"/>
      <c r="AI12" s="762"/>
      <c r="AJ12" s="762"/>
      <c r="AK12" s="763"/>
      <c r="AL12" s="748" t="str">
        <f ca="1">IF(INDIRECT("'PARINAM STD-1'!AL"&amp;$R$1+4)="A","√","")</f>
        <v/>
      </c>
      <c r="AM12" s="749"/>
      <c r="AN12" s="764"/>
      <c r="AO12" s="748" t="str">
        <f ca="1">IF(INDIRECT("'PARINAM STD-1'!AL"&amp;$R$1+4)="B","√","")</f>
        <v>√</v>
      </c>
      <c r="AP12" s="749"/>
      <c r="AQ12" s="764"/>
      <c r="AR12" s="748" t="str">
        <f ca="1">IF(INDIRECT("'PARINAM STD-1'!AL"&amp;$R$1+4)="C","√","")</f>
        <v/>
      </c>
      <c r="AS12" s="749"/>
      <c r="AT12" s="750"/>
      <c r="AU12" s="148"/>
      <c r="AV12" s="146"/>
    </row>
    <row r="13" spans="1:48" ht="18.95" customHeight="1" thickBot="1">
      <c r="A13" s="56"/>
      <c r="B13" s="65"/>
      <c r="C13" s="771" t="s">
        <v>148</v>
      </c>
      <c r="D13" s="772"/>
      <c r="E13" s="773"/>
      <c r="F13" s="773"/>
      <c r="G13" s="774" t="s">
        <v>419</v>
      </c>
      <c r="H13" s="774"/>
      <c r="I13" s="775">
        <f>R1</f>
        <v>1</v>
      </c>
      <c r="J13" s="775"/>
      <c r="K13" s="776" t="s">
        <v>420</v>
      </c>
      <c r="L13" s="776"/>
      <c r="M13" s="776"/>
      <c r="N13" s="759">
        <f ca="1">INDIRECT("STUDENTS!H"&amp;($R$1-1)*12+10)</f>
        <v>231</v>
      </c>
      <c r="O13" s="759"/>
      <c r="P13" s="759"/>
      <c r="Q13" s="776" t="s">
        <v>421</v>
      </c>
      <c r="R13" s="776"/>
      <c r="S13" s="776"/>
      <c r="T13" s="759">
        <v>233</v>
      </c>
      <c r="U13" s="759"/>
      <c r="V13" s="760"/>
      <c r="W13" s="67"/>
      <c r="X13" s="55"/>
      <c r="Y13" s="142"/>
      <c r="Z13" s="147"/>
      <c r="AA13" s="381">
        <v>7</v>
      </c>
      <c r="AB13" s="761" t="str">
        <f>'PARINAM STD-1'!AM2</f>
        <v>શિસ્તપૂર્વક વર્તે છે.</v>
      </c>
      <c r="AC13" s="762"/>
      <c r="AD13" s="762"/>
      <c r="AE13" s="762"/>
      <c r="AF13" s="762"/>
      <c r="AG13" s="762"/>
      <c r="AH13" s="762"/>
      <c r="AI13" s="762"/>
      <c r="AJ13" s="762"/>
      <c r="AK13" s="763"/>
      <c r="AL13" s="748" t="str">
        <f ca="1">IF(INDIRECT("'PARINAM STD-1'!AM"&amp;$R$1+4)="A","√","")</f>
        <v/>
      </c>
      <c r="AM13" s="749"/>
      <c r="AN13" s="764"/>
      <c r="AO13" s="748" t="str">
        <f ca="1">IF(INDIRECT("'PARINAM STD-1'!AM"&amp;$R$1+4)="B","√","")</f>
        <v>√</v>
      </c>
      <c r="AP13" s="749"/>
      <c r="AQ13" s="764"/>
      <c r="AR13" s="748" t="str">
        <f ca="1">IF(INDIRECT("'PARINAM STD-1'!AM"&amp;$R$1+4)="C","√","")</f>
        <v/>
      </c>
      <c r="AS13" s="749"/>
      <c r="AT13" s="750"/>
      <c r="AU13" s="148"/>
      <c r="AV13" s="146"/>
    </row>
    <row r="14" spans="1:48" ht="18.95" customHeight="1">
      <c r="A14" s="56"/>
      <c r="B14" s="65"/>
      <c r="C14" s="57"/>
      <c r="D14" s="57"/>
      <c r="E14" s="57"/>
      <c r="F14" s="57"/>
      <c r="G14" s="57"/>
      <c r="H14" s="57"/>
      <c r="I14" s="57"/>
      <c r="J14" s="781" t="s">
        <v>269</v>
      </c>
      <c r="K14" s="781"/>
      <c r="L14" s="781"/>
      <c r="M14" s="781"/>
      <c r="N14" s="781"/>
      <c r="O14" s="781"/>
      <c r="P14" s="781"/>
      <c r="Q14" s="57"/>
      <c r="R14" s="57"/>
      <c r="S14" s="57"/>
      <c r="T14" s="57"/>
      <c r="U14" s="57"/>
      <c r="V14" s="57"/>
      <c r="W14" s="67"/>
      <c r="X14" s="55"/>
      <c r="Y14" s="142"/>
      <c r="Z14" s="147"/>
      <c r="AA14" s="381">
        <v>8</v>
      </c>
      <c r="AB14" s="761" t="str">
        <f>'PARINAM STD-1'!AN2</f>
        <v>પૂસ્તકો/સાધનો વ્યવસ્થિત રાખે છે.</v>
      </c>
      <c r="AC14" s="762"/>
      <c r="AD14" s="762"/>
      <c r="AE14" s="762"/>
      <c r="AF14" s="762"/>
      <c r="AG14" s="762"/>
      <c r="AH14" s="762"/>
      <c r="AI14" s="762"/>
      <c r="AJ14" s="762"/>
      <c r="AK14" s="763"/>
      <c r="AL14" s="748" t="str">
        <f ca="1">IF(INDIRECT("'PARINAM STD-1'!AN"&amp;$R$1+4)="A","√","")</f>
        <v/>
      </c>
      <c r="AM14" s="749"/>
      <c r="AN14" s="764"/>
      <c r="AO14" s="748" t="str">
        <f ca="1">IF(INDIRECT("'PARINAM STD-1'!AN"&amp;$R$1+4)="B","√","")</f>
        <v>√</v>
      </c>
      <c r="AP14" s="749"/>
      <c r="AQ14" s="764"/>
      <c r="AR14" s="748" t="str">
        <f ca="1">IF(INDIRECT("'PARINAM STD-1'!AN"&amp;$R$1+4)="C","√","")</f>
        <v/>
      </c>
      <c r="AS14" s="749"/>
      <c r="AT14" s="750"/>
      <c r="AU14" s="148"/>
      <c r="AV14" s="146"/>
    </row>
    <row r="15" spans="1:48" ht="18.95" customHeight="1">
      <c r="A15" s="56"/>
      <c r="B15" s="65"/>
      <c r="C15" s="57"/>
      <c r="D15" s="57"/>
      <c r="E15" s="57"/>
      <c r="F15" s="57"/>
      <c r="G15" s="57"/>
      <c r="H15" s="57"/>
      <c r="I15" s="57"/>
      <c r="J15" s="782" t="s">
        <v>332</v>
      </c>
      <c r="K15" s="782"/>
      <c r="L15" s="782"/>
      <c r="M15" s="782"/>
      <c r="N15" s="782"/>
      <c r="O15" s="782"/>
      <c r="P15" s="782"/>
      <c r="Q15" s="378"/>
      <c r="R15" s="378"/>
      <c r="S15" s="57"/>
      <c r="T15" s="57"/>
      <c r="U15" s="42"/>
      <c r="V15" s="42"/>
      <c r="W15" s="68"/>
      <c r="X15" s="55"/>
      <c r="Y15" s="142"/>
      <c r="Z15" s="147"/>
      <c r="AA15" s="381">
        <v>9</v>
      </c>
      <c r="AB15" s="761" t="str">
        <f>'PARINAM STD-1'!AO2</f>
        <v>નવું જાણવાની જિજ્ઞાસા ધરાવે છે.</v>
      </c>
      <c r="AC15" s="762"/>
      <c r="AD15" s="762"/>
      <c r="AE15" s="762"/>
      <c r="AF15" s="762"/>
      <c r="AG15" s="762"/>
      <c r="AH15" s="762"/>
      <c r="AI15" s="762"/>
      <c r="AJ15" s="762"/>
      <c r="AK15" s="763"/>
      <c r="AL15" s="748" t="str">
        <f ca="1">IF(INDIRECT("'PARINAM STD-1'!AO"&amp;$R$1+4)="A","√","")</f>
        <v/>
      </c>
      <c r="AM15" s="749"/>
      <c r="AN15" s="764"/>
      <c r="AO15" s="748" t="str">
        <f ca="1">IF(INDIRECT("'PARINAM STD-1'!AO"&amp;$R$1+4)="B","√","")</f>
        <v>√</v>
      </c>
      <c r="AP15" s="749"/>
      <c r="AQ15" s="764"/>
      <c r="AR15" s="748" t="str">
        <f ca="1">IF(INDIRECT("'PARINAM STD-1'!AO"&amp;$R$1+4)="C","√","")</f>
        <v/>
      </c>
      <c r="AS15" s="749"/>
      <c r="AT15" s="750"/>
      <c r="AU15" s="148"/>
      <c r="AV15" s="146"/>
    </row>
    <row r="16" spans="1:48" ht="18.95" customHeight="1">
      <c r="A16" s="56"/>
      <c r="B16" s="65"/>
      <c r="C16" s="784" t="s">
        <v>422</v>
      </c>
      <c r="D16" s="784"/>
      <c r="E16" s="784"/>
      <c r="F16" s="784"/>
      <c r="G16" s="784"/>
      <c r="H16" s="784"/>
      <c r="I16" s="784"/>
      <c r="J16" s="784"/>
      <c r="K16" s="784"/>
      <c r="L16" s="784"/>
      <c r="M16" s="784"/>
      <c r="N16" s="784"/>
      <c r="O16" s="784"/>
      <c r="P16" s="784"/>
      <c r="Q16" s="784"/>
      <c r="R16" s="784"/>
      <c r="S16" s="784"/>
      <c r="T16" s="784"/>
      <c r="U16" s="784"/>
      <c r="V16" s="784"/>
      <c r="W16" s="69"/>
      <c r="X16" s="55"/>
      <c r="Y16" s="142"/>
      <c r="Z16" s="147"/>
      <c r="AA16" s="381">
        <v>10</v>
      </c>
      <c r="AB16" s="761" t="str">
        <f>'PARINAM STD-1'!AP2</f>
        <v>પ્રાણીઓ પ્રત્યે કરૂણા દાખવે છે.</v>
      </c>
      <c r="AC16" s="762"/>
      <c r="AD16" s="762"/>
      <c r="AE16" s="762"/>
      <c r="AF16" s="762"/>
      <c r="AG16" s="762"/>
      <c r="AH16" s="762"/>
      <c r="AI16" s="762"/>
      <c r="AJ16" s="762"/>
      <c r="AK16" s="763"/>
      <c r="AL16" s="748" t="str">
        <f ca="1">IF(INDIRECT("'PARINAM STD-1'!AP"&amp;$R$1+4)="A","√","")</f>
        <v/>
      </c>
      <c r="AM16" s="749"/>
      <c r="AN16" s="764"/>
      <c r="AO16" s="748" t="str">
        <f ca="1">IF(INDIRECT("'PARINAM STD-1'!AP"&amp;$R$1+4)="B","√","")</f>
        <v>√</v>
      </c>
      <c r="AP16" s="749"/>
      <c r="AQ16" s="764"/>
      <c r="AR16" s="748" t="str">
        <f ca="1">IF(INDIRECT("'PARINAM STD-1'!AP"&amp;$R$1+4)="C","√","")</f>
        <v/>
      </c>
      <c r="AS16" s="749"/>
      <c r="AT16" s="750"/>
      <c r="AU16" s="148"/>
      <c r="AV16" s="146"/>
    </row>
    <row r="17" spans="1:48" ht="18.95" customHeight="1">
      <c r="A17" s="56"/>
      <c r="B17" s="65"/>
      <c r="C17" s="383" t="s">
        <v>377</v>
      </c>
      <c r="D17" s="788" t="s">
        <v>423</v>
      </c>
      <c r="E17" s="788"/>
      <c r="F17" s="788"/>
      <c r="G17" s="788"/>
      <c r="H17" s="788"/>
      <c r="I17" s="788"/>
      <c r="J17" s="788"/>
      <c r="K17" s="788"/>
      <c r="L17" s="788"/>
      <c r="M17" s="788"/>
      <c r="N17" s="788" t="s">
        <v>424</v>
      </c>
      <c r="O17" s="788"/>
      <c r="P17" s="788"/>
      <c r="Q17" s="788" t="s">
        <v>425</v>
      </c>
      <c r="R17" s="788"/>
      <c r="S17" s="788"/>
      <c r="T17" s="788" t="s">
        <v>426</v>
      </c>
      <c r="U17" s="788"/>
      <c r="V17" s="788"/>
      <c r="W17" s="69"/>
      <c r="X17" s="55"/>
      <c r="Y17" s="142"/>
      <c r="Z17" s="147"/>
      <c r="AA17" s="382">
        <v>11</v>
      </c>
      <c r="AB17" s="761" t="str">
        <f>'PARINAM STD-1'!AQ2</f>
        <v>જ્રથકાર્યમાં સક્રિયપણે ભાગ લે છે.</v>
      </c>
      <c r="AC17" s="762"/>
      <c r="AD17" s="762"/>
      <c r="AE17" s="762"/>
      <c r="AF17" s="762"/>
      <c r="AG17" s="762"/>
      <c r="AH17" s="762"/>
      <c r="AI17" s="762"/>
      <c r="AJ17" s="762"/>
      <c r="AK17" s="763"/>
      <c r="AL17" s="748" t="str">
        <f ca="1">IF(INDIRECT("'PARINAM STD-1'!AQ"&amp;$R$1+4)="A","√","")</f>
        <v/>
      </c>
      <c r="AM17" s="749"/>
      <c r="AN17" s="764"/>
      <c r="AO17" s="748" t="str">
        <f ca="1">IF(INDIRECT("'PARINAM STD-1'!AQ"&amp;$R$1+4)="B","√","")</f>
        <v>√</v>
      </c>
      <c r="AP17" s="749"/>
      <c r="AQ17" s="764"/>
      <c r="AR17" s="748" t="str">
        <f ca="1">IF(INDIRECT("'PARINAM STD-1'!AQ"&amp;$R$1+4)="C","√","")</f>
        <v/>
      </c>
      <c r="AS17" s="749"/>
      <c r="AT17" s="750"/>
      <c r="AU17" s="148"/>
      <c r="AV17" s="146"/>
    </row>
    <row r="18" spans="1:48" ht="18.95" customHeight="1">
      <c r="A18" s="56"/>
      <c r="B18" s="65"/>
      <c r="C18" s="380">
        <v>1</v>
      </c>
      <c r="D18" s="783" t="s">
        <v>384</v>
      </c>
      <c r="E18" s="783"/>
      <c r="F18" s="783"/>
      <c r="G18" s="783"/>
      <c r="H18" s="783"/>
      <c r="I18" s="783"/>
      <c r="J18" s="783"/>
      <c r="K18" s="783"/>
      <c r="L18" s="783"/>
      <c r="M18" s="783"/>
      <c r="N18" s="785" t="str">
        <f ca="1">IF(INDIRECT("'PARINAM STD-1'!D"&amp;$R$1+4)="A","√","")</f>
        <v>√</v>
      </c>
      <c r="O18" s="786"/>
      <c r="P18" s="786"/>
      <c r="Q18" s="786" t="str">
        <f ca="1">IF(INDIRECT("'PARINAM STD-1'!D"&amp;$R$1+4)="B","√","")</f>
        <v/>
      </c>
      <c r="R18" s="786"/>
      <c r="S18" s="786"/>
      <c r="T18" s="786" t="str">
        <f ca="1">IF(INDIRECT("'PARINAM STD-1'!D"&amp;$R$1+4)="C","√","")</f>
        <v/>
      </c>
      <c r="U18" s="786"/>
      <c r="V18" s="787"/>
      <c r="W18" s="69"/>
      <c r="X18" s="55"/>
      <c r="Y18" s="142"/>
      <c r="Z18" s="147"/>
      <c r="AA18" s="386"/>
      <c r="AB18" s="388"/>
      <c r="AC18" s="388"/>
      <c r="AD18" s="388"/>
      <c r="AE18" s="388"/>
      <c r="AF18" s="388"/>
      <c r="AG18" s="388"/>
      <c r="AH18" s="388"/>
      <c r="AI18" s="387"/>
      <c r="AJ18" s="387"/>
      <c r="AK18" s="387"/>
      <c r="AL18" s="387"/>
      <c r="AM18" s="387"/>
      <c r="AN18" s="387"/>
      <c r="AO18" s="387"/>
      <c r="AP18" s="387"/>
      <c r="AQ18" s="387"/>
      <c r="AR18" s="387"/>
      <c r="AS18" s="387"/>
      <c r="AT18" s="387"/>
      <c r="AU18" s="148"/>
      <c r="AV18" s="146"/>
    </row>
    <row r="19" spans="1:48" ht="18.95" customHeight="1">
      <c r="A19" s="56"/>
      <c r="B19" s="65"/>
      <c r="C19" s="381">
        <v>2</v>
      </c>
      <c r="D19" s="752" t="s">
        <v>385</v>
      </c>
      <c r="E19" s="752"/>
      <c r="F19" s="752"/>
      <c r="G19" s="752"/>
      <c r="H19" s="752"/>
      <c r="I19" s="752"/>
      <c r="J19" s="752" t="s">
        <v>208</v>
      </c>
      <c r="K19" s="752"/>
      <c r="L19" s="752"/>
      <c r="M19" s="752"/>
      <c r="N19" s="756" t="str">
        <f ca="1">IF(INDIRECT("'PARINAM STD-1'!E"&amp;$R$1+4)="A","√","")</f>
        <v>√</v>
      </c>
      <c r="O19" s="757"/>
      <c r="P19" s="757"/>
      <c r="Q19" s="757" t="str">
        <f ca="1">IF(INDIRECT("'PARINAM STD-1'!E"&amp;$R$1+4)="B","√","")</f>
        <v/>
      </c>
      <c r="R19" s="757"/>
      <c r="S19" s="757"/>
      <c r="T19" s="757" t="str">
        <f ca="1">IF(INDIRECT("'PARINAM STD-1'!E"&amp;$R$1+4)="C","√","")</f>
        <v/>
      </c>
      <c r="U19" s="757"/>
      <c r="V19" s="758"/>
      <c r="W19" s="69"/>
      <c r="X19" s="55"/>
      <c r="Y19" s="142"/>
      <c r="Z19" s="147"/>
      <c r="AU19" s="148"/>
      <c r="AV19" s="146"/>
    </row>
    <row r="20" spans="1:48" ht="18.95" customHeight="1">
      <c r="A20" s="56"/>
      <c r="B20" s="65"/>
      <c r="C20" s="381">
        <v>3</v>
      </c>
      <c r="D20" s="752" t="s">
        <v>386</v>
      </c>
      <c r="E20" s="752"/>
      <c r="F20" s="752"/>
      <c r="G20" s="752"/>
      <c r="H20" s="752"/>
      <c r="I20" s="752"/>
      <c r="J20" s="752"/>
      <c r="K20" s="752"/>
      <c r="L20" s="752"/>
      <c r="M20" s="752"/>
      <c r="N20" s="756" t="str">
        <f ca="1">IF(INDIRECT("'PARINAM STD-1'!F"&amp;$R$1+4)="A","√","")</f>
        <v>√</v>
      </c>
      <c r="O20" s="757"/>
      <c r="P20" s="757"/>
      <c r="Q20" s="757" t="str">
        <f ca="1">IF(INDIRECT("'PARINAM STD-1'!F"&amp;$R$1+4)="B","√","")</f>
        <v/>
      </c>
      <c r="R20" s="757"/>
      <c r="S20" s="757"/>
      <c r="T20" s="757" t="str">
        <f ca="1">IF(INDIRECT("'PARINAM STD-1'!F"&amp;$R$1+4)="C","√","")</f>
        <v/>
      </c>
      <c r="U20" s="757"/>
      <c r="V20" s="758"/>
      <c r="W20" s="67"/>
      <c r="X20" s="55"/>
      <c r="Y20" s="142"/>
      <c r="Z20" s="147"/>
      <c r="AU20" s="148"/>
      <c r="AV20" s="146"/>
    </row>
    <row r="21" spans="1:48" ht="18.95" customHeight="1">
      <c r="A21" s="58"/>
      <c r="B21" s="70"/>
      <c r="C21" s="381">
        <v>4</v>
      </c>
      <c r="D21" s="752" t="s">
        <v>387</v>
      </c>
      <c r="E21" s="752"/>
      <c r="F21" s="752"/>
      <c r="G21" s="752"/>
      <c r="H21" s="752"/>
      <c r="I21" s="752"/>
      <c r="J21" s="752"/>
      <c r="K21" s="752"/>
      <c r="L21" s="752"/>
      <c r="M21" s="752"/>
      <c r="N21" s="756" t="str">
        <f ca="1">IF(INDIRECT("'PARINAM STD-1'!G"&amp;$R$1+4)="A","√","")</f>
        <v>√</v>
      </c>
      <c r="O21" s="757"/>
      <c r="P21" s="757"/>
      <c r="Q21" s="757" t="str">
        <f ca="1">IF(INDIRECT("'PARINAM STD-1'!G"&amp;$R$1+4)="B","√","")</f>
        <v/>
      </c>
      <c r="R21" s="757"/>
      <c r="S21" s="757"/>
      <c r="T21" s="757" t="str">
        <f ca="1">IF(INDIRECT("'PARINAM STD-1'!G"&amp;$R$1+4)="C","√","")</f>
        <v/>
      </c>
      <c r="U21" s="757"/>
      <c r="V21" s="758"/>
      <c r="W21" s="71"/>
      <c r="X21" s="59"/>
      <c r="Y21" s="142"/>
      <c r="Z21" s="147"/>
      <c r="AA21" s="295" t="s">
        <v>438</v>
      </c>
      <c r="AT21" s="403" t="s">
        <v>439</v>
      </c>
      <c r="AU21" s="148"/>
      <c r="AV21" s="146"/>
    </row>
    <row r="22" spans="1:48" ht="18.95" customHeight="1">
      <c r="A22" s="56"/>
      <c r="B22" s="65"/>
      <c r="C22" s="381">
        <v>5</v>
      </c>
      <c r="D22" s="752" t="s">
        <v>388</v>
      </c>
      <c r="E22" s="752"/>
      <c r="F22" s="752"/>
      <c r="G22" s="752"/>
      <c r="H22" s="752"/>
      <c r="I22" s="752"/>
      <c r="J22" s="752"/>
      <c r="K22" s="752"/>
      <c r="L22" s="752"/>
      <c r="M22" s="752"/>
      <c r="N22" s="756" t="str">
        <f ca="1">IF(INDIRECT("'PARINAM STD-1'!H"&amp;$R$1+4)="A","√","")</f>
        <v/>
      </c>
      <c r="O22" s="757"/>
      <c r="P22" s="757"/>
      <c r="Q22" s="757" t="str">
        <f ca="1">IF(INDIRECT("'PARINAM STD-1'!H"&amp;$R$1+4)="B","√","")</f>
        <v>√</v>
      </c>
      <c r="R22" s="757"/>
      <c r="S22" s="757"/>
      <c r="T22" s="757" t="str">
        <f ca="1">IF(INDIRECT("'PARINAM STD-1'!H"&amp;$R$1+4)="C","√","")</f>
        <v/>
      </c>
      <c r="U22" s="757"/>
      <c r="V22" s="758"/>
      <c r="W22" s="72"/>
      <c r="X22" s="55"/>
      <c r="Y22" s="142"/>
      <c r="Z22" s="147"/>
      <c r="AA22" s="801" t="s">
        <v>430</v>
      </c>
      <c r="AB22" s="801"/>
      <c r="AC22" s="801"/>
      <c r="AD22" s="801"/>
      <c r="AE22" s="801"/>
      <c r="AF22" s="801"/>
      <c r="AG22" s="801"/>
      <c r="AH22" s="801"/>
      <c r="AI22" s="801"/>
      <c r="AJ22" s="801"/>
      <c r="AK22" s="801"/>
      <c r="AL22" s="801"/>
      <c r="AM22" s="801"/>
      <c r="AN22" s="801"/>
      <c r="AO22" s="801"/>
      <c r="AP22" s="801"/>
      <c r="AQ22" s="801"/>
      <c r="AR22" s="801"/>
      <c r="AS22" s="801"/>
      <c r="AT22" s="801"/>
      <c r="AU22" s="148"/>
      <c r="AV22" s="146"/>
    </row>
    <row r="23" spans="1:48" ht="18.95" customHeight="1">
      <c r="A23" s="56"/>
      <c r="B23" s="65"/>
      <c r="C23" s="381">
        <v>6</v>
      </c>
      <c r="D23" s="752" t="s">
        <v>389</v>
      </c>
      <c r="E23" s="752"/>
      <c r="F23" s="752"/>
      <c r="G23" s="752"/>
      <c r="H23" s="752"/>
      <c r="I23" s="752"/>
      <c r="J23" s="752"/>
      <c r="K23" s="752"/>
      <c r="L23" s="752"/>
      <c r="M23" s="752"/>
      <c r="N23" s="756" t="str">
        <f ca="1">IF(INDIRECT("'PARINAM STD-1'!I"&amp;$R$1+4)="A","√","")</f>
        <v>√</v>
      </c>
      <c r="O23" s="757"/>
      <c r="P23" s="757"/>
      <c r="Q23" s="757" t="str">
        <f ca="1">IF(INDIRECT("'PARINAM STD-1'!I"&amp;$R$1+4)="B","√","")</f>
        <v/>
      </c>
      <c r="R23" s="757"/>
      <c r="S23" s="757"/>
      <c r="T23" s="757" t="str">
        <f ca="1">IF(INDIRECT("'PARINAM STD-1'!I"&amp;$R$1+4)="C","√","")</f>
        <v/>
      </c>
      <c r="U23" s="757"/>
      <c r="V23" s="758"/>
      <c r="W23" s="72"/>
      <c r="X23" s="55"/>
      <c r="Y23" s="142"/>
      <c r="Z23" s="147"/>
      <c r="AA23" s="813">
        <v>1</v>
      </c>
      <c r="AB23" s="802" t="s">
        <v>431</v>
      </c>
      <c r="AC23" s="802"/>
      <c r="AD23" s="802"/>
      <c r="AE23" s="802"/>
      <c r="AF23" s="802"/>
      <c r="AG23" s="802"/>
      <c r="AH23" s="802"/>
      <c r="AI23" s="802"/>
      <c r="AJ23" s="802"/>
      <c r="AK23" s="802"/>
      <c r="AL23" s="802"/>
      <c r="AM23" s="802"/>
      <c r="AN23" s="802"/>
      <c r="AO23" s="802"/>
      <c r="AP23" s="802"/>
      <c r="AQ23" s="802"/>
      <c r="AR23" s="802"/>
      <c r="AS23" s="802"/>
      <c r="AT23" s="802"/>
      <c r="AU23" s="148"/>
      <c r="AV23" s="146"/>
    </row>
    <row r="24" spans="1:48" ht="18.95" customHeight="1">
      <c r="A24" s="56"/>
      <c r="B24" s="65"/>
      <c r="C24" s="381">
        <v>7</v>
      </c>
      <c r="D24" s="752" t="s">
        <v>390</v>
      </c>
      <c r="E24" s="752"/>
      <c r="F24" s="752"/>
      <c r="G24" s="752"/>
      <c r="H24" s="752"/>
      <c r="I24" s="752"/>
      <c r="J24" s="752"/>
      <c r="K24" s="752"/>
      <c r="L24" s="752"/>
      <c r="M24" s="752"/>
      <c r="N24" s="756" t="str">
        <f ca="1">IF(INDIRECT("'PARINAM STD-1'!J"&amp;$R$1+4)="A","√","")</f>
        <v/>
      </c>
      <c r="O24" s="757"/>
      <c r="P24" s="757"/>
      <c r="Q24" s="757" t="str">
        <f ca="1">IF(INDIRECT("'PARINAM STD-1'!J"&amp;$R$1+4)="B","√","")</f>
        <v>√</v>
      </c>
      <c r="R24" s="757"/>
      <c r="S24" s="757"/>
      <c r="T24" s="757" t="str">
        <f ca="1">IF(INDIRECT("'PARINAM STD-1'!J"&amp;$R$1+4)="C","√","")</f>
        <v/>
      </c>
      <c r="U24" s="757"/>
      <c r="V24" s="758"/>
      <c r="W24" s="72"/>
      <c r="X24" s="55"/>
      <c r="Y24" s="142"/>
      <c r="Z24" s="147"/>
      <c r="AA24" s="813"/>
      <c r="AB24" s="802"/>
      <c r="AC24" s="802"/>
      <c r="AD24" s="802"/>
      <c r="AE24" s="802"/>
      <c r="AF24" s="802"/>
      <c r="AG24" s="802"/>
      <c r="AH24" s="802"/>
      <c r="AI24" s="802"/>
      <c r="AJ24" s="802"/>
      <c r="AK24" s="802"/>
      <c r="AL24" s="802"/>
      <c r="AM24" s="802"/>
      <c r="AN24" s="802"/>
      <c r="AO24" s="802"/>
      <c r="AP24" s="802"/>
      <c r="AQ24" s="802"/>
      <c r="AR24" s="802"/>
      <c r="AS24" s="802"/>
      <c r="AT24" s="802"/>
      <c r="AU24" s="148"/>
      <c r="AV24" s="146"/>
    </row>
    <row r="25" spans="1:48" ht="18.95" customHeight="1">
      <c r="A25" s="56"/>
      <c r="B25" s="65"/>
      <c r="C25" s="381">
        <v>8</v>
      </c>
      <c r="D25" s="752" t="s">
        <v>391</v>
      </c>
      <c r="E25" s="752"/>
      <c r="F25" s="752"/>
      <c r="G25" s="752"/>
      <c r="H25" s="752"/>
      <c r="I25" s="752"/>
      <c r="J25" s="752"/>
      <c r="K25" s="752"/>
      <c r="L25" s="752"/>
      <c r="M25" s="752"/>
      <c r="N25" s="756" t="str">
        <f ca="1">IF(INDIRECT("'PARINAM STD-1'!K"&amp;$R$1+4)="A","√","")</f>
        <v/>
      </c>
      <c r="O25" s="757"/>
      <c r="P25" s="757"/>
      <c r="Q25" s="757" t="str">
        <f ca="1">IF(INDIRECT("'PARINAM STD-1'!K"&amp;$R$1+4)="B","√","")</f>
        <v>√</v>
      </c>
      <c r="R25" s="757"/>
      <c r="S25" s="757"/>
      <c r="T25" s="757" t="str">
        <f ca="1">IF(INDIRECT("'PARINAM STD-1'!K"&amp;$R$1+4)="C","√","")</f>
        <v/>
      </c>
      <c r="U25" s="757"/>
      <c r="V25" s="758"/>
      <c r="W25" s="73"/>
      <c r="X25" s="55"/>
      <c r="Y25" s="142"/>
      <c r="Z25" s="147"/>
      <c r="AA25" s="402">
        <v>2</v>
      </c>
      <c r="AB25" s="802" t="s">
        <v>432</v>
      </c>
      <c r="AC25" s="802"/>
      <c r="AD25" s="802"/>
      <c r="AE25" s="802"/>
      <c r="AF25" s="802"/>
      <c r="AG25" s="802"/>
      <c r="AH25" s="802"/>
      <c r="AI25" s="802"/>
      <c r="AJ25" s="802"/>
      <c r="AK25" s="802"/>
      <c r="AL25" s="802"/>
      <c r="AM25" s="802"/>
      <c r="AN25" s="802"/>
      <c r="AO25" s="802"/>
      <c r="AP25" s="802"/>
      <c r="AQ25" s="802"/>
      <c r="AR25" s="802"/>
      <c r="AS25" s="802"/>
      <c r="AT25" s="802"/>
      <c r="AU25" s="148"/>
      <c r="AV25" s="146"/>
    </row>
    <row r="26" spans="1:48" ht="18.95" customHeight="1">
      <c r="A26" s="56"/>
      <c r="B26" s="65"/>
      <c r="C26" s="381">
        <v>9</v>
      </c>
      <c r="D26" s="752" t="s">
        <v>392</v>
      </c>
      <c r="E26" s="752"/>
      <c r="F26" s="752"/>
      <c r="G26" s="752"/>
      <c r="H26" s="752"/>
      <c r="I26" s="752"/>
      <c r="J26" s="752"/>
      <c r="K26" s="752"/>
      <c r="L26" s="752"/>
      <c r="M26" s="752"/>
      <c r="N26" s="756" t="str">
        <f ca="1">IF(INDIRECT("'PARINAM STD-1'!L"&amp;$R$1+4)="A","√","")</f>
        <v>√</v>
      </c>
      <c r="O26" s="757"/>
      <c r="P26" s="757"/>
      <c r="Q26" s="757" t="str">
        <f ca="1">IF(INDIRECT("'PARINAM STD-1'!L"&amp;$R$1+4)="B","√","")</f>
        <v/>
      </c>
      <c r="R26" s="757"/>
      <c r="S26" s="757"/>
      <c r="T26" s="757" t="str">
        <f ca="1">IF(INDIRECT("'PARINAM STD-1'!L"&amp;$R$1+4)="C","√","")</f>
        <v/>
      </c>
      <c r="U26" s="757"/>
      <c r="V26" s="758"/>
      <c r="W26" s="73"/>
      <c r="X26" s="55"/>
      <c r="Y26" s="142"/>
      <c r="Z26" s="147"/>
      <c r="AA26" s="402"/>
      <c r="AB26" s="802"/>
      <c r="AC26" s="802"/>
      <c r="AD26" s="802"/>
      <c r="AE26" s="802"/>
      <c r="AF26" s="802"/>
      <c r="AG26" s="802"/>
      <c r="AH26" s="802"/>
      <c r="AI26" s="802"/>
      <c r="AJ26" s="802"/>
      <c r="AK26" s="802"/>
      <c r="AL26" s="802"/>
      <c r="AM26" s="802"/>
      <c r="AN26" s="802"/>
      <c r="AO26" s="802"/>
      <c r="AP26" s="802"/>
      <c r="AQ26" s="802"/>
      <c r="AR26" s="802"/>
      <c r="AS26" s="802"/>
      <c r="AT26" s="802"/>
      <c r="AU26" s="148"/>
      <c r="AV26" s="146"/>
    </row>
    <row r="27" spans="1:48" ht="18.95" customHeight="1">
      <c r="A27" s="56"/>
      <c r="B27" s="65"/>
      <c r="C27" s="381">
        <v>10</v>
      </c>
      <c r="D27" s="752" t="s">
        <v>393</v>
      </c>
      <c r="E27" s="752"/>
      <c r="F27" s="752"/>
      <c r="G27" s="752"/>
      <c r="H27" s="752"/>
      <c r="I27" s="752"/>
      <c r="J27" s="752"/>
      <c r="K27" s="752"/>
      <c r="L27" s="752"/>
      <c r="M27" s="752"/>
      <c r="N27" s="756" t="str">
        <f ca="1">IF(INDIRECT("'PARINAM STD-1'!M"&amp;$R$1+4)="A","√","")</f>
        <v>√</v>
      </c>
      <c r="O27" s="757"/>
      <c r="P27" s="757"/>
      <c r="Q27" s="757" t="str">
        <f ca="1">IF(INDIRECT("'PARINAM STD-1'!M"&amp;$R$1+4)="B","√","")</f>
        <v/>
      </c>
      <c r="R27" s="757"/>
      <c r="S27" s="757"/>
      <c r="T27" s="757" t="str">
        <f ca="1">IF(INDIRECT("'PARINAM STD-1'!M"&amp;$R$1+4)="C","√","")</f>
        <v/>
      </c>
      <c r="U27" s="757"/>
      <c r="V27" s="758"/>
      <c r="W27" s="73"/>
      <c r="X27" s="55"/>
      <c r="Y27" s="142"/>
      <c r="Z27" s="147"/>
      <c r="AA27" s="402"/>
      <c r="AB27" s="802"/>
      <c r="AC27" s="802"/>
      <c r="AD27" s="802"/>
      <c r="AE27" s="802"/>
      <c r="AF27" s="802"/>
      <c r="AG27" s="802"/>
      <c r="AH27" s="802"/>
      <c r="AI27" s="802"/>
      <c r="AJ27" s="802"/>
      <c r="AK27" s="802"/>
      <c r="AL27" s="802"/>
      <c r="AM27" s="802"/>
      <c r="AN27" s="802"/>
      <c r="AO27" s="802"/>
      <c r="AP27" s="802"/>
      <c r="AQ27" s="802"/>
      <c r="AR27" s="802"/>
      <c r="AS27" s="802"/>
      <c r="AT27" s="802"/>
      <c r="AU27" s="148"/>
      <c r="AV27" s="146"/>
    </row>
    <row r="28" spans="1:48" ht="18.95" customHeight="1">
      <c r="A28" s="56"/>
      <c r="B28" s="65"/>
      <c r="C28" s="381">
        <v>11</v>
      </c>
      <c r="D28" s="752" t="s">
        <v>394</v>
      </c>
      <c r="E28" s="752"/>
      <c r="F28" s="752"/>
      <c r="G28" s="752"/>
      <c r="H28" s="752"/>
      <c r="I28" s="752"/>
      <c r="J28" s="752"/>
      <c r="K28" s="752"/>
      <c r="L28" s="752"/>
      <c r="M28" s="752"/>
      <c r="N28" s="756" t="str">
        <f ca="1">IF(INDIRECT("'PARINAM STD-1'!N"&amp;$R$1+4)="A","√","")</f>
        <v>√</v>
      </c>
      <c r="O28" s="757"/>
      <c r="P28" s="757"/>
      <c r="Q28" s="757" t="str">
        <f ca="1">IF(INDIRECT("'PARINAM STD-1'!N"&amp;$R$1+4)="B","√","")</f>
        <v/>
      </c>
      <c r="R28" s="757"/>
      <c r="S28" s="757"/>
      <c r="T28" s="757" t="str">
        <f ca="1">IF(INDIRECT("'PARINAM STD-1'!N"&amp;$R$1+4)="C","√","")</f>
        <v/>
      </c>
      <c r="U28" s="757"/>
      <c r="V28" s="758"/>
      <c r="W28" s="73"/>
      <c r="X28" s="55"/>
      <c r="Y28" s="142"/>
      <c r="Z28" s="147"/>
      <c r="AA28" s="402">
        <v>3</v>
      </c>
      <c r="AB28" s="802" t="s">
        <v>433</v>
      </c>
      <c r="AC28" s="802"/>
      <c r="AD28" s="802"/>
      <c r="AE28" s="802"/>
      <c r="AF28" s="802"/>
      <c r="AG28" s="802"/>
      <c r="AH28" s="802"/>
      <c r="AI28" s="802"/>
      <c r="AJ28" s="802"/>
      <c r="AK28" s="802"/>
      <c r="AL28" s="802"/>
      <c r="AM28" s="802"/>
      <c r="AN28" s="802"/>
      <c r="AO28" s="802"/>
      <c r="AP28" s="802"/>
      <c r="AQ28" s="802"/>
      <c r="AR28" s="802"/>
      <c r="AS28" s="802"/>
      <c r="AT28" s="802"/>
      <c r="AU28" s="148"/>
      <c r="AV28" s="146"/>
    </row>
    <row r="29" spans="1:48" ht="18.95" customHeight="1">
      <c r="A29" s="56"/>
      <c r="B29" s="65"/>
      <c r="C29" s="381">
        <v>12</v>
      </c>
      <c r="D29" s="752" t="s">
        <v>395</v>
      </c>
      <c r="E29" s="752"/>
      <c r="F29" s="752"/>
      <c r="G29" s="752"/>
      <c r="H29" s="752"/>
      <c r="I29" s="752" t="s">
        <v>1</v>
      </c>
      <c r="J29" s="752"/>
      <c r="K29" s="752" t="str">
        <f>SCHOOL!B5</f>
        <v>લીલીયા</v>
      </c>
      <c r="L29" s="752"/>
      <c r="M29" s="752"/>
      <c r="N29" s="753" t="str">
        <f ca="1">IF(INDIRECT("'PARINAM STD-1'!O"&amp;$R$1+4)="A","√","")</f>
        <v>√</v>
      </c>
      <c r="O29" s="754"/>
      <c r="P29" s="754"/>
      <c r="Q29" s="754" t="str">
        <f ca="1">IF(INDIRECT("'PARINAM STD-1'!O"&amp;$R$1+4)="B","√","")</f>
        <v/>
      </c>
      <c r="R29" s="754"/>
      <c r="S29" s="754"/>
      <c r="T29" s="754" t="str">
        <f ca="1">IF(INDIRECT("'PARINAM STD-1'!O"&amp;$R$1+4)="C","√","")</f>
        <v/>
      </c>
      <c r="U29" s="754"/>
      <c r="V29" s="755"/>
      <c r="W29" s="74"/>
      <c r="X29" s="55"/>
      <c r="Y29" s="142"/>
      <c r="Z29" s="147"/>
      <c r="AA29" s="402"/>
      <c r="AB29" s="802"/>
      <c r="AC29" s="802"/>
      <c r="AD29" s="802"/>
      <c r="AE29" s="802"/>
      <c r="AF29" s="802"/>
      <c r="AG29" s="802"/>
      <c r="AH29" s="802"/>
      <c r="AI29" s="802"/>
      <c r="AJ29" s="802"/>
      <c r="AK29" s="802"/>
      <c r="AL29" s="802"/>
      <c r="AM29" s="802"/>
      <c r="AN29" s="802"/>
      <c r="AO29" s="802"/>
      <c r="AP29" s="802"/>
      <c r="AQ29" s="802"/>
      <c r="AR29" s="802"/>
      <c r="AS29" s="802"/>
      <c r="AT29" s="802"/>
      <c r="AU29" s="148"/>
      <c r="AV29" s="146"/>
    </row>
    <row r="30" spans="1:48" ht="18.95" customHeight="1">
      <c r="A30" s="56"/>
      <c r="B30" s="65"/>
      <c r="C30" s="381">
        <v>13</v>
      </c>
      <c r="D30" s="752" t="s">
        <v>396</v>
      </c>
      <c r="E30" s="752"/>
      <c r="F30" s="752"/>
      <c r="G30" s="752"/>
      <c r="H30" s="752"/>
      <c r="I30" s="752"/>
      <c r="J30" s="752"/>
      <c r="K30" s="752"/>
      <c r="L30" s="752"/>
      <c r="M30" s="752"/>
      <c r="N30" s="753" t="str">
        <f ca="1">IF(INDIRECT("'PARINAM STD-1'!P"&amp;$R$1+4)="A","√","")</f>
        <v>√</v>
      </c>
      <c r="O30" s="754"/>
      <c r="P30" s="754"/>
      <c r="Q30" s="754" t="str">
        <f ca="1">IF(INDIRECT("'PARINAM STD-1'!P"&amp;$R$1+4)="B","√","")</f>
        <v/>
      </c>
      <c r="R30" s="754"/>
      <c r="S30" s="754"/>
      <c r="T30" s="754" t="str">
        <f ca="1">IF(INDIRECT("'PARINAM STD-1'!P"&amp;$R$1+4)="C","√","")</f>
        <v/>
      </c>
      <c r="U30" s="754"/>
      <c r="V30" s="755"/>
      <c r="W30" s="67"/>
      <c r="X30" s="55"/>
      <c r="Y30" s="142"/>
      <c r="Z30" s="147"/>
      <c r="AA30" s="402">
        <v>4</v>
      </c>
      <c r="AB30" s="802" t="s">
        <v>434</v>
      </c>
      <c r="AC30" s="802"/>
      <c r="AD30" s="802"/>
      <c r="AE30" s="802"/>
      <c r="AF30" s="802"/>
      <c r="AG30" s="802"/>
      <c r="AH30" s="802"/>
      <c r="AI30" s="802"/>
      <c r="AJ30" s="802"/>
      <c r="AK30" s="802"/>
      <c r="AL30" s="802"/>
      <c r="AM30" s="802"/>
      <c r="AN30" s="802"/>
      <c r="AO30" s="802"/>
      <c r="AP30" s="802"/>
      <c r="AQ30" s="802"/>
      <c r="AR30" s="802"/>
      <c r="AS30" s="802"/>
      <c r="AT30" s="802"/>
      <c r="AU30" s="148"/>
      <c r="AV30" s="146"/>
    </row>
    <row r="31" spans="1:48" ht="18.95" customHeight="1">
      <c r="A31" s="56"/>
      <c r="B31" s="65"/>
      <c r="C31" s="381">
        <v>14</v>
      </c>
      <c r="D31" s="752" t="s">
        <v>397</v>
      </c>
      <c r="E31" s="752"/>
      <c r="F31" s="752"/>
      <c r="G31" s="752"/>
      <c r="H31" s="752"/>
      <c r="I31" s="752"/>
      <c r="J31" s="752"/>
      <c r="K31" s="752"/>
      <c r="L31" s="752"/>
      <c r="M31" s="752"/>
      <c r="N31" s="753" t="str">
        <f ca="1">IF(INDIRECT("'PARINAM STD-1'!Q"&amp;$R$1+4)="A","√","")</f>
        <v/>
      </c>
      <c r="O31" s="754"/>
      <c r="P31" s="754"/>
      <c r="Q31" s="754" t="str">
        <f ca="1">IF(INDIRECT("'PARINAM STD-1'!Q"&amp;$R$1+4)="B","√","")</f>
        <v>√</v>
      </c>
      <c r="R31" s="754"/>
      <c r="S31" s="754"/>
      <c r="T31" s="754" t="str">
        <f ca="1">IF(INDIRECT("'PARINAM STD-1'!Q"&amp;$R$1+4)="C","√","")</f>
        <v/>
      </c>
      <c r="U31" s="754"/>
      <c r="V31" s="755"/>
      <c r="W31" s="67"/>
      <c r="X31" s="55"/>
      <c r="Y31" s="142"/>
      <c r="Z31" s="147"/>
      <c r="AA31" s="402"/>
      <c r="AB31" s="802"/>
      <c r="AC31" s="802"/>
      <c r="AD31" s="802"/>
      <c r="AE31" s="802"/>
      <c r="AF31" s="802"/>
      <c r="AG31" s="802"/>
      <c r="AH31" s="802"/>
      <c r="AI31" s="802"/>
      <c r="AJ31" s="802"/>
      <c r="AK31" s="802"/>
      <c r="AL31" s="802"/>
      <c r="AM31" s="802"/>
      <c r="AN31" s="802"/>
      <c r="AO31" s="802"/>
      <c r="AP31" s="802"/>
      <c r="AQ31" s="802"/>
      <c r="AR31" s="802"/>
      <c r="AS31" s="802"/>
      <c r="AT31" s="802"/>
      <c r="AU31" s="148"/>
      <c r="AV31" s="146"/>
    </row>
    <row r="32" spans="1:48" ht="18.95" customHeight="1">
      <c r="A32" s="56"/>
      <c r="B32" s="65"/>
      <c r="C32" s="381">
        <v>15</v>
      </c>
      <c r="D32" s="752" t="s">
        <v>398</v>
      </c>
      <c r="E32" s="752"/>
      <c r="F32" s="752"/>
      <c r="G32" s="752"/>
      <c r="H32" s="752"/>
      <c r="I32" s="752" t="str">
        <f ca="1">INDIRECT("STUDENTS!B"&amp;($R$1-1)*12+4)</f>
        <v>ગોહેલ રાજેશભાઇ ચીથરભાઇ</v>
      </c>
      <c r="J32" s="752"/>
      <c r="K32" s="752"/>
      <c r="L32" s="752"/>
      <c r="M32" s="752"/>
      <c r="N32" s="753" t="str">
        <f ca="1">IF(INDIRECT("'PARINAM STD-1'!R"&amp;$R$1+4)="A","√","")</f>
        <v/>
      </c>
      <c r="O32" s="754"/>
      <c r="P32" s="754"/>
      <c r="Q32" s="754" t="str">
        <f ca="1">IF(INDIRECT("'PARINAM STD-1'!R"&amp;$R$1+4)="B","√","")</f>
        <v>√</v>
      </c>
      <c r="R32" s="754"/>
      <c r="S32" s="754"/>
      <c r="T32" s="754" t="str">
        <f ca="1">IF(INDIRECT("'PARINAM STD-1'!R"&amp;$R$1+4)="C","√","")</f>
        <v/>
      </c>
      <c r="U32" s="754"/>
      <c r="V32" s="755"/>
      <c r="W32" s="67"/>
      <c r="X32" s="55"/>
      <c r="Y32" s="142"/>
      <c r="Z32" s="147"/>
      <c r="AA32" s="402">
        <v>5</v>
      </c>
      <c r="AB32" s="802" t="s">
        <v>435</v>
      </c>
      <c r="AC32" s="802"/>
      <c r="AD32" s="802"/>
      <c r="AE32" s="802"/>
      <c r="AF32" s="802"/>
      <c r="AG32" s="802"/>
      <c r="AH32" s="802"/>
      <c r="AI32" s="802"/>
      <c r="AJ32" s="802"/>
      <c r="AK32" s="802"/>
      <c r="AL32" s="802"/>
      <c r="AM32" s="802"/>
      <c r="AN32" s="802"/>
      <c r="AO32" s="802"/>
      <c r="AP32" s="802"/>
      <c r="AQ32" s="802"/>
      <c r="AR32" s="802"/>
      <c r="AS32" s="802"/>
      <c r="AT32" s="802"/>
      <c r="AU32" s="148"/>
      <c r="AV32" s="146"/>
    </row>
    <row r="33" spans="1:48" ht="18.95" customHeight="1">
      <c r="A33" s="56"/>
      <c r="B33" s="65"/>
      <c r="C33" s="381">
        <v>16</v>
      </c>
      <c r="D33" s="752" t="s">
        <v>399</v>
      </c>
      <c r="E33" s="752"/>
      <c r="F33" s="752"/>
      <c r="G33" s="752"/>
      <c r="H33" s="752"/>
      <c r="I33" s="752"/>
      <c r="J33" s="752"/>
      <c r="K33" s="752"/>
      <c r="L33" s="752"/>
      <c r="M33" s="752"/>
      <c r="N33" s="753" t="str">
        <f ca="1">IF(INDIRECT("'PARINAM STD-1'!S"&amp;$R$1+4)="A","√","")</f>
        <v/>
      </c>
      <c r="O33" s="754"/>
      <c r="P33" s="754"/>
      <c r="Q33" s="754" t="str">
        <f ca="1">IF(INDIRECT("'PARINAM STD-1'!S"&amp;$R$1+4)="B","√","")</f>
        <v>√</v>
      </c>
      <c r="R33" s="754"/>
      <c r="S33" s="754"/>
      <c r="T33" s="754" t="str">
        <f ca="1">IF(INDIRECT("'PARINAM STD-1'!S"&amp;$R$1+4)="C","√","")</f>
        <v/>
      </c>
      <c r="U33" s="754"/>
      <c r="V33" s="755"/>
      <c r="W33" s="67"/>
      <c r="X33" s="55"/>
      <c r="Y33" s="142"/>
      <c r="Z33" s="147"/>
      <c r="AA33" s="402"/>
      <c r="AB33" s="802"/>
      <c r="AC33" s="802"/>
      <c r="AD33" s="802"/>
      <c r="AE33" s="802"/>
      <c r="AF33" s="802"/>
      <c r="AG33" s="802"/>
      <c r="AH33" s="802"/>
      <c r="AI33" s="802"/>
      <c r="AJ33" s="802"/>
      <c r="AK33" s="802"/>
      <c r="AL33" s="802"/>
      <c r="AM33" s="802"/>
      <c r="AN33" s="802"/>
      <c r="AO33" s="802"/>
      <c r="AP33" s="802"/>
      <c r="AQ33" s="802"/>
      <c r="AR33" s="802"/>
      <c r="AS33" s="802"/>
      <c r="AT33" s="802"/>
      <c r="AU33" s="148"/>
      <c r="AV33" s="146"/>
    </row>
    <row r="34" spans="1:48" ht="18.95" customHeight="1">
      <c r="A34" s="56"/>
      <c r="B34" s="65"/>
      <c r="C34" s="381">
        <v>17</v>
      </c>
      <c r="D34" s="752" t="s">
        <v>380</v>
      </c>
      <c r="E34" s="752"/>
      <c r="F34" s="752"/>
      <c r="G34" s="752"/>
      <c r="H34" s="752"/>
      <c r="I34" s="752">
        <f ca="1">INDIRECT("STUDENTS!D"&amp;($R$1-1)*12+6)</f>
        <v>35170</v>
      </c>
      <c r="J34" s="752"/>
      <c r="K34" s="752"/>
      <c r="L34" s="752"/>
      <c r="M34" s="752" t="s">
        <v>206</v>
      </c>
      <c r="N34" s="753" t="str">
        <f ca="1">IF(INDIRECT("'PARINAM STD-1'!T"&amp;$R$1+4)="A","√","")</f>
        <v/>
      </c>
      <c r="O34" s="754"/>
      <c r="P34" s="754"/>
      <c r="Q34" s="754" t="str">
        <f ca="1">IF(INDIRECT("'PARINAM STD-1'!T"&amp;$R$1+4)="B","√","")</f>
        <v>√</v>
      </c>
      <c r="R34" s="754"/>
      <c r="S34" s="754"/>
      <c r="T34" s="754" t="str">
        <f ca="1">IF(INDIRECT("'PARINAM STD-1'!T"&amp;$R$1+4)="C","√","")</f>
        <v/>
      </c>
      <c r="U34" s="754"/>
      <c r="V34" s="755"/>
      <c r="W34" s="67"/>
      <c r="X34" s="55"/>
      <c r="Y34" s="142"/>
      <c r="Z34" s="147"/>
      <c r="AA34" s="402">
        <v>6</v>
      </c>
      <c r="AB34" s="802" t="s">
        <v>436</v>
      </c>
      <c r="AC34" s="802"/>
      <c r="AD34" s="802"/>
      <c r="AE34" s="802"/>
      <c r="AF34" s="802"/>
      <c r="AG34" s="802"/>
      <c r="AH34" s="802"/>
      <c r="AI34" s="802"/>
      <c r="AJ34" s="802"/>
      <c r="AK34" s="802"/>
      <c r="AL34" s="802"/>
      <c r="AM34" s="802"/>
      <c r="AN34" s="802"/>
      <c r="AO34" s="802"/>
      <c r="AP34" s="802"/>
      <c r="AQ34" s="802"/>
      <c r="AR34" s="802"/>
      <c r="AS34" s="802"/>
      <c r="AT34" s="802"/>
      <c r="AU34" s="148"/>
      <c r="AV34" s="146"/>
    </row>
    <row r="35" spans="1:48" ht="18.95" customHeight="1">
      <c r="A35" s="56"/>
      <c r="B35" s="65"/>
      <c r="C35" s="381">
        <v>18</v>
      </c>
      <c r="D35" s="752" t="s">
        <v>400</v>
      </c>
      <c r="E35" s="752"/>
      <c r="F35" s="752"/>
      <c r="G35" s="752"/>
      <c r="H35" s="752"/>
      <c r="I35" s="752"/>
      <c r="J35" s="752"/>
      <c r="K35" s="752"/>
      <c r="L35" s="752"/>
      <c r="M35" s="752"/>
      <c r="N35" s="753" t="str">
        <f ca="1">IF(INDIRECT("'PARINAM STD-1'!U"&amp;$R$1+4)="A","√","")</f>
        <v/>
      </c>
      <c r="O35" s="754"/>
      <c r="P35" s="754"/>
      <c r="Q35" s="754" t="str">
        <f ca="1">IF(INDIRECT("'PARINAM STD-1'!U"&amp;$R$1+4)="B","√","")</f>
        <v/>
      </c>
      <c r="R35" s="754"/>
      <c r="S35" s="754"/>
      <c r="T35" s="754" t="str">
        <f ca="1">IF(INDIRECT("'PARINAM STD-1'!U"&amp;$R$1+4)="C","√","")</f>
        <v>√</v>
      </c>
      <c r="U35" s="754"/>
      <c r="V35" s="755"/>
      <c r="W35" s="67"/>
      <c r="X35" s="55"/>
      <c r="Y35" s="142"/>
      <c r="Z35" s="147"/>
      <c r="AA35" s="401"/>
      <c r="AB35" s="802"/>
      <c r="AC35" s="802"/>
      <c r="AD35" s="802"/>
      <c r="AE35" s="802"/>
      <c r="AF35" s="802"/>
      <c r="AG35" s="802"/>
      <c r="AH35" s="802"/>
      <c r="AI35" s="802"/>
      <c r="AJ35" s="802"/>
      <c r="AK35" s="802"/>
      <c r="AL35" s="802"/>
      <c r="AM35" s="802"/>
      <c r="AN35" s="802"/>
      <c r="AO35" s="802"/>
      <c r="AP35" s="802"/>
      <c r="AQ35" s="802"/>
      <c r="AR35" s="802"/>
      <c r="AS35" s="802"/>
      <c r="AT35" s="802"/>
      <c r="AU35" s="148"/>
      <c r="AV35" s="146"/>
    </row>
    <row r="36" spans="1:48" ht="18.95" customHeight="1">
      <c r="A36" s="56"/>
      <c r="B36" s="65"/>
      <c r="C36" s="381">
        <v>19</v>
      </c>
      <c r="D36" s="752" t="s">
        <v>401</v>
      </c>
      <c r="E36" s="752"/>
      <c r="F36" s="752"/>
      <c r="G36" s="752"/>
      <c r="H36" s="752"/>
      <c r="I36" s="752"/>
      <c r="J36" s="752"/>
      <c r="K36" s="752"/>
      <c r="L36" s="752"/>
      <c r="M36" s="752"/>
      <c r="N36" s="753" t="str">
        <f ca="1">IF(INDIRECT("'PARINAM STD-1'!V"&amp;$R$1+4)="A","√","")</f>
        <v/>
      </c>
      <c r="O36" s="754"/>
      <c r="P36" s="754"/>
      <c r="Q36" s="754" t="str">
        <f ca="1">IF(INDIRECT("'PARINAM STD-1'!V"&amp;$R$1+4)="B","√","")</f>
        <v>√</v>
      </c>
      <c r="R36" s="754"/>
      <c r="S36" s="754"/>
      <c r="T36" s="754" t="str">
        <f ca="1">IF(INDIRECT("'PARINAM STD-1'!V"&amp;$R$1+4)="C","√","")</f>
        <v/>
      </c>
      <c r="U36" s="754"/>
      <c r="V36" s="755"/>
      <c r="W36" s="67"/>
      <c r="X36" s="55"/>
      <c r="Y36" s="142"/>
      <c r="Z36" s="147"/>
      <c r="AA36" s="801" t="s">
        <v>437</v>
      </c>
      <c r="AB36" s="801"/>
      <c r="AC36" s="801"/>
      <c r="AD36" s="801"/>
      <c r="AE36" s="801"/>
      <c r="AF36" s="801"/>
      <c r="AG36" s="801"/>
      <c r="AH36" s="801"/>
      <c r="AI36" s="801"/>
      <c r="AJ36" s="801"/>
      <c r="AK36" s="801"/>
      <c r="AL36" s="801"/>
      <c r="AM36" s="801"/>
      <c r="AN36" s="801"/>
      <c r="AO36" s="801"/>
      <c r="AP36" s="801"/>
      <c r="AQ36" s="801"/>
      <c r="AR36" s="801"/>
      <c r="AS36" s="801"/>
      <c r="AT36" s="801"/>
      <c r="AU36" s="148"/>
      <c r="AV36" s="146"/>
    </row>
    <row r="37" spans="1:48" ht="18.95" customHeight="1">
      <c r="A37" s="56"/>
      <c r="B37" s="65"/>
      <c r="C37" s="381">
        <v>20</v>
      </c>
      <c r="D37" s="752" t="s">
        <v>381</v>
      </c>
      <c r="E37" s="752"/>
      <c r="F37" s="752"/>
      <c r="G37" s="752"/>
      <c r="H37" s="752"/>
      <c r="I37" s="752"/>
      <c r="J37" s="752"/>
      <c r="K37" s="752"/>
      <c r="L37" s="752"/>
      <c r="M37" s="752"/>
      <c r="N37" s="753" t="str">
        <f ca="1">IF(INDIRECT("'PARINAM STD-1'!W"&amp;$R$1+4)="A","√","")</f>
        <v>√</v>
      </c>
      <c r="O37" s="754"/>
      <c r="P37" s="754"/>
      <c r="Q37" s="754" t="str">
        <f ca="1">IF(INDIRECT("'PARINAM STD-1'!W"&amp;$R$1+4)="B","√","")</f>
        <v/>
      </c>
      <c r="R37" s="754"/>
      <c r="S37" s="754"/>
      <c r="T37" s="754" t="str">
        <f ca="1">IF(INDIRECT("'PARINAM STD-1'!W"&amp;$R$1+4)="C","√","")</f>
        <v/>
      </c>
      <c r="U37" s="754"/>
      <c r="V37" s="755"/>
      <c r="W37" s="67"/>
      <c r="X37" s="55"/>
      <c r="Y37" s="142"/>
      <c r="Z37" s="147"/>
      <c r="AA37" s="803" t="str">
        <f ca="1">INDIRECT("'PARINAM STD-1'!AR"&amp;$R$1+3)</f>
        <v>DFGD DFGD FDGD SFG FGDF</v>
      </c>
      <c r="AB37" s="804"/>
      <c r="AC37" s="804"/>
      <c r="AD37" s="804"/>
      <c r="AE37" s="804"/>
      <c r="AF37" s="804"/>
      <c r="AG37" s="804"/>
      <c r="AH37" s="804"/>
      <c r="AI37" s="804"/>
      <c r="AJ37" s="804"/>
      <c r="AK37" s="804"/>
      <c r="AL37" s="804"/>
      <c r="AM37" s="804"/>
      <c r="AN37" s="804"/>
      <c r="AO37" s="804"/>
      <c r="AP37" s="804"/>
      <c r="AQ37" s="804"/>
      <c r="AR37" s="804"/>
      <c r="AS37" s="804"/>
      <c r="AT37" s="805"/>
      <c r="AU37" s="148"/>
      <c r="AV37" s="146"/>
    </row>
    <row r="38" spans="1:48" ht="18.95" customHeight="1">
      <c r="A38" s="56"/>
      <c r="B38" s="65"/>
      <c r="C38" s="381">
        <v>21</v>
      </c>
      <c r="D38" s="752" t="s">
        <v>402</v>
      </c>
      <c r="E38" s="752"/>
      <c r="F38" s="752"/>
      <c r="G38" s="752"/>
      <c r="H38" s="752"/>
      <c r="I38" s="752"/>
      <c r="J38" s="752"/>
      <c r="K38" s="752"/>
      <c r="L38" s="752"/>
      <c r="M38" s="752"/>
      <c r="N38" s="753" t="str">
        <f ca="1">IF(INDIRECT("'PARINAM STD-1'!X"&amp;$R$1+4)="A","√","")</f>
        <v>√</v>
      </c>
      <c r="O38" s="754"/>
      <c r="P38" s="754"/>
      <c r="Q38" s="754" t="str">
        <f ca="1">IF(INDIRECT("'PARINAM STD-1'!X"&amp;$R$1+4)="B","√","")</f>
        <v/>
      </c>
      <c r="R38" s="754"/>
      <c r="S38" s="754"/>
      <c r="T38" s="754" t="str">
        <f ca="1">IF(INDIRECT("'PARINAM STD-1'!X"&amp;$R$1+4)="C","√","")</f>
        <v/>
      </c>
      <c r="U38" s="754"/>
      <c r="V38" s="755"/>
      <c r="W38" s="67"/>
      <c r="X38" s="55"/>
      <c r="Y38" s="142"/>
      <c r="Z38" s="147"/>
      <c r="AA38" s="806"/>
      <c r="AB38" s="807"/>
      <c r="AC38" s="807"/>
      <c r="AD38" s="807"/>
      <c r="AE38" s="807"/>
      <c r="AF38" s="807"/>
      <c r="AG38" s="807"/>
      <c r="AH38" s="807"/>
      <c r="AI38" s="807"/>
      <c r="AJ38" s="807"/>
      <c r="AK38" s="807"/>
      <c r="AL38" s="807"/>
      <c r="AM38" s="807"/>
      <c r="AN38" s="807"/>
      <c r="AO38" s="807"/>
      <c r="AP38" s="807"/>
      <c r="AQ38" s="807"/>
      <c r="AR38" s="807"/>
      <c r="AS38" s="807"/>
      <c r="AT38" s="808"/>
      <c r="AU38" s="148"/>
      <c r="AV38" s="146"/>
    </row>
    <row r="39" spans="1:48" ht="18.95" customHeight="1">
      <c r="A39" s="56"/>
      <c r="B39" s="65"/>
      <c r="C39" s="381">
        <v>22</v>
      </c>
      <c r="D39" s="752" t="s">
        <v>403</v>
      </c>
      <c r="E39" s="752"/>
      <c r="F39" s="752"/>
      <c r="G39" s="752"/>
      <c r="H39" s="752"/>
      <c r="I39" s="752"/>
      <c r="J39" s="752"/>
      <c r="K39" s="752"/>
      <c r="L39" s="752"/>
      <c r="M39" s="752"/>
      <c r="N39" s="753" t="str">
        <f ca="1">IF(INDIRECT("'PARINAM STD-1'!Y"&amp;$R$1+4)="A","√","")</f>
        <v>√</v>
      </c>
      <c r="O39" s="754"/>
      <c r="P39" s="754"/>
      <c r="Q39" s="754" t="str">
        <f ca="1">IF(INDIRECT("'PARINAM STD-1'!Y"&amp;$R$1+4)="B","√","")</f>
        <v/>
      </c>
      <c r="R39" s="754"/>
      <c r="S39" s="754"/>
      <c r="T39" s="754" t="str">
        <f ca="1">IF(INDIRECT("'PARINAM STD-1'!Y"&amp;$R$1+4)="C","√","")</f>
        <v/>
      </c>
      <c r="U39" s="754"/>
      <c r="V39" s="755"/>
      <c r="W39" s="67"/>
      <c r="X39" s="55"/>
      <c r="Y39" s="142"/>
      <c r="Z39" s="147"/>
      <c r="AA39" s="806"/>
      <c r="AB39" s="807"/>
      <c r="AC39" s="807"/>
      <c r="AD39" s="807"/>
      <c r="AE39" s="807"/>
      <c r="AF39" s="807"/>
      <c r="AG39" s="807"/>
      <c r="AH39" s="807"/>
      <c r="AI39" s="807"/>
      <c r="AJ39" s="807"/>
      <c r="AK39" s="807"/>
      <c r="AL39" s="807"/>
      <c r="AM39" s="807"/>
      <c r="AN39" s="807"/>
      <c r="AO39" s="807"/>
      <c r="AP39" s="807"/>
      <c r="AQ39" s="807"/>
      <c r="AR39" s="807"/>
      <c r="AS39" s="807"/>
      <c r="AT39" s="808"/>
      <c r="AU39" s="148"/>
      <c r="AV39" s="146"/>
    </row>
    <row r="40" spans="1:48" ht="18.95" customHeight="1">
      <c r="A40" s="56"/>
      <c r="B40" s="65"/>
      <c r="C40" s="381">
        <v>23</v>
      </c>
      <c r="D40" s="752" t="s">
        <v>404</v>
      </c>
      <c r="E40" s="752"/>
      <c r="F40" s="752"/>
      <c r="G40" s="752"/>
      <c r="H40" s="752"/>
      <c r="I40" s="752"/>
      <c r="J40" s="752"/>
      <c r="K40" s="752"/>
      <c r="L40" s="752"/>
      <c r="M40" s="752"/>
      <c r="N40" s="753" t="str">
        <f ca="1">IF(INDIRECT("'PARINAM STD-1'!Z"&amp;$R$1+4)="A","√","")</f>
        <v>√</v>
      </c>
      <c r="O40" s="754"/>
      <c r="P40" s="754"/>
      <c r="Q40" s="754" t="str">
        <f ca="1">IF(INDIRECT("'PARINAM STD-1'!Z"&amp;$R$1+4)="B","√","")</f>
        <v/>
      </c>
      <c r="R40" s="754"/>
      <c r="S40" s="754"/>
      <c r="T40" s="754" t="str">
        <f ca="1">IF(INDIRECT("'PARINAM STD-1'!Z"&amp;$R$1+4)="C","√","")</f>
        <v/>
      </c>
      <c r="U40" s="754"/>
      <c r="V40" s="755"/>
      <c r="W40" s="67"/>
      <c r="X40" s="55"/>
      <c r="Y40" s="142"/>
      <c r="Z40" s="147"/>
      <c r="AA40" s="806"/>
      <c r="AB40" s="807"/>
      <c r="AC40" s="807"/>
      <c r="AD40" s="807"/>
      <c r="AE40" s="807"/>
      <c r="AF40" s="807"/>
      <c r="AG40" s="807"/>
      <c r="AH40" s="807"/>
      <c r="AI40" s="807"/>
      <c r="AJ40" s="807"/>
      <c r="AK40" s="807"/>
      <c r="AL40" s="807"/>
      <c r="AM40" s="807"/>
      <c r="AN40" s="807"/>
      <c r="AO40" s="807"/>
      <c r="AP40" s="807"/>
      <c r="AQ40" s="807"/>
      <c r="AR40" s="807"/>
      <c r="AS40" s="807"/>
      <c r="AT40" s="808"/>
      <c r="AU40" s="148"/>
      <c r="AV40" s="146"/>
    </row>
    <row r="41" spans="1:48" ht="18.95" customHeight="1">
      <c r="A41" s="56"/>
      <c r="B41" s="65"/>
      <c r="C41" s="381">
        <v>24</v>
      </c>
      <c r="D41" s="752" t="s">
        <v>382</v>
      </c>
      <c r="E41" s="752"/>
      <c r="F41" s="752"/>
      <c r="G41" s="752"/>
      <c r="H41" s="752"/>
      <c r="I41" s="752"/>
      <c r="J41" s="752"/>
      <c r="K41" s="752"/>
      <c r="L41" s="752"/>
      <c r="M41" s="752"/>
      <c r="N41" s="753" t="str">
        <f ca="1">IF(INDIRECT("'PARINAM STD-1'!AA"&amp;$R$1+4)="A","√","")</f>
        <v>√</v>
      </c>
      <c r="O41" s="754"/>
      <c r="P41" s="754"/>
      <c r="Q41" s="754" t="str">
        <f ca="1">IF(INDIRECT("'PARINAM STD-1'!AA"&amp;$R$1+4)="B","√","")</f>
        <v/>
      </c>
      <c r="R41" s="754"/>
      <c r="S41" s="754"/>
      <c r="T41" s="754" t="str">
        <f ca="1">IF(INDIRECT("'PARINAM STD-1'!AA"&amp;$R$1+4)="C","√","")</f>
        <v/>
      </c>
      <c r="U41" s="754"/>
      <c r="V41" s="755"/>
      <c r="W41" s="67"/>
      <c r="X41" s="55"/>
      <c r="Y41" s="142"/>
      <c r="Z41" s="147"/>
      <c r="AA41" s="806"/>
      <c r="AB41" s="807"/>
      <c r="AC41" s="807"/>
      <c r="AD41" s="807"/>
      <c r="AE41" s="807"/>
      <c r="AF41" s="807"/>
      <c r="AG41" s="807"/>
      <c r="AH41" s="807"/>
      <c r="AI41" s="807"/>
      <c r="AJ41" s="807"/>
      <c r="AK41" s="807"/>
      <c r="AL41" s="807"/>
      <c r="AM41" s="807"/>
      <c r="AN41" s="807"/>
      <c r="AO41" s="807"/>
      <c r="AP41" s="807"/>
      <c r="AQ41" s="807"/>
      <c r="AR41" s="807"/>
      <c r="AS41" s="807"/>
      <c r="AT41" s="808"/>
      <c r="AU41" s="148"/>
      <c r="AV41" s="146"/>
    </row>
    <row r="42" spans="1:48" ht="18.95" customHeight="1">
      <c r="A42" s="56"/>
      <c r="B42" s="65"/>
      <c r="C42" s="381">
        <v>25</v>
      </c>
      <c r="D42" s="752" t="s">
        <v>405</v>
      </c>
      <c r="E42" s="752"/>
      <c r="F42" s="752"/>
      <c r="G42" s="752"/>
      <c r="H42" s="752"/>
      <c r="I42" s="752"/>
      <c r="J42" s="752"/>
      <c r="K42" s="752"/>
      <c r="L42" s="752"/>
      <c r="M42" s="752"/>
      <c r="N42" s="753" t="str">
        <f ca="1">IF(INDIRECT("'PARINAM STD-1'!AB"&amp;$R$1+4)="A","√","")</f>
        <v/>
      </c>
      <c r="O42" s="754"/>
      <c r="P42" s="754"/>
      <c r="Q42" s="754" t="str">
        <f ca="1">IF(INDIRECT("'PARINAM STD-1'!AB"&amp;$R$1+4)="B","√","")</f>
        <v>√</v>
      </c>
      <c r="R42" s="754"/>
      <c r="S42" s="754"/>
      <c r="T42" s="754" t="str">
        <f ca="1">IF(INDIRECT("'PARINAM STD-1'!AB"&amp;$R$1+4)="C","√","")</f>
        <v/>
      </c>
      <c r="U42" s="754"/>
      <c r="V42" s="755"/>
      <c r="W42" s="67"/>
      <c r="X42" s="55"/>
      <c r="Y42" s="142"/>
      <c r="Z42" s="147"/>
      <c r="AA42" s="809"/>
      <c r="AB42" s="810"/>
      <c r="AC42" s="810"/>
      <c r="AD42" s="810"/>
      <c r="AE42" s="810"/>
      <c r="AF42" s="810"/>
      <c r="AG42" s="810"/>
      <c r="AH42" s="810"/>
      <c r="AI42" s="810"/>
      <c r="AJ42" s="810"/>
      <c r="AK42" s="810"/>
      <c r="AL42" s="810"/>
      <c r="AM42" s="810"/>
      <c r="AN42" s="810"/>
      <c r="AO42" s="810"/>
      <c r="AP42" s="810"/>
      <c r="AQ42" s="810"/>
      <c r="AR42" s="810"/>
      <c r="AS42" s="810"/>
      <c r="AT42" s="811"/>
      <c r="AU42" s="148"/>
      <c r="AV42" s="146"/>
    </row>
    <row r="43" spans="1:48" ht="16.899999999999999" customHeight="1">
      <c r="A43" s="56"/>
      <c r="B43" s="65"/>
      <c r="C43" s="381">
        <v>26</v>
      </c>
      <c r="D43" s="752" t="s">
        <v>383</v>
      </c>
      <c r="E43" s="752"/>
      <c r="F43" s="752"/>
      <c r="G43" s="752"/>
      <c r="H43" s="752"/>
      <c r="I43" s="752"/>
      <c r="J43" s="752"/>
      <c r="K43" s="752"/>
      <c r="L43" s="752"/>
      <c r="M43" s="752"/>
      <c r="N43" s="753" t="str">
        <f ca="1">IF(INDIRECT("'PARINAM STD-1'!AC"&amp;$R$1+4)="A","√","")</f>
        <v>√</v>
      </c>
      <c r="O43" s="754"/>
      <c r="P43" s="754"/>
      <c r="Q43" s="754" t="str">
        <f ca="1">IF(INDIRECT("'PARINAM STD-1'!AC"&amp;$R$1+4)="B","√","")</f>
        <v/>
      </c>
      <c r="R43" s="754"/>
      <c r="S43" s="754"/>
      <c r="T43" s="754" t="str">
        <f ca="1">IF(INDIRECT("'PARINAM STD-1'!AC"&amp;$R$1+4)="C","√","")</f>
        <v/>
      </c>
      <c r="U43" s="754"/>
      <c r="V43" s="755"/>
      <c r="W43" s="67"/>
      <c r="X43" s="55"/>
      <c r="Y43" s="142"/>
      <c r="Z43" s="147"/>
      <c r="AA43" s="379"/>
      <c r="AB43" s="379"/>
      <c r="AC43" s="379"/>
      <c r="AD43" s="379"/>
      <c r="AE43" s="379"/>
      <c r="AF43" s="379"/>
      <c r="AG43" s="379"/>
      <c r="AH43" s="379"/>
      <c r="AI43" s="379"/>
      <c r="AJ43" s="379"/>
      <c r="AK43" s="379"/>
      <c r="AL43" s="379"/>
      <c r="AM43" s="379"/>
      <c r="AN43" s="379"/>
      <c r="AO43" s="379"/>
      <c r="AP43" s="379"/>
      <c r="AQ43" s="379"/>
      <c r="AR43" s="379"/>
      <c r="AS43" s="379"/>
      <c r="AT43" s="379"/>
      <c r="AU43" s="148"/>
      <c r="AV43" s="146"/>
    </row>
    <row r="44" spans="1:48" ht="16.899999999999999" customHeight="1">
      <c r="A44" s="56"/>
      <c r="B44" s="65"/>
      <c r="C44" s="381">
        <v>27</v>
      </c>
      <c r="D44" s="752" t="s">
        <v>378</v>
      </c>
      <c r="E44" s="752"/>
      <c r="F44" s="752"/>
      <c r="G44" s="752"/>
      <c r="H44" s="752"/>
      <c r="I44" s="752"/>
      <c r="J44" s="752"/>
      <c r="K44" s="752"/>
      <c r="L44" s="752"/>
      <c r="M44" s="752"/>
      <c r="N44" s="753" t="str">
        <f ca="1">IF(INDIRECT("'PARINAM STD-1'!AD"&amp;$R$1+4)="A","√","")</f>
        <v>√</v>
      </c>
      <c r="O44" s="754"/>
      <c r="P44" s="754"/>
      <c r="Q44" s="754" t="str">
        <f ca="1">IF(INDIRECT("'PARINAM STD-1'!AD"&amp;$R$1+4)="B","√","")</f>
        <v/>
      </c>
      <c r="R44" s="754"/>
      <c r="S44" s="754"/>
      <c r="T44" s="754" t="str">
        <f ca="1">IF(INDIRECT("'PARINAM STD-1'!AD"&amp;$R$1+4)="C","√","")</f>
        <v/>
      </c>
      <c r="U44" s="754"/>
      <c r="V44" s="755"/>
      <c r="W44" s="67"/>
      <c r="X44" s="55"/>
      <c r="Y44" s="142"/>
      <c r="Z44" s="147"/>
      <c r="AA44" s="57"/>
      <c r="AB44" s="57"/>
      <c r="AC44" s="57"/>
      <c r="AD44" s="57"/>
      <c r="AE44" s="57"/>
      <c r="AF44" s="57"/>
      <c r="AG44" s="57"/>
      <c r="AH44" s="57"/>
      <c r="AI44" s="57"/>
      <c r="AJ44" s="57"/>
      <c r="AK44" s="57"/>
      <c r="AL44" s="57"/>
      <c r="AM44" s="57"/>
      <c r="AN44" s="57"/>
      <c r="AO44" s="57"/>
      <c r="AP44" s="57"/>
      <c r="AQ44" s="57"/>
      <c r="AR44" s="57"/>
      <c r="AS44" s="57"/>
      <c r="AT44" s="57"/>
      <c r="AU44" s="148"/>
      <c r="AV44" s="146"/>
    </row>
    <row r="45" spans="1:48" ht="16.899999999999999" customHeight="1">
      <c r="A45" s="56"/>
      <c r="B45" s="65"/>
      <c r="C45" s="382">
        <v>28</v>
      </c>
      <c r="D45" s="765" t="s">
        <v>379</v>
      </c>
      <c r="E45" s="765"/>
      <c r="F45" s="765"/>
      <c r="G45" s="765"/>
      <c r="H45" s="765"/>
      <c r="I45" s="765"/>
      <c r="J45" s="765"/>
      <c r="K45" s="765"/>
      <c r="L45" s="765"/>
      <c r="M45" s="765"/>
      <c r="N45" s="798" t="str">
        <f ca="1">IF(INDIRECT("'PARINAM STD-1'!AE"&amp;$R$1+4)="A","√","")</f>
        <v>√</v>
      </c>
      <c r="O45" s="799"/>
      <c r="P45" s="799"/>
      <c r="Q45" s="799" t="str">
        <f ca="1">IF(INDIRECT("'PARINAM STD-1'!AE"&amp;$R$1+4)="B","√","")</f>
        <v/>
      </c>
      <c r="R45" s="799"/>
      <c r="S45" s="799"/>
      <c r="T45" s="799" t="str">
        <f ca="1">IF(INDIRECT("'PARINAM STD-1'!AE"&amp;$R$1+4)="C","√","")</f>
        <v/>
      </c>
      <c r="U45" s="799"/>
      <c r="V45" s="800"/>
      <c r="W45" s="67"/>
      <c r="X45" s="55"/>
      <c r="Y45" s="142"/>
      <c r="Z45" s="147"/>
      <c r="AA45" s="57"/>
      <c r="AB45" s="57"/>
      <c r="AC45" s="57"/>
      <c r="AD45" s="57"/>
      <c r="AE45" s="57"/>
      <c r="AF45" s="57"/>
      <c r="AG45" s="57"/>
      <c r="AH45" s="57"/>
      <c r="AI45" s="57"/>
      <c r="AJ45" s="57"/>
      <c r="AK45" s="57"/>
      <c r="AL45" s="57"/>
      <c r="AM45" s="57"/>
      <c r="AN45" s="57"/>
      <c r="AO45" s="57"/>
      <c r="AP45" s="57"/>
      <c r="AQ45" s="57"/>
      <c r="AR45" s="57"/>
      <c r="AS45" s="57"/>
      <c r="AT45" s="404" t="s">
        <v>221</v>
      </c>
      <c r="AU45" s="148"/>
      <c r="AV45" s="146"/>
    </row>
    <row r="46" spans="1:48" ht="16.5" customHeight="1" thickBot="1">
      <c r="A46" s="56"/>
      <c r="B46" s="75"/>
      <c r="C46" s="384"/>
      <c r="D46" s="384"/>
      <c r="E46" s="384"/>
      <c r="F46" s="76"/>
      <c r="G46" s="76"/>
      <c r="H46" s="76"/>
      <c r="I46" s="76"/>
      <c r="J46" s="76"/>
      <c r="K46" s="76"/>
      <c r="L46" s="76"/>
      <c r="M46" s="76"/>
      <c r="N46" s="76"/>
      <c r="O46" s="76"/>
      <c r="P46" s="76"/>
      <c r="Q46" s="76"/>
      <c r="R46" s="76"/>
      <c r="S46" s="76"/>
      <c r="T46" s="76"/>
      <c r="U46" s="76"/>
      <c r="V46" s="76"/>
      <c r="W46" s="77"/>
      <c r="X46" s="55"/>
      <c r="Y46" s="142"/>
      <c r="Z46" s="151"/>
      <c r="AA46" s="152"/>
      <c r="AB46" s="152"/>
      <c r="AC46" s="152"/>
      <c r="AD46" s="152"/>
      <c r="AE46" s="152"/>
      <c r="AF46" s="152"/>
      <c r="AG46" s="152"/>
      <c r="AH46" s="152"/>
      <c r="AI46" s="152"/>
      <c r="AJ46" s="152"/>
      <c r="AK46" s="152"/>
      <c r="AL46" s="152"/>
      <c r="AM46" s="152"/>
      <c r="AN46" s="152"/>
      <c r="AO46" s="152"/>
      <c r="AP46" s="152"/>
      <c r="AQ46" s="152"/>
      <c r="AR46" s="152"/>
      <c r="AS46" s="152"/>
      <c r="AT46" s="152"/>
      <c r="AU46" s="153"/>
      <c r="AV46" s="146"/>
    </row>
    <row r="47" spans="1:48" ht="16.5" customHeight="1">
      <c r="A47" s="60"/>
      <c r="B47" s="61"/>
      <c r="C47" s="61"/>
      <c r="D47" s="61"/>
      <c r="E47" s="61"/>
      <c r="F47" s="61"/>
      <c r="G47" s="61"/>
      <c r="H47" s="61"/>
      <c r="I47" s="61"/>
      <c r="J47" s="61"/>
      <c r="K47" s="61"/>
      <c r="L47" s="61"/>
      <c r="M47" s="61"/>
      <c r="N47" s="61"/>
      <c r="O47" s="61"/>
      <c r="P47" s="61"/>
      <c r="Q47" s="61"/>
      <c r="R47" s="61"/>
      <c r="S47" s="61"/>
      <c r="T47" s="61"/>
      <c r="U47" s="61"/>
      <c r="V47" s="61"/>
      <c r="W47" s="61"/>
      <c r="X47" s="62"/>
      <c r="Y47" s="154"/>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6"/>
    </row>
  </sheetData>
  <sheetProtection password="DC6E" sheet="1" objects="1" scenarios="1"/>
  <mergeCells count="205">
    <mergeCell ref="AA36:AT36"/>
    <mergeCell ref="AB34:AT35"/>
    <mergeCell ref="AB32:AT33"/>
    <mergeCell ref="AB30:AT31"/>
    <mergeCell ref="AB28:AT29"/>
    <mergeCell ref="AB25:AT27"/>
    <mergeCell ref="AA37:AT42"/>
    <mergeCell ref="AA4:AT4"/>
    <mergeCell ref="AB17:AK17"/>
    <mergeCell ref="AL17:AN17"/>
    <mergeCell ref="AO17:AQ17"/>
    <mergeCell ref="AR17:AT17"/>
    <mergeCell ref="AA22:AT22"/>
    <mergeCell ref="AB23:AT24"/>
    <mergeCell ref="AA23:AA24"/>
    <mergeCell ref="AB14:AK14"/>
    <mergeCell ref="AL14:AN14"/>
    <mergeCell ref="AO14:AQ14"/>
    <mergeCell ref="AR14:AT14"/>
    <mergeCell ref="AB15:AK15"/>
    <mergeCell ref="AL15:AN15"/>
    <mergeCell ref="AO15:AQ15"/>
    <mergeCell ref="AR15:AT15"/>
    <mergeCell ref="AB16:AK16"/>
    <mergeCell ref="N44:P44"/>
    <mergeCell ref="Q44:S44"/>
    <mergeCell ref="T44:V44"/>
    <mergeCell ref="N45:P45"/>
    <mergeCell ref="Q45:S45"/>
    <mergeCell ref="T45:V45"/>
    <mergeCell ref="N41:P41"/>
    <mergeCell ref="Q41:S41"/>
    <mergeCell ref="T41:V41"/>
    <mergeCell ref="N42:P42"/>
    <mergeCell ref="Q42:S42"/>
    <mergeCell ref="T42:V42"/>
    <mergeCell ref="N43:P43"/>
    <mergeCell ref="Q43:S43"/>
    <mergeCell ref="T43:V43"/>
    <mergeCell ref="AB6:AK6"/>
    <mergeCell ref="AL6:AN6"/>
    <mergeCell ref="AB7:AK7"/>
    <mergeCell ref="AL7:AN7"/>
    <mergeCell ref="AB8:AK8"/>
    <mergeCell ref="AL8:AN8"/>
    <mergeCell ref="AB9:AK9"/>
    <mergeCell ref="AL9:AN9"/>
    <mergeCell ref="AB10:AK10"/>
    <mergeCell ref="AL10:AN10"/>
    <mergeCell ref="N33:P33"/>
    <mergeCell ref="Q33:S33"/>
    <mergeCell ref="T33:V33"/>
    <mergeCell ref="N34:P34"/>
    <mergeCell ref="Q34:S34"/>
    <mergeCell ref="T34:V34"/>
    <mergeCell ref="N40:P40"/>
    <mergeCell ref="Q40:S40"/>
    <mergeCell ref="T40:V40"/>
    <mergeCell ref="N35:P35"/>
    <mergeCell ref="Q35:S35"/>
    <mergeCell ref="T35:V35"/>
    <mergeCell ref="N36:P36"/>
    <mergeCell ref="Q36:S36"/>
    <mergeCell ref="T36:V36"/>
    <mergeCell ref="N37:P37"/>
    <mergeCell ref="Q37:S37"/>
    <mergeCell ref="T37:V37"/>
    <mergeCell ref="N38:P38"/>
    <mergeCell ref="Q38:S38"/>
    <mergeCell ref="T38:V38"/>
    <mergeCell ref="N39:P39"/>
    <mergeCell ref="Q39:S39"/>
    <mergeCell ref="T39:V39"/>
    <mergeCell ref="N25:P25"/>
    <mergeCell ref="Q25:S25"/>
    <mergeCell ref="T25:V25"/>
    <mergeCell ref="N26:P26"/>
    <mergeCell ref="Q26:S26"/>
    <mergeCell ref="T26:V26"/>
    <mergeCell ref="T31:V31"/>
    <mergeCell ref="N32:P32"/>
    <mergeCell ref="Q32:S32"/>
    <mergeCell ref="T32:V32"/>
    <mergeCell ref="Q28:S28"/>
    <mergeCell ref="T28:V28"/>
    <mergeCell ref="N28:P28"/>
    <mergeCell ref="N21:P21"/>
    <mergeCell ref="Q21:S21"/>
    <mergeCell ref="T21:V21"/>
    <mergeCell ref="N22:P22"/>
    <mergeCell ref="Q22:S22"/>
    <mergeCell ref="T22:V22"/>
    <mergeCell ref="N24:P24"/>
    <mergeCell ref="Q24:S24"/>
    <mergeCell ref="T24:V24"/>
    <mergeCell ref="D34:M34"/>
    <mergeCell ref="D35:M35"/>
    <mergeCell ref="D36:M36"/>
    <mergeCell ref="D37:M37"/>
    <mergeCell ref="D38:M38"/>
    <mergeCell ref="D39:M39"/>
    <mergeCell ref="D40:M40"/>
    <mergeCell ref="D41:M41"/>
    <mergeCell ref="D42:M42"/>
    <mergeCell ref="C5:V5"/>
    <mergeCell ref="J6:P7"/>
    <mergeCell ref="C9:V10"/>
    <mergeCell ref="C11:D11"/>
    <mergeCell ref="E11:H11"/>
    <mergeCell ref="I11:J11"/>
    <mergeCell ref="K11:O11"/>
    <mergeCell ref="P11:Q11"/>
    <mergeCell ref="R11:V11"/>
    <mergeCell ref="C12:F12"/>
    <mergeCell ref="G12:O12"/>
    <mergeCell ref="J14:P14"/>
    <mergeCell ref="J15:P15"/>
    <mergeCell ref="D18:M18"/>
    <mergeCell ref="D19:M19"/>
    <mergeCell ref="D20:M20"/>
    <mergeCell ref="D21:M21"/>
    <mergeCell ref="D22:M22"/>
    <mergeCell ref="C16:V16"/>
    <mergeCell ref="N18:P18"/>
    <mergeCell ref="Q18:S18"/>
    <mergeCell ref="T18:V18"/>
    <mergeCell ref="D17:M17"/>
    <mergeCell ref="N17:P17"/>
    <mergeCell ref="Q17:S17"/>
    <mergeCell ref="T17:V17"/>
    <mergeCell ref="N19:P19"/>
    <mergeCell ref="P12:Q12"/>
    <mergeCell ref="R12:V12"/>
    <mergeCell ref="Q19:S19"/>
    <mergeCell ref="T19:V19"/>
    <mergeCell ref="N20:P20"/>
    <mergeCell ref="Q20:S20"/>
    <mergeCell ref="D23:M23"/>
    <mergeCell ref="D24:M24"/>
    <mergeCell ref="D25:M25"/>
    <mergeCell ref="D43:M43"/>
    <mergeCell ref="D44:M44"/>
    <mergeCell ref="D45:M45"/>
    <mergeCell ref="I1:Q1"/>
    <mergeCell ref="R1:S1"/>
    <mergeCell ref="AA1:AT1"/>
    <mergeCell ref="C4:V4"/>
    <mergeCell ref="AA5:AT5"/>
    <mergeCell ref="C13:D13"/>
    <mergeCell ref="E13:F13"/>
    <mergeCell ref="G13:H13"/>
    <mergeCell ref="I13:J13"/>
    <mergeCell ref="K13:M13"/>
    <mergeCell ref="N13:P13"/>
    <mergeCell ref="Q13:S13"/>
    <mergeCell ref="AO6:AQ6"/>
    <mergeCell ref="AR6:AT6"/>
    <mergeCell ref="AO7:AQ7"/>
    <mergeCell ref="AR7:AT7"/>
    <mergeCell ref="AO8:AQ8"/>
    <mergeCell ref="AR8:AT8"/>
    <mergeCell ref="AO9:AQ9"/>
    <mergeCell ref="AR9:AT9"/>
    <mergeCell ref="AO10:AQ10"/>
    <mergeCell ref="AR10:AT10"/>
    <mergeCell ref="AO11:AQ11"/>
    <mergeCell ref="AR11:AT11"/>
    <mergeCell ref="AO12:AQ12"/>
    <mergeCell ref="AR12:AT12"/>
    <mergeCell ref="AL13:AN13"/>
    <mergeCell ref="AO13:AQ13"/>
    <mergeCell ref="AR13:AT13"/>
    <mergeCell ref="T20:V20"/>
    <mergeCell ref="T13:V13"/>
    <mergeCell ref="AB11:AK11"/>
    <mergeCell ref="AL11:AN11"/>
    <mergeCell ref="AB12:AK12"/>
    <mergeCell ref="AL12:AN12"/>
    <mergeCell ref="AB13:AK13"/>
    <mergeCell ref="AL16:AN16"/>
    <mergeCell ref="AO16:AQ16"/>
    <mergeCell ref="AR16:AT16"/>
    <mergeCell ref="A1:D1"/>
    <mergeCell ref="D31:M31"/>
    <mergeCell ref="D32:M32"/>
    <mergeCell ref="D33:M33"/>
    <mergeCell ref="N29:P29"/>
    <mergeCell ref="Q29:S29"/>
    <mergeCell ref="T29:V29"/>
    <mergeCell ref="N30:P30"/>
    <mergeCell ref="Q30:S30"/>
    <mergeCell ref="T30:V30"/>
    <mergeCell ref="N31:P31"/>
    <mergeCell ref="Q31:S31"/>
    <mergeCell ref="D26:M26"/>
    <mergeCell ref="N23:P23"/>
    <mergeCell ref="Q23:S23"/>
    <mergeCell ref="T23:V23"/>
    <mergeCell ref="D27:M27"/>
    <mergeCell ref="D28:M28"/>
    <mergeCell ref="D29:M29"/>
    <mergeCell ref="D30:M30"/>
    <mergeCell ref="N27:P27"/>
    <mergeCell ref="Q27:S27"/>
    <mergeCell ref="T27:V27"/>
  </mergeCells>
  <dataValidations count="1">
    <dataValidation type="list" allowBlank="1" showInputMessage="1" showErrorMessage="1" sqref="R1">
      <formula1>ROLLNO</formula1>
    </dataValidation>
  </dataValidations>
  <hyperlinks>
    <hyperlink ref="A1:D1" location="INDEX!A1" display="INDEX"/>
  </hyperlinks>
  <pageMargins left="0.25" right="0.25" top="0.2" bottom="0.2" header="0" footer="0"/>
  <pageSetup paperSize="9" scale="99" pageOrder="overThenDown" orientation="portrait" horizontalDpi="4294967292" verticalDpi="300" r:id="rId1"/>
  <colBreaks count="1" manualBreakCount="1">
    <brk id="24" min="2" max="46" man="1"/>
  </col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5" tint="-0.249977111117893"/>
  </sheetPr>
  <dimension ref="A1:X47"/>
  <sheetViews>
    <sheetView showGridLines="0" view="pageBreakPreview" zoomScaleSheetLayoutView="100" workbookViewId="0">
      <pane ySplit="1" topLeftCell="A22" activePane="bottomLeft" state="frozen"/>
      <selection pane="bottomLeft" activeCell="Q30" sqref="Q30:V30"/>
    </sheetView>
  </sheetViews>
  <sheetFormatPr defaultColWidth="0" defaultRowHeight="15" zeroHeight="1"/>
  <cols>
    <col min="1" max="1" width="2.140625" style="41" customWidth="1"/>
    <col min="2" max="2" width="1.7109375" style="41" customWidth="1"/>
    <col min="3" max="3" width="10.42578125" style="41" customWidth="1"/>
    <col min="4" max="21" width="4.42578125" style="41" customWidth="1"/>
    <col min="22" max="22" width="9" style="41" customWidth="1"/>
    <col min="23" max="23" width="1.85546875" style="41" customWidth="1"/>
    <col min="24" max="24" width="2.42578125" style="41" customWidth="1"/>
    <col min="25" max="16384" width="9.140625" style="41" hidden="1"/>
  </cols>
  <sheetData>
    <row r="1" spans="1:24" ht="15.75" thickBot="1">
      <c r="A1" s="816" t="s">
        <v>492</v>
      </c>
      <c r="B1" s="816"/>
      <c r="C1" s="816"/>
    </row>
    <row r="2" spans="1:24" ht="20.25" thickBot="1">
      <c r="A2" s="214"/>
      <c r="B2" s="215"/>
      <c r="C2" s="215"/>
      <c r="D2" s="215"/>
      <c r="E2" s="215"/>
      <c r="F2" s="215"/>
      <c r="G2" s="216" t="s">
        <v>184</v>
      </c>
      <c r="H2" s="216"/>
      <c r="I2" s="216"/>
      <c r="J2" s="216"/>
      <c r="K2" s="216"/>
      <c r="L2" s="216"/>
      <c r="M2" s="216"/>
      <c r="N2" s="216"/>
      <c r="O2" s="216"/>
      <c r="P2" s="216"/>
      <c r="Q2" s="216"/>
      <c r="R2" s="216"/>
      <c r="S2" s="216"/>
      <c r="T2" s="216"/>
      <c r="U2" s="216"/>
      <c r="V2" s="216"/>
      <c r="W2" s="216"/>
      <c r="X2" s="468"/>
    </row>
    <row r="3" spans="1:24" ht="30" customHeight="1">
      <c r="A3" s="218"/>
      <c r="B3" s="63"/>
      <c r="C3" s="709" t="str">
        <f>SCHOOL!B8</f>
        <v>જિલ્લા પંચાયત શિક્ષણ સમિતિ, અમરેલી</v>
      </c>
      <c r="D3" s="709"/>
      <c r="E3" s="709"/>
      <c r="F3" s="709"/>
      <c r="G3" s="709"/>
      <c r="H3" s="709"/>
      <c r="I3" s="709"/>
      <c r="J3" s="709"/>
      <c r="K3" s="709"/>
      <c r="L3" s="709"/>
      <c r="M3" s="709"/>
      <c r="N3" s="709"/>
      <c r="O3" s="709"/>
      <c r="P3" s="709"/>
      <c r="Q3" s="709"/>
      <c r="R3" s="709"/>
      <c r="S3" s="709"/>
      <c r="T3" s="709"/>
      <c r="U3" s="709"/>
      <c r="V3" s="709"/>
      <c r="W3" s="64"/>
      <c r="X3" s="55"/>
    </row>
    <row r="4" spans="1:24" ht="42" customHeight="1">
      <c r="A4" s="220"/>
      <c r="B4" s="65"/>
      <c r="C4" s="710" t="s">
        <v>350</v>
      </c>
      <c r="D4" s="710"/>
      <c r="E4" s="710"/>
      <c r="F4" s="710"/>
      <c r="G4" s="710"/>
      <c r="H4" s="710"/>
      <c r="I4" s="710"/>
      <c r="J4" s="710"/>
      <c r="K4" s="710"/>
      <c r="L4" s="710"/>
      <c r="M4" s="710"/>
      <c r="N4" s="710"/>
      <c r="O4" s="710"/>
      <c r="P4" s="710"/>
      <c r="Q4" s="710"/>
      <c r="R4" s="710"/>
      <c r="S4" s="710"/>
      <c r="T4" s="710"/>
      <c r="U4" s="710"/>
      <c r="V4" s="710"/>
      <c r="W4" s="66"/>
      <c r="X4" s="55"/>
    </row>
    <row r="5" spans="1:24">
      <c r="A5" s="220"/>
      <c r="B5" s="65"/>
      <c r="C5" s="42"/>
      <c r="D5" s="42"/>
      <c r="E5" s="42"/>
      <c r="F5" s="42"/>
      <c r="G5" s="42"/>
      <c r="H5" s="42"/>
      <c r="I5" s="42"/>
      <c r="J5" s="42"/>
      <c r="K5" s="42"/>
      <c r="L5" s="42"/>
      <c r="M5" s="42"/>
      <c r="N5" s="42"/>
      <c r="O5" s="42"/>
      <c r="P5" s="42"/>
      <c r="Q5" s="42"/>
      <c r="R5" s="42"/>
      <c r="S5" s="42"/>
      <c r="T5" s="42"/>
      <c r="U5" s="42"/>
      <c r="V5" s="42"/>
      <c r="W5" s="67"/>
      <c r="X5" s="55"/>
    </row>
    <row r="6" spans="1:24">
      <c r="A6" s="220"/>
      <c r="B6" s="65"/>
      <c r="C6" s="42"/>
      <c r="D6" s="42"/>
      <c r="E6" s="42"/>
      <c r="F6" s="42"/>
      <c r="G6" s="42"/>
      <c r="H6" s="42"/>
      <c r="I6" s="42"/>
      <c r="J6" s="42"/>
      <c r="K6" s="42"/>
      <c r="L6" s="42"/>
      <c r="M6" s="42"/>
      <c r="N6" s="42"/>
      <c r="O6" s="42"/>
      <c r="P6" s="42"/>
      <c r="Q6" s="42"/>
      <c r="R6" s="42"/>
      <c r="S6" s="42"/>
      <c r="T6" s="42"/>
      <c r="U6" s="42"/>
      <c r="V6" s="42"/>
      <c r="W6" s="67"/>
      <c r="X6" s="55"/>
    </row>
    <row r="7" spans="1:24">
      <c r="A7" s="220"/>
      <c r="B7" s="65"/>
      <c r="C7" s="42"/>
      <c r="D7" s="42"/>
      <c r="E7" s="42"/>
      <c r="F7" s="42"/>
      <c r="G7" s="42"/>
      <c r="H7" s="42"/>
      <c r="I7" s="42"/>
      <c r="J7" s="42"/>
      <c r="K7" s="42"/>
      <c r="L7" s="42"/>
      <c r="M7" s="42"/>
      <c r="N7" s="42"/>
      <c r="O7" s="42"/>
      <c r="P7" s="42"/>
      <c r="Q7" s="42"/>
      <c r="R7" s="42"/>
      <c r="S7" s="42"/>
      <c r="T7" s="42"/>
      <c r="U7" s="42"/>
      <c r="V7" s="42"/>
      <c r="W7" s="67"/>
      <c r="X7" s="55"/>
    </row>
    <row r="8" spans="1:24">
      <c r="A8" s="220"/>
      <c r="B8" s="65"/>
      <c r="C8" s="42"/>
      <c r="D8" s="42"/>
      <c r="E8" s="42"/>
      <c r="F8" s="42"/>
      <c r="G8" s="42"/>
      <c r="H8" s="42"/>
      <c r="I8" s="42"/>
      <c r="J8" s="42"/>
      <c r="K8" s="42"/>
      <c r="L8" s="42"/>
      <c r="M8" s="42"/>
      <c r="N8" s="42"/>
      <c r="O8" s="42"/>
      <c r="P8" s="42"/>
      <c r="Q8" s="42"/>
      <c r="R8" s="42"/>
      <c r="S8" s="42"/>
      <c r="T8" s="42"/>
      <c r="U8" s="42"/>
      <c r="V8" s="42"/>
      <c r="W8" s="67"/>
      <c r="X8" s="55"/>
    </row>
    <row r="9" spans="1:24">
      <c r="A9" s="220"/>
      <c r="B9" s="65"/>
      <c r="C9" s="42"/>
      <c r="D9" s="42"/>
      <c r="E9" s="42"/>
      <c r="F9" s="42"/>
      <c r="G9" s="42"/>
      <c r="H9" s="42"/>
      <c r="I9" s="42"/>
      <c r="J9" s="42"/>
      <c r="K9" s="42"/>
      <c r="L9" s="42"/>
      <c r="M9" s="42"/>
      <c r="N9" s="42"/>
      <c r="O9" s="42"/>
      <c r="P9" s="42"/>
      <c r="Q9" s="42"/>
      <c r="R9" s="42"/>
      <c r="S9" s="42"/>
      <c r="T9" s="42"/>
      <c r="U9" s="42"/>
      <c r="V9" s="42"/>
      <c r="W9" s="67"/>
      <c r="X9" s="55"/>
    </row>
    <row r="10" spans="1:24">
      <c r="A10" s="220"/>
      <c r="B10" s="65"/>
      <c r="C10" s="42"/>
      <c r="D10" s="42"/>
      <c r="E10" s="42"/>
      <c r="F10" s="42"/>
      <c r="G10" s="42"/>
      <c r="H10" s="42"/>
      <c r="I10" s="42"/>
      <c r="J10" s="42"/>
      <c r="K10" s="42"/>
      <c r="L10" s="42"/>
      <c r="M10" s="42"/>
      <c r="N10" s="42"/>
      <c r="O10" s="42"/>
      <c r="P10" s="42"/>
      <c r="Q10" s="42"/>
      <c r="R10" s="42"/>
      <c r="S10" s="42"/>
      <c r="T10" s="42"/>
      <c r="U10" s="42"/>
      <c r="V10" s="42"/>
      <c r="W10" s="67"/>
      <c r="X10" s="55"/>
    </row>
    <row r="11" spans="1:24">
      <c r="A11" s="220"/>
      <c r="B11" s="65"/>
      <c r="C11" s="42"/>
      <c r="D11" s="42"/>
      <c r="E11" s="42"/>
      <c r="F11" s="42"/>
      <c r="G11" s="42"/>
      <c r="H11" s="42"/>
      <c r="I11" s="42"/>
      <c r="J11" s="42"/>
      <c r="K11" s="42"/>
      <c r="L11" s="42"/>
      <c r="M11" s="42"/>
      <c r="N11" s="42"/>
      <c r="O11" s="42"/>
      <c r="P11" s="42"/>
      <c r="Q11" s="42"/>
      <c r="R11" s="42"/>
      <c r="S11" s="42"/>
      <c r="T11" s="42"/>
      <c r="U11" s="42"/>
      <c r="V11" s="42"/>
      <c r="W11" s="67"/>
      <c r="X11" s="55"/>
    </row>
    <row r="12" spans="1:24">
      <c r="A12" s="220"/>
      <c r="B12" s="65"/>
      <c r="C12" s="42"/>
      <c r="D12" s="42"/>
      <c r="E12" s="42"/>
      <c r="F12" s="42"/>
      <c r="G12" s="42"/>
      <c r="H12" s="42"/>
      <c r="I12" s="42"/>
      <c r="J12" s="42"/>
      <c r="K12" s="42"/>
      <c r="L12" s="42"/>
      <c r="M12" s="42"/>
      <c r="N12" s="42"/>
      <c r="O12" s="42"/>
      <c r="P12" s="42"/>
      <c r="Q12" s="42"/>
      <c r="R12" s="42"/>
      <c r="S12" s="42"/>
      <c r="T12" s="42"/>
      <c r="U12" s="42"/>
      <c r="V12" s="42"/>
      <c r="W12" s="67"/>
      <c r="X12" s="55"/>
    </row>
    <row r="13" spans="1:24" ht="38.25" customHeight="1">
      <c r="A13" s="220"/>
      <c r="B13" s="65"/>
      <c r="C13" s="42"/>
      <c r="D13" s="42"/>
      <c r="E13" s="42"/>
      <c r="F13" s="42"/>
      <c r="G13" s="42"/>
      <c r="H13" s="42"/>
      <c r="I13" s="42"/>
      <c r="J13" s="42"/>
      <c r="K13" s="42"/>
      <c r="L13" s="42"/>
      <c r="M13" s="42"/>
      <c r="N13" s="42"/>
      <c r="O13" s="42"/>
      <c r="P13" s="42"/>
      <c r="Q13" s="42"/>
      <c r="R13" s="42"/>
      <c r="S13" s="42"/>
      <c r="T13" s="42"/>
      <c r="U13" s="42"/>
      <c r="V13" s="42"/>
      <c r="W13" s="67"/>
      <c r="X13" s="55"/>
    </row>
    <row r="14" spans="1:24" ht="24.95" customHeight="1">
      <c r="A14" s="220"/>
      <c r="B14" s="65"/>
      <c r="C14" s="57"/>
      <c r="D14" s="654" t="s">
        <v>182</v>
      </c>
      <c r="E14" s="655"/>
      <c r="F14" s="655"/>
      <c r="G14" s="655"/>
      <c r="H14" s="656" t="str">
        <f>SCHOOL!B3</f>
        <v>શ્રી ખારા પ્રાથમિક શાળા</v>
      </c>
      <c r="I14" s="656"/>
      <c r="J14" s="656"/>
      <c r="K14" s="656"/>
      <c r="L14" s="656"/>
      <c r="M14" s="656"/>
      <c r="N14" s="656"/>
      <c r="O14" s="655" t="s">
        <v>181</v>
      </c>
      <c r="P14" s="655"/>
      <c r="Q14" s="655"/>
      <c r="R14" s="656" t="str">
        <f>SCHOOL!B4</f>
        <v>ખારા</v>
      </c>
      <c r="S14" s="656"/>
      <c r="T14" s="656"/>
      <c r="U14" s="657"/>
      <c r="V14" s="57"/>
      <c r="W14" s="68"/>
      <c r="X14" s="55"/>
    </row>
    <row r="15" spans="1:24" ht="24.95" customHeight="1">
      <c r="A15" s="220"/>
      <c r="B15" s="65"/>
      <c r="C15" s="57"/>
      <c r="D15" s="658" t="s">
        <v>12</v>
      </c>
      <c r="E15" s="659"/>
      <c r="F15" s="659"/>
      <c r="G15" s="659"/>
      <c r="H15" s="660">
        <v>2</v>
      </c>
      <c r="I15" s="660"/>
      <c r="J15" s="660"/>
      <c r="K15" s="660"/>
      <c r="L15" s="660"/>
      <c r="M15" s="660"/>
      <c r="N15" s="660"/>
      <c r="O15" s="659" t="s">
        <v>1</v>
      </c>
      <c r="P15" s="659"/>
      <c r="Q15" s="659"/>
      <c r="R15" s="661" t="str">
        <f>SCHOOL!B5</f>
        <v>લીલીયા</v>
      </c>
      <c r="S15" s="661"/>
      <c r="T15" s="661"/>
      <c r="U15" s="662"/>
      <c r="V15" s="57"/>
      <c r="W15" s="69"/>
      <c r="X15" s="55"/>
    </row>
    <row r="16" spans="1:24" ht="24.95" customHeight="1">
      <c r="A16" s="220"/>
      <c r="B16" s="65"/>
      <c r="C16" s="57"/>
      <c r="D16" s="658" t="s">
        <v>180</v>
      </c>
      <c r="E16" s="659"/>
      <c r="F16" s="659"/>
      <c r="G16" s="659"/>
      <c r="H16" s="661" t="str">
        <f>SCHOOL!D5</f>
        <v>નરેશભાઇ કે. ઢાકેચા</v>
      </c>
      <c r="I16" s="661"/>
      <c r="J16" s="661"/>
      <c r="K16" s="661"/>
      <c r="L16" s="661"/>
      <c r="M16" s="661"/>
      <c r="N16" s="661"/>
      <c r="O16" s="659" t="s">
        <v>2</v>
      </c>
      <c r="P16" s="659"/>
      <c r="Q16" s="659"/>
      <c r="R16" s="661" t="str">
        <f>SCHOOL!B6</f>
        <v>અમરેલી</v>
      </c>
      <c r="S16" s="661"/>
      <c r="T16" s="661"/>
      <c r="U16" s="662"/>
      <c r="V16" s="57"/>
      <c r="W16" s="69"/>
      <c r="X16" s="55"/>
    </row>
    <row r="17" spans="1:24" ht="24.95" customHeight="1">
      <c r="A17" s="220"/>
      <c r="B17" s="65"/>
      <c r="C17" s="57"/>
      <c r="D17" s="658" t="s">
        <v>179</v>
      </c>
      <c r="E17" s="659"/>
      <c r="F17" s="659"/>
      <c r="G17" s="659"/>
      <c r="H17" s="661" t="str">
        <f>SCHOOL!B9</f>
        <v>પાંચતલાવડા</v>
      </c>
      <c r="I17" s="661"/>
      <c r="J17" s="661"/>
      <c r="K17" s="661"/>
      <c r="L17" s="661"/>
      <c r="M17" s="661"/>
      <c r="N17" s="661"/>
      <c r="O17" s="659" t="s">
        <v>148</v>
      </c>
      <c r="P17" s="659"/>
      <c r="Q17" s="659"/>
      <c r="R17" s="661" t="str">
        <f>SCHOOL!D4</f>
        <v xml:space="preserve"> ---</v>
      </c>
      <c r="S17" s="661"/>
      <c r="T17" s="661"/>
      <c r="U17" s="662"/>
      <c r="V17" s="57"/>
      <c r="W17" s="69"/>
      <c r="X17" s="55"/>
    </row>
    <row r="18" spans="1:24" ht="24.95" customHeight="1">
      <c r="A18" s="220"/>
      <c r="B18" s="65"/>
      <c r="C18" s="57"/>
      <c r="D18" s="663" t="s">
        <v>178</v>
      </c>
      <c r="E18" s="664"/>
      <c r="F18" s="664"/>
      <c r="G18" s="664"/>
      <c r="H18" s="665" t="str">
        <f>SCHOOL!B10</f>
        <v>પાંચતલાવડા</v>
      </c>
      <c r="I18" s="665"/>
      <c r="J18" s="665"/>
      <c r="K18" s="665"/>
      <c r="L18" s="665"/>
      <c r="M18" s="665"/>
      <c r="N18" s="665"/>
      <c r="O18" s="664" t="s">
        <v>177</v>
      </c>
      <c r="P18" s="664"/>
      <c r="Q18" s="664"/>
      <c r="R18" s="666">
        <f>SCHOOL!D7</f>
        <v>0</v>
      </c>
      <c r="S18" s="666"/>
      <c r="T18" s="666"/>
      <c r="U18" s="667"/>
      <c r="V18" s="57"/>
      <c r="W18" s="69"/>
      <c r="X18" s="55"/>
    </row>
    <row r="19" spans="1:24" ht="45" customHeight="1">
      <c r="A19" s="220"/>
      <c r="B19" s="65"/>
      <c r="C19" s="42"/>
      <c r="D19" s="42"/>
      <c r="E19" s="42"/>
      <c r="F19" s="42"/>
      <c r="G19" s="42"/>
      <c r="H19" s="42"/>
      <c r="I19" s="42"/>
      <c r="J19" s="42"/>
      <c r="K19" s="42"/>
      <c r="L19" s="42"/>
      <c r="M19" s="42"/>
      <c r="N19" s="42"/>
      <c r="O19" s="42"/>
      <c r="P19" s="42"/>
      <c r="Q19" s="42"/>
      <c r="R19" s="42"/>
      <c r="S19" s="42"/>
      <c r="T19" s="42"/>
      <c r="U19" s="42" t="s">
        <v>176</v>
      </c>
      <c r="V19" s="42"/>
      <c r="W19" s="67"/>
      <c r="X19" s="55"/>
    </row>
    <row r="20" spans="1:24" ht="34.5" customHeight="1">
      <c r="A20" s="221"/>
      <c r="B20" s="70"/>
      <c r="C20" s="668" t="s">
        <v>342</v>
      </c>
      <c r="D20" s="668"/>
      <c r="E20" s="668"/>
      <c r="F20" s="668"/>
      <c r="G20" s="668"/>
      <c r="H20" s="668"/>
      <c r="I20" s="668"/>
      <c r="J20" s="668"/>
      <c r="K20" s="668"/>
      <c r="L20" s="668"/>
      <c r="M20" s="668"/>
      <c r="N20" s="668"/>
      <c r="O20" s="668"/>
      <c r="P20" s="668"/>
      <c r="Q20" s="668"/>
      <c r="R20" s="668"/>
      <c r="S20" s="668"/>
      <c r="T20" s="668"/>
      <c r="U20" s="668"/>
      <c r="V20" s="668"/>
      <c r="W20" s="71"/>
      <c r="X20" s="59"/>
    </row>
    <row r="21" spans="1:24" ht="24.95" customHeight="1">
      <c r="A21" s="220"/>
      <c r="B21" s="65"/>
      <c r="C21" s="720" t="s">
        <v>33</v>
      </c>
      <c r="D21" s="722" t="s">
        <v>168</v>
      </c>
      <c r="E21" s="722"/>
      <c r="F21" s="722"/>
      <c r="G21" s="671" t="s">
        <v>167</v>
      </c>
      <c r="H21" s="671"/>
      <c r="I21" s="671"/>
      <c r="J21" s="671" t="s">
        <v>166</v>
      </c>
      <c r="K21" s="671"/>
      <c r="L21" s="671"/>
      <c r="M21" s="671" t="s">
        <v>165</v>
      </c>
      <c r="N21" s="671"/>
      <c r="O21" s="671"/>
      <c r="P21" s="671" t="s">
        <v>104</v>
      </c>
      <c r="Q21" s="671"/>
      <c r="R21" s="671"/>
      <c r="S21" s="711" t="s">
        <v>15</v>
      </c>
      <c r="T21" s="712"/>
      <c r="U21" s="712"/>
      <c r="V21" s="713"/>
      <c r="W21" s="72"/>
      <c r="X21" s="55"/>
    </row>
    <row r="22" spans="1:24" ht="24.95" customHeight="1">
      <c r="A22" s="220"/>
      <c r="B22" s="65"/>
      <c r="C22" s="721"/>
      <c r="D22" s="43" t="s">
        <v>170</v>
      </c>
      <c r="E22" s="43" t="s">
        <v>169</v>
      </c>
      <c r="F22" s="44" t="s">
        <v>104</v>
      </c>
      <c r="G22" s="43" t="s">
        <v>170</v>
      </c>
      <c r="H22" s="43" t="s">
        <v>169</v>
      </c>
      <c r="I22" s="44" t="s">
        <v>104</v>
      </c>
      <c r="J22" s="43" t="s">
        <v>170</v>
      </c>
      <c r="K22" s="43" t="s">
        <v>169</v>
      </c>
      <c r="L22" s="44" t="s">
        <v>104</v>
      </c>
      <c r="M22" s="43" t="s">
        <v>170</v>
      </c>
      <c r="N22" s="43" t="s">
        <v>169</v>
      </c>
      <c r="O22" s="44" t="s">
        <v>104</v>
      </c>
      <c r="P22" s="43" t="s">
        <v>170</v>
      </c>
      <c r="Q22" s="43" t="s">
        <v>169</v>
      </c>
      <c r="R22" s="44" t="s">
        <v>104</v>
      </c>
      <c r="S22" s="714"/>
      <c r="T22" s="715"/>
      <c r="U22" s="715"/>
      <c r="V22" s="716"/>
      <c r="W22" s="72"/>
      <c r="X22" s="55"/>
    </row>
    <row r="23" spans="1:24" ht="24.95" customHeight="1">
      <c r="A23" s="220"/>
      <c r="B23" s="65"/>
      <c r="C23" s="45" t="s">
        <v>352</v>
      </c>
      <c r="D23" s="37">
        <v>2</v>
      </c>
      <c r="E23" s="37">
        <v>1</v>
      </c>
      <c r="F23" s="38">
        <f>SUM(D23:E23)</f>
        <v>3</v>
      </c>
      <c r="G23" s="37">
        <v>0</v>
      </c>
      <c r="H23" s="37">
        <v>0</v>
      </c>
      <c r="I23" s="38">
        <f>SUM(G23:H23)</f>
        <v>0</v>
      </c>
      <c r="J23" s="37">
        <v>0</v>
      </c>
      <c r="K23" s="37">
        <v>1</v>
      </c>
      <c r="L23" s="38">
        <f>SUM(J23:K23)</f>
        <v>1</v>
      </c>
      <c r="M23" s="37">
        <v>2</v>
      </c>
      <c r="N23" s="37">
        <v>0</v>
      </c>
      <c r="O23" s="38">
        <f>SUM(M23:N23)</f>
        <v>2</v>
      </c>
      <c r="P23" s="37">
        <f>D23+G23+J23+M23</f>
        <v>4</v>
      </c>
      <c r="Q23" s="37">
        <f>E23+H23+K23+N23</f>
        <v>2</v>
      </c>
      <c r="R23" s="38">
        <f>SUM(P23:Q23)</f>
        <v>6</v>
      </c>
      <c r="S23" s="717"/>
      <c r="T23" s="718"/>
      <c r="U23" s="718"/>
      <c r="V23" s="719"/>
      <c r="W23" s="73"/>
      <c r="X23" s="55"/>
    </row>
    <row r="24" spans="1:24" ht="24" customHeight="1">
      <c r="A24" s="220"/>
      <c r="B24" s="65"/>
      <c r="C24" s="42"/>
      <c r="D24" s="42"/>
      <c r="E24" s="42"/>
      <c r="F24" s="42"/>
      <c r="G24" s="42"/>
      <c r="H24" s="42"/>
      <c r="I24" s="42"/>
      <c r="J24" s="42"/>
      <c r="K24" s="42"/>
      <c r="L24" s="42"/>
      <c r="M24" s="42"/>
      <c r="N24" s="42"/>
      <c r="O24" s="42"/>
      <c r="P24" s="42"/>
      <c r="Q24" s="42"/>
      <c r="R24" s="42"/>
      <c r="S24" s="42"/>
      <c r="T24" s="42"/>
      <c r="U24" s="42"/>
      <c r="V24" s="42"/>
      <c r="W24" s="67"/>
      <c r="X24" s="55"/>
    </row>
    <row r="25" spans="1:24" s="358" customFormat="1" ht="39.75" customHeight="1">
      <c r="A25" s="220"/>
      <c r="B25" s="65"/>
      <c r="C25" s="829" t="s">
        <v>508</v>
      </c>
      <c r="D25" s="823"/>
      <c r="E25" s="823"/>
      <c r="F25" s="823"/>
      <c r="G25" s="823"/>
      <c r="H25" s="823"/>
      <c r="I25" s="823"/>
      <c r="J25" s="823"/>
      <c r="K25" s="822" t="s">
        <v>509</v>
      </c>
      <c r="L25" s="822"/>
      <c r="M25" s="822"/>
      <c r="N25" s="822"/>
      <c r="O25" s="822"/>
      <c r="P25" s="822"/>
      <c r="Q25" s="823" t="s">
        <v>510</v>
      </c>
      <c r="R25" s="823"/>
      <c r="S25" s="823"/>
      <c r="T25" s="823"/>
      <c r="U25" s="823"/>
      <c r="V25" s="824"/>
      <c r="W25" s="359"/>
      <c r="X25" s="469"/>
    </row>
    <row r="26" spans="1:24" s="358" customFormat="1" ht="24" customHeight="1">
      <c r="A26" s="220"/>
      <c r="B26" s="65"/>
      <c r="C26" s="494">
        <v>1</v>
      </c>
      <c r="D26" s="828" t="s">
        <v>355</v>
      </c>
      <c r="E26" s="828"/>
      <c r="F26" s="828"/>
      <c r="G26" s="828"/>
      <c r="H26" s="828"/>
      <c r="I26" s="828"/>
      <c r="J26" s="828"/>
      <c r="K26" s="817"/>
      <c r="L26" s="817"/>
      <c r="M26" s="817"/>
      <c r="N26" s="817"/>
      <c r="O26" s="817"/>
      <c r="P26" s="817"/>
      <c r="Q26" s="818"/>
      <c r="R26" s="818"/>
      <c r="S26" s="818"/>
      <c r="T26" s="818"/>
      <c r="U26" s="818"/>
      <c r="V26" s="819"/>
      <c r="W26" s="67"/>
      <c r="X26" s="55"/>
    </row>
    <row r="27" spans="1:24" s="358" customFormat="1" ht="24" customHeight="1">
      <c r="A27" s="220"/>
      <c r="B27" s="65"/>
      <c r="C27" s="494">
        <v>2</v>
      </c>
      <c r="D27" s="828" t="s">
        <v>357</v>
      </c>
      <c r="E27" s="828"/>
      <c r="F27" s="828"/>
      <c r="G27" s="828"/>
      <c r="H27" s="828"/>
      <c r="I27" s="828"/>
      <c r="J27" s="828"/>
      <c r="K27" s="817"/>
      <c r="L27" s="817"/>
      <c r="M27" s="817"/>
      <c r="N27" s="817"/>
      <c r="O27" s="817"/>
      <c r="P27" s="817"/>
      <c r="Q27" s="818"/>
      <c r="R27" s="818"/>
      <c r="S27" s="818"/>
      <c r="T27" s="818"/>
      <c r="U27" s="818"/>
      <c r="V27" s="819"/>
      <c r="W27" s="67"/>
      <c r="X27" s="55"/>
    </row>
    <row r="28" spans="1:24" s="358" customFormat="1" ht="24" customHeight="1">
      <c r="A28" s="220"/>
      <c r="B28" s="65"/>
      <c r="C28" s="494">
        <v>3</v>
      </c>
      <c r="D28" s="828" t="s">
        <v>511</v>
      </c>
      <c r="E28" s="828"/>
      <c r="F28" s="828"/>
      <c r="G28" s="828"/>
      <c r="H28" s="828"/>
      <c r="I28" s="828"/>
      <c r="J28" s="828"/>
      <c r="K28" s="817"/>
      <c r="L28" s="817"/>
      <c r="M28" s="817"/>
      <c r="N28" s="817"/>
      <c r="O28" s="817"/>
      <c r="P28" s="817"/>
      <c r="Q28" s="818"/>
      <c r="R28" s="818"/>
      <c r="S28" s="818"/>
      <c r="T28" s="818"/>
      <c r="U28" s="818"/>
      <c r="V28" s="819"/>
      <c r="W28" s="67"/>
      <c r="X28" s="55"/>
    </row>
    <row r="29" spans="1:24" s="358" customFormat="1" ht="24" customHeight="1">
      <c r="A29" s="220"/>
      <c r="B29" s="65"/>
      <c r="C29" s="494">
        <v>4</v>
      </c>
      <c r="D29" s="828" t="s">
        <v>360</v>
      </c>
      <c r="E29" s="828"/>
      <c r="F29" s="828"/>
      <c r="G29" s="828"/>
      <c r="H29" s="828"/>
      <c r="I29" s="828"/>
      <c r="J29" s="828"/>
      <c r="K29" s="817"/>
      <c r="L29" s="817"/>
      <c r="M29" s="817"/>
      <c r="N29" s="817"/>
      <c r="O29" s="817"/>
      <c r="P29" s="817"/>
      <c r="Q29" s="818"/>
      <c r="R29" s="818"/>
      <c r="S29" s="818"/>
      <c r="T29" s="818"/>
      <c r="U29" s="818"/>
      <c r="V29" s="819"/>
      <c r="W29" s="67"/>
      <c r="X29" s="55"/>
    </row>
    <row r="30" spans="1:24" s="358" customFormat="1" ht="24" customHeight="1">
      <c r="A30" s="220"/>
      <c r="B30" s="65"/>
      <c r="C30" s="494">
        <v>5</v>
      </c>
      <c r="D30" s="828" t="s">
        <v>362</v>
      </c>
      <c r="E30" s="828"/>
      <c r="F30" s="828"/>
      <c r="G30" s="828"/>
      <c r="H30" s="828"/>
      <c r="I30" s="828"/>
      <c r="J30" s="828"/>
      <c r="K30" s="817"/>
      <c r="L30" s="817"/>
      <c r="M30" s="817"/>
      <c r="N30" s="817"/>
      <c r="O30" s="817"/>
      <c r="P30" s="817"/>
      <c r="Q30" s="818"/>
      <c r="R30" s="818"/>
      <c r="S30" s="818"/>
      <c r="T30" s="818"/>
      <c r="U30" s="818"/>
      <c r="V30" s="819"/>
      <c r="W30" s="67"/>
      <c r="X30" s="55"/>
    </row>
    <row r="31" spans="1:24" s="358" customFormat="1" ht="24" customHeight="1">
      <c r="A31" s="220"/>
      <c r="B31" s="65"/>
      <c r="C31" s="494">
        <v>6</v>
      </c>
      <c r="D31" s="828" t="s">
        <v>512</v>
      </c>
      <c r="E31" s="828"/>
      <c r="F31" s="828"/>
      <c r="G31" s="828"/>
      <c r="H31" s="828"/>
      <c r="I31" s="828"/>
      <c r="J31" s="828"/>
      <c r="K31" s="817"/>
      <c r="L31" s="817"/>
      <c r="M31" s="817"/>
      <c r="N31" s="817"/>
      <c r="O31" s="817"/>
      <c r="P31" s="817"/>
      <c r="Q31" s="818"/>
      <c r="R31" s="818"/>
      <c r="S31" s="818"/>
      <c r="T31" s="818"/>
      <c r="U31" s="818"/>
      <c r="V31" s="819"/>
      <c r="W31" s="67"/>
      <c r="X31" s="55"/>
    </row>
    <row r="32" spans="1:24" s="358" customFormat="1" ht="24" customHeight="1">
      <c r="A32" s="220"/>
      <c r="B32" s="65"/>
      <c r="C32" s="494">
        <v>7</v>
      </c>
      <c r="D32" s="828" t="s">
        <v>513</v>
      </c>
      <c r="E32" s="828"/>
      <c r="F32" s="828"/>
      <c r="G32" s="828"/>
      <c r="H32" s="828"/>
      <c r="I32" s="828"/>
      <c r="J32" s="828"/>
      <c r="K32" s="817"/>
      <c r="L32" s="817"/>
      <c r="M32" s="817"/>
      <c r="N32" s="817"/>
      <c r="O32" s="817"/>
      <c r="P32" s="817"/>
      <c r="Q32" s="818"/>
      <c r="R32" s="818"/>
      <c r="S32" s="818"/>
      <c r="T32" s="818"/>
      <c r="U32" s="818"/>
      <c r="V32" s="819"/>
      <c r="W32" s="67"/>
      <c r="X32" s="55"/>
    </row>
    <row r="33" spans="1:24" s="358" customFormat="1" ht="24" customHeight="1">
      <c r="A33" s="220"/>
      <c r="B33" s="65"/>
      <c r="C33" s="494">
        <v>8</v>
      </c>
      <c r="D33" s="828" t="s">
        <v>368</v>
      </c>
      <c r="E33" s="828"/>
      <c r="F33" s="828"/>
      <c r="G33" s="828"/>
      <c r="H33" s="828"/>
      <c r="I33" s="828"/>
      <c r="J33" s="828"/>
      <c r="K33" s="817"/>
      <c r="L33" s="817"/>
      <c r="M33" s="817"/>
      <c r="N33" s="817"/>
      <c r="O33" s="817"/>
      <c r="P33" s="817"/>
      <c r="Q33" s="818"/>
      <c r="R33" s="818"/>
      <c r="S33" s="818"/>
      <c r="T33" s="818"/>
      <c r="U33" s="818"/>
      <c r="V33" s="819"/>
      <c r="W33" s="67"/>
      <c r="X33" s="55"/>
    </row>
    <row r="34" spans="1:24" s="358" customFormat="1" ht="24" customHeight="1">
      <c r="A34" s="220"/>
      <c r="B34" s="65"/>
      <c r="C34" s="494">
        <v>9</v>
      </c>
      <c r="D34" s="828" t="s">
        <v>514</v>
      </c>
      <c r="E34" s="828"/>
      <c r="F34" s="828"/>
      <c r="G34" s="828"/>
      <c r="H34" s="828"/>
      <c r="I34" s="828"/>
      <c r="J34" s="828"/>
      <c r="K34" s="817"/>
      <c r="L34" s="817"/>
      <c r="M34" s="817"/>
      <c r="N34" s="817"/>
      <c r="O34" s="817"/>
      <c r="P34" s="817"/>
      <c r="Q34" s="818"/>
      <c r="R34" s="818"/>
      <c r="S34" s="818"/>
      <c r="T34" s="818"/>
      <c r="U34" s="818"/>
      <c r="V34" s="819"/>
      <c r="W34" s="67"/>
      <c r="X34" s="55"/>
    </row>
    <row r="35" spans="1:24" s="358" customFormat="1" ht="24" customHeight="1">
      <c r="A35" s="220"/>
      <c r="B35" s="65"/>
      <c r="C35" s="494">
        <v>10</v>
      </c>
      <c r="D35" s="828" t="s">
        <v>515</v>
      </c>
      <c r="E35" s="828"/>
      <c r="F35" s="828"/>
      <c r="G35" s="828"/>
      <c r="H35" s="828"/>
      <c r="I35" s="828"/>
      <c r="J35" s="828"/>
      <c r="K35" s="817"/>
      <c r="L35" s="817"/>
      <c r="M35" s="817"/>
      <c r="N35" s="817"/>
      <c r="O35" s="817"/>
      <c r="P35" s="817"/>
      <c r="Q35" s="818"/>
      <c r="R35" s="818"/>
      <c r="S35" s="818"/>
      <c r="T35" s="818"/>
      <c r="U35" s="818"/>
      <c r="V35" s="819"/>
      <c r="W35" s="67"/>
      <c r="X35" s="55"/>
    </row>
    <row r="36" spans="1:24" s="358" customFormat="1" ht="24" customHeight="1">
      <c r="A36" s="220"/>
      <c r="B36" s="65"/>
      <c r="C36" s="494">
        <v>11</v>
      </c>
      <c r="D36" s="828" t="s">
        <v>516</v>
      </c>
      <c r="E36" s="828"/>
      <c r="F36" s="828"/>
      <c r="G36" s="828"/>
      <c r="H36" s="828"/>
      <c r="I36" s="828"/>
      <c r="J36" s="828"/>
      <c r="K36" s="817"/>
      <c r="L36" s="817"/>
      <c r="M36" s="817"/>
      <c r="N36" s="817"/>
      <c r="O36" s="817"/>
      <c r="P36" s="817"/>
      <c r="Q36" s="818"/>
      <c r="R36" s="818"/>
      <c r="S36" s="818"/>
      <c r="T36" s="818"/>
      <c r="U36" s="818"/>
      <c r="V36" s="819"/>
      <c r="W36" s="67"/>
      <c r="X36" s="55"/>
    </row>
    <row r="37" spans="1:24" s="358" customFormat="1" ht="24" customHeight="1">
      <c r="A37" s="220"/>
      <c r="B37" s="65"/>
      <c r="C37" s="495">
        <v>12</v>
      </c>
      <c r="D37" s="825" t="s">
        <v>165</v>
      </c>
      <c r="E37" s="825"/>
      <c r="F37" s="825"/>
      <c r="G37" s="825"/>
      <c r="H37" s="825"/>
      <c r="I37" s="825"/>
      <c r="J37" s="825"/>
      <c r="K37" s="821"/>
      <c r="L37" s="821"/>
      <c r="M37" s="821"/>
      <c r="N37" s="821"/>
      <c r="O37" s="821"/>
      <c r="P37" s="821"/>
      <c r="Q37" s="826"/>
      <c r="R37" s="826"/>
      <c r="S37" s="826"/>
      <c r="T37" s="826"/>
      <c r="U37" s="826"/>
      <c r="V37" s="827"/>
      <c r="W37" s="67"/>
      <c r="X37" s="55"/>
    </row>
    <row r="38" spans="1:24" s="358" customFormat="1" ht="24" customHeight="1">
      <c r="A38" s="220"/>
      <c r="B38" s="65"/>
      <c r="C38" s="467"/>
      <c r="D38" s="820"/>
      <c r="E38" s="820"/>
      <c r="F38" s="820"/>
      <c r="G38" s="820"/>
      <c r="H38" s="820"/>
      <c r="I38" s="820"/>
      <c r="J38" s="820"/>
      <c r="K38" s="814"/>
      <c r="L38" s="814"/>
      <c r="M38" s="814"/>
      <c r="N38" s="814"/>
      <c r="O38" s="814"/>
      <c r="P38" s="814"/>
      <c r="Q38" s="815"/>
      <c r="R38" s="815"/>
      <c r="S38" s="815"/>
      <c r="T38" s="815"/>
      <c r="U38" s="815"/>
      <c r="V38" s="815"/>
      <c r="W38" s="67"/>
      <c r="X38" s="55"/>
    </row>
    <row r="39" spans="1:24" s="358" customFormat="1" ht="24" customHeight="1">
      <c r="A39" s="220"/>
      <c r="B39" s="65"/>
      <c r="C39" s="467"/>
      <c r="D39" s="820"/>
      <c r="E39" s="820"/>
      <c r="F39" s="820"/>
      <c r="G39" s="820"/>
      <c r="H39" s="820"/>
      <c r="I39" s="820"/>
      <c r="J39" s="820"/>
      <c r="K39" s="814"/>
      <c r="L39" s="814"/>
      <c r="M39" s="814"/>
      <c r="N39" s="814"/>
      <c r="O39" s="814"/>
      <c r="P39" s="814"/>
      <c r="Q39" s="815"/>
      <c r="R39" s="815"/>
      <c r="S39" s="815"/>
      <c r="T39" s="815"/>
      <c r="U39" s="815"/>
      <c r="V39" s="815"/>
      <c r="W39" s="67"/>
      <c r="X39" s="55"/>
    </row>
    <row r="40" spans="1:24" ht="20.25" customHeight="1">
      <c r="A40" s="220"/>
      <c r="B40" s="65"/>
      <c r="C40" s="42"/>
      <c r="D40" s="48"/>
      <c r="E40" s="42"/>
      <c r="F40" s="42"/>
      <c r="G40" s="42"/>
      <c r="H40" s="42"/>
      <c r="I40" s="42"/>
      <c r="J40" s="42"/>
      <c r="K40" s="42"/>
      <c r="L40" s="42"/>
      <c r="M40" s="42"/>
      <c r="N40" s="42"/>
      <c r="O40" s="42"/>
      <c r="P40" s="42"/>
      <c r="Q40" s="42"/>
      <c r="R40" s="42"/>
      <c r="S40" s="42"/>
      <c r="T40" s="42"/>
      <c r="U40" s="42"/>
      <c r="V40" s="42"/>
      <c r="W40" s="67"/>
      <c r="X40" s="55"/>
    </row>
    <row r="41" spans="1:24" ht="19.5" customHeight="1">
      <c r="A41" s="220"/>
      <c r="B41" s="65"/>
      <c r="C41" s="42"/>
      <c r="D41" s="42"/>
      <c r="E41" s="42"/>
      <c r="F41" s="42"/>
      <c r="G41" s="42"/>
      <c r="H41" s="42"/>
      <c r="I41" s="42"/>
      <c r="J41" s="42"/>
      <c r="K41" s="672" t="s">
        <v>164</v>
      </c>
      <c r="L41" s="672"/>
      <c r="M41" s="672"/>
      <c r="N41" s="672"/>
      <c r="O41" s="42"/>
      <c r="P41" s="42"/>
      <c r="Q41" s="42"/>
      <c r="R41" s="42"/>
      <c r="S41" s="42"/>
      <c r="T41" s="42"/>
      <c r="U41" s="42"/>
      <c r="V41" s="42"/>
      <c r="W41" s="67"/>
      <c r="X41" s="55"/>
    </row>
    <row r="42" spans="1:24" ht="27.75" customHeight="1">
      <c r="A42" s="220"/>
      <c r="B42" s="65"/>
      <c r="C42" s="42"/>
      <c r="D42" s="42"/>
      <c r="E42" s="672" t="s">
        <v>163</v>
      </c>
      <c r="F42" s="672"/>
      <c r="G42" s="672"/>
      <c r="H42" s="672"/>
      <c r="I42" s="42"/>
      <c r="J42" s="48"/>
      <c r="K42" s="48"/>
      <c r="L42" s="42"/>
      <c r="M42" s="42"/>
      <c r="N42" s="42"/>
      <c r="O42" s="42"/>
      <c r="P42" s="42"/>
      <c r="Q42" s="672" t="s">
        <v>162</v>
      </c>
      <c r="R42" s="672"/>
      <c r="S42" s="672"/>
      <c r="T42" s="672"/>
      <c r="U42" s="42"/>
      <c r="V42" s="42"/>
      <c r="W42" s="67"/>
      <c r="X42" s="55"/>
    </row>
    <row r="43" spans="1:24" ht="23.25" customHeight="1">
      <c r="A43" s="220"/>
      <c r="B43" s="65"/>
      <c r="C43" s="42"/>
      <c r="D43" s="42"/>
      <c r="E43" s="673"/>
      <c r="F43" s="673"/>
      <c r="G43" s="673"/>
      <c r="H43" s="673"/>
      <c r="I43" s="42"/>
      <c r="J43" s="42"/>
      <c r="K43" s="42"/>
      <c r="L43" s="42"/>
      <c r="M43" s="42"/>
      <c r="N43" s="42"/>
      <c r="O43" s="42"/>
      <c r="P43" s="42"/>
      <c r="Q43" s="674"/>
      <c r="R43" s="674"/>
      <c r="S43" s="674"/>
      <c r="T43" s="674"/>
      <c r="U43" s="42"/>
      <c r="V43" s="42"/>
      <c r="W43" s="67"/>
      <c r="X43" s="55"/>
    </row>
    <row r="44" spans="1:24">
      <c r="A44" s="220"/>
      <c r="B44" s="65"/>
      <c r="C44" s="42"/>
      <c r="D44" s="42"/>
      <c r="E44" s="42"/>
      <c r="F44" s="42"/>
      <c r="G44" s="42"/>
      <c r="H44" s="42"/>
      <c r="I44" s="42"/>
      <c r="J44" s="42"/>
      <c r="K44" s="42"/>
      <c r="L44" s="42"/>
      <c r="M44" s="42"/>
      <c r="N44" s="42"/>
      <c r="O44" s="42"/>
      <c r="P44" s="42"/>
      <c r="Q44" s="42"/>
      <c r="R44" s="42"/>
      <c r="S44" s="42"/>
      <c r="T44" s="42"/>
      <c r="U44" s="42"/>
      <c r="V44" s="42"/>
      <c r="W44" s="67"/>
      <c r="X44" s="55"/>
    </row>
    <row r="45" spans="1:24" ht="15.75" thickBot="1">
      <c r="A45" s="220"/>
      <c r="B45" s="75"/>
      <c r="C45" s="76"/>
      <c r="D45" s="76"/>
      <c r="E45" s="76"/>
      <c r="F45" s="76"/>
      <c r="G45" s="76"/>
      <c r="H45" s="76"/>
      <c r="I45" s="76"/>
      <c r="J45" s="76"/>
      <c r="K45" s="76"/>
      <c r="L45" s="76"/>
      <c r="M45" s="76"/>
      <c r="N45" s="76"/>
      <c r="O45" s="76"/>
      <c r="P45" s="76"/>
      <c r="Q45" s="76"/>
      <c r="R45" s="76"/>
      <c r="S45" s="76"/>
      <c r="T45" s="76"/>
      <c r="U45" s="76"/>
      <c r="V45" s="76"/>
      <c r="W45" s="77"/>
      <c r="X45" s="55"/>
    </row>
    <row r="46" spans="1:24" ht="15.75" thickBot="1">
      <c r="A46" s="223"/>
      <c r="B46" s="224"/>
      <c r="C46" s="224"/>
      <c r="D46" s="224"/>
      <c r="E46" s="224"/>
      <c r="F46" s="224"/>
      <c r="G46" s="224"/>
      <c r="H46" s="224"/>
      <c r="I46" s="224"/>
      <c r="J46" s="224"/>
      <c r="K46" s="224"/>
      <c r="L46" s="224"/>
      <c r="M46" s="224"/>
      <c r="N46" s="224"/>
      <c r="O46" s="224"/>
      <c r="P46" s="224"/>
      <c r="Q46" s="224"/>
      <c r="R46" s="224"/>
      <c r="S46" s="224"/>
      <c r="T46" s="224"/>
      <c r="U46" s="224"/>
      <c r="V46" s="224"/>
      <c r="W46" s="224"/>
      <c r="X46" s="470"/>
    </row>
    <row r="47" spans="1:24" hidden="1">
      <c r="A47" s="49"/>
      <c r="B47" s="49"/>
      <c r="C47" s="49"/>
      <c r="D47" s="49"/>
      <c r="E47" s="49"/>
      <c r="F47" s="49"/>
      <c r="G47" s="49"/>
      <c r="H47" s="49"/>
      <c r="I47" s="49"/>
      <c r="J47" s="49"/>
      <c r="K47" s="49"/>
      <c r="L47" s="49"/>
      <c r="M47" s="49"/>
      <c r="N47" s="49"/>
      <c r="O47" s="49"/>
      <c r="P47" s="49"/>
      <c r="Q47" s="49"/>
      <c r="R47" s="49"/>
      <c r="S47" s="49"/>
      <c r="T47" s="49"/>
      <c r="U47" s="49"/>
      <c r="V47" s="49"/>
      <c r="W47" s="49"/>
      <c r="X47" s="49"/>
    </row>
  </sheetData>
  <sheetProtection password="DC6E" sheet="1" objects="1" scenarios="1"/>
  <mergeCells count="82">
    <mergeCell ref="C3:V3"/>
    <mergeCell ref="C4:V4"/>
    <mergeCell ref="D14:G14"/>
    <mergeCell ref="H14:N14"/>
    <mergeCell ref="O14:Q14"/>
    <mergeCell ref="R14:U14"/>
    <mergeCell ref="D15:G15"/>
    <mergeCell ref="H15:N15"/>
    <mergeCell ref="O15:Q15"/>
    <mergeCell ref="R15:U15"/>
    <mergeCell ref="D16:G16"/>
    <mergeCell ref="H16:N16"/>
    <mergeCell ref="O16:Q16"/>
    <mergeCell ref="R16:U16"/>
    <mergeCell ref="D17:G17"/>
    <mergeCell ref="H17:N17"/>
    <mergeCell ref="O17:Q17"/>
    <mergeCell ref="R17:U17"/>
    <mergeCell ref="D18:G18"/>
    <mergeCell ref="H18:N18"/>
    <mergeCell ref="O18:Q18"/>
    <mergeCell ref="R18:U18"/>
    <mergeCell ref="C20:V20"/>
    <mergeCell ref="C21:C22"/>
    <mergeCell ref="D21:F21"/>
    <mergeCell ref="G21:I21"/>
    <mergeCell ref="J21:L21"/>
    <mergeCell ref="M21:O21"/>
    <mergeCell ref="P21:R21"/>
    <mergeCell ref="S21:V22"/>
    <mergeCell ref="D27:J27"/>
    <mergeCell ref="D28:J28"/>
    <mergeCell ref="S23:V23"/>
    <mergeCell ref="C25:J25"/>
    <mergeCell ref="D26:J26"/>
    <mergeCell ref="D31:J31"/>
    <mergeCell ref="D32:J32"/>
    <mergeCell ref="Q32:V32"/>
    <mergeCell ref="D29:J29"/>
    <mergeCell ref="D30:J30"/>
    <mergeCell ref="K29:P29"/>
    <mergeCell ref="Q29:V29"/>
    <mergeCell ref="Q37:V37"/>
    <mergeCell ref="D35:J35"/>
    <mergeCell ref="D36:J36"/>
    <mergeCell ref="Q38:V38"/>
    <mergeCell ref="D33:J33"/>
    <mergeCell ref="D34:J34"/>
    <mergeCell ref="K33:P33"/>
    <mergeCell ref="Q33:V33"/>
    <mergeCell ref="E43:H43"/>
    <mergeCell ref="Q43:T43"/>
    <mergeCell ref="K25:P25"/>
    <mergeCell ref="Q25:V25"/>
    <mergeCell ref="K26:P26"/>
    <mergeCell ref="Q26:V26"/>
    <mergeCell ref="K27:P27"/>
    <mergeCell ref="Q27:V27"/>
    <mergeCell ref="K28:P28"/>
    <mergeCell ref="Q28:V28"/>
    <mergeCell ref="D39:J39"/>
    <mergeCell ref="K41:N41"/>
    <mergeCell ref="E42:H42"/>
    <mergeCell ref="Q42:T42"/>
    <mergeCell ref="D37:J37"/>
    <mergeCell ref="K38:P38"/>
    <mergeCell ref="K39:P39"/>
    <mergeCell ref="Q39:V39"/>
    <mergeCell ref="A1:C1"/>
    <mergeCell ref="K34:P34"/>
    <mergeCell ref="Q34:V34"/>
    <mergeCell ref="K35:P35"/>
    <mergeCell ref="Q35:V35"/>
    <mergeCell ref="K36:P36"/>
    <mergeCell ref="Q36:V36"/>
    <mergeCell ref="K30:P30"/>
    <mergeCell ref="Q30:V30"/>
    <mergeCell ref="K31:P31"/>
    <mergeCell ref="Q31:V31"/>
    <mergeCell ref="K32:P32"/>
    <mergeCell ref="D38:J38"/>
    <mergeCell ref="K37:P37"/>
  </mergeCells>
  <hyperlinks>
    <hyperlink ref="A1:C1" location="INDEX!A1" display="INDEX"/>
  </hyperlinks>
  <pageMargins left="0.59" right="0.25" top="0.36" bottom="0.25" header="0" footer="0"/>
  <pageSetup paperSize="5" scale="89" orientation="portrait" horizontalDpi="300" verticalDpi="300"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tint="-0.249977111117893"/>
  </sheetPr>
  <dimension ref="A1:WXJ59"/>
  <sheetViews>
    <sheetView view="pageBreakPreview" topLeftCell="AE3" zoomScaleSheetLayoutView="100" workbookViewId="0">
      <selection activeCell="AW10" sqref="AW10"/>
    </sheetView>
  </sheetViews>
  <sheetFormatPr defaultColWidth="0" defaultRowHeight="12.75" zeroHeight="1"/>
  <cols>
    <col min="1" max="1" width="5" style="369" customWidth="1"/>
    <col min="2" max="2" width="31.85546875" style="369" customWidth="1"/>
    <col min="3" max="3" width="8" style="369" customWidth="1"/>
    <col min="4" max="36" width="5.7109375" style="369" customWidth="1"/>
    <col min="37" max="37" width="3.7109375" style="369" customWidth="1"/>
    <col min="38" max="48" width="5.28515625" style="489" customWidth="1"/>
    <col min="49" max="49" width="89.85546875" style="489" customWidth="1"/>
    <col min="50" max="54" width="3.7109375" style="369" hidden="1"/>
    <col min="55" max="261" width="9.140625" style="369" hidden="1"/>
    <col min="262" max="262" width="3" style="369" hidden="1"/>
    <col min="263" max="263" width="37.28515625" style="369" hidden="1"/>
    <col min="264" max="264" width="3.85546875" style="369" hidden="1"/>
    <col min="265" max="310" width="3.7109375" style="369" hidden="1"/>
    <col min="311" max="517" width="9.140625" style="369" hidden="1"/>
    <col min="518" max="518" width="3" style="369" hidden="1"/>
    <col min="519" max="519" width="37.28515625" style="369" hidden="1"/>
    <col min="520" max="520" width="3.85546875" style="369" hidden="1"/>
    <col min="521" max="566" width="3.7109375" style="369" hidden="1"/>
    <col min="567" max="773" width="9.140625" style="369" hidden="1"/>
    <col min="774" max="774" width="3" style="369" hidden="1"/>
    <col min="775" max="775" width="37.28515625" style="369" hidden="1"/>
    <col min="776" max="776" width="3.85546875" style="369" hidden="1"/>
    <col min="777" max="822" width="3.7109375" style="369" hidden="1"/>
    <col min="823" max="1029" width="9.140625" style="369" hidden="1"/>
    <col min="1030" max="1030" width="3" style="369" hidden="1"/>
    <col min="1031" max="1031" width="37.28515625" style="369" hidden="1"/>
    <col min="1032" max="1032" width="3.85546875" style="369" hidden="1"/>
    <col min="1033" max="1078" width="3.7109375" style="369" hidden="1"/>
    <col min="1079" max="1285" width="9.140625" style="369" hidden="1"/>
    <col min="1286" max="1286" width="3" style="369" hidden="1"/>
    <col min="1287" max="1287" width="37.28515625" style="369" hidden="1"/>
    <col min="1288" max="1288" width="3.85546875" style="369" hidden="1"/>
    <col min="1289" max="1334" width="3.7109375" style="369" hidden="1"/>
    <col min="1335" max="1541" width="9.140625" style="369" hidden="1"/>
    <col min="1542" max="1542" width="3" style="369" hidden="1"/>
    <col min="1543" max="1543" width="37.28515625" style="369" hidden="1"/>
    <col min="1544" max="1544" width="3.85546875" style="369" hidden="1"/>
    <col min="1545" max="1590" width="3.7109375" style="369" hidden="1"/>
    <col min="1591" max="1797" width="9.140625" style="369" hidden="1"/>
    <col min="1798" max="1798" width="3" style="369" hidden="1"/>
    <col min="1799" max="1799" width="37.28515625" style="369" hidden="1"/>
    <col min="1800" max="1800" width="3.85546875" style="369" hidden="1"/>
    <col min="1801" max="1846" width="3.7109375" style="369" hidden="1"/>
    <col min="1847" max="2053" width="9.140625" style="369" hidden="1"/>
    <col min="2054" max="2054" width="3" style="369" hidden="1"/>
    <col min="2055" max="2055" width="37.28515625" style="369" hidden="1"/>
    <col min="2056" max="2056" width="3.85546875" style="369" hidden="1"/>
    <col min="2057" max="2102" width="3.7109375" style="369" hidden="1"/>
    <col min="2103" max="2309" width="9.140625" style="369" hidden="1"/>
    <col min="2310" max="2310" width="3" style="369" hidden="1"/>
    <col min="2311" max="2311" width="37.28515625" style="369" hidden="1"/>
    <col min="2312" max="2312" width="3.85546875" style="369" hidden="1"/>
    <col min="2313" max="2358" width="3.7109375" style="369" hidden="1"/>
    <col min="2359" max="2565" width="9.140625" style="369" hidden="1"/>
    <col min="2566" max="2566" width="3" style="369" hidden="1"/>
    <col min="2567" max="2567" width="37.28515625" style="369" hidden="1"/>
    <col min="2568" max="2568" width="3.85546875" style="369" hidden="1"/>
    <col min="2569" max="2614" width="3.7109375" style="369" hidden="1"/>
    <col min="2615" max="2821" width="9.140625" style="369" hidden="1"/>
    <col min="2822" max="2822" width="3" style="369" hidden="1"/>
    <col min="2823" max="2823" width="37.28515625" style="369" hidden="1"/>
    <col min="2824" max="2824" width="3.85546875" style="369" hidden="1"/>
    <col min="2825" max="2870" width="3.7109375" style="369" hidden="1"/>
    <col min="2871" max="3077" width="9.140625" style="369" hidden="1"/>
    <col min="3078" max="3078" width="3" style="369" hidden="1"/>
    <col min="3079" max="3079" width="37.28515625" style="369" hidden="1"/>
    <col min="3080" max="3080" width="3.85546875" style="369" hidden="1"/>
    <col min="3081" max="3126" width="3.7109375" style="369" hidden="1"/>
    <col min="3127" max="3333" width="9.140625" style="369" hidden="1"/>
    <col min="3334" max="3334" width="3" style="369" hidden="1"/>
    <col min="3335" max="3335" width="37.28515625" style="369" hidden="1"/>
    <col min="3336" max="3336" width="3.85546875" style="369" hidden="1"/>
    <col min="3337" max="3382" width="3.7109375" style="369" hidden="1"/>
    <col min="3383" max="3589" width="9.140625" style="369" hidden="1"/>
    <col min="3590" max="3590" width="3" style="369" hidden="1"/>
    <col min="3591" max="3591" width="37.28515625" style="369" hidden="1"/>
    <col min="3592" max="3592" width="3.85546875" style="369" hidden="1"/>
    <col min="3593" max="3638" width="3.7109375" style="369" hidden="1"/>
    <col min="3639" max="3845" width="9.140625" style="369" hidden="1"/>
    <col min="3846" max="3846" width="3" style="369" hidden="1"/>
    <col min="3847" max="3847" width="37.28515625" style="369" hidden="1"/>
    <col min="3848" max="3848" width="3.85546875" style="369" hidden="1"/>
    <col min="3849" max="3894" width="3.7109375" style="369" hidden="1"/>
    <col min="3895" max="4101" width="9.140625" style="369" hidden="1"/>
    <col min="4102" max="4102" width="3" style="369" hidden="1"/>
    <col min="4103" max="4103" width="37.28515625" style="369" hidden="1"/>
    <col min="4104" max="4104" width="3.85546875" style="369" hidden="1"/>
    <col min="4105" max="4150" width="3.7109375" style="369" hidden="1"/>
    <col min="4151" max="4357" width="9.140625" style="369" hidden="1"/>
    <col min="4358" max="4358" width="3" style="369" hidden="1"/>
    <col min="4359" max="4359" width="37.28515625" style="369" hidden="1"/>
    <col min="4360" max="4360" width="3.85546875" style="369" hidden="1"/>
    <col min="4361" max="4406" width="3.7109375" style="369" hidden="1"/>
    <col min="4407" max="4613" width="9.140625" style="369" hidden="1"/>
    <col min="4614" max="4614" width="3" style="369" hidden="1"/>
    <col min="4615" max="4615" width="37.28515625" style="369" hidden="1"/>
    <col min="4616" max="4616" width="3.85546875" style="369" hidden="1"/>
    <col min="4617" max="4662" width="3.7109375" style="369" hidden="1"/>
    <col min="4663" max="4869" width="9.140625" style="369" hidden="1"/>
    <col min="4870" max="4870" width="3" style="369" hidden="1"/>
    <col min="4871" max="4871" width="37.28515625" style="369" hidden="1"/>
    <col min="4872" max="4872" width="3.85546875" style="369" hidden="1"/>
    <col min="4873" max="4918" width="3.7109375" style="369" hidden="1"/>
    <col min="4919" max="5125" width="9.140625" style="369" hidden="1"/>
    <col min="5126" max="5126" width="3" style="369" hidden="1"/>
    <col min="5127" max="5127" width="37.28515625" style="369" hidden="1"/>
    <col min="5128" max="5128" width="3.85546875" style="369" hidden="1"/>
    <col min="5129" max="5174" width="3.7109375" style="369" hidden="1"/>
    <col min="5175" max="5381" width="9.140625" style="369" hidden="1"/>
    <col min="5382" max="5382" width="3" style="369" hidden="1"/>
    <col min="5383" max="5383" width="37.28515625" style="369" hidden="1"/>
    <col min="5384" max="5384" width="3.85546875" style="369" hidden="1"/>
    <col min="5385" max="5430" width="3.7109375" style="369" hidden="1"/>
    <col min="5431" max="5637" width="9.140625" style="369" hidden="1"/>
    <col min="5638" max="5638" width="3" style="369" hidden="1"/>
    <col min="5639" max="5639" width="37.28515625" style="369" hidden="1"/>
    <col min="5640" max="5640" width="3.85546875" style="369" hidden="1"/>
    <col min="5641" max="5686" width="3.7109375" style="369" hidden="1"/>
    <col min="5687" max="5893" width="9.140625" style="369" hidden="1"/>
    <col min="5894" max="5894" width="3" style="369" hidden="1"/>
    <col min="5895" max="5895" width="37.28515625" style="369" hidden="1"/>
    <col min="5896" max="5896" width="3.85546875" style="369" hidden="1"/>
    <col min="5897" max="5942" width="3.7109375" style="369" hidden="1"/>
    <col min="5943" max="6149" width="9.140625" style="369" hidden="1"/>
    <col min="6150" max="6150" width="3" style="369" hidden="1"/>
    <col min="6151" max="6151" width="37.28515625" style="369" hidden="1"/>
    <col min="6152" max="6152" width="3.85546875" style="369" hidden="1"/>
    <col min="6153" max="6198" width="3.7109375" style="369" hidden="1"/>
    <col min="6199" max="6405" width="9.140625" style="369" hidden="1"/>
    <col min="6406" max="6406" width="3" style="369" hidden="1"/>
    <col min="6407" max="6407" width="37.28515625" style="369" hidden="1"/>
    <col min="6408" max="6408" width="3.85546875" style="369" hidden="1"/>
    <col min="6409" max="6454" width="3.7109375" style="369" hidden="1"/>
    <col min="6455" max="6661" width="9.140625" style="369" hidden="1"/>
    <col min="6662" max="6662" width="3" style="369" hidden="1"/>
    <col min="6663" max="6663" width="37.28515625" style="369" hidden="1"/>
    <col min="6664" max="6664" width="3.85546875" style="369" hidden="1"/>
    <col min="6665" max="6710" width="3.7109375" style="369" hidden="1"/>
    <col min="6711" max="6917" width="9.140625" style="369" hidden="1"/>
    <col min="6918" max="6918" width="3" style="369" hidden="1"/>
    <col min="6919" max="6919" width="37.28515625" style="369" hidden="1"/>
    <col min="6920" max="6920" width="3.85546875" style="369" hidden="1"/>
    <col min="6921" max="6966" width="3.7109375" style="369" hidden="1"/>
    <col min="6967" max="7173" width="9.140625" style="369" hidden="1"/>
    <col min="7174" max="7174" width="3" style="369" hidden="1"/>
    <col min="7175" max="7175" width="37.28515625" style="369" hidden="1"/>
    <col min="7176" max="7176" width="3.85546875" style="369" hidden="1"/>
    <col min="7177" max="7222" width="3.7109375" style="369" hidden="1"/>
    <col min="7223" max="7429" width="9.140625" style="369" hidden="1"/>
    <col min="7430" max="7430" width="3" style="369" hidden="1"/>
    <col min="7431" max="7431" width="37.28515625" style="369" hidden="1"/>
    <col min="7432" max="7432" width="3.85546875" style="369" hidden="1"/>
    <col min="7433" max="7478" width="3.7109375" style="369" hidden="1"/>
    <col min="7479" max="7685" width="9.140625" style="369" hidden="1"/>
    <col min="7686" max="7686" width="3" style="369" hidden="1"/>
    <col min="7687" max="7687" width="37.28515625" style="369" hidden="1"/>
    <col min="7688" max="7688" width="3.85546875" style="369" hidden="1"/>
    <col min="7689" max="7734" width="3.7109375" style="369" hidden="1"/>
    <col min="7735" max="7941" width="9.140625" style="369" hidden="1"/>
    <col min="7942" max="7942" width="3" style="369" hidden="1"/>
    <col min="7943" max="7943" width="37.28515625" style="369" hidden="1"/>
    <col min="7944" max="7944" width="3.85546875" style="369" hidden="1"/>
    <col min="7945" max="7990" width="3.7109375" style="369" hidden="1"/>
    <col min="7991" max="8197" width="9.140625" style="369" hidden="1"/>
    <col min="8198" max="8198" width="3" style="369" hidden="1"/>
    <col min="8199" max="8199" width="37.28515625" style="369" hidden="1"/>
    <col min="8200" max="8200" width="3.85546875" style="369" hidden="1"/>
    <col min="8201" max="8246" width="3.7109375" style="369" hidden="1"/>
    <col min="8247" max="8453" width="9.140625" style="369" hidden="1"/>
    <col min="8454" max="8454" width="3" style="369" hidden="1"/>
    <col min="8455" max="8455" width="37.28515625" style="369" hidden="1"/>
    <col min="8456" max="8456" width="3.85546875" style="369" hidden="1"/>
    <col min="8457" max="8502" width="3.7109375" style="369" hidden="1"/>
    <col min="8503" max="8709" width="9.140625" style="369" hidden="1"/>
    <col min="8710" max="8710" width="3" style="369" hidden="1"/>
    <col min="8711" max="8711" width="37.28515625" style="369" hidden="1"/>
    <col min="8712" max="8712" width="3.85546875" style="369" hidden="1"/>
    <col min="8713" max="8758" width="3.7109375" style="369" hidden="1"/>
    <col min="8759" max="8965" width="9.140625" style="369" hidden="1"/>
    <col min="8966" max="8966" width="3" style="369" hidden="1"/>
    <col min="8967" max="8967" width="37.28515625" style="369" hidden="1"/>
    <col min="8968" max="8968" width="3.85546875" style="369" hidden="1"/>
    <col min="8969" max="9014" width="3.7109375" style="369" hidden="1"/>
    <col min="9015" max="9221" width="9.140625" style="369" hidden="1"/>
    <col min="9222" max="9222" width="3" style="369" hidden="1"/>
    <col min="9223" max="9223" width="37.28515625" style="369" hidden="1"/>
    <col min="9224" max="9224" width="3.85546875" style="369" hidden="1"/>
    <col min="9225" max="9270" width="3.7109375" style="369" hidden="1"/>
    <col min="9271" max="9477" width="9.140625" style="369" hidden="1"/>
    <col min="9478" max="9478" width="3" style="369" hidden="1"/>
    <col min="9479" max="9479" width="37.28515625" style="369" hidden="1"/>
    <col min="9480" max="9480" width="3.85546875" style="369" hidden="1"/>
    <col min="9481" max="9526" width="3.7109375" style="369" hidden="1"/>
    <col min="9527" max="9733" width="9.140625" style="369" hidden="1"/>
    <col min="9734" max="9734" width="3" style="369" hidden="1"/>
    <col min="9735" max="9735" width="37.28515625" style="369" hidden="1"/>
    <col min="9736" max="9736" width="3.85546875" style="369" hidden="1"/>
    <col min="9737" max="9782" width="3.7109375" style="369" hidden="1"/>
    <col min="9783" max="9989" width="9.140625" style="369" hidden="1"/>
    <col min="9990" max="9990" width="3" style="369" hidden="1"/>
    <col min="9991" max="9991" width="37.28515625" style="369" hidden="1"/>
    <col min="9992" max="9992" width="3.85546875" style="369" hidden="1"/>
    <col min="9993" max="10038" width="3.7109375" style="369" hidden="1"/>
    <col min="10039" max="10245" width="9.140625" style="369" hidden="1"/>
    <col min="10246" max="10246" width="3" style="369" hidden="1"/>
    <col min="10247" max="10247" width="37.28515625" style="369" hidden="1"/>
    <col min="10248" max="10248" width="3.85546875" style="369" hidden="1"/>
    <col min="10249" max="10294" width="3.7109375" style="369" hidden="1"/>
    <col min="10295" max="10501" width="9.140625" style="369" hidden="1"/>
    <col min="10502" max="10502" width="3" style="369" hidden="1"/>
    <col min="10503" max="10503" width="37.28515625" style="369" hidden="1"/>
    <col min="10504" max="10504" width="3.85546875" style="369" hidden="1"/>
    <col min="10505" max="10550" width="3.7109375" style="369" hidden="1"/>
    <col min="10551" max="10757" width="9.140625" style="369" hidden="1"/>
    <col min="10758" max="10758" width="3" style="369" hidden="1"/>
    <col min="10759" max="10759" width="37.28515625" style="369" hidden="1"/>
    <col min="10760" max="10760" width="3.85546875" style="369" hidden="1"/>
    <col min="10761" max="10806" width="3.7109375" style="369" hidden="1"/>
    <col min="10807" max="11013" width="9.140625" style="369" hidden="1"/>
    <col min="11014" max="11014" width="3" style="369" hidden="1"/>
    <col min="11015" max="11015" width="37.28515625" style="369" hidden="1"/>
    <col min="11016" max="11016" width="3.85546875" style="369" hidden="1"/>
    <col min="11017" max="11062" width="3.7109375" style="369" hidden="1"/>
    <col min="11063" max="11269" width="9.140625" style="369" hidden="1"/>
    <col min="11270" max="11270" width="3" style="369" hidden="1"/>
    <col min="11271" max="11271" width="37.28515625" style="369" hidden="1"/>
    <col min="11272" max="11272" width="3.85546875" style="369" hidden="1"/>
    <col min="11273" max="11318" width="3.7109375" style="369" hidden="1"/>
    <col min="11319" max="11525" width="9.140625" style="369" hidden="1"/>
    <col min="11526" max="11526" width="3" style="369" hidden="1"/>
    <col min="11527" max="11527" width="37.28515625" style="369" hidden="1"/>
    <col min="11528" max="11528" width="3.85546875" style="369" hidden="1"/>
    <col min="11529" max="11574" width="3.7109375" style="369" hidden="1"/>
    <col min="11575" max="11781" width="9.140625" style="369" hidden="1"/>
    <col min="11782" max="11782" width="3" style="369" hidden="1"/>
    <col min="11783" max="11783" width="37.28515625" style="369" hidden="1"/>
    <col min="11784" max="11784" width="3.85546875" style="369" hidden="1"/>
    <col min="11785" max="11830" width="3.7109375" style="369" hidden="1"/>
    <col min="11831" max="12037" width="9.140625" style="369" hidden="1"/>
    <col min="12038" max="12038" width="3" style="369" hidden="1"/>
    <col min="12039" max="12039" width="37.28515625" style="369" hidden="1"/>
    <col min="12040" max="12040" width="3.85546875" style="369" hidden="1"/>
    <col min="12041" max="12086" width="3.7109375" style="369" hidden="1"/>
    <col min="12087" max="12293" width="9.140625" style="369" hidden="1"/>
    <col min="12294" max="12294" width="3" style="369" hidden="1"/>
    <col min="12295" max="12295" width="37.28515625" style="369" hidden="1"/>
    <col min="12296" max="12296" width="3.85546875" style="369" hidden="1"/>
    <col min="12297" max="12342" width="3.7109375" style="369" hidden="1"/>
    <col min="12343" max="12549" width="9.140625" style="369" hidden="1"/>
    <col min="12550" max="12550" width="3" style="369" hidden="1"/>
    <col min="12551" max="12551" width="37.28515625" style="369" hidden="1"/>
    <col min="12552" max="12552" width="3.85546875" style="369" hidden="1"/>
    <col min="12553" max="12598" width="3.7109375" style="369" hidden="1"/>
    <col min="12599" max="12805" width="9.140625" style="369" hidden="1"/>
    <col min="12806" max="12806" width="3" style="369" hidden="1"/>
    <col min="12807" max="12807" width="37.28515625" style="369" hidden="1"/>
    <col min="12808" max="12808" width="3.85546875" style="369" hidden="1"/>
    <col min="12809" max="12854" width="3.7109375" style="369" hidden="1"/>
    <col min="12855" max="13061" width="9.140625" style="369" hidden="1"/>
    <col min="13062" max="13062" width="3" style="369" hidden="1"/>
    <col min="13063" max="13063" width="37.28515625" style="369" hidden="1"/>
    <col min="13064" max="13064" width="3.85546875" style="369" hidden="1"/>
    <col min="13065" max="13110" width="3.7109375" style="369" hidden="1"/>
    <col min="13111" max="13317" width="9.140625" style="369" hidden="1"/>
    <col min="13318" max="13318" width="3" style="369" hidden="1"/>
    <col min="13319" max="13319" width="37.28515625" style="369" hidden="1"/>
    <col min="13320" max="13320" width="3.85546875" style="369" hidden="1"/>
    <col min="13321" max="13366" width="3.7109375" style="369" hidden="1"/>
    <col min="13367" max="13573" width="9.140625" style="369" hidden="1"/>
    <col min="13574" max="13574" width="3" style="369" hidden="1"/>
    <col min="13575" max="13575" width="37.28515625" style="369" hidden="1"/>
    <col min="13576" max="13576" width="3.85546875" style="369" hidden="1"/>
    <col min="13577" max="13622" width="3.7109375" style="369" hidden="1"/>
    <col min="13623" max="13829" width="9.140625" style="369" hidden="1"/>
    <col min="13830" max="13830" width="3" style="369" hidden="1"/>
    <col min="13831" max="13831" width="37.28515625" style="369" hidden="1"/>
    <col min="13832" max="13832" width="3.85546875" style="369" hidden="1"/>
    <col min="13833" max="13878" width="3.7109375" style="369" hidden="1"/>
    <col min="13879" max="14085" width="9.140625" style="369" hidden="1"/>
    <col min="14086" max="14086" width="3" style="369" hidden="1"/>
    <col min="14087" max="14087" width="37.28515625" style="369" hidden="1"/>
    <col min="14088" max="14088" width="3.85546875" style="369" hidden="1"/>
    <col min="14089" max="14134" width="3.7109375" style="369" hidden="1"/>
    <col min="14135" max="14341" width="9.140625" style="369" hidden="1"/>
    <col min="14342" max="14342" width="3" style="369" hidden="1"/>
    <col min="14343" max="14343" width="37.28515625" style="369" hidden="1"/>
    <col min="14344" max="14344" width="3.85546875" style="369" hidden="1"/>
    <col min="14345" max="14390" width="3.7109375" style="369" hidden="1"/>
    <col min="14391" max="14597" width="9.140625" style="369" hidden="1"/>
    <col min="14598" max="14598" width="3" style="369" hidden="1"/>
    <col min="14599" max="14599" width="37.28515625" style="369" hidden="1"/>
    <col min="14600" max="14600" width="3.85546875" style="369" hidden="1"/>
    <col min="14601" max="14646" width="3.7109375" style="369" hidden="1"/>
    <col min="14647" max="14853" width="9.140625" style="369" hidden="1"/>
    <col min="14854" max="14854" width="3" style="369" hidden="1"/>
    <col min="14855" max="14855" width="37.28515625" style="369" hidden="1"/>
    <col min="14856" max="14856" width="3.85546875" style="369" hidden="1"/>
    <col min="14857" max="14902" width="3.7109375" style="369" hidden="1"/>
    <col min="14903" max="15109" width="9.140625" style="369" hidden="1"/>
    <col min="15110" max="15110" width="3" style="369" hidden="1"/>
    <col min="15111" max="15111" width="37.28515625" style="369" hidden="1"/>
    <col min="15112" max="15112" width="3.85546875" style="369" hidden="1"/>
    <col min="15113" max="15158" width="3.7109375" style="369" hidden="1"/>
    <col min="15159" max="15365" width="9.140625" style="369" hidden="1"/>
    <col min="15366" max="15366" width="3" style="369" hidden="1"/>
    <col min="15367" max="15367" width="37.28515625" style="369" hidden="1"/>
    <col min="15368" max="15368" width="3.85546875" style="369" hidden="1"/>
    <col min="15369" max="15414" width="3.7109375" style="369" hidden="1"/>
    <col min="15415" max="15621" width="9.140625" style="369" hidden="1"/>
    <col min="15622" max="15622" width="3" style="369" hidden="1"/>
    <col min="15623" max="15623" width="37.28515625" style="369" hidden="1"/>
    <col min="15624" max="15624" width="3.85546875" style="369" hidden="1"/>
    <col min="15625" max="15670" width="3.7109375" style="369" hidden="1"/>
    <col min="15671" max="15877" width="9.140625" style="369" hidden="1"/>
    <col min="15878" max="15878" width="3" style="369" hidden="1"/>
    <col min="15879" max="15879" width="37.28515625" style="369" hidden="1"/>
    <col min="15880" max="15880" width="3.85546875" style="369" hidden="1"/>
    <col min="15881" max="15926" width="3.7109375" style="369" hidden="1"/>
    <col min="15927" max="16133" width="9.140625" style="369" hidden="1"/>
    <col min="16134" max="16134" width="3" style="369" hidden="1"/>
    <col min="16135" max="16135" width="37.28515625" style="369" hidden="1"/>
    <col min="16136" max="16136" width="3.85546875" style="369" hidden="1"/>
    <col min="16137" max="16182" width="3.7109375" style="369" hidden="1"/>
    <col min="16183" max="16384" width="9.140625" style="369" hidden="1"/>
  </cols>
  <sheetData>
    <row r="1" spans="1:49" ht="27.75" customHeight="1">
      <c r="A1" s="471"/>
      <c r="B1" s="477" t="s">
        <v>492</v>
      </c>
      <c r="C1" s="472"/>
      <c r="D1" s="745" t="s">
        <v>475</v>
      </c>
      <c r="E1" s="746"/>
      <c r="F1" s="746"/>
      <c r="G1" s="746"/>
      <c r="H1" s="746"/>
      <c r="I1" s="746"/>
      <c r="J1" s="746"/>
      <c r="K1" s="746"/>
      <c r="L1" s="746"/>
      <c r="M1" s="746"/>
      <c r="N1" s="746"/>
      <c r="O1" s="746"/>
      <c r="P1" s="746"/>
      <c r="Q1" s="746"/>
      <c r="R1" s="746"/>
      <c r="S1" s="746"/>
      <c r="T1" s="746"/>
      <c r="U1" s="746"/>
      <c r="V1" s="746"/>
      <c r="W1" s="747"/>
      <c r="X1" s="745" t="s">
        <v>474</v>
      </c>
      <c r="Y1" s="746"/>
      <c r="Z1" s="746"/>
      <c r="AA1" s="746"/>
      <c r="AB1" s="746"/>
      <c r="AC1" s="746"/>
      <c r="AD1" s="746"/>
      <c r="AE1" s="746"/>
      <c r="AF1" s="746"/>
      <c r="AG1" s="746"/>
      <c r="AH1" s="746"/>
      <c r="AI1" s="746"/>
      <c r="AJ1" s="747"/>
      <c r="AK1" s="395"/>
      <c r="AL1" s="830" t="s">
        <v>160</v>
      </c>
      <c r="AM1" s="831"/>
      <c r="AN1" s="831"/>
      <c r="AO1" s="831"/>
      <c r="AP1" s="831"/>
      <c r="AQ1" s="831"/>
      <c r="AR1" s="831"/>
      <c r="AS1" s="831"/>
      <c r="AT1" s="831"/>
      <c r="AU1" s="831"/>
      <c r="AV1" s="831"/>
      <c r="AW1" s="406"/>
    </row>
    <row r="2" spans="1:49" s="370" customFormat="1" ht="197.25" customHeight="1">
      <c r="A2" s="473"/>
      <c r="B2" s="474"/>
      <c r="C2" s="475"/>
      <c r="D2" s="418" t="s">
        <v>442</v>
      </c>
      <c r="E2" s="419" t="s">
        <v>390</v>
      </c>
      <c r="F2" s="419" t="s">
        <v>443</v>
      </c>
      <c r="G2" s="419" t="s">
        <v>444</v>
      </c>
      <c r="H2" s="419" t="s">
        <v>445</v>
      </c>
      <c r="I2" s="419" t="s">
        <v>446</v>
      </c>
      <c r="J2" s="419" t="s">
        <v>447</v>
      </c>
      <c r="K2" s="419" t="s">
        <v>448</v>
      </c>
      <c r="L2" s="419" t="s">
        <v>449</v>
      </c>
      <c r="M2" s="419" t="s">
        <v>450</v>
      </c>
      <c r="N2" s="419" t="s">
        <v>451</v>
      </c>
      <c r="O2" s="419" t="s">
        <v>452</v>
      </c>
      <c r="P2" s="419" t="s">
        <v>453</v>
      </c>
      <c r="Q2" s="419" t="s">
        <v>454</v>
      </c>
      <c r="R2" s="419" t="s">
        <v>455</v>
      </c>
      <c r="S2" s="419" t="s">
        <v>456</v>
      </c>
      <c r="T2" s="419" t="s">
        <v>457</v>
      </c>
      <c r="U2" s="419" t="s">
        <v>458</v>
      </c>
      <c r="V2" s="419" t="s">
        <v>459</v>
      </c>
      <c r="W2" s="420" t="s">
        <v>460</v>
      </c>
      <c r="X2" s="422" t="s">
        <v>461</v>
      </c>
      <c r="Y2" s="423" t="s">
        <v>462</v>
      </c>
      <c r="Z2" s="423" t="s">
        <v>463</v>
      </c>
      <c r="AA2" s="423" t="s">
        <v>464</v>
      </c>
      <c r="AB2" s="423" t="s">
        <v>465</v>
      </c>
      <c r="AC2" s="423" t="s">
        <v>466</v>
      </c>
      <c r="AD2" s="423" t="s">
        <v>467</v>
      </c>
      <c r="AE2" s="423" t="s">
        <v>468</v>
      </c>
      <c r="AF2" s="423" t="s">
        <v>469</v>
      </c>
      <c r="AG2" s="423" t="s">
        <v>470</v>
      </c>
      <c r="AH2" s="423" t="s">
        <v>471</v>
      </c>
      <c r="AI2" s="423" t="s">
        <v>472</v>
      </c>
      <c r="AJ2" s="424" t="s">
        <v>473</v>
      </c>
      <c r="AK2" s="395"/>
      <c r="AL2" s="393" t="s">
        <v>406</v>
      </c>
      <c r="AM2" s="389" t="s">
        <v>407</v>
      </c>
      <c r="AN2" s="389" t="s">
        <v>478</v>
      </c>
      <c r="AO2" s="389" t="s">
        <v>479</v>
      </c>
      <c r="AP2" s="389" t="s">
        <v>480</v>
      </c>
      <c r="AQ2" s="389" t="s">
        <v>481</v>
      </c>
      <c r="AR2" s="389" t="s">
        <v>482</v>
      </c>
      <c r="AS2" s="390" t="s">
        <v>483</v>
      </c>
      <c r="AT2" s="390" t="s">
        <v>484</v>
      </c>
      <c r="AU2" s="390" t="s">
        <v>485</v>
      </c>
      <c r="AV2" s="391" t="s">
        <v>486</v>
      </c>
      <c r="AW2" s="407"/>
    </row>
    <row r="3" spans="1:49" ht="19.5" customHeight="1">
      <c r="A3" s="398" t="s">
        <v>377</v>
      </c>
      <c r="B3" s="413" t="s">
        <v>82</v>
      </c>
      <c r="C3" s="417" t="s">
        <v>14</v>
      </c>
      <c r="D3" s="421">
        <v>1</v>
      </c>
      <c r="E3" s="372">
        <v>2</v>
      </c>
      <c r="F3" s="372">
        <v>3</v>
      </c>
      <c r="G3" s="372">
        <v>4</v>
      </c>
      <c r="H3" s="372">
        <v>5</v>
      </c>
      <c r="I3" s="372">
        <v>6</v>
      </c>
      <c r="J3" s="372">
        <v>7</v>
      </c>
      <c r="K3" s="372">
        <v>8</v>
      </c>
      <c r="L3" s="372">
        <v>9</v>
      </c>
      <c r="M3" s="372">
        <v>10</v>
      </c>
      <c r="N3" s="372">
        <v>11</v>
      </c>
      <c r="O3" s="372">
        <v>12</v>
      </c>
      <c r="P3" s="372">
        <v>13</v>
      </c>
      <c r="Q3" s="372">
        <v>14</v>
      </c>
      <c r="R3" s="372">
        <v>15</v>
      </c>
      <c r="S3" s="372">
        <v>16</v>
      </c>
      <c r="T3" s="372">
        <v>17</v>
      </c>
      <c r="U3" s="372">
        <v>18</v>
      </c>
      <c r="V3" s="372">
        <v>19</v>
      </c>
      <c r="W3" s="373">
        <v>20</v>
      </c>
      <c r="X3" s="421">
        <v>1</v>
      </c>
      <c r="Y3" s="372">
        <v>2</v>
      </c>
      <c r="Z3" s="372">
        <v>3</v>
      </c>
      <c r="AA3" s="372">
        <v>4</v>
      </c>
      <c r="AB3" s="372">
        <v>5</v>
      </c>
      <c r="AC3" s="372">
        <v>6</v>
      </c>
      <c r="AD3" s="372">
        <v>7</v>
      </c>
      <c r="AE3" s="372">
        <v>8</v>
      </c>
      <c r="AF3" s="372">
        <v>9</v>
      </c>
      <c r="AG3" s="372">
        <v>10</v>
      </c>
      <c r="AH3" s="372">
        <v>11</v>
      </c>
      <c r="AI3" s="372">
        <v>12</v>
      </c>
      <c r="AJ3" s="373">
        <v>13</v>
      </c>
      <c r="AK3" s="396"/>
      <c r="AL3" s="394">
        <v>1</v>
      </c>
      <c r="AM3" s="372">
        <v>2</v>
      </c>
      <c r="AN3" s="372">
        <v>3</v>
      </c>
      <c r="AO3" s="372">
        <v>4</v>
      </c>
      <c r="AP3" s="372">
        <v>5</v>
      </c>
      <c r="AQ3" s="372">
        <v>6</v>
      </c>
      <c r="AR3" s="372">
        <v>7</v>
      </c>
      <c r="AS3" s="372">
        <v>8</v>
      </c>
      <c r="AT3" s="372">
        <v>9</v>
      </c>
      <c r="AU3" s="372">
        <v>10</v>
      </c>
      <c r="AV3" s="372">
        <v>11</v>
      </c>
      <c r="AW3" s="405" t="s">
        <v>437</v>
      </c>
    </row>
    <row r="4" spans="1:49" s="371" customFormat="1" ht="26.25" customHeight="1">
      <c r="A4" s="408">
        <v>1</v>
      </c>
      <c r="B4" s="410" t="str">
        <f ca="1">INDIRECT("STUDENTS!B"&amp;(ROW(A1)-1)*12+4)</f>
        <v>ગોહેલ રાજેશભાઇ ચીથરભાઇ</v>
      </c>
      <c r="C4" s="427">
        <f ca="1">INDIRECT("STUDENTS!H"&amp;(ROW(A1)-1)*12+10)</f>
        <v>231</v>
      </c>
      <c r="D4" s="480" t="s">
        <v>83</v>
      </c>
      <c r="E4" s="481" t="s">
        <v>83</v>
      </c>
      <c r="F4" s="481" t="s">
        <v>83</v>
      </c>
      <c r="G4" s="481" t="s">
        <v>83</v>
      </c>
      <c r="H4" s="481" t="s">
        <v>83</v>
      </c>
      <c r="I4" s="481" t="s">
        <v>83</v>
      </c>
      <c r="J4" s="481" t="s">
        <v>173</v>
      </c>
      <c r="K4" s="481" t="s">
        <v>173</v>
      </c>
      <c r="L4" s="481" t="s">
        <v>83</v>
      </c>
      <c r="M4" s="481" t="s">
        <v>83</v>
      </c>
      <c r="N4" s="481" t="s">
        <v>83</v>
      </c>
      <c r="O4" s="481" t="s">
        <v>83</v>
      </c>
      <c r="P4" s="481" t="s">
        <v>83</v>
      </c>
      <c r="Q4" s="481" t="s">
        <v>173</v>
      </c>
      <c r="R4" s="481" t="s">
        <v>173</v>
      </c>
      <c r="S4" s="481" t="s">
        <v>173</v>
      </c>
      <c r="T4" s="481" t="s">
        <v>173</v>
      </c>
      <c r="U4" s="481" t="s">
        <v>161</v>
      </c>
      <c r="V4" s="481" t="s">
        <v>173</v>
      </c>
      <c r="W4" s="482" t="s">
        <v>83</v>
      </c>
      <c r="X4" s="496" t="s">
        <v>83</v>
      </c>
      <c r="Y4" s="481" t="s">
        <v>83</v>
      </c>
      <c r="Z4" s="481" t="s">
        <v>83</v>
      </c>
      <c r="AA4" s="481" t="s">
        <v>83</v>
      </c>
      <c r="AB4" s="481" t="s">
        <v>173</v>
      </c>
      <c r="AC4" s="481" t="s">
        <v>83</v>
      </c>
      <c r="AD4" s="481" t="s">
        <v>83</v>
      </c>
      <c r="AE4" s="497"/>
      <c r="AF4" s="497"/>
      <c r="AG4" s="497"/>
      <c r="AH4" s="497"/>
      <c r="AI4" s="497"/>
      <c r="AJ4" s="497" t="s">
        <v>83</v>
      </c>
      <c r="AK4" s="397"/>
      <c r="AL4" s="480" t="s">
        <v>83</v>
      </c>
      <c r="AM4" s="481" t="s">
        <v>83</v>
      </c>
      <c r="AN4" s="481" t="s">
        <v>173</v>
      </c>
      <c r="AO4" s="481" t="s">
        <v>173</v>
      </c>
      <c r="AP4" s="481" t="s">
        <v>173</v>
      </c>
      <c r="AQ4" s="481" t="s">
        <v>173</v>
      </c>
      <c r="AR4" s="481" t="s">
        <v>173</v>
      </c>
      <c r="AS4" s="481" t="s">
        <v>173</v>
      </c>
      <c r="AT4" s="481" t="s">
        <v>173</v>
      </c>
      <c r="AU4" s="481" t="s">
        <v>173</v>
      </c>
      <c r="AV4" s="482" t="s">
        <v>173</v>
      </c>
      <c r="AW4" s="490" t="s">
        <v>441</v>
      </c>
    </row>
    <row r="5" spans="1:49" s="371" customFormat="1" ht="26.25" customHeight="1">
      <c r="A5" s="409">
        <v>2</v>
      </c>
      <c r="B5" s="411" t="str">
        <f ca="1">INDIRECT("STUDENTS!B"&amp;(ROW(A2)-1)*12+4)</f>
        <v>ખિમસુરીયા સાહિલકુમાર અરજણભાઇ</v>
      </c>
      <c r="C5" s="425">
        <f t="shared" ref="C5:C38" ca="1" si="0">INDIRECT("STUDENTS!H"&amp;(ROW(A2)-1)*12+10)</f>
        <v>0</v>
      </c>
      <c r="D5" s="483" t="s">
        <v>83</v>
      </c>
      <c r="E5" s="484" t="s">
        <v>83</v>
      </c>
      <c r="F5" s="484" t="s">
        <v>83</v>
      </c>
      <c r="G5" s="484" t="s">
        <v>83</v>
      </c>
      <c r="H5" s="484" t="s">
        <v>173</v>
      </c>
      <c r="I5" s="484" t="s">
        <v>83</v>
      </c>
      <c r="J5" s="484" t="s">
        <v>173</v>
      </c>
      <c r="K5" s="484" t="s">
        <v>173</v>
      </c>
      <c r="L5" s="484" t="s">
        <v>83</v>
      </c>
      <c r="M5" s="484" t="s">
        <v>83</v>
      </c>
      <c r="N5" s="484" t="s">
        <v>83</v>
      </c>
      <c r="O5" s="484" t="s">
        <v>83</v>
      </c>
      <c r="P5" s="484" t="s">
        <v>83</v>
      </c>
      <c r="Q5" s="484" t="s">
        <v>173</v>
      </c>
      <c r="R5" s="484" t="s">
        <v>173</v>
      </c>
      <c r="S5" s="484" t="s">
        <v>173</v>
      </c>
      <c r="T5" s="484" t="s">
        <v>173</v>
      </c>
      <c r="U5" s="484" t="s">
        <v>161</v>
      </c>
      <c r="V5" s="484" t="s">
        <v>173</v>
      </c>
      <c r="W5" s="485" t="s">
        <v>83</v>
      </c>
      <c r="X5" s="498" t="s">
        <v>83</v>
      </c>
      <c r="Y5" s="484" t="s">
        <v>83</v>
      </c>
      <c r="Z5" s="484" t="s">
        <v>83</v>
      </c>
      <c r="AA5" s="484" t="s">
        <v>83</v>
      </c>
      <c r="AB5" s="484" t="s">
        <v>173</v>
      </c>
      <c r="AC5" s="484" t="s">
        <v>83</v>
      </c>
      <c r="AD5" s="484" t="s">
        <v>83</v>
      </c>
      <c r="AE5" s="499"/>
      <c r="AF5" s="499"/>
      <c r="AG5" s="499"/>
      <c r="AH5" s="499"/>
      <c r="AI5" s="499"/>
      <c r="AJ5" s="499" t="s">
        <v>83</v>
      </c>
      <c r="AK5" s="397"/>
      <c r="AL5" s="483" t="s">
        <v>83</v>
      </c>
      <c r="AM5" s="484" t="s">
        <v>83</v>
      </c>
      <c r="AN5" s="484" t="s">
        <v>173</v>
      </c>
      <c r="AO5" s="484" t="s">
        <v>173</v>
      </c>
      <c r="AP5" s="484" t="s">
        <v>173</v>
      </c>
      <c r="AQ5" s="484" t="s">
        <v>173</v>
      </c>
      <c r="AR5" s="484" t="s">
        <v>173</v>
      </c>
      <c r="AS5" s="484" t="s">
        <v>173</v>
      </c>
      <c r="AT5" s="484" t="s">
        <v>173</v>
      </c>
      <c r="AU5" s="484" t="s">
        <v>173</v>
      </c>
      <c r="AV5" s="485" t="s">
        <v>173</v>
      </c>
      <c r="AW5" s="491"/>
    </row>
    <row r="6" spans="1:49" s="371" customFormat="1" ht="26.25" customHeight="1">
      <c r="A6" s="409">
        <v>3</v>
      </c>
      <c r="B6" s="411" t="str">
        <f t="shared" ref="B6:B38" ca="1" si="1">INDIRECT("STUDENTS!B"&amp;(ROW(A3)-1)*12+4)</f>
        <v>ગરણિયા મયુરકુમાર અશોકભાઇ</v>
      </c>
      <c r="C6" s="425">
        <f t="shared" ca="1" si="0"/>
        <v>0</v>
      </c>
      <c r="D6" s="483" t="s">
        <v>173</v>
      </c>
      <c r="E6" s="484" t="s">
        <v>83</v>
      </c>
      <c r="F6" s="484" t="s">
        <v>173</v>
      </c>
      <c r="G6" s="484" t="s">
        <v>83</v>
      </c>
      <c r="H6" s="484" t="s">
        <v>173</v>
      </c>
      <c r="I6" s="484" t="s">
        <v>83</v>
      </c>
      <c r="J6" s="484" t="s">
        <v>161</v>
      </c>
      <c r="K6" s="484" t="s">
        <v>161</v>
      </c>
      <c r="L6" s="484" t="s">
        <v>173</v>
      </c>
      <c r="M6" s="484" t="s">
        <v>83</v>
      </c>
      <c r="N6" s="484" t="s">
        <v>173</v>
      </c>
      <c r="O6" s="484" t="s">
        <v>173</v>
      </c>
      <c r="P6" s="484" t="s">
        <v>83</v>
      </c>
      <c r="Q6" s="484" t="s">
        <v>161</v>
      </c>
      <c r="R6" s="484" t="s">
        <v>161</v>
      </c>
      <c r="S6" s="484" t="s">
        <v>161</v>
      </c>
      <c r="T6" s="484" t="s">
        <v>161</v>
      </c>
      <c r="U6" s="484" t="s">
        <v>161</v>
      </c>
      <c r="V6" s="484" t="s">
        <v>161</v>
      </c>
      <c r="W6" s="485" t="s">
        <v>173</v>
      </c>
      <c r="X6" s="498" t="s">
        <v>173</v>
      </c>
      <c r="Y6" s="484" t="s">
        <v>173</v>
      </c>
      <c r="Z6" s="484" t="s">
        <v>83</v>
      </c>
      <c r="AA6" s="484" t="s">
        <v>173</v>
      </c>
      <c r="AB6" s="484" t="s">
        <v>161</v>
      </c>
      <c r="AC6" s="484" t="s">
        <v>83</v>
      </c>
      <c r="AD6" s="484" t="s">
        <v>83</v>
      </c>
      <c r="AE6" s="499"/>
      <c r="AF6" s="499"/>
      <c r="AG6" s="499"/>
      <c r="AH6" s="499"/>
      <c r="AI6" s="499"/>
      <c r="AJ6" s="499" t="s">
        <v>173</v>
      </c>
      <c r="AK6" s="397"/>
      <c r="AL6" s="483" t="s">
        <v>83</v>
      </c>
      <c r="AM6" s="484" t="s">
        <v>83</v>
      </c>
      <c r="AN6" s="484" t="s">
        <v>161</v>
      </c>
      <c r="AO6" s="484" t="s">
        <v>161</v>
      </c>
      <c r="AP6" s="484" t="s">
        <v>161</v>
      </c>
      <c r="AQ6" s="484" t="s">
        <v>161</v>
      </c>
      <c r="AR6" s="484" t="s">
        <v>161</v>
      </c>
      <c r="AS6" s="484" t="s">
        <v>161</v>
      </c>
      <c r="AT6" s="484" t="s">
        <v>161</v>
      </c>
      <c r="AU6" s="484" t="s">
        <v>161</v>
      </c>
      <c r="AV6" s="485" t="s">
        <v>161</v>
      </c>
      <c r="AW6" s="491"/>
    </row>
    <row r="7" spans="1:49" s="371" customFormat="1" ht="26.25" customHeight="1">
      <c r="A7" s="409">
        <v>4</v>
      </c>
      <c r="B7" s="411" t="str">
        <f t="shared" ca="1" si="1"/>
        <v>ગરણિયા અલ્પેશકુમાર મેરામભાઇ</v>
      </c>
      <c r="C7" s="425">
        <f t="shared" ca="1" si="0"/>
        <v>0</v>
      </c>
      <c r="D7" s="483" t="s">
        <v>173</v>
      </c>
      <c r="E7" s="484" t="s">
        <v>83</v>
      </c>
      <c r="F7" s="484" t="s">
        <v>173</v>
      </c>
      <c r="G7" s="484" t="s">
        <v>83</v>
      </c>
      <c r="H7" s="484" t="s">
        <v>173</v>
      </c>
      <c r="I7" s="484" t="s">
        <v>83</v>
      </c>
      <c r="J7" s="484" t="s">
        <v>161</v>
      </c>
      <c r="K7" s="484" t="s">
        <v>161</v>
      </c>
      <c r="L7" s="484" t="s">
        <v>173</v>
      </c>
      <c r="M7" s="484" t="s">
        <v>83</v>
      </c>
      <c r="N7" s="484" t="s">
        <v>173</v>
      </c>
      <c r="O7" s="484" t="s">
        <v>173</v>
      </c>
      <c r="P7" s="484" t="s">
        <v>173</v>
      </c>
      <c r="Q7" s="484" t="s">
        <v>161</v>
      </c>
      <c r="R7" s="484" t="s">
        <v>161</v>
      </c>
      <c r="S7" s="484" t="s">
        <v>161</v>
      </c>
      <c r="T7" s="484" t="s">
        <v>161</v>
      </c>
      <c r="U7" s="484" t="s">
        <v>161</v>
      </c>
      <c r="V7" s="484" t="s">
        <v>161</v>
      </c>
      <c r="W7" s="485" t="s">
        <v>173</v>
      </c>
      <c r="X7" s="498" t="s">
        <v>173</v>
      </c>
      <c r="Y7" s="484" t="s">
        <v>173</v>
      </c>
      <c r="Z7" s="484" t="s">
        <v>173</v>
      </c>
      <c r="AA7" s="484" t="s">
        <v>173</v>
      </c>
      <c r="AB7" s="484" t="s">
        <v>161</v>
      </c>
      <c r="AC7" s="484" t="s">
        <v>83</v>
      </c>
      <c r="AD7" s="484" t="s">
        <v>83</v>
      </c>
      <c r="AE7" s="499"/>
      <c r="AF7" s="499"/>
      <c r="AG7" s="499"/>
      <c r="AH7" s="499"/>
      <c r="AI7" s="499"/>
      <c r="AJ7" s="499" t="s">
        <v>173</v>
      </c>
      <c r="AK7" s="397"/>
      <c r="AL7" s="483" t="s">
        <v>83</v>
      </c>
      <c r="AM7" s="484" t="s">
        <v>83</v>
      </c>
      <c r="AN7" s="484" t="s">
        <v>161</v>
      </c>
      <c r="AO7" s="484" t="s">
        <v>161</v>
      </c>
      <c r="AP7" s="484" t="s">
        <v>161</v>
      </c>
      <c r="AQ7" s="484" t="s">
        <v>161</v>
      </c>
      <c r="AR7" s="484" t="s">
        <v>161</v>
      </c>
      <c r="AS7" s="484" t="s">
        <v>161</v>
      </c>
      <c r="AT7" s="484" t="s">
        <v>161</v>
      </c>
      <c r="AU7" s="484" t="s">
        <v>161</v>
      </c>
      <c r="AV7" s="485" t="s">
        <v>161</v>
      </c>
      <c r="AW7" s="491"/>
    </row>
    <row r="8" spans="1:49" s="371" customFormat="1" ht="26.25" customHeight="1">
      <c r="A8" s="409">
        <v>5</v>
      </c>
      <c r="B8" s="411" t="str">
        <f t="shared" ca="1" si="1"/>
        <v>ગરણિયા મિલન પોપટભાઇ</v>
      </c>
      <c r="C8" s="425">
        <f t="shared" ca="1" si="0"/>
        <v>0</v>
      </c>
      <c r="D8" s="483" t="s">
        <v>173</v>
      </c>
      <c r="E8" s="484" t="s">
        <v>83</v>
      </c>
      <c r="F8" s="484" t="s">
        <v>83</v>
      </c>
      <c r="G8" s="484" t="s">
        <v>83</v>
      </c>
      <c r="H8" s="484" t="s">
        <v>173</v>
      </c>
      <c r="I8" s="484" t="s">
        <v>83</v>
      </c>
      <c r="J8" s="484" t="s">
        <v>173</v>
      </c>
      <c r="K8" s="484" t="s">
        <v>173</v>
      </c>
      <c r="L8" s="484" t="s">
        <v>83</v>
      </c>
      <c r="M8" s="484" t="s">
        <v>83</v>
      </c>
      <c r="N8" s="484" t="s">
        <v>83</v>
      </c>
      <c r="O8" s="484" t="s">
        <v>173</v>
      </c>
      <c r="P8" s="484" t="s">
        <v>83</v>
      </c>
      <c r="Q8" s="484" t="s">
        <v>161</v>
      </c>
      <c r="R8" s="484" t="s">
        <v>83</v>
      </c>
      <c r="S8" s="484" t="s">
        <v>161</v>
      </c>
      <c r="T8" s="484" t="s">
        <v>173</v>
      </c>
      <c r="U8" s="484" t="s">
        <v>161</v>
      </c>
      <c r="V8" s="484" t="s">
        <v>173</v>
      </c>
      <c r="W8" s="485" t="s">
        <v>173</v>
      </c>
      <c r="X8" s="498" t="s">
        <v>83</v>
      </c>
      <c r="Y8" s="484" t="s">
        <v>83</v>
      </c>
      <c r="Z8" s="484" t="s">
        <v>83</v>
      </c>
      <c r="AA8" s="484" t="s">
        <v>83</v>
      </c>
      <c r="AB8" s="484" t="s">
        <v>83</v>
      </c>
      <c r="AC8" s="484" t="s">
        <v>83</v>
      </c>
      <c r="AD8" s="484" t="s">
        <v>83</v>
      </c>
      <c r="AE8" s="499"/>
      <c r="AF8" s="499"/>
      <c r="AG8" s="499"/>
      <c r="AH8" s="499"/>
      <c r="AI8" s="499"/>
      <c r="AJ8" s="499" t="s">
        <v>83</v>
      </c>
      <c r="AK8" s="397"/>
      <c r="AL8" s="483" t="s">
        <v>83</v>
      </c>
      <c r="AM8" s="484" t="s">
        <v>83</v>
      </c>
      <c r="AN8" s="484" t="s">
        <v>173</v>
      </c>
      <c r="AO8" s="484" t="s">
        <v>173</v>
      </c>
      <c r="AP8" s="484" t="s">
        <v>173</v>
      </c>
      <c r="AQ8" s="484" t="s">
        <v>173</v>
      </c>
      <c r="AR8" s="484" t="s">
        <v>173</v>
      </c>
      <c r="AS8" s="484" t="s">
        <v>173</v>
      </c>
      <c r="AT8" s="484" t="s">
        <v>173</v>
      </c>
      <c r="AU8" s="484" t="s">
        <v>173</v>
      </c>
      <c r="AV8" s="485" t="s">
        <v>173</v>
      </c>
      <c r="AW8" s="491"/>
    </row>
    <row r="9" spans="1:49" s="371" customFormat="1" ht="26.25" customHeight="1">
      <c r="A9" s="409">
        <v>6</v>
      </c>
      <c r="B9" s="411" t="str">
        <f t="shared" ca="1" si="1"/>
        <v>ગરણિયા મોહિત રાવતભાઇ</v>
      </c>
      <c r="C9" s="425">
        <f t="shared" ca="1" si="0"/>
        <v>0</v>
      </c>
      <c r="D9" s="483" t="s">
        <v>161</v>
      </c>
      <c r="E9" s="484" t="s">
        <v>83</v>
      </c>
      <c r="F9" s="484" t="s">
        <v>173</v>
      </c>
      <c r="G9" s="484" t="s">
        <v>83</v>
      </c>
      <c r="H9" s="484" t="s">
        <v>161</v>
      </c>
      <c r="I9" s="484" t="s">
        <v>83</v>
      </c>
      <c r="J9" s="484" t="s">
        <v>161</v>
      </c>
      <c r="K9" s="484" t="s">
        <v>173</v>
      </c>
      <c r="L9" s="484" t="s">
        <v>173</v>
      </c>
      <c r="M9" s="484" t="s">
        <v>83</v>
      </c>
      <c r="N9" s="484" t="s">
        <v>173</v>
      </c>
      <c r="O9" s="484" t="s">
        <v>173</v>
      </c>
      <c r="P9" s="484" t="s">
        <v>83</v>
      </c>
      <c r="Q9" s="484" t="s">
        <v>173</v>
      </c>
      <c r="R9" s="484" t="s">
        <v>173</v>
      </c>
      <c r="S9" s="484" t="s">
        <v>173</v>
      </c>
      <c r="T9" s="484" t="s">
        <v>173</v>
      </c>
      <c r="U9" s="484" t="s">
        <v>161</v>
      </c>
      <c r="V9" s="484" t="s">
        <v>161</v>
      </c>
      <c r="W9" s="485" t="s">
        <v>173</v>
      </c>
      <c r="X9" s="498" t="s">
        <v>173</v>
      </c>
      <c r="Y9" s="484" t="s">
        <v>173</v>
      </c>
      <c r="Z9" s="484" t="s">
        <v>83</v>
      </c>
      <c r="AA9" s="484" t="s">
        <v>173</v>
      </c>
      <c r="AB9" s="484" t="s">
        <v>173</v>
      </c>
      <c r="AC9" s="484" t="s">
        <v>83</v>
      </c>
      <c r="AD9" s="484" t="s">
        <v>83</v>
      </c>
      <c r="AE9" s="499"/>
      <c r="AF9" s="499"/>
      <c r="AG9" s="499"/>
      <c r="AH9" s="499"/>
      <c r="AI9" s="499"/>
      <c r="AJ9" s="499" t="s">
        <v>173</v>
      </c>
      <c r="AK9" s="397"/>
      <c r="AL9" s="483" t="s">
        <v>83</v>
      </c>
      <c r="AM9" s="484" t="s">
        <v>83</v>
      </c>
      <c r="AN9" s="484" t="s">
        <v>161</v>
      </c>
      <c r="AO9" s="484" t="s">
        <v>161</v>
      </c>
      <c r="AP9" s="484" t="s">
        <v>161</v>
      </c>
      <c r="AQ9" s="484" t="s">
        <v>161</v>
      </c>
      <c r="AR9" s="484" t="s">
        <v>161</v>
      </c>
      <c r="AS9" s="484" t="s">
        <v>161</v>
      </c>
      <c r="AT9" s="484" t="s">
        <v>161</v>
      </c>
      <c r="AU9" s="484" t="s">
        <v>161</v>
      </c>
      <c r="AV9" s="485" t="s">
        <v>161</v>
      </c>
      <c r="AW9" s="491"/>
    </row>
    <row r="10" spans="1:49" s="371" customFormat="1" ht="26.25" customHeight="1">
      <c r="A10" s="409">
        <v>7</v>
      </c>
      <c r="B10" s="411" t="str">
        <f t="shared" ca="1" si="1"/>
        <v>ગરણિયા સુમિત પોપટભાઇ</v>
      </c>
      <c r="C10" s="425">
        <f t="shared" ca="1" si="0"/>
        <v>0</v>
      </c>
      <c r="D10" s="483" t="s">
        <v>173</v>
      </c>
      <c r="E10" s="484" t="s">
        <v>83</v>
      </c>
      <c r="F10" s="484" t="s">
        <v>173</v>
      </c>
      <c r="G10" s="484" t="s">
        <v>83</v>
      </c>
      <c r="H10" s="484" t="s">
        <v>173</v>
      </c>
      <c r="I10" s="484" t="s">
        <v>83</v>
      </c>
      <c r="J10" s="484" t="s">
        <v>161</v>
      </c>
      <c r="K10" s="484" t="s">
        <v>161</v>
      </c>
      <c r="L10" s="484" t="s">
        <v>83</v>
      </c>
      <c r="M10" s="484" t="s">
        <v>83</v>
      </c>
      <c r="N10" s="484" t="s">
        <v>173</v>
      </c>
      <c r="O10" s="484" t="s">
        <v>173</v>
      </c>
      <c r="P10" s="484" t="s">
        <v>83</v>
      </c>
      <c r="Q10" s="484" t="s">
        <v>173</v>
      </c>
      <c r="R10" s="484" t="s">
        <v>161</v>
      </c>
      <c r="S10" s="484" t="s">
        <v>173</v>
      </c>
      <c r="T10" s="484" t="s">
        <v>173</v>
      </c>
      <c r="U10" s="484" t="s">
        <v>161</v>
      </c>
      <c r="V10" s="484" t="s">
        <v>161</v>
      </c>
      <c r="W10" s="485" t="s">
        <v>173</v>
      </c>
      <c r="X10" s="498" t="s">
        <v>173</v>
      </c>
      <c r="Y10" s="484" t="s">
        <v>173</v>
      </c>
      <c r="Z10" s="484" t="s">
        <v>83</v>
      </c>
      <c r="AA10" s="484" t="s">
        <v>173</v>
      </c>
      <c r="AB10" s="484" t="s">
        <v>173</v>
      </c>
      <c r="AC10" s="484" t="s">
        <v>83</v>
      </c>
      <c r="AD10" s="484" t="s">
        <v>83</v>
      </c>
      <c r="AE10" s="499"/>
      <c r="AF10" s="499"/>
      <c r="AG10" s="499"/>
      <c r="AH10" s="499"/>
      <c r="AI10" s="499"/>
      <c r="AJ10" s="499" t="s">
        <v>173</v>
      </c>
      <c r="AK10" s="397"/>
      <c r="AL10" s="483" t="s">
        <v>83</v>
      </c>
      <c r="AM10" s="484" t="s">
        <v>83</v>
      </c>
      <c r="AN10" s="484" t="s">
        <v>161</v>
      </c>
      <c r="AO10" s="484" t="s">
        <v>161</v>
      </c>
      <c r="AP10" s="484" t="s">
        <v>161</v>
      </c>
      <c r="AQ10" s="484" t="s">
        <v>161</v>
      </c>
      <c r="AR10" s="484" t="s">
        <v>161</v>
      </c>
      <c r="AS10" s="484" t="s">
        <v>161</v>
      </c>
      <c r="AT10" s="484" t="s">
        <v>161</v>
      </c>
      <c r="AU10" s="484" t="s">
        <v>161</v>
      </c>
      <c r="AV10" s="485" t="s">
        <v>161</v>
      </c>
      <c r="AW10" s="491"/>
    </row>
    <row r="11" spans="1:49" s="371" customFormat="1" ht="26.25" customHeight="1">
      <c r="A11" s="409">
        <v>8</v>
      </c>
      <c r="B11" s="411" t="str">
        <f t="shared" ca="1" si="1"/>
        <v>ગરણિયા રામકુભાઇ સાર્દૂળભાઇ</v>
      </c>
      <c r="C11" s="425">
        <f t="shared" ca="1" si="0"/>
        <v>0</v>
      </c>
      <c r="D11" s="483" t="s">
        <v>173</v>
      </c>
      <c r="E11" s="484" t="s">
        <v>83</v>
      </c>
      <c r="F11" s="484" t="s">
        <v>83</v>
      </c>
      <c r="G11" s="484" t="s">
        <v>83</v>
      </c>
      <c r="H11" s="484" t="s">
        <v>83</v>
      </c>
      <c r="I11" s="484" t="s">
        <v>83</v>
      </c>
      <c r="J11" s="484" t="s">
        <v>173</v>
      </c>
      <c r="K11" s="484" t="s">
        <v>173</v>
      </c>
      <c r="L11" s="484" t="s">
        <v>83</v>
      </c>
      <c r="M11" s="484" t="s">
        <v>83</v>
      </c>
      <c r="N11" s="484" t="s">
        <v>83</v>
      </c>
      <c r="O11" s="484" t="s">
        <v>83</v>
      </c>
      <c r="P11" s="484" t="s">
        <v>83</v>
      </c>
      <c r="Q11" s="484" t="s">
        <v>173</v>
      </c>
      <c r="R11" s="484" t="s">
        <v>173</v>
      </c>
      <c r="S11" s="484" t="s">
        <v>173</v>
      </c>
      <c r="T11" s="484" t="s">
        <v>173</v>
      </c>
      <c r="U11" s="484" t="s">
        <v>161</v>
      </c>
      <c r="V11" s="484" t="s">
        <v>173</v>
      </c>
      <c r="W11" s="485" t="s">
        <v>83</v>
      </c>
      <c r="X11" s="498" t="s">
        <v>83</v>
      </c>
      <c r="Y11" s="484" t="s">
        <v>173</v>
      </c>
      <c r="Z11" s="484" t="s">
        <v>83</v>
      </c>
      <c r="AA11" s="484" t="s">
        <v>83</v>
      </c>
      <c r="AB11" s="484" t="s">
        <v>173</v>
      </c>
      <c r="AC11" s="484" t="s">
        <v>83</v>
      </c>
      <c r="AD11" s="484" t="s">
        <v>83</v>
      </c>
      <c r="AE11" s="499"/>
      <c r="AF11" s="499"/>
      <c r="AG11" s="499"/>
      <c r="AH11" s="499"/>
      <c r="AI11" s="499"/>
      <c r="AJ11" s="499" t="s">
        <v>83</v>
      </c>
      <c r="AK11" s="397"/>
      <c r="AL11" s="483" t="s">
        <v>83</v>
      </c>
      <c r="AM11" s="484" t="s">
        <v>83</v>
      </c>
      <c r="AN11" s="484" t="s">
        <v>173</v>
      </c>
      <c r="AO11" s="484" t="s">
        <v>173</v>
      </c>
      <c r="AP11" s="484" t="s">
        <v>173</v>
      </c>
      <c r="AQ11" s="484" t="s">
        <v>173</v>
      </c>
      <c r="AR11" s="484" t="s">
        <v>173</v>
      </c>
      <c r="AS11" s="484" t="s">
        <v>173</v>
      </c>
      <c r="AT11" s="484" t="s">
        <v>173</v>
      </c>
      <c r="AU11" s="484" t="s">
        <v>173</v>
      </c>
      <c r="AV11" s="485" t="s">
        <v>173</v>
      </c>
      <c r="AW11" s="491"/>
    </row>
    <row r="12" spans="1:49" s="371" customFormat="1" ht="26.25" customHeight="1">
      <c r="A12" s="409">
        <v>9</v>
      </c>
      <c r="B12" s="411" t="str">
        <f t="shared" ca="1" si="1"/>
        <v>ડેર હિતેષકુમાર પ્રતાપભાઇ</v>
      </c>
      <c r="C12" s="425">
        <f t="shared" ca="1" si="0"/>
        <v>0</v>
      </c>
      <c r="D12" s="483" t="s">
        <v>173</v>
      </c>
      <c r="E12" s="484" t="s">
        <v>83</v>
      </c>
      <c r="F12" s="484" t="s">
        <v>83</v>
      </c>
      <c r="G12" s="484" t="s">
        <v>83</v>
      </c>
      <c r="H12" s="484" t="s">
        <v>83</v>
      </c>
      <c r="I12" s="484" t="s">
        <v>83</v>
      </c>
      <c r="J12" s="484" t="s">
        <v>173</v>
      </c>
      <c r="K12" s="484" t="s">
        <v>173</v>
      </c>
      <c r="L12" s="484" t="s">
        <v>83</v>
      </c>
      <c r="M12" s="484" t="s">
        <v>83</v>
      </c>
      <c r="N12" s="484" t="s">
        <v>83</v>
      </c>
      <c r="O12" s="484" t="s">
        <v>83</v>
      </c>
      <c r="P12" s="484" t="s">
        <v>83</v>
      </c>
      <c r="Q12" s="484" t="s">
        <v>173</v>
      </c>
      <c r="R12" s="484" t="s">
        <v>173</v>
      </c>
      <c r="S12" s="484" t="s">
        <v>173</v>
      </c>
      <c r="T12" s="484" t="s">
        <v>173</v>
      </c>
      <c r="U12" s="484" t="s">
        <v>161</v>
      </c>
      <c r="V12" s="484" t="s">
        <v>173</v>
      </c>
      <c r="W12" s="485" t="s">
        <v>83</v>
      </c>
      <c r="X12" s="498" t="s">
        <v>83</v>
      </c>
      <c r="Y12" s="484" t="s">
        <v>173</v>
      </c>
      <c r="Z12" s="484" t="s">
        <v>83</v>
      </c>
      <c r="AA12" s="484" t="s">
        <v>173</v>
      </c>
      <c r="AB12" s="484" t="s">
        <v>173</v>
      </c>
      <c r="AC12" s="484" t="s">
        <v>83</v>
      </c>
      <c r="AD12" s="484" t="s">
        <v>83</v>
      </c>
      <c r="AE12" s="499"/>
      <c r="AF12" s="499"/>
      <c r="AG12" s="499"/>
      <c r="AH12" s="499"/>
      <c r="AI12" s="499"/>
      <c r="AJ12" s="499" t="s">
        <v>83</v>
      </c>
      <c r="AK12" s="397"/>
      <c r="AL12" s="483" t="s">
        <v>83</v>
      </c>
      <c r="AM12" s="484" t="s">
        <v>83</v>
      </c>
      <c r="AN12" s="484" t="s">
        <v>173</v>
      </c>
      <c r="AO12" s="484" t="s">
        <v>173</v>
      </c>
      <c r="AP12" s="484" t="s">
        <v>173</v>
      </c>
      <c r="AQ12" s="484" t="s">
        <v>173</v>
      </c>
      <c r="AR12" s="484" t="s">
        <v>173</v>
      </c>
      <c r="AS12" s="484" t="s">
        <v>173</v>
      </c>
      <c r="AT12" s="484" t="s">
        <v>173</v>
      </c>
      <c r="AU12" s="484" t="s">
        <v>173</v>
      </c>
      <c r="AV12" s="485" t="s">
        <v>173</v>
      </c>
      <c r="AW12" s="491"/>
    </row>
    <row r="13" spans="1:49" s="371" customFormat="1" ht="26.25" customHeight="1">
      <c r="A13" s="409">
        <v>10</v>
      </c>
      <c r="B13" s="411" t="str">
        <f t="shared" ca="1" si="1"/>
        <v>વેકરીયા વિશાલકુમાર દિપકભાઇ</v>
      </c>
      <c r="C13" s="425">
        <f t="shared" ca="1" si="0"/>
        <v>0</v>
      </c>
      <c r="D13" s="483" t="s">
        <v>173</v>
      </c>
      <c r="E13" s="484" t="s">
        <v>83</v>
      </c>
      <c r="F13" s="484" t="s">
        <v>83</v>
      </c>
      <c r="G13" s="484" t="s">
        <v>83</v>
      </c>
      <c r="H13" s="484" t="s">
        <v>173</v>
      </c>
      <c r="I13" s="484" t="s">
        <v>83</v>
      </c>
      <c r="J13" s="484" t="s">
        <v>161</v>
      </c>
      <c r="K13" s="484" t="s">
        <v>173</v>
      </c>
      <c r="L13" s="484" t="s">
        <v>83</v>
      </c>
      <c r="M13" s="484" t="s">
        <v>83</v>
      </c>
      <c r="N13" s="484" t="s">
        <v>173</v>
      </c>
      <c r="O13" s="484" t="s">
        <v>173</v>
      </c>
      <c r="P13" s="484" t="s">
        <v>173</v>
      </c>
      <c r="Q13" s="484" t="s">
        <v>161</v>
      </c>
      <c r="R13" s="484" t="s">
        <v>161</v>
      </c>
      <c r="S13" s="484" t="s">
        <v>161</v>
      </c>
      <c r="T13" s="484" t="s">
        <v>161</v>
      </c>
      <c r="U13" s="484" t="s">
        <v>161</v>
      </c>
      <c r="V13" s="484" t="s">
        <v>161</v>
      </c>
      <c r="W13" s="485" t="s">
        <v>173</v>
      </c>
      <c r="X13" s="498" t="s">
        <v>173</v>
      </c>
      <c r="Y13" s="484" t="s">
        <v>161</v>
      </c>
      <c r="Z13" s="484" t="s">
        <v>83</v>
      </c>
      <c r="AA13" s="484" t="s">
        <v>161</v>
      </c>
      <c r="AB13" s="484" t="s">
        <v>161</v>
      </c>
      <c r="AC13" s="484" t="s">
        <v>83</v>
      </c>
      <c r="AD13" s="484" t="s">
        <v>83</v>
      </c>
      <c r="AE13" s="499"/>
      <c r="AF13" s="499"/>
      <c r="AG13" s="499"/>
      <c r="AH13" s="499"/>
      <c r="AI13" s="499"/>
      <c r="AJ13" s="499" t="s">
        <v>173</v>
      </c>
      <c r="AK13" s="397"/>
      <c r="AL13" s="483" t="s">
        <v>83</v>
      </c>
      <c r="AM13" s="484" t="s">
        <v>83</v>
      </c>
      <c r="AN13" s="484" t="s">
        <v>161</v>
      </c>
      <c r="AO13" s="484" t="s">
        <v>161</v>
      </c>
      <c r="AP13" s="484" t="s">
        <v>161</v>
      </c>
      <c r="AQ13" s="484" t="s">
        <v>161</v>
      </c>
      <c r="AR13" s="484" t="s">
        <v>161</v>
      </c>
      <c r="AS13" s="484" t="s">
        <v>161</v>
      </c>
      <c r="AT13" s="484" t="s">
        <v>161</v>
      </c>
      <c r="AU13" s="484" t="s">
        <v>161</v>
      </c>
      <c r="AV13" s="485" t="s">
        <v>161</v>
      </c>
      <c r="AW13" s="491"/>
    </row>
    <row r="14" spans="1:49" s="371" customFormat="1" ht="26.25" customHeight="1">
      <c r="A14" s="409">
        <v>11</v>
      </c>
      <c r="B14" s="411" t="str">
        <f t="shared" ca="1" si="1"/>
        <v>માણસુરીયા મહેન્દ્રભાઇ ભૂપતભાઇ</v>
      </c>
      <c r="C14" s="425">
        <f t="shared" ca="1" si="0"/>
        <v>0</v>
      </c>
      <c r="D14" s="483" t="s">
        <v>161</v>
      </c>
      <c r="E14" s="484" t="s">
        <v>83</v>
      </c>
      <c r="F14" s="484" t="s">
        <v>83</v>
      </c>
      <c r="G14" s="484" t="s">
        <v>83</v>
      </c>
      <c r="H14" s="484" t="s">
        <v>173</v>
      </c>
      <c r="I14" s="484" t="s">
        <v>83</v>
      </c>
      <c r="J14" s="484" t="s">
        <v>161</v>
      </c>
      <c r="K14" s="484" t="s">
        <v>161</v>
      </c>
      <c r="L14" s="484" t="s">
        <v>173</v>
      </c>
      <c r="M14" s="484" t="s">
        <v>83</v>
      </c>
      <c r="N14" s="484" t="s">
        <v>173</v>
      </c>
      <c r="O14" s="484" t="s">
        <v>173</v>
      </c>
      <c r="P14" s="484" t="s">
        <v>173</v>
      </c>
      <c r="Q14" s="484" t="s">
        <v>161</v>
      </c>
      <c r="R14" s="484" t="s">
        <v>161</v>
      </c>
      <c r="S14" s="484" t="s">
        <v>161</v>
      </c>
      <c r="T14" s="484" t="s">
        <v>161</v>
      </c>
      <c r="U14" s="484" t="s">
        <v>161</v>
      </c>
      <c r="V14" s="484" t="s">
        <v>161</v>
      </c>
      <c r="W14" s="485" t="s">
        <v>173</v>
      </c>
      <c r="X14" s="498" t="s">
        <v>173</v>
      </c>
      <c r="Y14" s="484" t="s">
        <v>161</v>
      </c>
      <c r="Z14" s="484" t="s">
        <v>83</v>
      </c>
      <c r="AA14" s="484" t="s">
        <v>161</v>
      </c>
      <c r="AB14" s="484" t="s">
        <v>161</v>
      </c>
      <c r="AC14" s="484" t="s">
        <v>83</v>
      </c>
      <c r="AD14" s="484" t="s">
        <v>83</v>
      </c>
      <c r="AE14" s="499"/>
      <c r="AF14" s="499"/>
      <c r="AG14" s="499"/>
      <c r="AH14" s="499"/>
      <c r="AI14" s="499"/>
      <c r="AJ14" s="499" t="s">
        <v>161</v>
      </c>
      <c r="AK14" s="397"/>
      <c r="AL14" s="483" t="s">
        <v>83</v>
      </c>
      <c r="AM14" s="484" t="s">
        <v>83</v>
      </c>
      <c r="AN14" s="484" t="s">
        <v>161</v>
      </c>
      <c r="AO14" s="484" t="s">
        <v>161</v>
      </c>
      <c r="AP14" s="484" t="s">
        <v>161</v>
      </c>
      <c r="AQ14" s="484" t="s">
        <v>161</v>
      </c>
      <c r="AR14" s="484" t="s">
        <v>161</v>
      </c>
      <c r="AS14" s="484" t="s">
        <v>161</v>
      </c>
      <c r="AT14" s="484" t="s">
        <v>161</v>
      </c>
      <c r="AU14" s="484" t="s">
        <v>161</v>
      </c>
      <c r="AV14" s="485" t="s">
        <v>161</v>
      </c>
      <c r="AW14" s="491"/>
    </row>
    <row r="15" spans="1:49" s="371" customFormat="1" ht="26.25" customHeight="1">
      <c r="A15" s="409">
        <v>12</v>
      </c>
      <c r="B15" s="411" t="str">
        <f t="shared" ca="1" si="1"/>
        <v>પરમાર અજયકુમાર રમેશભાઇ</v>
      </c>
      <c r="C15" s="425">
        <f t="shared" ca="1" si="0"/>
        <v>0</v>
      </c>
      <c r="D15" s="483" t="s">
        <v>161</v>
      </c>
      <c r="E15" s="484" t="s">
        <v>83</v>
      </c>
      <c r="F15" s="484" t="s">
        <v>83</v>
      </c>
      <c r="G15" s="484" t="s">
        <v>83</v>
      </c>
      <c r="H15" s="484" t="s">
        <v>173</v>
      </c>
      <c r="I15" s="484" t="s">
        <v>83</v>
      </c>
      <c r="J15" s="484" t="s">
        <v>161</v>
      </c>
      <c r="K15" s="484" t="s">
        <v>161</v>
      </c>
      <c r="L15" s="484" t="s">
        <v>83</v>
      </c>
      <c r="M15" s="484" t="s">
        <v>83</v>
      </c>
      <c r="N15" s="484" t="s">
        <v>173</v>
      </c>
      <c r="O15" s="484" t="s">
        <v>173</v>
      </c>
      <c r="P15" s="484" t="s">
        <v>173</v>
      </c>
      <c r="Q15" s="484" t="s">
        <v>161</v>
      </c>
      <c r="R15" s="484" t="s">
        <v>161</v>
      </c>
      <c r="S15" s="484" t="s">
        <v>161</v>
      </c>
      <c r="T15" s="484" t="s">
        <v>161</v>
      </c>
      <c r="U15" s="484" t="s">
        <v>161</v>
      </c>
      <c r="V15" s="484" t="s">
        <v>161</v>
      </c>
      <c r="W15" s="485" t="s">
        <v>173</v>
      </c>
      <c r="X15" s="498" t="s">
        <v>173</v>
      </c>
      <c r="Y15" s="484" t="s">
        <v>173</v>
      </c>
      <c r="Z15" s="484" t="s">
        <v>83</v>
      </c>
      <c r="AA15" s="484" t="s">
        <v>161</v>
      </c>
      <c r="AB15" s="484" t="s">
        <v>161</v>
      </c>
      <c r="AC15" s="484" t="s">
        <v>83</v>
      </c>
      <c r="AD15" s="484" t="s">
        <v>83</v>
      </c>
      <c r="AE15" s="499"/>
      <c r="AF15" s="499"/>
      <c r="AG15" s="499"/>
      <c r="AH15" s="499"/>
      <c r="AI15" s="499"/>
      <c r="AJ15" s="499" t="s">
        <v>173</v>
      </c>
      <c r="AK15" s="397"/>
      <c r="AL15" s="483" t="s">
        <v>83</v>
      </c>
      <c r="AM15" s="484" t="s">
        <v>83</v>
      </c>
      <c r="AN15" s="484" t="s">
        <v>161</v>
      </c>
      <c r="AO15" s="484" t="s">
        <v>161</v>
      </c>
      <c r="AP15" s="484" t="s">
        <v>161</v>
      </c>
      <c r="AQ15" s="484" t="s">
        <v>161</v>
      </c>
      <c r="AR15" s="484" t="s">
        <v>161</v>
      </c>
      <c r="AS15" s="484" t="s">
        <v>161</v>
      </c>
      <c r="AT15" s="484" t="s">
        <v>161</v>
      </c>
      <c r="AU15" s="484" t="s">
        <v>161</v>
      </c>
      <c r="AV15" s="485" t="s">
        <v>161</v>
      </c>
      <c r="AW15" s="491"/>
    </row>
    <row r="16" spans="1:49" s="371" customFormat="1" ht="26.25" customHeight="1">
      <c r="A16" s="409">
        <v>13</v>
      </c>
      <c r="B16" s="411" t="str">
        <f t="shared" ca="1" si="1"/>
        <v>કંડોળીયા અલ્પેશકુમાર ભરતભાઇ</v>
      </c>
      <c r="C16" s="425">
        <f t="shared" ca="1" si="0"/>
        <v>0</v>
      </c>
      <c r="D16" s="483" t="s">
        <v>161</v>
      </c>
      <c r="E16" s="484" t="s">
        <v>83</v>
      </c>
      <c r="F16" s="484" t="s">
        <v>173</v>
      </c>
      <c r="G16" s="484" t="s">
        <v>83</v>
      </c>
      <c r="H16" s="484" t="s">
        <v>161</v>
      </c>
      <c r="I16" s="484" t="s">
        <v>83</v>
      </c>
      <c r="J16" s="484" t="s">
        <v>161</v>
      </c>
      <c r="K16" s="484" t="s">
        <v>161</v>
      </c>
      <c r="L16" s="484" t="s">
        <v>173</v>
      </c>
      <c r="M16" s="484" t="s">
        <v>83</v>
      </c>
      <c r="N16" s="484" t="s">
        <v>161</v>
      </c>
      <c r="O16" s="484" t="s">
        <v>161</v>
      </c>
      <c r="P16" s="484" t="s">
        <v>161</v>
      </c>
      <c r="Q16" s="484" t="s">
        <v>161</v>
      </c>
      <c r="R16" s="484" t="s">
        <v>161</v>
      </c>
      <c r="S16" s="484" t="s">
        <v>161</v>
      </c>
      <c r="T16" s="484" t="s">
        <v>161</v>
      </c>
      <c r="U16" s="484" t="s">
        <v>161</v>
      </c>
      <c r="V16" s="484" t="s">
        <v>161</v>
      </c>
      <c r="W16" s="485" t="s">
        <v>161</v>
      </c>
      <c r="X16" s="498" t="s">
        <v>161</v>
      </c>
      <c r="Y16" s="484" t="s">
        <v>161</v>
      </c>
      <c r="Z16" s="484" t="s">
        <v>173</v>
      </c>
      <c r="AA16" s="484" t="s">
        <v>161</v>
      </c>
      <c r="AB16" s="484" t="s">
        <v>161</v>
      </c>
      <c r="AC16" s="484" t="s">
        <v>83</v>
      </c>
      <c r="AD16" s="484" t="s">
        <v>83</v>
      </c>
      <c r="AE16" s="499"/>
      <c r="AF16" s="499"/>
      <c r="AG16" s="499"/>
      <c r="AH16" s="499"/>
      <c r="AI16" s="499"/>
      <c r="AJ16" s="499" t="s">
        <v>161</v>
      </c>
      <c r="AK16" s="397"/>
      <c r="AL16" s="483" t="s">
        <v>83</v>
      </c>
      <c r="AM16" s="484" t="s">
        <v>83</v>
      </c>
      <c r="AN16" s="484" t="s">
        <v>161</v>
      </c>
      <c r="AO16" s="484" t="s">
        <v>161</v>
      </c>
      <c r="AP16" s="484" t="s">
        <v>161</v>
      </c>
      <c r="AQ16" s="484" t="s">
        <v>161</v>
      </c>
      <c r="AR16" s="484" t="s">
        <v>161</v>
      </c>
      <c r="AS16" s="484" t="s">
        <v>161</v>
      </c>
      <c r="AT16" s="484" t="s">
        <v>161</v>
      </c>
      <c r="AU16" s="484" t="s">
        <v>161</v>
      </c>
      <c r="AV16" s="485" t="s">
        <v>161</v>
      </c>
      <c r="AW16" s="491"/>
    </row>
    <row r="17" spans="1:49" s="371" customFormat="1" ht="26.25" customHeight="1">
      <c r="A17" s="409">
        <v>14</v>
      </c>
      <c r="B17" s="411" t="str">
        <f t="shared" ca="1" si="1"/>
        <v>મકવાણા તરંગકુમાર કિશોરભાઇ</v>
      </c>
      <c r="C17" s="425">
        <f t="shared" ca="1" si="0"/>
        <v>0</v>
      </c>
      <c r="D17" s="483" t="s">
        <v>161</v>
      </c>
      <c r="E17" s="484" t="s">
        <v>83</v>
      </c>
      <c r="F17" s="484" t="s">
        <v>161</v>
      </c>
      <c r="G17" s="484" t="s">
        <v>83</v>
      </c>
      <c r="H17" s="484" t="s">
        <v>161</v>
      </c>
      <c r="I17" s="484" t="s">
        <v>83</v>
      </c>
      <c r="J17" s="484" t="s">
        <v>161</v>
      </c>
      <c r="K17" s="484" t="s">
        <v>161</v>
      </c>
      <c r="L17" s="484" t="s">
        <v>161</v>
      </c>
      <c r="M17" s="484" t="s">
        <v>83</v>
      </c>
      <c r="N17" s="484" t="s">
        <v>161</v>
      </c>
      <c r="O17" s="484" t="s">
        <v>161</v>
      </c>
      <c r="P17" s="484" t="s">
        <v>161</v>
      </c>
      <c r="Q17" s="484" t="s">
        <v>161</v>
      </c>
      <c r="R17" s="484" t="s">
        <v>161</v>
      </c>
      <c r="S17" s="484" t="s">
        <v>161</v>
      </c>
      <c r="T17" s="484" t="s">
        <v>161</v>
      </c>
      <c r="U17" s="484" t="s">
        <v>161</v>
      </c>
      <c r="V17" s="484" t="s">
        <v>161</v>
      </c>
      <c r="W17" s="485" t="s">
        <v>161</v>
      </c>
      <c r="X17" s="498" t="s">
        <v>161</v>
      </c>
      <c r="Y17" s="484" t="s">
        <v>161</v>
      </c>
      <c r="Z17" s="484" t="s">
        <v>173</v>
      </c>
      <c r="AA17" s="484" t="s">
        <v>161</v>
      </c>
      <c r="AB17" s="484" t="s">
        <v>161</v>
      </c>
      <c r="AC17" s="484" t="s">
        <v>83</v>
      </c>
      <c r="AD17" s="484" t="s">
        <v>83</v>
      </c>
      <c r="AE17" s="499"/>
      <c r="AF17" s="499"/>
      <c r="AG17" s="499"/>
      <c r="AH17" s="499"/>
      <c r="AI17" s="499"/>
      <c r="AJ17" s="499" t="s">
        <v>161</v>
      </c>
      <c r="AK17" s="397"/>
      <c r="AL17" s="483" t="s">
        <v>83</v>
      </c>
      <c r="AM17" s="484" t="s">
        <v>83</v>
      </c>
      <c r="AN17" s="484" t="s">
        <v>161</v>
      </c>
      <c r="AO17" s="484" t="s">
        <v>161</v>
      </c>
      <c r="AP17" s="484" t="s">
        <v>161</v>
      </c>
      <c r="AQ17" s="484" t="s">
        <v>161</v>
      </c>
      <c r="AR17" s="484" t="s">
        <v>161</v>
      </c>
      <c r="AS17" s="484" t="s">
        <v>161</v>
      </c>
      <c r="AT17" s="484" t="s">
        <v>161</v>
      </c>
      <c r="AU17" s="484" t="s">
        <v>161</v>
      </c>
      <c r="AV17" s="485" t="s">
        <v>161</v>
      </c>
      <c r="AW17" s="491"/>
    </row>
    <row r="18" spans="1:49" s="371" customFormat="1" ht="26.25" customHeight="1">
      <c r="A18" s="409">
        <v>15</v>
      </c>
      <c r="B18" s="411" t="str">
        <f t="shared" ca="1" si="1"/>
        <v>ઢીમેચા સતીષ હનુભાઇ</v>
      </c>
      <c r="C18" s="425">
        <f t="shared" ca="1" si="0"/>
        <v>0</v>
      </c>
      <c r="D18" s="483" t="s">
        <v>161</v>
      </c>
      <c r="E18" s="484" t="s">
        <v>83</v>
      </c>
      <c r="F18" s="484" t="s">
        <v>173</v>
      </c>
      <c r="G18" s="484" t="s">
        <v>83</v>
      </c>
      <c r="H18" s="484" t="s">
        <v>173</v>
      </c>
      <c r="I18" s="484" t="s">
        <v>83</v>
      </c>
      <c r="J18" s="484" t="s">
        <v>173</v>
      </c>
      <c r="K18" s="484" t="s">
        <v>161</v>
      </c>
      <c r="L18" s="484" t="s">
        <v>173</v>
      </c>
      <c r="M18" s="484" t="s">
        <v>83</v>
      </c>
      <c r="N18" s="484" t="s">
        <v>173</v>
      </c>
      <c r="O18" s="484" t="s">
        <v>173</v>
      </c>
      <c r="P18" s="484" t="s">
        <v>83</v>
      </c>
      <c r="Q18" s="484" t="s">
        <v>173</v>
      </c>
      <c r="R18" s="484" t="s">
        <v>173</v>
      </c>
      <c r="S18" s="484" t="s">
        <v>161</v>
      </c>
      <c r="T18" s="484" t="s">
        <v>161</v>
      </c>
      <c r="U18" s="484" t="s">
        <v>161</v>
      </c>
      <c r="V18" s="484" t="s">
        <v>161</v>
      </c>
      <c r="W18" s="485" t="s">
        <v>173</v>
      </c>
      <c r="X18" s="498" t="s">
        <v>83</v>
      </c>
      <c r="Y18" s="484" t="s">
        <v>173</v>
      </c>
      <c r="Z18" s="484" t="s">
        <v>83</v>
      </c>
      <c r="AA18" s="484" t="s">
        <v>161</v>
      </c>
      <c r="AB18" s="484" t="s">
        <v>161</v>
      </c>
      <c r="AC18" s="484" t="s">
        <v>83</v>
      </c>
      <c r="AD18" s="484" t="s">
        <v>83</v>
      </c>
      <c r="AE18" s="499"/>
      <c r="AF18" s="499"/>
      <c r="AG18" s="499"/>
      <c r="AH18" s="499"/>
      <c r="AI18" s="499"/>
      <c r="AJ18" s="499" t="s">
        <v>173</v>
      </c>
      <c r="AK18" s="397"/>
      <c r="AL18" s="483" t="s">
        <v>83</v>
      </c>
      <c r="AM18" s="484" t="s">
        <v>83</v>
      </c>
      <c r="AN18" s="484" t="s">
        <v>161</v>
      </c>
      <c r="AO18" s="484" t="s">
        <v>161</v>
      </c>
      <c r="AP18" s="484" t="s">
        <v>161</v>
      </c>
      <c r="AQ18" s="484" t="s">
        <v>161</v>
      </c>
      <c r="AR18" s="484" t="s">
        <v>161</v>
      </c>
      <c r="AS18" s="484" t="s">
        <v>161</v>
      </c>
      <c r="AT18" s="484" t="s">
        <v>161</v>
      </c>
      <c r="AU18" s="484" t="s">
        <v>161</v>
      </c>
      <c r="AV18" s="485" t="s">
        <v>161</v>
      </c>
      <c r="AW18" s="491"/>
    </row>
    <row r="19" spans="1:49" s="371" customFormat="1" ht="26.25" customHeight="1">
      <c r="A19" s="409">
        <v>16</v>
      </c>
      <c r="B19" s="411" t="str">
        <f t="shared" ca="1" si="1"/>
        <v>ખુમાણ શિવરાજભાઇ બાબુભાઇ</v>
      </c>
      <c r="C19" s="425">
        <f t="shared" ca="1" si="0"/>
        <v>0</v>
      </c>
      <c r="D19" s="483" t="s">
        <v>161</v>
      </c>
      <c r="E19" s="484" t="s">
        <v>83</v>
      </c>
      <c r="F19" s="484" t="s">
        <v>83</v>
      </c>
      <c r="G19" s="484" t="s">
        <v>83</v>
      </c>
      <c r="H19" s="484" t="s">
        <v>173</v>
      </c>
      <c r="I19" s="484" t="s">
        <v>83</v>
      </c>
      <c r="J19" s="484" t="s">
        <v>161</v>
      </c>
      <c r="K19" s="484" t="s">
        <v>161</v>
      </c>
      <c r="L19" s="484" t="s">
        <v>83</v>
      </c>
      <c r="M19" s="484" t="s">
        <v>83</v>
      </c>
      <c r="N19" s="484" t="s">
        <v>173</v>
      </c>
      <c r="O19" s="484" t="s">
        <v>173</v>
      </c>
      <c r="P19" s="484" t="s">
        <v>83</v>
      </c>
      <c r="Q19" s="484" t="s">
        <v>161</v>
      </c>
      <c r="R19" s="484" t="s">
        <v>161</v>
      </c>
      <c r="S19" s="484" t="s">
        <v>161</v>
      </c>
      <c r="T19" s="484" t="s">
        <v>161</v>
      </c>
      <c r="U19" s="484" t="s">
        <v>161</v>
      </c>
      <c r="V19" s="484" t="s">
        <v>161</v>
      </c>
      <c r="W19" s="485" t="s">
        <v>173</v>
      </c>
      <c r="X19" s="498" t="s">
        <v>173</v>
      </c>
      <c r="Y19" s="484" t="s">
        <v>173</v>
      </c>
      <c r="Z19" s="484" t="s">
        <v>83</v>
      </c>
      <c r="AA19" s="484" t="s">
        <v>161</v>
      </c>
      <c r="AB19" s="484" t="s">
        <v>161</v>
      </c>
      <c r="AC19" s="484" t="s">
        <v>83</v>
      </c>
      <c r="AD19" s="484" t="s">
        <v>83</v>
      </c>
      <c r="AE19" s="499"/>
      <c r="AF19" s="499"/>
      <c r="AG19" s="499"/>
      <c r="AH19" s="499"/>
      <c r="AI19" s="499"/>
      <c r="AJ19" s="499" t="s">
        <v>173</v>
      </c>
      <c r="AK19" s="397"/>
      <c r="AL19" s="483" t="s">
        <v>83</v>
      </c>
      <c r="AM19" s="484" t="s">
        <v>83</v>
      </c>
      <c r="AN19" s="484" t="s">
        <v>161</v>
      </c>
      <c r="AO19" s="484" t="s">
        <v>161</v>
      </c>
      <c r="AP19" s="484" t="s">
        <v>161</v>
      </c>
      <c r="AQ19" s="484" t="s">
        <v>161</v>
      </c>
      <c r="AR19" s="484" t="s">
        <v>161</v>
      </c>
      <c r="AS19" s="484" t="s">
        <v>161</v>
      </c>
      <c r="AT19" s="484" t="s">
        <v>161</v>
      </c>
      <c r="AU19" s="484" t="s">
        <v>161</v>
      </c>
      <c r="AV19" s="485" t="s">
        <v>161</v>
      </c>
      <c r="AW19" s="491"/>
    </row>
    <row r="20" spans="1:49" s="371" customFormat="1" ht="26.25" customHeight="1">
      <c r="A20" s="409">
        <v>17</v>
      </c>
      <c r="B20" s="411" t="str">
        <f t="shared" ca="1" si="1"/>
        <v>માથાસુરીયા દિનેશભાઇ અમરાભાઇ</v>
      </c>
      <c r="C20" s="425">
        <f t="shared" ca="1" si="0"/>
        <v>0</v>
      </c>
      <c r="D20" s="483" t="s">
        <v>173</v>
      </c>
      <c r="E20" s="484" t="s">
        <v>83</v>
      </c>
      <c r="F20" s="484" t="s">
        <v>83</v>
      </c>
      <c r="G20" s="484" t="s">
        <v>83</v>
      </c>
      <c r="H20" s="484" t="s">
        <v>173</v>
      </c>
      <c r="I20" s="484" t="s">
        <v>83</v>
      </c>
      <c r="J20" s="484" t="s">
        <v>173</v>
      </c>
      <c r="K20" s="484" t="s">
        <v>83</v>
      </c>
      <c r="L20" s="484" t="s">
        <v>83</v>
      </c>
      <c r="M20" s="484" t="s">
        <v>83</v>
      </c>
      <c r="N20" s="484" t="s">
        <v>83</v>
      </c>
      <c r="O20" s="484" t="s">
        <v>173</v>
      </c>
      <c r="P20" s="484" t="s">
        <v>83</v>
      </c>
      <c r="Q20" s="484" t="s">
        <v>173</v>
      </c>
      <c r="R20" s="484" t="s">
        <v>83</v>
      </c>
      <c r="S20" s="484" t="s">
        <v>173</v>
      </c>
      <c r="T20" s="484" t="s">
        <v>173</v>
      </c>
      <c r="U20" s="484" t="s">
        <v>161</v>
      </c>
      <c r="V20" s="484" t="s">
        <v>173</v>
      </c>
      <c r="W20" s="485" t="s">
        <v>83</v>
      </c>
      <c r="X20" s="498" t="s">
        <v>83</v>
      </c>
      <c r="Y20" s="484" t="s">
        <v>173</v>
      </c>
      <c r="Z20" s="484" t="s">
        <v>83</v>
      </c>
      <c r="AA20" s="484" t="s">
        <v>83</v>
      </c>
      <c r="AB20" s="484" t="s">
        <v>83</v>
      </c>
      <c r="AC20" s="484" t="s">
        <v>83</v>
      </c>
      <c r="AD20" s="484" t="s">
        <v>83</v>
      </c>
      <c r="AE20" s="499"/>
      <c r="AF20" s="499"/>
      <c r="AG20" s="499"/>
      <c r="AH20" s="499"/>
      <c r="AI20" s="499"/>
      <c r="AJ20" s="499" t="s">
        <v>173</v>
      </c>
      <c r="AK20" s="397"/>
      <c r="AL20" s="483" t="s">
        <v>83</v>
      </c>
      <c r="AM20" s="484" t="s">
        <v>83</v>
      </c>
      <c r="AN20" s="484" t="s">
        <v>173</v>
      </c>
      <c r="AO20" s="484" t="s">
        <v>173</v>
      </c>
      <c r="AP20" s="484" t="s">
        <v>173</v>
      </c>
      <c r="AQ20" s="484" t="s">
        <v>173</v>
      </c>
      <c r="AR20" s="484" t="s">
        <v>173</v>
      </c>
      <c r="AS20" s="484" t="s">
        <v>173</v>
      </c>
      <c r="AT20" s="484" t="s">
        <v>173</v>
      </c>
      <c r="AU20" s="484" t="s">
        <v>173</v>
      </c>
      <c r="AV20" s="485" t="s">
        <v>173</v>
      </c>
      <c r="AW20" s="491"/>
    </row>
    <row r="21" spans="1:49" s="371" customFormat="1" ht="26.25" customHeight="1">
      <c r="A21" s="409">
        <v>18</v>
      </c>
      <c r="B21" s="411" t="str">
        <f t="shared" ca="1" si="1"/>
        <v>વાઘેલા હરેશ જીલુભાઇ</v>
      </c>
      <c r="C21" s="425">
        <f t="shared" ca="1" si="0"/>
        <v>0</v>
      </c>
      <c r="D21" s="483" t="s">
        <v>173</v>
      </c>
      <c r="E21" s="484" t="s">
        <v>83</v>
      </c>
      <c r="F21" s="484" t="s">
        <v>83</v>
      </c>
      <c r="G21" s="484" t="s">
        <v>83</v>
      </c>
      <c r="H21" s="484" t="s">
        <v>173</v>
      </c>
      <c r="I21" s="484" t="s">
        <v>83</v>
      </c>
      <c r="J21" s="484" t="s">
        <v>173</v>
      </c>
      <c r="K21" s="484" t="s">
        <v>173</v>
      </c>
      <c r="L21" s="484" t="s">
        <v>83</v>
      </c>
      <c r="M21" s="484" t="s">
        <v>83</v>
      </c>
      <c r="N21" s="484" t="s">
        <v>83</v>
      </c>
      <c r="O21" s="484" t="s">
        <v>173</v>
      </c>
      <c r="P21" s="484" t="s">
        <v>83</v>
      </c>
      <c r="Q21" s="484" t="s">
        <v>173</v>
      </c>
      <c r="R21" s="484" t="s">
        <v>173</v>
      </c>
      <c r="S21" s="484" t="s">
        <v>173</v>
      </c>
      <c r="T21" s="484" t="s">
        <v>173</v>
      </c>
      <c r="U21" s="484" t="s">
        <v>161</v>
      </c>
      <c r="V21" s="484" t="s">
        <v>173</v>
      </c>
      <c r="W21" s="485" t="s">
        <v>83</v>
      </c>
      <c r="X21" s="498" t="s">
        <v>83</v>
      </c>
      <c r="Y21" s="484" t="s">
        <v>173</v>
      </c>
      <c r="Z21" s="484" t="s">
        <v>83</v>
      </c>
      <c r="AA21" s="484" t="s">
        <v>83</v>
      </c>
      <c r="AB21" s="484" t="s">
        <v>83</v>
      </c>
      <c r="AC21" s="484" t="s">
        <v>83</v>
      </c>
      <c r="AD21" s="484" t="s">
        <v>83</v>
      </c>
      <c r="AE21" s="499"/>
      <c r="AF21" s="499"/>
      <c r="AG21" s="499"/>
      <c r="AH21" s="499"/>
      <c r="AI21" s="499"/>
      <c r="AJ21" s="499" t="s">
        <v>173</v>
      </c>
      <c r="AK21" s="397"/>
      <c r="AL21" s="483" t="s">
        <v>83</v>
      </c>
      <c r="AM21" s="484" t="s">
        <v>83</v>
      </c>
      <c r="AN21" s="484" t="s">
        <v>83</v>
      </c>
      <c r="AO21" s="484" t="s">
        <v>173</v>
      </c>
      <c r="AP21" s="484" t="s">
        <v>173</v>
      </c>
      <c r="AQ21" s="484" t="s">
        <v>173</v>
      </c>
      <c r="AR21" s="484" t="s">
        <v>173</v>
      </c>
      <c r="AS21" s="484" t="s">
        <v>173</v>
      </c>
      <c r="AT21" s="484" t="s">
        <v>173</v>
      </c>
      <c r="AU21" s="484" t="s">
        <v>173</v>
      </c>
      <c r="AV21" s="485" t="s">
        <v>173</v>
      </c>
      <c r="AW21" s="491"/>
    </row>
    <row r="22" spans="1:49" s="371" customFormat="1" ht="26.25" customHeight="1">
      <c r="A22" s="409">
        <v>19</v>
      </c>
      <c r="B22" s="411" t="str">
        <f t="shared" ca="1" si="1"/>
        <v>પરમાર દિલીપકુમાર મધુભાઇ</v>
      </c>
      <c r="C22" s="425">
        <f t="shared" ca="1" si="0"/>
        <v>0</v>
      </c>
      <c r="D22" s="483" t="s">
        <v>173</v>
      </c>
      <c r="E22" s="484" t="s">
        <v>83</v>
      </c>
      <c r="F22" s="484" t="s">
        <v>83</v>
      </c>
      <c r="G22" s="484" t="s">
        <v>83</v>
      </c>
      <c r="H22" s="484" t="s">
        <v>173</v>
      </c>
      <c r="I22" s="484" t="s">
        <v>83</v>
      </c>
      <c r="J22" s="484" t="s">
        <v>173</v>
      </c>
      <c r="K22" s="484" t="s">
        <v>173</v>
      </c>
      <c r="L22" s="484" t="s">
        <v>173</v>
      </c>
      <c r="M22" s="484" t="s">
        <v>83</v>
      </c>
      <c r="N22" s="484" t="s">
        <v>83</v>
      </c>
      <c r="O22" s="484" t="s">
        <v>173</v>
      </c>
      <c r="P22" s="484" t="s">
        <v>83</v>
      </c>
      <c r="Q22" s="484" t="s">
        <v>83</v>
      </c>
      <c r="R22" s="484" t="s">
        <v>173</v>
      </c>
      <c r="S22" s="484" t="s">
        <v>173</v>
      </c>
      <c r="T22" s="484" t="s">
        <v>173</v>
      </c>
      <c r="U22" s="484" t="s">
        <v>161</v>
      </c>
      <c r="V22" s="484" t="s">
        <v>173</v>
      </c>
      <c r="W22" s="485" t="s">
        <v>83</v>
      </c>
      <c r="X22" s="498" t="s">
        <v>83</v>
      </c>
      <c r="Y22" s="484" t="s">
        <v>173</v>
      </c>
      <c r="Z22" s="484" t="s">
        <v>83</v>
      </c>
      <c r="AA22" s="484" t="s">
        <v>173</v>
      </c>
      <c r="AB22" s="484" t="s">
        <v>173</v>
      </c>
      <c r="AC22" s="484" t="s">
        <v>83</v>
      </c>
      <c r="AD22" s="484" t="s">
        <v>83</v>
      </c>
      <c r="AE22" s="499"/>
      <c r="AF22" s="499"/>
      <c r="AG22" s="499"/>
      <c r="AH22" s="499"/>
      <c r="AI22" s="499"/>
      <c r="AJ22" s="499" t="s">
        <v>173</v>
      </c>
      <c r="AK22" s="397"/>
      <c r="AL22" s="483" t="s">
        <v>83</v>
      </c>
      <c r="AM22" s="484" t="s">
        <v>83</v>
      </c>
      <c r="AN22" s="484" t="s">
        <v>173</v>
      </c>
      <c r="AO22" s="484" t="s">
        <v>173</v>
      </c>
      <c r="AP22" s="484" t="s">
        <v>173</v>
      </c>
      <c r="AQ22" s="484" t="s">
        <v>173</v>
      </c>
      <c r="AR22" s="484" t="s">
        <v>173</v>
      </c>
      <c r="AS22" s="484" t="s">
        <v>173</v>
      </c>
      <c r="AT22" s="484" t="s">
        <v>173</v>
      </c>
      <c r="AU22" s="484" t="s">
        <v>173</v>
      </c>
      <c r="AV22" s="485" t="s">
        <v>173</v>
      </c>
      <c r="AW22" s="491"/>
    </row>
    <row r="23" spans="1:49" s="371" customFormat="1" ht="26.25" customHeight="1">
      <c r="A23" s="409">
        <v>20</v>
      </c>
      <c r="B23" s="411" t="str">
        <f t="shared" ca="1" si="1"/>
        <v>વિરપરા કૃણાલ હરેશભાઇ</v>
      </c>
      <c r="C23" s="425">
        <f t="shared" ca="1" si="0"/>
        <v>0</v>
      </c>
      <c r="D23" s="483" t="s">
        <v>173</v>
      </c>
      <c r="E23" s="484" t="s">
        <v>83</v>
      </c>
      <c r="F23" s="484" t="s">
        <v>83</v>
      </c>
      <c r="G23" s="484" t="s">
        <v>83</v>
      </c>
      <c r="H23" s="484" t="s">
        <v>173</v>
      </c>
      <c r="I23" s="484" t="s">
        <v>83</v>
      </c>
      <c r="J23" s="484" t="s">
        <v>173</v>
      </c>
      <c r="K23" s="484" t="s">
        <v>173</v>
      </c>
      <c r="L23" s="484" t="s">
        <v>83</v>
      </c>
      <c r="M23" s="484" t="s">
        <v>83</v>
      </c>
      <c r="N23" s="484" t="s">
        <v>83</v>
      </c>
      <c r="O23" s="484" t="s">
        <v>173</v>
      </c>
      <c r="P23" s="484" t="s">
        <v>83</v>
      </c>
      <c r="Q23" s="484" t="s">
        <v>173</v>
      </c>
      <c r="R23" s="484" t="s">
        <v>173</v>
      </c>
      <c r="S23" s="484" t="s">
        <v>173</v>
      </c>
      <c r="T23" s="484" t="s">
        <v>173</v>
      </c>
      <c r="U23" s="484" t="s">
        <v>161</v>
      </c>
      <c r="V23" s="484" t="s">
        <v>173</v>
      </c>
      <c r="W23" s="485" t="s">
        <v>83</v>
      </c>
      <c r="X23" s="498" t="s">
        <v>83</v>
      </c>
      <c r="Y23" s="484" t="s">
        <v>173</v>
      </c>
      <c r="Z23" s="484" t="s">
        <v>83</v>
      </c>
      <c r="AA23" s="484" t="s">
        <v>173</v>
      </c>
      <c r="AB23" s="484" t="s">
        <v>173</v>
      </c>
      <c r="AC23" s="484" t="s">
        <v>83</v>
      </c>
      <c r="AD23" s="484" t="s">
        <v>83</v>
      </c>
      <c r="AE23" s="499"/>
      <c r="AF23" s="499"/>
      <c r="AG23" s="499"/>
      <c r="AH23" s="499"/>
      <c r="AI23" s="499"/>
      <c r="AJ23" s="499" t="s">
        <v>173</v>
      </c>
      <c r="AK23" s="397"/>
      <c r="AL23" s="483" t="s">
        <v>83</v>
      </c>
      <c r="AM23" s="484" t="s">
        <v>83</v>
      </c>
      <c r="AN23" s="484" t="s">
        <v>173</v>
      </c>
      <c r="AO23" s="484" t="s">
        <v>173</v>
      </c>
      <c r="AP23" s="484" t="s">
        <v>173</v>
      </c>
      <c r="AQ23" s="484" t="s">
        <v>173</v>
      </c>
      <c r="AR23" s="484" t="s">
        <v>173</v>
      </c>
      <c r="AS23" s="484" t="s">
        <v>173</v>
      </c>
      <c r="AT23" s="484" t="s">
        <v>173</v>
      </c>
      <c r="AU23" s="484" t="s">
        <v>173</v>
      </c>
      <c r="AV23" s="485" t="s">
        <v>173</v>
      </c>
      <c r="AW23" s="491"/>
    </row>
    <row r="24" spans="1:49" ht="26.25" customHeight="1">
      <c r="A24" s="409">
        <v>21</v>
      </c>
      <c r="B24" s="411" t="str">
        <f t="shared" ca="1" si="1"/>
        <v>મકરૂબિયા જીજ્ઞેશભાઇ અશોકભાઇ</v>
      </c>
      <c r="C24" s="425">
        <f t="shared" ca="1" si="0"/>
        <v>0</v>
      </c>
      <c r="D24" s="483" t="s">
        <v>173</v>
      </c>
      <c r="E24" s="484" t="s">
        <v>83</v>
      </c>
      <c r="F24" s="484" t="s">
        <v>83</v>
      </c>
      <c r="G24" s="484" t="s">
        <v>83</v>
      </c>
      <c r="H24" s="484" t="s">
        <v>173</v>
      </c>
      <c r="I24" s="484" t="s">
        <v>83</v>
      </c>
      <c r="J24" s="484" t="s">
        <v>173</v>
      </c>
      <c r="K24" s="484" t="s">
        <v>173</v>
      </c>
      <c r="L24" s="484" t="s">
        <v>83</v>
      </c>
      <c r="M24" s="484" t="s">
        <v>83</v>
      </c>
      <c r="N24" s="484" t="s">
        <v>83</v>
      </c>
      <c r="O24" s="484" t="s">
        <v>173</v>
      </c>
      <c r="P24" s="484" t="s">
        <v>83</v>
      </c>
      <c r="Q24" s="484" t="s">
        <v>173</v>
      </c>
      <c r="R24" s="484" t="s">
        <v>173</v>
      </c>
      <c r="S24" s="484" t="s">
        <v>173</v>
      </c>
      <c r="T24" s="484" t="s">
        <v>173</v>
      </c>
      <c r="U24" s="484" t="s">
        <v>161</v>
      </c>
      <c r="V24" s="484" t="s">
        <v>173</v>
      </c>
      <c r="W24" s="485" t="s">
        <v>83</v>
      </c>
      <c r="X24" s="498" t="s">
        <v>83</v>
      </c>
      <c r="Y24" s="484" t="s">
        <v>173</v>
      </c>
      <c r="Z24" s="484" t="s">
        <v>83</v>
      </c>
      <c r="AA24" s="484" t="s">
        <v>173</v>
      </c>
      <c r="AB24" s="484" t="s">
        <v>173</v>
      </c>
      <c r="AC24" s="484" t="s">
        <v>83</v>
      </c>
      <c r="AD24" s="484" t="s">
        <v>83</v>
      </c>
      <c r="AE24" s="499"/>
      <c r="AF24" s="499"/>
      <c r="AG24" s="499"/>
      <c r="AH24" s="499"/>
      <c r="AI24" s="499"/>
      <c r="AJ24" s="499" t="s">
        <v>173</v>
      </c>
      <c r="AK24" s="397"/>
      <c r="AL24" s="483" t="s">
        <v>83</v>
      </c>
      <c r="AM24" s="484" t="s">
        <v>83</v>
      </c>
      <c r="AN24" s="484" t="s">
        <v>173</v>
      </c>
      <c r="AO24" s="484" t="s">
        <v>173</v>
      </c>
      <c r="AP24" s="484" t="s">
        <v>173</v>
      </c>
      <c r="AQ24" s="484" t="s">
        <v>173</v>
      </c>
      <c r="AR24" s="484" t="s">
        <v>173</v>
      </c>
      <c r="AS24" s="484" t="s">
        <v>173</v>
      </c>
      <c r="AT24" s="484" t="s">
        <v>173</v>
      </c>
      <c r="AU24" s="484" t="s">
        <v>173</v>
      </c>
      <c r="AV24" s="485" t="s">
        <v>173</v>
      </c>
      <c r="AW24" s="492"/>
    </row>
    <row r="25" spans="1:49" ht="26.25" customHeight="1">
      <c r="A25" s="409">
        <v>22</v>
      </c>
      <c r="B25" s="411" t="str">
        <f t="shared" ca="1" si="1"/>
        <v>ખિમસુરીયા જ્યોત્સના મુકેશભાઇ</v>
      </c>
      <c r="C25" s="425">
        <f t="shared" ca="1" si="0"/>
        <v>0</v>
      </c>
      <c r="D25" s="483" t="s">
        <v>173</v>
      </c>
      <c r="E25" s="484" t="s">
        <v>83</v>
      </c>
      <c r="F25" s="484" t="s">
        <v>83</v>
      </c>
      <c r="G25" s="484" t="s">
        <v>83</v>
      </c>
      <c r="H25" s="484" t="s">
        <v>173</v>
      </c>
      <c r="I25" s="484" t="s">
        <v>83</v>
      </c>
      <c r="J25" s="484" t="s">
        <v>173</v>
      </c>
      <c r="K25" s="484" t="s">
        <v>173</v>
      </c>
      <c r="L25" s="484" t="s">
        <v>83</v>
      </c>
      <c r="M25" s="484" t="s">
        <v>83</v>
      </c>
      <c r="N25" s="484" t="s">
        <v>83</v>
      </c>
      <c r="O25" s="484" t="s">
        <v>173</v>
      </c>
      <c r="P25" s="484" t="s">
        <v>83</v>
      </c>
      <c r="Q25" s="484" t="s">
        <v>173</v>
      </c>
      <c r="R25" s="484" t="s">
        <v>173</v>
      </c>
      <c r="S25" s="484" t="s">
        <v>173</v>
      </c>
      <c r="T25" s="484" t="s">
        <v>173</v>
      </c>
      <c r="U25" s="484" t="s">
        <v>161</v>
      </c>
      <c r="V25" s="484" t="s">
        <v>173</v>
      </c>
      <c r="W25" s="485" t="s">
        <v>83</v>
      </c>
      <c r="X25" s="498" t="s">
        <v>83</v>
      </c>
      <c r="Y25" s="484" t="s">
        <v>173</v>
      </c>
      <c r="Z25" s="484" t="s">
        <v>83</v>
      </c>
      <c r="AA25" s="484" t="s">
        <v>173</v>
      </c>
      <c r="AB25" s="484" t="s">
        <v>173</v>
      </c>
      <c r="AC25" s="484" t="s">
        <v>83</v>
      </c>
      <c r="AD25" s="484" t="s">
        <v>83</v>
      </c>
      <c r="AE25" s="499"/>
      <c r="AF25" s="499"/>
      <c r="AG25" s="499"/>
      <c r="AH25" s="499"/>
      <c r="AI25" s="499"/>
      <c r="AJ25" s="499" t="s">
        <v>173</v>
      </c>
      <c r="AK25" s="397"/>
      <c r="AL25" s="483" t="s">
        <v>83</v>
      </c>
      <c r="AM25" s="484" t="s">
        <v>83</v>
      </c>
      <c r="AN25" s="484" t="s">
        <v>173</v>
      </c>
      <c r="AO25" s="484" t="s">
        <v>173</v>
      </c>
      <c r="AP25" s="484" t="s">
        <v>173</v>
      </c>
      <c r="AQ25" s="484" t="s">
        <v>173</v>
      </c>
      <c r="AR25" s="484" t="s">
        <v>173</v>
      </c>
      <c r="AS25" s="484" t="s">
        <v>173</v>
      </c>
      <c r="AT25" s="484" t="s">
        <v>173</v>
      </c>
      <c r="AU25" s="484" t="s">
        <v>173</v>
      </c>
      <c r="AV25" s="485" t="s">
        <v>173</v>
      </c>
      <c r="AW25" s="492"/>
    </row>
    <row r="26" spans="1:49" ht="26.25" customHeight="1">
      <c r="A26" s="409">
        <v>23</v>
      </c>
      <c r="B26" s="411" t="str">
        <f t="shared" ca="1" si="1"/>
        <v>ગરણિયા રાજલબેન સામતભાઇ</v>
      </c>
      <c r="C26" s="425">
        <f t="shared" ca="1" si="0"/>
        <v>0</v>
      </c>
      <c r="D26" s="483" t="s">
        <v>173</v>
      </c>
      <c r="E26" s="484" t="s">
        <v>83</v>
      </c>
      <c r="F26" s="484" t="s">
        <v>83</v>
      </c>
      <c r="G26" s="484" t="s">
        <v>83</v>
      </c>
      <c r="H26" s="484" t="s">
        <v>173</v>
      </c>
      <c r="I26" s="484" t="s">
        <v>83</v>
      </c>
      <c r="J26" s="484" t="s">
        <v>173</v>
      </c>
      <c r="K26" s="484" t="s">
        <v>173</v>
      </c>
      <c r="L26" s="484" t="s">
        <v>83</v>
      </c>
      <c r="M26" s="484" t="s">
        <v>83</v>
      </c>
      <c r="N26" s="484" t="s">
        <v>83</v>
      </c>
      <c r="O26" s="484" t="s">
        <v>173</v>
      </c>
      <c r="P26" s="484" t="s">
        <v>83</v>
      </c>
      <c r="Q26" s="484" t="s">
        <v>173</v>
      </c>
      <c r="R26" s="484" t="s">
        <v>173</v>
      </c>
      <c r="S26" s="484" t="s">
        <v>173</v>
      </c>
      <c r="T26" s="484" t="s">
        <v>173</v>
      </c>
      <c r="U26" s="484" t="s">
        <v>161</v>
      </c>
      <c r="V26" s="484" t="s">
        <v>173</v>
      </c>
      <c r="W26" s="485" t="s">
        <v>83</v>
      </c>
      <c r="X26" s="498" t="s">
        <v>83</v>
      </c>
      <c r="Y26" s="484" t="s">
        <v>173</v>
      </c>
      <c r="Z26" s="484" t="s">
        <v>83</v>
      </c>
      <c r="AA26" s="484" t="s">
        <v>173</v>
      </c>
      <c r="AB26" s="484" t="s">
        <v>173</v>
      </c>
      <c r="AC26" s="484" t="s">
        <v>83</v>
      </c>
      <c r="AD26" s="484" t="s">
        <v>83</v>
      </c>
      <c r="AE26" s="499"/>
      <c r="AF26" s="499"/>
      <c r="AG26" s="499"/>
      <c r="AH26" s="499"/>
      <c r="AI26" s="499"/>
      <c r="AJ26" s="499" t="s">
        <v>173</v>
      </c>
      <c r="AK26" s="397"/>
      <c r="AL26" s="483" t="s">
        <v>83</v>
      </c>
      <c r="AM26" s="484" t="s">
        <v>83</v>
      </c>
      <c r="AN26" s="484" t="s">
        <v>173</v>
      </c>
      <c r="AO26" s="484" t="s">
        <v>173</v>
      </c>
      <c r="AP26" s="484" t="s">
        <v>173</v>
      </c>
      <c r="AQ26" s="484" t="s">
        <v>173</v>
      </c>
      <c r="AR26" s="484" t="s">
        <v>173</v>
      </c>
      <c r="AS26" s="484" t="s">
        <v>173</v>
      </c>
      <c r="AT26" s="484" t="s">
        <v>173</v>
      </c>
      <c r="AU26" s="484" t="s">
        <v>173</v>
      </c>
      <c r="AV26" s="485" t="s">
        <v>173</v>
      </c>
      <c r="AW26" s="492"/>
    </row>
    <row r="27" spans="1:49" ht="26.25" customHeight="1">
      <c r="A27" s="409">
        <v>24</v>
      </c>
      <c r="B27" s="411" t="str">
        <f t="shared" ca="1" si="1"/>
        <v>ગરણિયા નિરાલીબેન પ્રદીપભાઇ</v>
      </c>
      <c r="C27" s="425">
        <f t="shared" ca="1" si="0"/>
        <v>0</v>
      </c>
      <c r="D27" s="483" t="s">
        <v>173</v>
      </c>
      <c r="E27" s="484" t="s">
        <v>83</v>
      </c>
      <c r="F27" s="484" t="s">
        <v>83</v>
      </c>
      <c r="G27" s="484" t="s">
        <v>83</v>
      </c>
      <c r="H27" s="484" t="s">
        <v>173</v>
      </c>
      <c r="I27" s="484" t="s">
        <v>83</v>
      </c>
      <c r="J27" s="484" t="s">
        <v>173</v>
      </c>
      <c r="K27" s="484" t="s">
        <v>173</v>
      </c>
      <c r="L27" s="484" t="s">
        <v>83</v>
      </c>
      <c r="M27" s="484" t="s">
        <v>83</v>
      </c>
      <c r="N27" s="484" t="s">
        <v>83</v>
      </c>
      <c r="O27" s="484" t="s">
        <v>173</v>
      </c>
      <c r="P27" s="484" t="s">
        <v>83</v>
      </c>
      <c r="Q27" s="484" t="s">
        <v>173</v>
      </c>
      <c r="R27" s="484" t="s">
        <v>173</v>
      </c>
      <c r="S27" s="484" t="s">
        <v>173</v>
      </c>
      <c r="T27" s="484" t="s">
        <v>173</v>
      </c>
      <c r="U27" s="484" t="s">
        <v>161</v>
      </c>
      <c r="V27" s="484" t="s">
        <v>173</v>
      </c>
      <c r="W27" s="485" t="s">
        <v>83</v>
      </c>
      <c r="X27" s="498" t="s">
        <v>83</v>
      </c>
      <c r="Y27" s="484" t="s">
        <v>173</v>
      </c>
      <c r="Z27" s="484" t="s">
        <v>83</v>
      </c>
      <c r="AA27" s="484" t="s">
        <v>173</v>
      </c>
      <c r="AB27" s="484" t="s">
        <v>173</v>
      </c>
      <c r="AC27" s="484" t="s">
        <v>83</v>
      </c>
      <c r="AD27" s="484" t="s">
        <v>83</v>
      </c>
      <c r="AE27" s="499"/>
      <c r="AF27" s="499"/>
      <c r="AG27" s="499"/>
      <c r="AH27" s="499"/>
      <c r="AI27" s="499"/>
      <c r="AJ27" s="499" t="s">
        <v>173</v>
      </c>
      <c r="AK27" s="397"/>
      <c r="AL27" s="483" t="s">
        <v>83</v>
      </c>
      <c r="AM27" s="484" t="s">
        <v>83</v>
      </c>
      <c r="AN27" s="484" t="s">
        <v>173</v>
      </c>
      <c r="AO27" s="484" t="s">
        <v>173</v>
      </c>
      <c r="AP27" s="484" t="s">
        <v>173</v>
      </c>
      <c r="AQ27" s="484" t="s">
        <v>173</v>
      </c>
      <c r="AR27" s="484" t="s">
        <v>173</v>
      </c>
      <c r="AS27" s="484" t="s">
        <v>173</v>
      </c>
      <c r="AT27" s="484" t="s">
        <v>173</v>
      </c>
      <c r="AU27" s="484" t="s">
        <v>173</v>
      </c>
      <c r="AV27" s="485" t="s">
        <v>173</v>
      </c>
      <c r="AW27" s="492"/>
    </row>
    <row r="28" spans="1:49" ht="26.25" customHeight="1">
      <c r="A28" s="409">
        <v>25</v>
      </c>
      <c r="B28" s="411" t="str">
        <f t="shared" ca="1" si="1"/>
        <v>ગરણિયા રાધાબેન લક્ષ્મણભાઇ</v>
      </c>
      <c r="C28" s="425">
        <f t="shared" ca="1" si="0"/>
        <v>0</v>
      </c>
      <c r="D28" s="483" t="s">
        <v>173</v>
      </c>
      <c r="E28" s="484" t="s">
        <v>83</v>
      </c>
      <c r="F28" s="484" t="s">
        <v>83</v>
      </c>
      <c r="G28" s="484" t="s">
        <v>83</v>
      </c>
      <c r="H28" s="484" t="s">
        <v>173</v>
      </c>
      <c r="I28" s="484" t="s">
        <v>83</v>
      </c>
      <c r="J28" s="484" t="s">
        <v>173</v>
      </c>
      <c r="K28" s="484" t="s">
        <v>173</v>
      </c>
      <c r="L28" s="484" t="s">
        <v>83</v>
      </c>
      <c r="M28" s="484" t="s">
        <v>83</v>
      </c>
      <c r="N28" s="484" t="s">
        <v>83</v>
      </c>
      <c r="O28" s="484" t="s">
        <v>173</v>
      </c>
      <c r="P28" s="484" t="s">
        <v>83</v>
      </c>
      <c r="Q28" s="484" t="s">
        <v>173</v>
      </c>
      <c r="R28" s="484" t="s">
        <v>173</v>
      </c>
      <c r="S28" s="484" t="s">
        <v>173</v>
      </c>
      <c r="T28" s="484" t="s">
        <v>173</v>
      </c>
      <c r="U28" s="484" t="s">
        <v>161</v>
      </c>
      <c r="V28" s="484" t="s">
        <v>173</v>
      </c>
      <c r="W28" s="485" t="s">
        <v>83</v>
      </c>
      <c r="X28" s="498" t="s">
        <v>83</v>
      </c>
      <c r="Y28" s="484" t="s">
        <v>173</v>
      </c>
      <c r="Z28" s="484" t="s">
        <v>83</v>
      </c>
      <c r="AA28" s="484" t="s">
        <v>173</v>
      </c>
      <c r="AB28" s="484" t="s">
        <v>173</v>
      </c>
      <c r="AC28" s="484" t="s">
        <v>83</v>
      </c>
      <c r="AD28" s="484" t="s">
        <v>83</v>
      </c>
      <c r="AE28" s="499"/>
      <c r="AF28" s="499"/>
      <c r="AG28" s="499"/>
      <c r="AH28" s="499"/>
      <c r="AI28" s="499"/>
      <c r="AJ28" s="499" t="s">
        <v>173</v>
      </c>
      <c r="AK28" s="397"/>
      <c r="AL28" s="483" t="s">
        <v>83</v>
      </c>
      <c r="AM28" s="484" t="s">
        <v>83</v>
      </c>
      <c r="AN28" s="484" t="s">
        <v>173</v>
      </c>
      <c r="AO28" s="484" t="s">
        <v>173</v>
      </c>
      <c r="AP28" s="484" t="s">
        <v>173</v>
      </c>
      <c r="AQ28" s="484" t="s">
        <v>173</v>
      </c>
      <c r="AR28" s="484" t="s">
        <v>173</v>
      </c>
      <c r="AS28" s="484" t="s">
        <v>173</v>
      </c>
      <c r="AT28" s="484" t="s">
        <v>173</v>
      </c>
      <c r="AU28" s="484" t="s">
        <v>173</v>
      </c>
      <c r="AV28" s="485" t="s">
        <v>173</v>
      </c>
      <c r="AW28" s="492"/>
    </row>
    <row r="29" spans="1:49" ht="26.25" customHeight="1">
      <c r="A29" s="409">
        <v>26</v>
      </c>
      <c r="B29" s="411" t="str">
        <f t="shared" ca="1" si="1"/>
        <v>ગૌસ્વામિ મયુરીબેન રમેશગીરી</v>
      </c>
      <c r="C29" s="425">
        <f t="shared" ca="1" si="0"/>
        <v>0</v>
      </c>
      <c r="D29" s="483" t="s">
        <v>173</v>
      </c>
      <c r="E29" s="484" t="s">
        <v>83</v>
      </c>
      <c r="F29" s="484" t="s">
        <v>83</v>
      </c>
      <c r="G29" s="484" t="s">
        <v>83</v>
      </c>
      <c r="H29" s="484" t="s">
        <v>173</v>
      </c>
      <c r="I29" s="484" t="s">
        <v>83</v>
      </c>
      <c r="J29" s="484" t="s">
        <v>173</v>
      </c>
      <c r="K29" s="484" t="s">
        <v>173</v>
      </c>
      <c r="L29" s="484" t="s">
        <v>83</v>
      </c>
      <c r="M29" s="484" t="s">
        <v>83</v>
      </c>
      <c r="N29" s="484" t="s">
        <v>83</v>
      </c>
      <c r="O29" s="484" t="s">
        <v>173</v>
      </c>
      <c r="P29" s="484" t="s">
        <v>83</v>
      </c>
      <c r="Q29" s="484" t="s">
        <v>173</v>
      </c>
      <c r="R29" s="484" t="s">
        <v>173</v>
      </c>
      <c r="S29" s="484" t="s">
        <v>173</v>
      </c>
      <c r="T29" s="484" t="s">
        <v>173</v>
      </c>
      <c r="U29" s="484" t="s">
        <v>161</v>
      </c>
      <c r="V29" s="484" t="s">
        <v>173</v>
      </c>
      <c r="W29" s="485" t="s">
        <v>83</v>
      </c>
      <c r="X29" s="498" t="s">
        <v>83</v>
      </c>
      <c r="Y29" s="484" t="s">
        <v>173</v>
      </c>
      <c r="Z29" s="484" t="s">
        <v>83</v>
      </c>
      <c r="AA29" s="484" t="s">
        <v>173</v>
      </c>
      <c r="AB29" s="484" t="s">
        <v>173</v>
      </c>
      <c r="AC29" s="484" t="s">
        <v>83</v>
      </c>
      <c r="AD29" s="484" t="s">
        <v>83</v>
      </c>
      <c r="AE29" s="499"/>
      <c r="AF29" s="499"/>
      <c r="AG29" s="499"/>
      <c r="AH29" s="499"/>
      <c r="AI29" s="499"/>
      <c r="AJ29" s="499" t="s">
        <v>173</v>
      </c>
      <c r="AK29" s="397"/>
      <c r="AL29" s="483" t="s">
        <v>83</v>
      </c>
      <c r="AM29" s="484" t="s">
        <v>83</v>
      </c>
      <c r="AN29" s="484" t="s">
        <v>173</v>
      </c>
      <c r="AO29" s="484" t="s">
        <v>173</v>
      </c>
      <c r="AP29" s="484" t="s">
        <v>173</v>
      </c>
      <c r="AQ29" s="484" t="s">
        <v>173</v>
      </c>
      <c r="AR29" s="484" t="s">
        <v>173</v>
      </c>
      <c r="AS29" s="484" t="s">
        <v>173</v>
      </c>
      <c r="AT29" s="484" t="s">
        <v>173</v>
      </c>
      <c r="AU29" s="484" t="s">
        <v>173</v>
      </c>
      <c r="AV29" s="485" t="s">
        <v>173</v>
      </c>
      <c r="AW29" s="492"/>
    </row>
    <row r="30" spans="1:49" ht="26.25" customHeight="1">
      <c r="A30" s="409">
        <v>27</v>
      </c>
      <c r="B30" s="411" t="str">
        <f t="shared" ca="1" si="1"/>
        <v>બતાડા જાનકી વાલાભાઇ</v>
      </c>
      <c r="C30" s="425">
        <f t="shared" ca="1" si="0"/>
        <v>0</v>
      </c>
      <c r="D30" s="483" t="s">
        <v>173</v>
      </c>
      <c r="E30" s="484" t="s">
        <v>83</v>
      </c>
      <c r="F30" s="484" t="s">
        <v>83</v>
      </c>
      <c r="G30" s="484" t="s">
        <v>83</v>
      </c>
      <c r="H30" s="484" t="s">
        <v>173</v>
      </c>
      <c r="I30" s="484" t="s">
        <v>83</v>
      </c>
      <c r="J30" s="484" t="s">
        <v>173</v>
      </c>
      <c r="K30" s="484" t="s">
        <v>173</v>
      </c>
      <c r="L30" s="484" t="s">
        <v>83</v>
      </c>
      <c r="M30" s="484" t="s">
        <v>83</v>
      </c>
      <c r="N30" s="484" t="s">
        <v>83</v>
      </c>
      <c r="O30" s="484" t="s">
        <v>173</v>
      </c>
      <c r="P30" s="484" t="s">
        <v>83</v>
      </c>
      <c r="Q30" s="484" t="s">
        <v>173</v>
      </c>
      <c r="R30" s="484" t="s">
        <v>173</v>
      </c>
      <c r="S30" s="484" t="s">
        <v>173</v>
      </c>
      <c r="T30" s="484" t="s">
        <v>173</v>
      </c>
      <c r="U30" s="484" t="s">
        <v>161</v>
      </c>
      <c r="V30" s="484" t="s">
        <v>173</v>
      </c>
      <c r="W30" s="485" t="s">
        <v>83</v>
      </c>
      <c r="X30" s="498" t="s">
        <v>83</v>
      </c>
      <c r="Y30" s="484" t="s">
        <v>173</v>
      </c>
      <c r="Z30" s="484" t="s">
        <v>83</v>
      </c>
      <c r="AA30" s="484" t="s">
        <v>173</v>
      </c>
      <c r="AB30" s="484" t="s">
        <v>173</v>
      </c>
      <c r="AC30" s="484" t="s">
        <v>83</v>
      </c>
      <c r="AD30" s="484" t="s">
        <v>83</v>
      </c>
      <c r="AE30" s="499"/>
      <c r="AF30" s="499"/>
      <c r="AG30" s="499"/>
      <c r="AH30" s="499"/>
      <c r="AI30" s="499"/>
      <c r="AJ30" s="499" t="s">
        <v>173</v>
      </c>
      <c r="AK30" s="397"/>
      <c r="AL30" s="483" t="s">
        <v>83</v>
      </c>
      <c r="AM30" s="484" t="s">
        <v>83</v>
      </c>
      <c r="AN30" s="484" t="s">
        <v>173</v>
      </c>
      <c r="AO30" s="484" t="s">
        <v>173</v>
      </c>
      <c r="AP30" s="484" t="s">
        <v>173</v>
      </c>
      <c r="AQ30" s="484" t="s">
        <v>173</v>
      </c>
      <c r="AR30" s="484" t="s">
        <v>173</v>
      </c>
      <c r="AS30" s="484" t="s">
        <v>173</v>
      </c>
      <c r="AT30" s="484" t="s">
        <v>173</v>
      </c>
      <c r="AU30" s="484" t="s">
        <v>173</v>
      </c>
      <c r="AV30" s="485" t="s">
        <v>173</v>
      </c>
      <c r="AW30" s="492"/>
    </row>
    <row r="31" spans="1:49" ht="26.25" customHeight="1">
      <c r="A31" s="414">
        <v>28</v>
      </c>
      <c r="B31" s="411" t="str">
        <f t="shared" ca="1" si="1"/>
        <v>બતાડા ક્રિષ્નાબેન દેવશીભાઇ</v>
      </c>
      <c r="C31" s="425">
        <f t="shared" ca="1" si="0"/>
        <v>0</v>
      </c>
      <c r="D31" s="483" t="s">
        <v>173</v>
      </c>
      <c r="E31" s="484" t="s">
        <v>83</v>
      </c>
      <c r="F31" s="484" t="s">
        <v>83</v>
      </c>
      <c r="G31" s="484" t="s">
        <v>83</v>
      </c>
      <c r="H31" s="484" t="s">
        <v>173</v>
      </c>
      <c r="I31" s="484" t="s">
        <v>83</v>
      </c>
      <c r="J31" s="484" t="s">
        <v>173</v>
      </c>
      <c r="K31" s="484" t="s">
        <v>173</v>
      </c>
      <c r="L31" s="484" t="s">
        <v>83</v>
      </c>
      <c r="M31" s="484" t="s">
        <v>83</v>
      </c>
      <c r="N31" s="484" t="s">
        <v>83</v>
      </c>
      <c r="O31" s="484" t="s">
        <v>173</v>
      </c>
      <c r="P31" s="484" t="s">
        <v>83</v>
      </c>
      <c r="Q31" s="484" t="s">
        <v>173</v>
      </c>
      <c r="R31" s="484" t="s">
        <v>173</v>
      </c>
      <c r="S31" s="484" t="s">
        <v>173</v>
      </c>
      <c r="T31" s="484" t="s">
        <v>173</v>
      </c>
      <c r="U31" s="484" t="s">
        <v>161</v>
      </c>
      <c r="V31" s="484" t="s">
        <v>173</v>
      </c>
      <c r="W31" s="485" t="s">
        <v>83</v>
      </c>
      <c r="X31" s="498" t="s">
        <v>83</v>
      </c>
      <c r="Y31" s="484" t="s">
        <v>173</v>
      </c>
      <c r="Z31" s="484" t="s">
        <v>83</v>
      </c>
      <c r="AA31" s="484" t="s">
        <v>173</v>
      </c>
      <c r="AB31" s="484" t="s">
        <v>173</v>
      </c>
      <c r="AC31" s="484" t="s">
        <v>83</v>
      </c>
      <c r="AD31" s="484" t="s">
        <v>83</v>
      </c>
      <c r="AE31" s="499"/>
      <c r="AF31" s="499"/>
      <c r="AG31" s="499"/>
      <c r="AH31" s="499"/>
      <c r="AI31" s="499"/>
      <c r="AJ31" s="485" t="s">
        <v>173</v>
      </c>
      <c r="AK31" s="397"/>
      <c r="AL31" s="483" t="s">
        <v>83</v>
      </c>
      <c r="AM31" s="484" t="s">
        <v>83</v>
      </c>
      <c r="AN31" s="484" t="s">
        <v>173</v>
      </c>
      <c r="AO31" s="484" t="s">
        <v>173</v>
      </c>
      <c r="AP31" s="484" t="s">
        <v>173</v>
      </c>
      <c r="AQ31" s="484" t="s">
        <v>173</v>
      </c>
      <c r="AR31" s="484" t="s">
        <v>173</v>
      </c>
      <c r="AS31" s="484" t="s">
        <v>173</v>
      </c>
      <c r="AT31" s="484" t="s">
        <v>173</v>
      </c>
      <c r="AU31" s="484" t="s">
        <v>173</v>
      </c>
      <c r="AV31" s="485" t="s">
        <v>173</v>
      </c>
      <c r="AW31" s="492"/>
    </row>
    <row r="32" spans="1:49" ht="26.25" customHeight="1">
      <c r="A32" s="414">
        <v>29</v>
      </c>
      <c r="B32" s="411" t="str">
        <f t="shared" ca="1" si="1"/>
        <v>પરમાર અનિષા રમેશભાઇ</v>
      </c>
      <c r="C32" s="425">
        <f t="shared" ca="1" si="0"/>
        <v>0</v>
      </c>
      <c r="D32" s="500" t="s">
        <v>173</v>
      </c>
      <c r="E32" s="501" t="s">
        <v>83</v>
      </c>
      <c r="F32" s="501" t="s">
        <v>83</v>
      </c>
      <c r="G32" s="501" t="s">
        <v>83</v>
      </c>
      <c r="H32" s="501" t="s">
        <v>173</v>
      </c>
      <c r="I32" s="501" t="s">
        <v>83</v>
      </c>
      <c r="J32" s="501" t="s">
        <v>173</v>
      </c>
      <c r="K32" s="501" t="s">
        <v>173</v>
      </c>
      <c r="L32" s="501" t="s">
        <v>83</v>
      </c>
      <c r="M32" s="501" t="s">
        <v>83</v>
      </c>
      <c r="N32" s="501" t="s">
        <v>83</v>
      </c>
      <c r="O32" s="501" t="s">
        <v>173</v>
      </c>
      <c r="P32" s="501" t="s">
        <v>83</v>
      </c>
      <c r="Q32" s="501" t="s">
        <v>173</v>
      </c>
      <c r="R32" s="501" t="s">
        <v>173</v>
      </c>
      <c r="S32" s="501" t="s">
        <v>173</v>
      </c>
      <c r="T32" s="501" t="s">
        <v>173</v>
      </c>
      <c r="U32" s="501" t="s">
        <v>161</v>
      </c>
      <c r="V32" s="501" t="s">
        <v>173</v>
      </c>
      <c r="W32" s="502" t="s">
        <v>83</v>
      </c>
      <c r="X32" s="503" t="s">
        <v>83</v>
      </c>
      <c r="Y32" s="501" t="s">
        <v>173</v>
      </c>
      <c r="Z32" s="501" t="s">
        <v>83</v>
      </c>
      <c r="AA32" s="501" t="s">
        <v>173</v>
      </c>
      <c r="AB32" s="501" t="s">
        <v>173</v>
      </c>
      <c r="AC32" s="501" t="s">
        <v>83</v>
      </c>
      <c r="AD32" s="501" t="s">
        <v>83</v>
      </c>
      <c r="AE32" s="504"/>
      <c r="AF32" s="504"/>
      <c r="AG32" s="504"/>
      <c r="AH32" s="504"/>
      <c r="AI32" s="504"/>
      <c r="AJ32" s="504" t="s">
        <v>173</v>
      </c>
      <c r="AK32" s="397"/>
      <c r="AL32" s="483" t="s">
        <v>83</v>
      </c>
      <c r="AM32" s="484" t="s">
        <v>83</v>
      </c>
      <c r="AN32" s="484" t="s">
        <v>173</v>
      </c>
      <c r="AO32" s="484" t="s">
        <v>173</v>
      </c>
      <c r="AP32" s="484" t="s">
        <v>173</v>
      </c>
      <c r="AQ32" s="484" t="s">
        <v>173</v>
      </c>
      <c r="AR32" s="484" t="s">
        <v>173</v>
      </c>
      <c r="AS32" s="484" t="s">
        <v>173</v>
      </c>
      <c r="AT32" s="484" t="s">
        <v>173</v>
      </c>
      <c r="AU32" s="484" t="s">
        <v>173</v>
      </c>
      <c r="AV32" s="485" t="s">
        <v>173</v>
      </c>
      <c r="AW32" s="492"/>
    </row>
    <row r="33" spans="1:49" ht="26.25" customHeight="1">
      <c r="A33" s="414">
        <v>30</v>
      </c>
      <c r="B33" s="411" t="str">
        <f t="shared" ca="1" si="1"/>
        <v>મકરૂબિયા નમ્રતા વશરામભાઇ</v>
      </c>
      <c r="C33" s="425">
        <f t="shared" ca="1" si="0"/>
        <v>0</v>
      </c>
      <c r="D33" s="483" t="s">
        <v>173</v>
      </c>
      <c r="E33" s="484" t="s">
        <v>83</v>
      </c>
      <c r="F33" s="484" t="s">
        <v>83</v>
      </c>
      <c r="G33" s="484" t="s">
        <v>83</v>
      </c>
      <c r="H33" s="484" t="s">
        <v>173</v>
      </c>
      <c r="I33" s="484" t="s">
        <v>83</v>
      </c>
      <c r="J33" s="484" t="s">
        <v>173</v>
      </c>
      <c r="K33" s="484" t="s">
        <v>173</v>
      </c>
      <c r="L33" s="484" t="s">
        <v>83</v>
      </c>
      <c r="M33" s="484" t="s">
        <v>83</v>
      </c>
      <c r="N33" s="484" t="s">
        <v>83</v>
      </c>
      <c r="O33" s="484" t="s">
        <v>173</v>
      </c>
      <c r="P33" s="484" t="s">
        <v>83</v>
      </c>
      <c r="Q33" s="484" t="s">
        <v>173</v>
      </c>
      <c r="R33" s="484" t="s">
        <v>173</v>
      </c>
      <c r="S33" s="484" t="s">
        <v>173</v>
      </c>
      <c r="T33" s="484" t="s">
        <v>173</v>
      </c>
      <c r="U33" s="484" t="s">
        <v>161</v>
      </c>
      <c r="V33" s="484" t="s">
        <v>173</v>
      </c>
      <c r="W33" s="485" t="s">
        <v>83</v>
      </c>
      <c r="X33" s="498" t="s">
        <v>83</v>
      </c>
      <c r="Y33" s="484" t="s">
        <v>173</v>
      </c>
      <c r="Z33" s="484" t="s">
        <v>83</v>
      </c>
      <c r="AA33" s="484" t="s">
        <v>173</v>
      </c>
      <c r="AB33" s="484" t="s">
        <v>173</v>
      </c>
      <c r="AC33" s="484" t="s">
        <v>83</v>
      </c>
      <c r="AD33" s="484" t="s">
        <v>83</v>
      </c>
      <c r="AE33" s="499"/>
      <c r="AF33" s="499"/>
      <c r="AG33" s="499"/>
      <c r="AH33" s="499"/>
      <c r="AI33" s="499"/>
      <c r="AJ33" s="499" t="s">
        <v>173</v>
      </c>
      <c r="AK33" s="397"/>
      <c r="AL33" s="483" t="s">
        <v>83</v>
      </c>
      <c r="AM33" s="484" t="s">
        <v>83</v>
      </c>
      <c r="AN33" s="484" t="s">
        <v>173</v>
      </c>
      <c r="AO33" s="484" t="s">
        <v>173</v>
      </c>
      <c r="AP33" s="484" t="s">
        <v>173</v>
      </c>
      <c r="AQ33" s="484" t="s">
        <v>173</v>
      </c>
      <c r="AR33" s="484" t="s">
        <v>173</v>
      </c>
      <c r="AS33" s="484" t="s">
        <v>173</v>
      </c>
      <c r="AT33" s="484" t="s">
        <v>173</v>
      </c>
      <c r="AU33" s="484" t="s">
        <v>173</v>
      </c>
      <c r="AV33" s="485" t="s">
        <v>173</v>
      </c>
      <c r="AW33" s="492"/>
    </row>
    <row r="34" spans="1:49" ht="26.25" customHeight="1">
      <c r="A34" s="414">
        <v>31</v>
      </c>
      <c r="B34" s="411">
        <f t="shared" ca="1" si="1"/>
        <v>0</v>
      </c>
      <c r="C34" s="425">
        <f t="shared" ca="1" si="0"/>
        <v>0</v>
      </c>
      <c r="D34" s="483" t="s">
        <v>173</v>
      </c>
      <c r="E34" s="484" t="s">
        <v>83</v>
      </c>
      <c r="F34" s="484" t="s">
        <v>83</v>
      </c>
      <c r="G34" s="484" t="s">
        <v>83</v>
      </c>
      <c r="H34" s="484" t="s">
        <v>173</v>
      </c>
      <c r="I34" s="484" t="s">
        <v>83</v>
      </c>
      <c r="J34" s="484" t="s">
        <v>173</v>
      </c>
      <c r="K34" s="484" t="s">
        <v>173</v>
      </c>
      <c r="L34" s="484" t="s">
        <v>83</v>
      </c>
      <c r="M34" s="484" t="s">
        <v>83</v>
      </c>
      <c r="N34" s="484" t="s">
        <v>83</v>
      </c>
      <c r="O34" s="484" t="s">
        <v>173</v>
      </c>
      <c r="P34" s="484" t="s">
        <v>83</v>
      </c>
      <c r="Q34" s="484" t="s">
        <v>173</v>
      </c>
      <c r="R34" s="484" t="s">
        <v>173</v>
      </c>
      <c r="S34" s="484" t="s">
        <v>173</v>
      </c>
      <c r="T34" s="484" t="s">
        <v>173</v>
      </c>
      <c r="U34" s="484" t="s">
        <v>161</v>
      </c>
      <c r="V34" s="484" t="s">
        <v>173</v>
      </c>
      <c r="W34" s="485" t="s">
        <v>83</v>
      </c>
      <c r="X34" s="498" t="s">
        <v>83</v>
      </c>
      <c r="Y34" s="484" t="s">
        <v>173</v>
      </c>
      <c r="Z34" s="484" t="s">
        <v>83</v>
      </c>
      <c r="AA34" s="484" t="s">
        <v>173</v>
      </c>
      <c r="AB34" s="484" t="s">
        <v>173</v>
      </c>
      <c r="AC34" s="484" t="s">
        <v>83</v>
      </c>
      <c r="AD34" s="484" t="s">
        <v>83</v>
      </c>
      <c r="AE34" s="499"/>
      <c r="AF34" s="499"/>
      <c r="AG34" s="499"/>
      <c r="AH34" s="499"/>
      <c r="AI34" s="499"/>
      <c r="AJ34" s="499" t="s">
        <v>173</v>
      </c>
      <c r="AK34" s="397"/>
      <c r="AL34" s="483" t="s">
        <v>83</v>
      </c>
      <c r="AM34" s="484" t="s">
        <v>83</v>
      </c>
      <c r="AN34" s="484" t="s">
        <v>173</v>
      </c>
      <c r="AO34" s="484" t="s">
        <v>173</v>
      </c>
      <c r="AP34" s="484" t="s">
        <v>173</v>
      </c>
      <c r="AQ34" s="484" t="s">
        <v>173</v>
      </c>
      <c r="AR34" s="484" t="s">
        <v>173</v>
      </c>
      <c r="AS34" s="484" t="s">
        <v>173</v>
      </c>
      <c r="AT34" s="484" t="s">
        <v>173</v>
      </c>
      <c r="AU34" s="484" t="s">
        <v>173</v>
      </c>
      <c r="AV34" s="485" t="s">
        <v>173</v>
      </c>
      <c r="AW34" s="492"/>
    </row>
    <row r="35" spans="1:49" ht="26.25" customHeight="1">
      <c r="A35" s="414">
        <v>32</v>
      </c>
      <c r="B35" s="411">
        <f t="shared" ca="1" si="1"/>
        <v>0</v>
      </c>
      <c r="C35" s="425">
        <f t="shared" ca="1" si="0"/>
        <v>0</v>
      </c>
      <c r="D35" s="483" t="s">
        <v>173</v>
      </c>
      <c r="E35" s="484" t="s">
        <v>83</v>
      </c>
      <c r="F35" s="484" t="s">
        <v>83</v>
      </c>
      <c r="G35" s="484" t="s">
        <v>83</v>
      </c>
      <c r="H35" s="484" t="s">
        <v>173</v>
      </c>
      <c r="I35" s="484" t="s">
        <v>83</v>
      </c>
      <c r="J35" s="484" t="s">
        <v>173</v>
      </c>
      <c r="K35" s="484" t="s">
        <v>173</v>
      </c>
      <c r="L35" s="484" t="s">
        <v>83</v>
      </c>
      <c r="M35" s="484" t="s">
        <v>83</v>
      </c>
      <c r="N35" s="484" t="s">
        <v>83</v>
      </c>
      <c r="O35" s="484" t="s">
        <v>173</v>
      </c>
      <c r="P35" s="484" t="s">
        <v>83</v>
      </c>
      <c r="Q35" s="484" t="s">
        <v>173</v>
      </c>
      <c r="R35" s="484" t="s">
        <v>173</v>
      </c>
      <c r="S35" s="484" t="s">
        <v>173</v>
      </c>
      <c r="T35" s="484" t="s">
        <v>173</v>
      </c>
      <c r="U35" s="484" t="s">
        <v>161</v>
      </c>
      <c r="V35" s="484" t="s">
        <v>173</v>
      </c>
      <c r="W35" s="485" t="s">
        <v>83</v>
      </c>
      <c r="X35" s="498" t="s">
        <v>83</v>
      </c>
      <c r="Y35" s="484" t="s">
        <v>173</v>
      </c>
      <c r="Z35" s="484" t="s">
        <v>83</v>
      </c>
      <c r="AA35" s="484" t="s">
        <v>173</v>
      </c>
      <c r="AB35" s="484" t="s">
        <v>173</v>
      </c>
      <c r="AC35" s="484" t="s">
        <v>83</v>
      </c>
      <c r="AD35" s="484" t="s">
        <v>83</v>
      </c>
      <c r="AE35" s="499"/>
      <c r="AF35" s="499"/>
      <c r="AG35" s="499"/>
      <c r="AH35" s="499"/>
      <c r="AI35" s="499"/>
      <c r="AJ35" s="499" t="s">
        <v>173</v>
      </c>
      <c r="AK35" s="397"/>
      <c r="AL35" s="483" t="s">
        <v>83</v>
      </c>
      <c r="AM35" s="484" t="s">
        <v>83</v>
      </c>
      <c r="AN35" s="484" t="s">
        <v>173</v>
      </c>
      <c r="AO35" s="484" t="s">
        <v>173</v>
      </c>
      <c r="AP35" s="484" t="s">
        <v>173</v>
      </c>
      <c r="AQ35" s="484" t="s">
        <v>173</v>
      </c>
      <c r="AR35" s="484" t="s">
        <v>173</v>
      </c>
      <c r="AS35" s="484" t="s">
        <v>173</v>
      </c>
      <c r="AT35" s="484" t="s">
        <v>173</v>
      </c>
      <c r="AU35" s="484" t="s">
        <v>173</v>
      </c>
      <c r="AV35" s="485" t="s">
        <v>173</v>
      </c>
      <c r="AW35" s="492"/>
    </row>
    <row r="36" spans="1:49" ht="26.25" customHeight="1">
      <c r="A36" s="414">
        <v>33</v>
      </c>
      <c r="B36" s="411">
        <f t="shared" ca="1" si="1"/>
        <v>0</v>
      </c>
      <c r="C36" s="425">
        <f t="shared" ca="1" si="0"/>
        <v>0</v>
      </c>
      <c r="D36" s="483" t="s">
        <v>173</v>
      </c>
      <c r="E36" s="484" t="s">
        <v>83</v>
      </c>
      <c r="F36" s="484" t="s">
        <v>83</v>
      </c>
      <c r="G36" s="484" t="s">
        <v>83</v>
      </c>
      <c r="H36" s="484" t="s">
        <v>173</v>
      </c>
      <c r="I36" s="484" t="s">
        <v>83</v>
      </c>
      <c r="J36" s="484" t="s">
        <v>173</v>
      </c>
      <c r="K36" s="484" t="s">
        <v>173</v>
      </c>
      <c r="L36" s="484" t="s">
        <v>83</v>
      </c>
      <c r="M36" s="484" t="s">
        <v>83</v>
      </c>
      <c r="N36" s="484" t="s">
        <v>83</v>
      </c>
      <c r="O36" s="484" t="s">
        <v>173</v>
      </c>
      <c r="P36" s="484" t="s">
        <v>83</v>
      </c>
      <c r="Q36" s="484" t="s">
        <v>173</v>
      </c>
      <c r="R36" s="484" t="s">
        <v>173</v>
      </c>
      <c r="S36" s="484" t="s">
        <v>173</v>
      </c>
      <c r="T36" s="484" t="s">
        <v>173</v>
      </c>
      <c r="U36" s="484" t="s">
        <v>161</v>
      </c>
      <c r="V36" s="484" t="s">
        <v>173</v>
      </c>
      <c r="W36" s="485" t="s">
        <v>83</v>
      </c>
      <c r="X36" s="498" t="s">
        <v>83</v>
      </c>
      <c r="Y36" s="484" t="s">
        <v>173</v>
      </c>
      <c r="Z36" s="484" t="s">
        <v>83</v>
      </c>
      <c r="AA36" s="484" t="s">
        <v>173</v>
      </c>
      <c r="AB36" s="484" t="s">
        <v>173</v>
      </c>
      <c r="AC36" s="484" t="s">
        <v>83</v>
      </c>
      <c r="AD36" s="484" t="s">
        <v>83</v>
      </c>
      <c r="AE36" s="499"/>
      <c r="AF36" s="499"/>
      <c r="AG36" s="499"/>
      <c r="AH36" s="499"/>
      <c r="AI36" s="499"/>
      <c r="AJ36" s="499" t="s">
        <v>173</v>
      </c>
      <c r="AK36" s="397"/>
      <c r="AL36" s="483" t="s">
        <v>83</v>
      </c>
      <c r="AM36" s="484" t="s">
        <v>83</v>
      </c>
      <c r="AN36" s="484" t="s">
        <v>173</v>
      </c>
      <c r="AO36" s="484" t="s">
        <v>173</v>
      </c>
      <c r="AP36" s="484" t="s">
        <v>173</v>
      </c>
      <c r="AQ36" s="484" t="s">
        <v>173</v>
      </c>
      <c r="AR36" s="484" t="s">
        <v>173</v>
      </c>
      <c r="AS36" s="484" t="s">
        <v>173</v>
      </c>
      <c r="AT36" s="484" t="s">
        <v>173</v>
      </c>
      <c r="AU36" s="484" t="s">
        <v>173</v>
      </c>
      <c r="AV36" s="485" t="s">
        <v>173</v>
      </c>
      <c r="AW36" s="492"/>
    </row>
    <row r="37" spans="1:49" ht="26.25" customHeight="1">
      <c r="A37" s="414">
        <v>34</v>
      </c>
      <c r="B37" s="411">
        <f t="shared" ca="1" si="1"/>
        <v>0</v>
      </c>
      <c r="C37" s="425">
        <f t="shared" ca="1" si="0"/>
        <v>0</v>
      </c>
      <c r="D37" s="483" t="s">
        <v>173</v>
      </c>
      <c r="E37" s="484" t="s">
        <v>83</v>
      </c>
      <c r="F37" s="484" t="s">
        <v>83</v>
      </c>
      <c r="G37" s="484" t="s">
        <v>83</v>
      </c>
      <c r="H37" s="484" t="s">
        <v>173</v>
      </c>
      <c r="I37" s="484" t="s">
        <v>83</v>
      </c>
      <c r="J37" s="484" t="s">
        <v>173</v>
      </c>
      <c r="K37" s="484" t="s">
        <v>173</v>
      </c>
      <c r="L37" s="484" t="s">
        <v>83</v>
      </c>
      <c r="M37" s="484" t="s">
        <v>83</v>
      </c>
      <c r="N37" s="484" t="s">
        <v>83</v>
      </c>
      <c r="O37" s="484" t="s">
        <v>173</v>
      </c>
      <c r="P37" s="484" t="s">
        <v>83</v>
      </c>
      <c r="Q37" s="484" t="s">
        <v>173</v>
      </c>
      <c r="R37" s="484" t="s">
        <v>173</v>
      </c>
      <c r="S37" s="484" t="s">
        <v>173</v>
      </c>
      <c r="T37" s="484" t="s">
        <v>173</v>
      </c>
      <c r="U37" s="484" t="s">
        <v>161</v>
      </c>
      <c r="V37" s="484" t="s">
        <v>173</v>
      </c>
      <c r="W37" s="485" t="s">
        <v>83</v>
      </c>
      <c r="X37" s="498" t="s">
        <v>83</v>
      </c>
      <c r="Y37" s="484" t="s">
        <v>173</v>
      </c>
      <c r="Z37" s="484" t="s">
        <v>83</v>
      </c>
      <c r="AA37" s="484" t="s">
        <v>173</v>
      </c>
      <c r="AB37" s="484" t="s">
        <v>173</v>
      </c>
      <c r="AC37" s="484" t="s">
        <v>83</v>
      </c>
      <c r="AD37" s="484" t="s">
        <v>83</v>
      </c>
      <c r="AE37" s="499"/>
      <c r="AF37" s="499"/>
      <c r="AG37" s="499"/>
      <c r="AH37" s="499"/>
      <c r="AI37" s="499"/>
      <c r="AJ37" s="499" t="s">
        <v>173</v>
      </c>
      <c r="AK37" s="397"/>
      <c r="AL37" s="483" t="s">
        <v>83</v>
      </c>
      <c r="AM37" s="484" t="s">
        <v>83</v>
      </c>
      <c r="AN37" s="484" t="s">
        <v>173</v>
      </c>
      <c r="AO37" s="484" t="s">
        <v>173</v>
      </c>
      <c r="AP37" s="484" t="s">
        <v>173</v>
      </c>
      <c r="AQ37" s="484" t="s">
        <v>173</v>
      </c>
      <c r="AR37" s="484" t="s">
        <v>173</v>
      </c>
      <c r="AS37" s="484" t="s">
        <v>173</v>
      </c>
      <c r="AT37" s="484" t="s">
        <v>173</v>
      </c>
      <c r="AU37" s="484" t="s">
        <v>173</v>
      </c>
      <c r="AV37" s="485" t="s">
        <v>173</v>
      </c>
      <c r="AW37" s="492"/>
    </row>
    <row r="38" spans="1:49" ht="26.25" customHeight="1">
      <c r="A38" s="415">
        <v>35</v>
      </c>
      <c r="B38" s="412">
        <f t="shared" ca="1" si="1"/>
        <v>0</v>
      </c>
      <c r="C38" s="426">
        <f t="shared" ca="1" si="0"/>
        <v>0</v>
      </c>
      <c r="D38" s="486" t="s">
        <v>173</v>
      </c>
      <c r="E38" s="487" t="s">
        <v>83</v>
      </c>
      <c r="F38" s="487" t="s">
        <v>83</v>
      </c>
      <c r="G38" s="487" t="s">
        <v>83</v>
      </c>
      <c r="H38" s="487" t="s">
        <v>173</v>
      </c>
      <c r="I38" s="487" t="s">
        <v>83</v>
      </c>
      <c r="J38" s="487" t="s">
        <v>173</v>
      </c>
      <c r="K38" s="487" t="s">
        <v>173</v>
      </c>
      <c r="L38" s="487" t="s">
        <v>83</v>
      </c>
      <c r="M38" s="487" t="s">
        <v>83</v>
      </c>
      <c r="N38" s="487" t="s">
        <v>83</v>
      </c>
      <c r="O38" s="487" t="s">
        <v>173</v>
      </c>
      <c r="P38" s="487" t="s">
        <v>83</v>
      </c>
      <c r="Q38" s="487" t="s">
        <v>173</v>
      </c>
      <c r="R38" s="487" t="s">
        <v>173</v>
      </c>
      <c r="S38" s="487" t="s">
        <v>173</v>
      </c>
      <c r="T38" s="487" t="s">
        <v>173</v>
      </c>
      <c r="U38" s="487" t="s">
        <v>161</v>
      </c>
      <c r="V38" s="487" t="s">
        <v>173</v>
      </c>
      <c r="W38" s="488" t="s">
        <v>83</v>
      </c>
      <c r="X38" s="498" t="s">
        <v>83</v>
      </c>
      <c r="Y38" s="484" t="s">
        <v>173</v>
      </c>
      <c r="Z38" s="484" t="s">
        <v>83</v>
      </c>
      <c r="AA38" s="484" t="s">
        <v>173</v>
      </c>
      <c r="AB38" s="484" t="s">
        <v>173</v>
      </c>
      <c r="AC38" s="484" t="s">
        <v>83</v>
      </c>
      <c r="AD38" s="484" t="s">
        <v>83</v>
      </c>
      <c r="AE38" s="499"/>
      <c r="AF38" s="499"/>
      <c r="AG38" s="499"/>
      <c r="AH38" s="499"/>
      <c r="AI38" s="499"/>
      <c r="AJ38" s="499" t="s">
        <v>173</v>
      </c>
      <c r="AK38" s="397"/>
      <c r="AL38" s="486" t="s">
        <v>83</v>
      </c>
      <c r="AM38" s="487" t="s">
        <v>83</v>
      </c>
      <c r="AN38" s="487" t="s">
        <v>173</v>
      </c>
      <c r="AO38" s="487" t="s">
        <v>173</v>
      </c>
      <c r="AP38" s="487" t="s">
        <v>173</v>
      </c>
      <c r="AQ38" s="487" t="s">
        <v>173</v>
      </c>
      <c r="AR38" s="487" t="s">
        <v>173</v>
      </c>
      <c r="AS38" s="487" t="s">
        <v>173</v>
      </c>
      <c r="AT38" s="487" t="s">
        <v>173</v>
      </c>
      <c r="AU38" s="487" t="s">
        <v>173</v>
      </c>
      <c r="AV38" s="488" t="s">
        <v>173</v>
      </c>
      <c r="AW38" s="493"/>
    </row>
    <row r="39" spans="1:49" hidden="1"/>
    <row r="40" spans="1:49" hidden="1"/>
    <row r="41" spans="1:49" hidden="1"/>
    <row r="42" spans="1:49" hidden="1"/>
    <row r="43" spans="1:49" hidden="1"/>
    <row r="44" spans="1:49" hidden="1"/>
    <row r="45" spans="1:49" hidden="1"/>
    <row r="46" spans="1:49" hidden="1"/>
    <row r="47" spans="1:49" hidden="1"/>
    <row r="48" spans="1:49" hidden="1"/>
    <row r="49" spans="9:9" hidden="1"/>
    <row r="50" spans="9:9" hidden="1"/>
    <row r="51" spans="9:9" hidden="1"/>
    <row r="52" spans="9:9" hidden="1"/>
    <row r="53" spans="9:9" hidden="1"/>
    <row r="54" spans="9:9" hidden="1"/>
    <row r="55" spans="9:9" hidden="1"/>
    <row r="56" spans="9:9" hidden="1"/>
    <row r="57" spans="9:9" hidden="1"/>
    <row r="58" spans="9:9" hidden="1"/>
    <row r="59" spans="9:9" hidden="1">
      <c r="I59" s="416"/>
    </row>
  </sheetData>
  <sheetProtection password="DC6E" sheet="1" objects="1" scenarios="1"/>
  <mergeCells count="3">
    <mergeCell ref="AL1:AV1"/>
    <mergeCell ref="D1:W1"/>
    <mergeCell ref="X1:AJ1"/>
  </mergeCells>
  <hyperlinks>
    <hyperlink ref="B1" location="INDEX!A1" display="INDEX"/>
  </hyperlinks>
  <pageMargins left="0.75" right="0.68" top="0.72" bottom="1" header="0.5" footer="0.5"/>
  <pageSetup paperSize="5" scale="75" orientation="portrait" horizontalDpi="300" verticalDpi="300" r:id="rId1"/>
  <headerFooter alignWithMargins="0"/>
  <colBreaks count="1" manualBreakCount="1">
    <brk id="16" max="37"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6"/>
  </sheetPr>
  <dimension ref="A1:AV47"/>
  <sheetViews>
    <sheetView showGridLines="0" showZeros="0" view="pageBreakPreview" zoomScaleSheetLayoutView="100" workbookViewId="0">
      <pane ySplit="1" topLeftCell="A8" activePane="bottomLeft" state="frozen"/>
      <selection pane="bottomLeft" activeCell="A48" sqref="A48:XFD1048576"/>
    </sheetView>
  </sheetViews>
  <sheetFormatPr defaultColWidth="0" defaultRowHeight="15" zeroHeight="1"/>
  <cols>
    <col min="1" max="2" width="1.7109375" style="138" customWidth="1"/>
    <col min="3" max="3" width="4" style="138" customWidth="1"/>
    <col min="4" max="4" width="6.42578125" style="138" customWidth="1"/>
    <col min="5" max="7" width="4" style="138" customWidth="1"/>
    <col min="8" max="8" width="5.5703125" style="138" customWidth="1"/>
    <col min="9" max="9" width="4" style="138" customWidth="1"/>
    <col min="10" max="10" width="5.28515625" style="138" customWidth="1"/>
    <col min="11" max="11" width="4" style="138" customWidth="1"/>
    <col min="12" max="12" width="5.140625" style="138" customWidth="1"/>
    <col min="13" max="14" width="4" style="138" customWidth="1"/>
    <col min="15" max="15" width="4.42578125" style="138" customWidth="1"/>
    <col min="16" max="16" width="5.5703125" style="138" customWidth="1"/>
    <col min="17" max="17" width="4.42578125" style="138" customWidth="1"/>
    <col min="18" max="18" width="4" style="138" customWidth="1"/>
    <col min="19" max="20" width="5.140625" style="138" customWidth="1"/>
    <col min="21" max="21" width="4.7109375" style="138" customWidth="1"/>
    <col min="22" max="22" width="5.5703125" style="138" customWidth="1"/>
    <col min="23" max="23" width="1.85546875" style="138" customWidth="1"/>
    <col min="24" max="26" width="1.7109375" style="138" customWidth="1"/>
    <col min="27" max="27" width="5" style="138" customWidth="1"/>
    <col min="28" max="28" width="4.85546875" style="138" customWidth="1"/>
    <col min="29" max="30" width="4" style="138" customWidth="1"/>
    <col min="31" max="31" width="5.28515625" style="138" customWidth="1"/>
    <col min="32" max="33" width="4" style="138" customWidth="1"/>
    <col min="34" max="34" width="5.28515625" style="138" customWidth="1"/>
    <col min="35" max="36" width="4" style="138" customWidth="1"/>
    <col min="37" max="37" width="5.28515625" style="138" customWidth="1"/>
    <col min="38" max="39" width="4" style="138" customWidth="1"/>
    <col min="40" max="40" width="5.140625" style="138" customWidth="1"/>
    <col min="41" max="42" width="4" style="138" customWidth="1"/>
    <col min="43" max="43" width="4.85546875" style="138" customWidth="1"/>
    <col min="44" max="45" width="4" style="138" customWidth="1"/>
    <col min="46" max="46" width="10.140625" style="138" customWidth="1"/>
    <col min="47" max="47" width="1.85546875" style="138" customWidth="1"/>
    <col min="48" max="48" width="1.7109375" style="138" customWidth="1"/>
    <col min="49" max="16384" width="9.140625" style="138" hidden="1"/>
  </cols>
  <sheetData>
    <row r="1" spans="1:48" ht="22.5" customHeight="1">
      <c r="B1" s="751" t="s">
        <v>492</v>
      </c>
      <c r="C1" s="751"/>
      <c r="D1" s="751"/>
      <c r="I1" s="766" t="s">
        <v>207</v>
      </c>
      <c r="J1" s="766"/>
      <c r="K1" s="766"/>
      <c r="L1" s="766"/>
      <c r="M1" s="766"/>
      <c r="N1" s="766"/>
      <c r="O1" s="766"/>
      <c r="P1" s="766"/>
      <c r="Q1" s="766"/>
      <c r="R1" s="767">
        <v>1</v>
      </c>
      <c r="S1" s="767"/>
      <c r="AA1" s="768" t="s">
        <v>260</v>
      </c>
      <c r="AB1" s="768"/>
      <c r="AC1" s="768"/>
      <c r="AD1" s="768"/>
      <c r="AE1" s="768"/>
      <c r="AF1" s="768"/>
      <c r="AG1" s="768"/>
      <c r="AH1" s="768"/>
      <c r="AI1" s="768"/>
      <c r="AJ1" s="768"/>
      <c r="AK1" s="768"/>
      <c r="AL1" s="768"/>
      <c r="AM1" s="768"/>
      <c r="AN1" s="768"/>
      <c r="AO1" s="768"/>
      <c r="AP1" s="768"/>
      <c r="AQ1" s="768"/>
      <c r="AR1" s="768"/>
      <c r="AS1" s="768"/>
      <c r="AT1" s="768"/>
    </row>
    <row r="2" spans="1:48"/>
    <row r="3" spans="1:48" ht="21.75" customHeight="1" thickBot="1">
      <c r="A3" s="50"/>
      <c r="B3" s="51"/>
      <c r="C3" s="51"/>
      <c r="D3" s="51"/>
      <c r="E3" s="51"/>
      <c r="F3" s="51"/>
      <c r="G3" s="52" t="s">
        <v>184</v>
      </c>
      <c r="H3" s="52"/>
      <c r="I3" s="52"/>
      <c r="J3" s="52"/>
      <c r="K3" s="52"/>
      <c r="L3" s="52"/>
      <c r="M3" s="52"/>
      <c r="N3" s="52"/>
      <c r="O3" s="52"/>
      <c r="P3" s="52"/>
      <c r="Q3" s="52"/>
      <c r="R3" s="52"/>
      <c r="S3" s="52"/>
      <c r="T3" s="52"/>
      <c r="U3" s="52"/>
      <c r="V3" s="52"/>
      <c r="W3" s="52"/>
      <c r="X3" s="53"/>
      <c r="Y3" s="139"/>
      <c r="Z3" s="140"/>
      <c r="AA3" s="140"/>
      <c r="AB3" s="140"/>
      <c r="AC3" s="140"/>
      <c r="AD3" s="140"/>
      <c r="AE3" s="140"/>
      <c r="AF3" s="140"/>
      <c r="AG3" s="140"/>
      <c r="AH3" s="140"/>
      <c r="AI3" s="140"/>
      <c r="AJ3" s="140"/>
      <c r="AK3" s="140"/>
      <c r="AL3" s="140"/>
      <c r="AM3" s="140"/>
      <c r="AN3" s="140"/>
      <c r="AO3" s="140"/>
      <c r="AP3" s="140"/>
      <c r="AQ3" s="140"/>
      <c r="AR3" s="140"/>
      <c r="AS3" s="140"/>
      <c r="AT3" s="140"/>
      <c r="AU3" s="140"/>
      <c r="AV3" s="141"/>
    </row>
    <row r="4" spans="1:48" ht="16.5" customHeight="1">
      <c r="A4" s="54"/>
      <c r="B4" s="63"/>
      <c r="C4" s="769"/>
      <c r="D4" s="769"/>
      <c r="E4" s="769"/>
      <c r="F4" s="769"/>
      <c r="G4" s="769"/>
      <c r="H4" s="769"/>
      <c r="I4" s="769"/>
      <c r="J4" s="769"/>
      <c r="K4" s="769"/>
      <c r="L4" s="769"/>
      <c r="M4" s="769"/>
      <c r="N4" s="769"/>
      <c r="O4" s="769"/>
      <c r="P4" s="769"/>
      <c r="Q4" s="769"/>
      <c r="R4" s="769"/>
      <c r="S4" s="769"/>
      <c r="T4" s="769"/>
      <c r="U4" s="769"/>
      <c r="V4" s="769"/>
      <c r="W4" s="64"/>
      <c r="X4" s="55"/>
      <c r="Y4" s="142"/>
      <c r="Z4" s="143"/>
      <c r="AA4" s="812"/>
      <c r="AB4" s="812"/>
      <c r="AC4" s="812"/>
      <c r="AD4" s="812"/>
      <c r="AE4" s="812"/>
      <c r="AF4" s="812"/>
      <c r="AG4" s="812"/>
      <c r="AH4" s="812"/>
      <c r="AI4" s="812"/>
      <c r="AJ4" s="812"/>
      <c r="AK4" s="812"/>
      <c r="AL4" s="812"/>
      <c r="AM4" s="812"/>
      <c r="AN4" s="812"/>
      <c r="AO4" s="812"/>
      <c r="AP4" s="812"/>
      <c r="AQ4" s="812"/>
      <c r="AR4" s="812"/>
      <c r="AS4" s="812"/>
      <c r="AT4" s="812"/>
      <c r="AU4" s="145"/>
      <c r="AV4" s="146"/>
    </row>
    <row r="5" spans="1:48" ht="18" customHeight="1">
      <c r="A5" s="56"/>
      <c r="B5" s="65"/>
      <c r="C5" s="792" t="str">
        <f>SCHOOL!B8</f>
        <v>જિલ્લા પંચાયત શિક્ષણ સમિતિ, અમરેલી</v>
      </c>
      <c r="D5" s="792"/>
      <c r="E5" s="792"/>
      <c r="F5" s="792"/>
      <c r="G5" s="792"/>
      <c r="H5" s="792"/>
      <c r="I5" s="792"/>
      <c r="J5" s="792"/>
      <c r="K5" s="792"/>
      <c r="L5" s="792"/>
      <c r="M5" s="792"/>
      <c r="N5" s="792"/>
      <c r="O5" s="792"/>
      <c r="P5" s="792"/>
      <c r="Q5" s="792"/>
      <c r="R5" s="792"/>
      <c r="S5" s="792"/>
      <c r="T5" s="792"/>
      <c r="U5" s="792"/>
      <c r="V5" s="792"/>
      <c r="W5" s="66"/>
      <c r="X5" s="55"/>
      <c r="Y5" s="142"/>
      <c r="Z5" s="147"/>
      <c r="AA5" s="381">
        <v>8</v>
      </c>
      <c r="AB5" s="879" t="str">
        <f>'PARINAM STD-2'!AE$2</f>
        <v>બે, ત્રણ, ચાર, પાંચ અને દસના ઘડીયા આવડે છે.</v>
      </c>
      <c r="AC5" s="880"/>
      <c r="AD5" s="880"/>
      <c r="AE5" s="880"/>
      <c r="AF5" s="880"/>
      <c r="AG5" s="880"/>
      <c r="AH5" s="880"/>
      <c r="AI5" s="880"/>
      <c r="AJ5" s="880"/>
      <c r="AK5" s="881"/>
      <c r="AL5" s="833" t="str">
        <f ca="1">IF(INDIRECT("'PARINAM STD-2'!AE"&amp;$R$1+4)="A","√","")</f>
        <v/>
      </c>
      <c r="AM5" s="834"/>
      <c r="AN5" s="835"/>
      <c r="AO5" s="836" t="str">
        <f ca="1">IF(INDIRECT("'PARINAM STD-2'!AE"&amp;$R$1+4)="B","√","")</f>
        <v/>
      </c>
      <c r="AP5" s="834"/>
      <c r="AQ5" s="835"/>
      <c r="AR5" s="836" t="str">
        <f ca="1">IF(INDIRECT("'PARINAM STD-2'!AE"&amp;$R$1+4)="C","√","")</f>
        <v/>
      </c>
      <c r="AS5" s="834"/>
      <c r="AT5" s="837"/>
      <c r="AU5" s="148"/>
      <c r="AV5" s="146"/>
    </row>
    <row r="6" spans="1:48" ht="18.95" customHeight="1">
      <c r="A6" s="56"/>
      <c r="B6" s="65"/>
      <c r="C6" s="377"/>
      <c r="D6" s="377"/>
      <c r="E6" s="377"/>
      <c r="F6" s="377"/>
      <c r="G6" s="377"/>
      <c r="H6" s="377"/>
      <c r="I6" s="377"/>
      <c r="J6" s="793" t="s">
        <v>418</v>
      </c>
      <c r="K6" s="793"/>
      <c r="L6" s="793"/>
      <c r="M6" s="793"/>
      <c r="N6" s="793"/>
      <c r="O6" s="793"/>
      <c r="P6" s="793"/>
      <c r="Q6" s="377"/>
      <c r="R6" s="377"/>
      <c r="S6" s="377"/>
      <c r="T6" s="377"/>
      <c r="U6" s="377"/>
      <c r="V6" s="377"/>
      <c r="W6" s="67"/>
      <c r="X6" s="55"/>
      <c r="Y6" s="142"/>
      <c r="Z6" s="147"/>
      <c r="AA6" s="381">
        <v>9</v>
      </c>
      <c r="AB6" s="838" t="str">
        <f>'PARINAM STD-2'!AF$2</f>
        <v>ઇસવીસન તેમજ વિક્રમ સવંત પ્રમાણેના મહિનાઓના નામ અને ક્રમ જાણે છે.</v>
      </c>
      <c r="AC6" s="839"/>
      <c r="AD6" s="839"/>
      <c r="AE6" s="839"/>
      <c r="AF6" s="839"/>
      <c r="AG6" s="839"/>
      <c r="AH6" s="839"/>
      <c r="AI6" s="839"/>
      <c r="AJ6" s="839"/>
      <c r="AK6" s="840"/>
      <c r="AL6" s="833" t="str">
        <f ca="1">IF(INDIRECT("'PARINAM STD-2'!AF"&amp;$R$1+4)="A","√","")</f>
        <v/>
      </c>
      <c r="AM6" s="834"/>
      <c r="AN6" s="835"/>
      <c r="AO6" s="836" t="str">
        <f ca="1">IF(INDIRECT("'PARINAM STD-2'!AF"&amp;$R$1+4)="B","√","")</f>
        <v/>
      </c>
      <c r="AP6" s="834"/>
      <c r="AQ6" s="835"/>
      <c r="AR6" s="836" t="str">
        <f ca="1">IF(INDIRECT("'PARINAM STD-2'!AF"&amp;$R$1+4)="C","√","")</f>
        <v/>
      </c>
      <c r="AS6" s="834"/>
      <c r="AT6" s="837"/>
      <c r="AU6" s="148"/>
      <c r="AV6" s="146"/>
    </row>
    <row r="7" spans="1:48" ht="18.95" customHeight="1">
      <c r="A7" s="56"/>
      <c r="B7" s="65"/>
      <c r="C7" s="376"/>
      <c r="D7" s="376"/>
      <c r="E7" s="376"/>
      <c r="F7" s="376"/>
      <c r="G7" s="376"/>
      <c r="H7" s="376"/>
      <c r="I7" s="376"/>
      <c r="J7" s="793"/>
      <c r="K7" s="793"/>
      <c r="L7" s="793"/>
      <c r="M7" s="793"/>
      <c r="N7" s="793"/>
      <c r="O7" s="793"/>
      <c r="P7" s="793"/>
      <c r="Q7" s="376"/>
      <c r="R7" s="376"/>
      <c r="S7" s="376"/>
      <c r="T7" s="376"/>
      <c r="U7" s="376"/>
      <c r="V7" s="376"/>
      <c r="W7" s="67"/>
      <c r="X7" s="55"/>
      <c r="Y7" s="142"/>
      <c r="Z7" s="147"/>
      <c r="AA7" s="381">
        <v>10</v>
      </c>
      <c r="AB7" s="838" t="str">
        <f>'PARINAM STD-2'!AG$2</f>
        <v>પુસ્તકનું કાર્ય વ્યવસ્થિત રીતે કરે છે.</v>
      </c>
      <c r="AC7" s="839"/>
      <c r="AD7" s="839"/>
      <c r="AE7" s="839"/>
      <c r="AF7" s="839"/>
      <c r="AG7" s="839"/>
      <c r="AH7" s="839"/>
      <c r="AI7" s="839"/>
      <c r="AJ7" s="839"/>
      <c r="AK7" s="840"/>
      <c r="AL7" s="833" t="str">
        <f ca="1">IF(INDIRECT("'PARINAM STD-2'!AG"&amp;$R$1+4)="A","√","")</f>
        <v/>
      </c>
      <c r="AM7" s="834"/>
      <c r="AN7" s="835"/>
      <c r="AO7" s="836" t="str">
        <f ca="1">IF(INDIRECT("'PARINAM STD-2'!AG"&amp;$R$1+4)="B","√","")</f>
        <v/>
      </c>
      <c r="AP7" s="834"/>
      <c r="AQ7" s="835"/>
      <c r="AR7" s="836" t="str">
        <f ca="1">IF(INDIRECT("'PARINAM STD-2'!AG"&amp;$R$1+4)="C","√","")</f>
        <v/>
      </c>
      <c r="AS7" s="834"/>
      <c r="AT7" s="837"/>
      <c r="AU7" s="148"/>
      <c r="AV7" s="146"/>
    </row>
    <row r="8" spans="1:48" ht="18.95" customHeight="1">
      <c r="A8" s="56"/>
      <c r="B8" s="65"/>
      <c r="C8" s="376"/>
      <c r="D8" s="376"/>
      <c r="E8" s="376"/>
      <c r="F8" s="376"/>
      <c r="G8" s="376"/>
      <c r="H8" s="376"/>
      <c r="I8" s="376"/>
      <c r="J8" s="57"/>
      <c r="K8" s="57"/>
      <c r="L8" s="57"/>
      <c r="M8" s="57"/>
      <c r="N8" s="57"/>
      <c r="O8" s="57"/>
      <c r="P8" s="57"/>
      <c r="Q8" s="376"/>
      <c r="R8" s="376"/>
      <c r="S8" s="376"/>
      <c r="T8" s="376"/>
      <c r="U8" s="376"/>
      <c r="V8" s="376"/>
      <c r="W8" s="67"/>
      <c r="X8" s="55"/>
      <c r="Y8" s="142"/>
      <c r="Z8" s="147"/>
      <c r="AA8" s="381">
        <v>11</v>
      </c>
      <c r="AB8" s="838" t="str">
        <f>'PARINAM STD-2'!AH$2</f>
        <v>ચલણી નોટો અને ચલણી સિક્કાઓને ઓળખે છે, તેમજ તેમની વચ્ચેનો સહસંબંધ જાણે છે.</v>
      </c>
      <c r="AC8" s="839"/>
      <c r="AD8" s="839"/>
      <c r="AE8" s="839"/>
      <c r="AF8" s="839"/>
      <c r="AG8" s="839"/>
      <c r="AH8" s="839"/>
      <c r="AI8" s="839"/>
      <c r="AJ8" s="839"/>
      <c r="AK8" s="840"/>
      <c r="AL8" s="833" t="str">
        <f ca="1">IF(INDIRECT("'PARINAM STD-2'!AH"&amp;$R$1+4)="A","√","")</f>
        <v/>
      </c>
      <c r="AM8" s="834"/>
      <c r="AN8" s="835"/>
      <c r="AO8" s="836" t="str">
        <f ca="1">IF(INDIRECT("'PARINAM STD-2'!AH"&amp;$R$1+4)="B","√","")</f>
        <v/>
      </c>
      <c r="AP8" s="834"/>
      <c r="AQ8" s="835"/>
      <c r="AR8" s="836" t="str">
        <f ca="1">IF(INDIRECT("'PARINAM STD-2'!AH"&amp;$R$1+4)="C","√","")</f>
        <v/>
      </c>
      <c r="AS8" s="834"/>
      <c r="AT8" s="837"/>
      <c r="AU8" s="148"/>
      <c r="AV8" s="146"/>
    </row>
    <row r="9" spans="1:48" ht="18.95" customHeight="1">
      <c r="A9" s="56"/>
      <c r="B9" s="65"/>
      <c r="C9" s="794" t="str">
        <f>SCHOOL!B3</f>
        <v>શ્રી ખારા પ્રાથમિક શાળા</v>
      </c>
      <c r="D9" s="884"/>
      <c r="E9" s="884"/>
      <c r="F9" s="884"/>
      <c r="G9" s="884"/>
      <c r="H9" s="884"/>
      <c r="I9" s="884"/>
      <c r="J9" s="884"/>
      <c r="K9" s="884"/>
      <c r="L9" s="884"/>
      <c r="M9" s="884"/>
      <c r="N9" s="884"/>
      <c r="O9" s="884"/>
      <c r="P9" s="884"/>
      <c r="Q9" s="884"/>
      <c r="R9" s="884"/>
      <c r="S9" s="884"/>
      <c r="T9" s="884"/>
      <c r="U9" s="884"/>
      <c r="V9" s="884"/>
      <c r="W9" s="67"/>
      <c r="X9" s="55"/>
      <c r="Y9" s="142"/>
      <c r="Z9" s="147"/>
      <c r="AA9" s="381">
        <v>12</v>
      </c>
      <c r="AB9" s="838" t="str">
        <f>'PARINAM STD-2'!AI$2</f>
        <v>ટી.એલ.એમ. બનાવે છે.</v>
      </c>
      <c r="AC9" s="839"/>
      <c r="AD9" s="839"/>
      <c r="AE9" s="839"/>
      <c r="AF9" s="839"/>
      <c r="AG9" s="839"/>
      <c r="AH9" s="839"/>
      <c r="AI9" s="839"/>
      <c r="AJ9" s="839"/>
      <c r="AK9" s="840"/>
      <c r="AL9" s="833" t="str">
        <f ca="1">IF(INDIRECT("'PARINAM STD-2'!AI"&amp;$R$1+4)="A","√","")</f>
        <v/>
      </c>
      <c r="AM9" s="834"/>
      <c r="AN9" s="835"/>
      <c r="AO9" s="836" t="str">
        <f ca="1">IF(INDIRECT("'PARINAM STD-2'!AI"&amp;$R$1+4)="B","√","")</f>
        <v/>
      </c>
      <c r="AP9" s="834"/>
      <c r="AQ9" s="835"/>
      <c r="AR9" s="836" t="str">
        <f ca="1">IF(INDIRECT("'PARINAM STD-2'!AI"&amp;$R$1+4)="C","√","")</f>
        <v/>
      </c>
      <c r="AS9" s="834"/>
      <c r="AT9" s="837"/>
      <c r="AU9" s="148"/>
      <c r="AV9" s="146"/>
    </row>
    <row r="10" spans="1:48" ht="18.95" customHeight="1">
      <c r="A10" s="56"/>
      <c r="B10" s="65"/>
      <c r="C10" s="885"/>
      <c r="D10" s="885"/>
      <c r="E10" s="885"/>
      <c r="F10" s="885"/>
      <c r="G10" s="885"/>
      <c r="H10" s="885"/>
      <c r="I10" s="885"/>
      <c r="J10" s="885"/>
      <c r="K10" s="885"/>
      <c r="L10" s="885"/>
      <c r="M10" s="885"/>
      <c r="N10" s="885"/>
      <c r="O10" s="885"/>
      <c r="P10" s="885"/>
      <c r="Q10" s="885"/>
      <c r="R10" s="885"/>
      <c r="S10" s="885"/>
      <c r="T10" s="885"/>
      <c r="U10" s="885"/>
      <c r="V10" s="885"/>
      <c r="W10" s="67"/>
      <c r="X10" s="55"/>
      <c r="Y10" s="142"/>
      <c r="Z10" s="147"/>
      <c r="AA10" s="381">
        <v>13</v>
      </c>
      <c r="AB10" s="838" t="str">
        <f>'PARINAM STD-2'!AJ$2</f>
        <v>પ્રદર્શનમાં ભાગ લે છે.</v>
      </c>
      <c r="AC10" s="839"/>
      <c r="AD10" s="839"/>
      <c r="AE10" s="839"/>
      <c r="AF10" s="839"/>
      <c r="AG10" s="839"/>
      <c r="AH10" s="839"/>
      <c r="AI10" s="839"/>
      <c r="AJ10" s="839"/>
      <c r="AK10" s="840"/>
      <c r="AL10" s="833" t="str">
        <f ca="1">IF(INDIRECT("'PARINAM STD-2'!AJ"&amp;$R$1+4)="A","√","")</f>
        <v>√</v>
      </c>
      <c r="AM10" s="834"/>
      <c r="AN10" s="835"/>
      <c r="AO10" s="836" t="str">
        <f ca="1">IF(INDIRECT("'PARINAM STD-2'!AJ"&amp;$R$1+4)="B","√","")</f>
        <v/>
      </c>
      <c r="AP10" s="834"/>
      <c r="AQ10" s="835"/>
      <c r="AR10" s="836" t="str">
        <f ca="1">IF(INDIRECT("'PARINAM STD-2'!AJ"&amp;$R$1+4)="C","√","")</f>
        <v/>
      </c>
      <c r="AS10" s="834"/>
      <c r="AT10" s="837"/>
      <c r="AU10" s="148"/>
      <c r="AV10" s="146"/>
    </row>
    <row r="11" spans="1:48" ht="18.95" customHeight="1" thickBot="1">
      <c r="A11" s="56"/>
      <c r="B11" s="65"/>
      <c r="C11" s="883" t="s">
        <v>181</v>
      </c>
      <c r="D11" s="883"/>
      <c r="E11" s="882" t="str">
        <f>SCHOOL!B4</f>
        <v>ખારા</v>
      </c>
      <c r="F11" s="882"/>
      <c r="G11" s="882"/>
      <c r="H11" s="882"/>
      <c r="I11" s="883" t="s">
        <v>1</v>
      </c>
      <c r="J11" s="883"/>
      <c r="K11" s="882" t="str">
        <f>SCHOOL!B5</f>
        <v>લીલીયા</v>
      </c>
      <c r="L11" s="882"/>
      <c r="M11" s="882"/>
      <c r="N11" s="882"/>
      <c r="O11" s="882"/>
      <c r="P11" s="883" t="s">
        <v>2</v>
      </c>
      <c r="Q11" s="883"/>
      <c r="R11" s="882" t="str">
        <f>SCHOOL!B6</f>
        <v>અમરેલી</v>
      </c>
      <c r="S11" s="882"/>
      <c r="T11" s="882"/>
      <c r="U11" s="882"/>
      <c r="V11" s="882"/>
      <c r="W11" s="67"/>
      <c r="X11" s="55"/>
      <c r="Y11" s="142"/>
      <c r="Z11" s="147"/>
      <c r="AA11" s="832" t="s">
        <v>160</v>
      </c>
      <c r="AB11" s="832"/>
      <c r="AC11" s="832"/>
      <c r="AD11" s="832"/>
      <c r="AE11" s="832"/>
      <c r="AF11" s="832"/>
      <c r="AG11" s="832"/>
      <c r="AH11" s="832"/>
      <c r="AI11" s="832"/>
      <c r="AJ11" s="832"/>
      <c r="AK11" s="832"/>
      <c r="AL11" s="832"/>
      <c r="AM11" s="832"/>
      <c r="AN11" s="832"/>
      <c r="AO11" s="832"/>
      <c r="AP11" s="832"/>
      <c r="AQ11" s="832"/>
      <c r="AR11" s="832"/>
      <c r="AS11" s="832"/>
      <c r="AT11" s="832"/>
      <c r="AU11" s="148"/>
      <c r="AV11" s="146"/>
    </row>
    <row r="12" spans="1:48" ht="18.95" customHeight="1">
      <c r="A12" s="56"/>
      <c r="B12" s="65"/>
      <c r="C12" s="876" t="s">
        <v>82</v>
      </c>
      <c r="D12" s="877"/>
      <c r="E12" s="877"/>
      <c r="F12" s="878"/>
      <c r="G12" s="852" t="str">
        <f ca="1">INDIRECT("STUDENTS!B"&amp;($R$1-1)*12+4)</f>
        <v>ગોહેલ રાજેશભાઇ ચીથરભાઇ</v>
      </c>
      <c r="H12" s="853"/>
      <c r="I12" s="853"/>
      <c r="J12" s="853"/>
      <c r="K12" s="853"/>
      <c r="L12" s="853"/>
      <c r="M12" s="853"/>
      <c r="N12" s="853"/>
      <c r="O12" s="854"/>
      <c r="P12" s="848" t="s">
        <v>192</v>
      </c>
      <c r="Q12" s="849"/>
      <c r="R12" s="886">
        <f ca="1">INDIRECT("STUDENTS!D"&amp;($R$1-1)*12+4)</f>
        <v>1555</v>
      </c>
      <c r="S12" s="887"/>
      <c r="T12" s="887"/>
      <c r="U12" s="887"/>
      <c r="V12" s="888"/>
      <c r="W12" s="67"/>
      <c r="X12" s="55"/>
      <c r="Y12" s="142"/>
      <c r="Z12" s="147"/>
      <c r="AA12" s="385" t="s">
        <v>377</v>
      </c>
      <c r="AB12" s="777" t="s">
        <v>423</v>
      </c>
      <c r="AC12" s="777"/>
      <c r="AD12" s="777"/>
      <c r="AE12" s="777"/>
      <c r="AF12" s="777"/>
      <c r="AG12" s="777"/>
      <c r="AH12" s="777"/>
      <c r="AI12" s="777"/>
      <c r="AJ12" s="777"/>
      <c r="AK12" s="777"/>
      <c r="AL12" s="777" t="s">
        <v>427</v>
      </c>
      <c r="AM12" s="777"/>
      <c r="AN12" s="777"/>
      <c r="AO12" s="777" t="s">
        <v>428</v>
      </c>
      <c r="AP12" s="777"/>
      <c r="AQ12" s="777"/>
      <c r="AR12" s="777" t="s">
        <v>429</v>
      </c>
      <c r="AS12" s="777"/>
      <c r="AT12" s="777"/>
      <c r="AU12" s="148"/>
      <c r="AV12" s="146"/>
    </row>
    <row r="13" spans="1:48" ht="18.95" customHeight="1" thickBot="1">
      <c r="A13" s="56"/>
      <c r="B13" s="65"/>
      <c r="C13" s="771" t="s">
        <v>148</v>
      </c>
      <c r="D13" s="772"/>
      <c r="E13" s="773"/>
      <c r="F13" s="773"/>
      <c r="G13" s="774" t="s">
        <v>419</v>
      </c>
      <c r="H13" s="774"/>
      <c r="I13" s="775">
        <f>R1</f>
        <v>1</v>
      </c>
      <c r="J13" s="775"/>
      <c r="K13" s="776" t="s">
        <v>420</v>
      </c>
      <c r="L13" s="776"/>
      <c r="M13" s="776"/>
      <c r="N13" s="759">
        <f ca="1">INDIRECT("STUDENTS!H"&amp;($R$1-1)*12+10)</f>
        <v>231</v>
      </c>
      <c r="O13" s="759"/>
      <c r="P13" s="759"/>
      <c r="Q13" s="776" t="s">
        <v>421</v>
      </c>
      <c r="R13" s="776"/>
      <c r="S13" s="776"/>
      <c r="T13" s="759">
        <v>233</v>
      </c>
      <c r="U13" s="759"/>
      <c r="V13" s="760"/>
      <c r="W13" s="67"/>
      <c r="X13" s="55"/>
      <c r="Y13" s="142"/>
      <c r="Z13" s="147"/>
      <c r="AA13" s="380">
        <v>1</v>
      </c>
      <c r="AB13" s="783" t="str">
        <f>'PARINAM STD-2'!AL2</f>
        <v>શાળાએ નિયમિત અને સમયસર આવે છે.</v>
      </c>
      <c r="AC13" s="783"/>
      <c r="AD13" s="783"/>
      <c r="AE13" s="783"/>
      <c r="AF13" s="783"/>
      <c r="AG13" s="783"/>
      <c r="AH13" s="783"/>
      <c r="AI13" s="783"/>
      <c r="AJ13" s="783"/>
      <c r="AK13" s="783"/>
      <c r="AL13" s="846" t="str">
        <f ca="1">IF(INDIRECT("'PARINAM STD-2'!AL"&amp;$R$1+4)="A","√","")</f>
        <v>√</v>
      </c>
      <c r="AM13" s="846"/>
      <c r="AN13" s="846"/>
      <c r="AO13" s="846" t="str">
        <f ca="1">IF(INDIRECT("'PARINAM STD-2'!AL"&amp;$R$1+4)="B","√","")</f>
        <v/>
      </c>
      <c r="AP13" s="846"/>
      <c r="AQ13" s="846"/>
      <c r="AR13" s="846" t="str">
        <f ca="1">IF(INDIRECT("'PARINAM STD-2'!AL"&amp;$R$1+4)="C","√","")</f>
        <v/>
      </c>
      <c r="AS13" s="846"/>
      <c r="AT13" s="847"/>
      <c r="AU13" s="148"/>
      <c r="AV13" s="146"/>
    </row>
    <row r="14" spans="1:48" ht="18.95" customHeight="1">
      <c r="A14" s="56"/>
      <c r="B14" s="65"/>
      <c r="C14" s="57"/>
      <c r="D14" s="57"/>
      <c r="E14" s="57"/>
      <c r="F14" s="57"/>
      <c r="G14" s="57"/>
      <c r="H14" s="57"/>
      <c r="I14" s="57"/>
      <c r="J14" s="781" t="s">
        <v>269</v>
      </c>
      <c r="K14" s="781"/>
      <c r="L14" s="781"/>
      <c r="M14" s="781"/>
      <c r="N14" s="781"/>
      <c r="O14" s="781"/>
      <c r="P14" s="781"/>
      <c r="Q14" s="57"/>
      <c r="R14" s="57"/>
      <c r="S14" s="57"/>
      <c r="T14" s="57"/>
      <c r="U14" s="57"/>
      <c r="V14" s="57"/>
      <c r="W14" s="67"/>
      <c r="X14" s="55"/>
      <c r="Y14" s="142"/>
      <c r="Z14" s="147"/>
      <c r="AA14" s="381">
        <v>2</v>
      </c>
      <c r="AB14" s="752" t="str">
        <f>'PARINAM STD-2'!AM2</f>
        <v>શરીર અને કપડાં સ્વચ્છ રાખે છે.</v>
      </c>
      <c r="AC14" s="752"/>
      <c r="AD14" s="752"/>
      <c r="AE14" s="752"/>
      <c r="AF14" s="752"/>
      <c r="AG14" s="752"/>
      <c r="AH14" s="752" t="s">
        <v>208</v>
      </c>
      <c r="AI14" s="752"/>
      <c r="AJ14" s="752"/>
      <c r="AK14" s="752"/>
      <c r="AL14" s="850" t="str">
        <f ca="1">IF(INDIRECT("'PARINAM STD-2'!AM"&amp;$R$1+4)="A","√","")</f>
        <v>√</v>
      </c>
      <c r="AM14" s="850"/>
      <c r="AN14" s="850"/>
      <c r="AO14" s="850" t="str">
        <f ca="1">IF(INDIRECT("'PARINAM STD-2'!AM"&amp;$R$1+4)="B","√","")</f>
        <v/>
      </c>
      <c r="AP14" s="850"/>
      <c r="AQ14" s="850"/>
      <c r="AR14" s="850" t="str">
        <f ca="1">IF(INDIRECT("'PARINAM STD-2'!AM"&amp;$R$1+4)="C","√","")</f>
        <v/>
      </c>
      <c r="AS14" s="850"/>
      <c r="AT14" s="851"/>
      <c r="AU14" s="148"/>
      <c r="AV14" s="146"/>
    </row>
    <row r="15" spans="1:48" ht="18.95" customHeight="1">
      <c r="A15" s="56"/>
      <c r="B15" s="65"/>
      <c r="C15" s="57"/>
      <c r="D15" s="57"/>
      <c r="E15" s="57"/>
      <c r="F15" s="57"/>
      <c r="G15" s="57"/>
      <c r="H15" s="57"/>
      <c r="I15" s="57"/>
      <c r="J15" s="782" t="s">
        <v>342</v>
      </c>
      <c r="K15" s="782"/>
      <c r="L15" s="782"/>
      <c r="M15" s="782"/>
      <c r="N15" s="782"/>
      <c r="O15" s="782"/>
      <c r="P15" s="782"/>
      <c r="Q15" s="378"/>
      <c r="R15" s="378"/>
      <c r="S15" s="57"/>
      <c r="T15" s="57"/>
      <c r="U15" s="42"/>
      <c r="V15" s="42"/>
      <c r="W15" s="68"/>
      <c r="X15" s="55"/>
      <c r="Y15" s="142"/>
      <c r="Z15" s="147"/>
      <c r="AA15" s="381">
        <v>3</v>
      </c>
      <c r="AB15" s="752" t="str">
        <f>'PARINAM STD-2'!AN2</f>
        <v>વર્ગમાં અન્ય બાળકો સાથે હળીમળીને રહે છે.</v>
      </c>
      <c r="AC15" s="752"/>
      <c r="AD15" s="752"/>
      <c r="AE15" s="752"/>
      <c r="AF15" s="752"/>
      <c r="AG15" s="752"/>
      <c r="AH15" s="752"/>
      <c r="AI15" s="752"/>
      <c r="AJ15" s="752"/>
      <c r="AK15" s="752"/>
      <c r="AL15" s="850" t="str">
        <f ca="1">IF(INDIRECT("'PARINAM STD-2'!AN"&amp;$R$1+4)="A","√","")</f>
        <v/>
      </c>
      <c r="AM15" s="850"/>
      <c r="AN15" s="850"/>
      <c r="AO15" s="850" t="str">
        <f ca="1">IF(INDIRECT("'PARINAM STD-2'!AN"&amp;$R$1+4)="B","√","")</f>
        <v>√</v>
      </c>
      <c r="AP15" s="850"/>
      <c r="AQ15" s="850"/>
      <c r="AR15" s="850" t="str">
        <f ca="1">IF(INDIRECT("'PARINAM STD-2'!AN"&amp;$R$1+4)="C","√","")</f>
        <v/>
      </c>
      <c r="AS15" s="850"/>
      <c r="AT15" s="851"/>
      <c r="AU15" s="148"/>
      <c r="AV15" s="146"/>
    </row>
    <row r="16" spans="1:48" ht="18.95" customHeight="1">
      <c r="A16" s="56"/>
      <c r="B16" s="65"/>
      <c r="C16" s="855" t="s">
        <v>476</v>
      </c>
      <c r="D16" s="855"/>
      <c r="E16" s="855"/>
      <c r="F16" s="855"/>
      <c r="G16" s="855"/>
      <c r="H16" s="855"/>
      <c r="I16" s="855"/>
      <c r="J16" s="855"/>
      <c r="K16" s="855"/>
      <c r="L16" s="855"/>
      <c r="M16" s="855"/>
      <c r="N16" s="855"/>
      <c r="O16" s="855"/>
      <c r="P16" s="855"/>
      <c r="Q16" s="855"/>
      <c r="R16" s="855"/>
      <c r="S16" s="855"/>
      <c r="T16" s="855"/>
      <c r="U16" s="855"/>
      <c r="V16" s="855"/>
      <c r="W16" s="69"/>
      <c r="X16" s="55"/>
      <c r="Y16" s="142"/>
      <c r="Z16" s="147"/>
      <c r="AA16" s="381">
        <v>4</v>
      </c>
      <c r="AB16" s="752" t="str">
        <f>'PARINAM STD-2'!AO2</f>
        <v>વર્ગ અને શાળાની સફાઇમાં ભાગ લે છે.</v>
      </c>
      <c r="AC16" s="752"/>
      <c r="AD16" s="752"/>
      <c r="AE16" s="752"/>
      <c r="AF16" s="752"/>
      <c r="AG16" s="752"/>
      <c r="AH16" s="752"/>
      <c r="AI16" s="752"/>
      <c r="AJ16" s="752"/>
      <c r="AK16" s="752"/>
      <c r="AL16" s="850" t="str">
        <f ca="1">IF(INDIRECT("'PARINAM STD-2'!AO"&amp;$R$1+4)="A","√","")</f>
        <v/>
      </c>
      <c r="AM16" s="850"/>
      <c r="AN16" s="850"/>
      <c r="AO16" s="850" t="str">
        <f ca="1">IF(INDIRECT("'PARINAM STD-2'!AO"&amp;$R$1+4)="B","√","")</f>
        <v>√</v>
      </c>
      <c r="AP16" s="850"/>
      <c r="AQ16" s="850"/>
      <c r="AR16" s="850" t="str">
        <f ca="1">IF(INDIRECT("'PARINAM STD-2'!AO"&amp;$R$1+4)="C","√","")</f>
        <v/>
      </c>
      <c r="AS16" s="850"/>
      <c r="AT16" s="851"/>
      <c r="AU16" s="148"/>
      <c r="AV16" s="146"/>
    </row>
    <row r="17" spans="1:48" ht="18.95" customHeight="1">
      <c r="A17" s="56"/>
      <c r="B17" s="65"/>
      <c r="C17" s="383" t="s">
        <v>377</v>
      </c>
      <c r="D17" s="856" t="s">
        <v>423</v>
      </c>
      <c r="E17" s="856"/>
      <c r="F17" s="856"/>
      <c r="G17" s="856"/>
      <c r="H17" s="856"/>
      <c r="I17" s="856"/>
      <c r="J17" s="856"/>
      <c r="K17" s="856"/>
      <c r="L17" s="856"/>
      <c r="M17" s="856"/>
      <c r="N17" s="856" t="s">
        <v>424</v>
      </c>
      <c r="O17" s="856"/>
      <c r="P17" s="856"/>
      <c r="Q17" s="856" t="s">
        <v>425</v>
      </c>
      <c r="R17" s="856"/>
      <c r="S17" s="856"/>
      <c r="T17" s="856" t="s">
        <v>426</v>
      </c>
      <c r="U17" s="856"/>
      <c r="V17" s="856"/>
      <c r="W17" s="69"/>
      <c r="X17" s="55"/>
      <c r="Y17" s="142"/>
      <c r="Z17" s="147"/>
      <c r="AA17" s="381">
        <v>5</v>
      </c>
      <c r="AB17" s="752" t="str">
        <f>'PARINAM STD-2'!AP2</f>
        <v>ઉત્સવો અને રાષ્ટ્રીય પર્વોની ઉજવણીમાં ભાગ લે છે.</v>
      </c>
      <c r="AC17" s="752"/>
      <c r="AD17" s="752"/>
      <c r="AE17" s="752"/>
      <c r="AF17" s="752"/>
      <c r="AG17" s="752"/>
      <c r="AH17" s="752"/>
      <c r="AI17" s="752"/>
      <c r="AJ17" s="752"/>
      <c r="AK17" s="752"/>
      <c r="AL17" s="850" t="str">
        <f ca="1">IF(INDIRECT("'PARINAM STD-2'!AP"&amp;$R$1+4)="A","√","")</f>
        <v/>
      </c>
      <c r="AM17" s="850"/>
      <c r="AN17" s="850"/>
      <c r="AO17" s="850" t="str">
        <f ca="1">IF(INDIRECT("'PARINAM STD-2'!AP"&amp;$R$1+4)="B","√","")</f>
        <v>√</v>
      </c>
      <c r="AP17" s="850"/>
      <c r="AQ17" s="850"/>
      <c r="AR17" s="850" t="str">
        <f ca="1">IF(INDIRECT("'PARINAM STD-2'!AP"&amp;$R$1+4)="C","√","")</f>
        <v/>
      </c>
      <c r="AS17" s="850"/>
      <c r="AT17" s="851"/>
      <c r="AU17" s="148"/>
      <c r="AV17" s="146"/>
    </row>
    <row r="18" spans="1:48" ht="18.95" customHeight="1">
      <c r="A18" s="56"/>
      <c r="B18" s="65"/>
      <c r="C18" s="380">
        <v>1</v>
      </c>
      <c r="D18" s="761" t="str">
        <f>'PARINAM STD-2'!D$2</f>
        <v>ગીતો/જોડકણા/રાષ્ટ્રગીત આવડે છે / ગાય છે.</v>
      </c>
      <c r="E18" s="762"/>
      <c r="F18" s="762"/>
      <c r="G18" s="762"/>
      <c r="H18" s="762"/>
      <c r="I18" s="762"/>
      <c r="J18" s="762"/>
      <c r="K18" s="762"/>
      <c r="L18" s="762"/>
      <c r="M18" s="763"/>
      <c r="N18" s="861" t="str">
        <f ca="1">IF(INDIRECT("'PARINAM STD-2'!D"&amp;$R$1+4)="A","√","")</f>
        <v>√</v>
      </c>
      <c r="O18" s="858"/>
      <c r="P18" s="860"/>
      <c r="Q18" s="857" t="str">
        <f ca="1">IF(INDIRECT("'PARINAM STD-2'!D"&amp;$R$1+4)="B","√","")</f>
        <v/>
      </c>
      <c r="R18" s="858"/>
      <c r="S18" s="860"/>
      <c r="T18" s="857" t="str">
        <f ca="1">IF(INDIRECT("'PARINAM STD-2'!D"&amp;$R$1+4)="C","√","")</f>
        <v/>
      </c>
      <c r="U18" s="858"/>
      <c r="V18" s="859"/>
      <c r="W18" s="69"/>
      <c r="X18" s="55"/>
      <c r="Y18" s="142"/>
      <c r="Z18" s="147"/>
      <c r="AA18" s="381">
        <v>6</v>
      </c>
      <c r="AB18" s="752" t="str">
        <f>'PARINAM STD-2'!AQ2</f>
        <v>રમતો અને પ્રવૃત્તિમાં હોંશથી ભાગ લે છે.</v>
      </c>
      <c r="AC18" s="752"/>
      <c r="AD18" s="752"/>
      <c r="AE18" s="752"/>
      <c r="AF18" s="752"/>
      <c r="AG18" s="752"/>
      <c r="AH18" s="752"/>
      <c r="AI18" s="752"/>
      <c r="AJ18" s="752"/>
      <c r="AK18" s="752"/>
      <c r="AL18" s="850" t="str">
        <f ca="1">IF(INDIRECT("'PARINAM STD-2'!AQ"&amp;$R$1+4)="A","√","")</f>
        <v/>
      </c>
      <c r="AM18" s="850"/>
      <c r="AN18" s="850"/>
      <c r="AO18" s="850" t="str">
        <f ca="1">IF(INDIRECT("'PARINAM STD-2'!AQ"&amp;$R$1+4)="B","√","")</f>
        <v>√</v>
      </c>
      <c r="AP18" s="850"/>
      <c r="AQ18" s="850"/>
      <c r="AR18" s="850" t="str">
        <f ca="1">IF(INDIRECT("'PARINAM STD-2'!AQ"&amp;$R$1+4)="C","√","")</f>
        <v/>
      </c>
      <c r="AS18" s="850"/>
      <c r="AT18" s="851"/>
      <c r="AU18" s="148"/>
      <c r="AV18" s="146"/>
    </row>
    <row r="19" spans="1:48" ht="18.95" customHeight="1">
      <c r="A19" s="56"/>
      <c r="B19" s="65"/>
      <c r="C19" s="381">
        <v>2</v>
      </c>
      <c r="D19" s="838" t="str">
        <f>'PARINAM STD-2'!E$2</f>
        <v>વાર્તાઓ આવડે છે.</v>
      </c>
      <c r="E19" s="839"/>
      <c r="F19" s="839"/>
      <c r="G19" s="839"/>
      <c r="H19" s="839"/>
      <c r="I19" s="839"/>
      <c r="J19" s="839"/>
      <c r="K19" s="839"/>
      <c r="L19" s="839"/>
      <c r="M19" s="840"/>
      <c r="N19" s="841" t="str">
        <f ca="1">IF(INDIRECT("'PARINAM STD-2'!E"&amp;$R$1+4)="A","√","")</f>
        <v>√</v>
      </c>
      <c r="O19" s="842"/>
      <c r="P19" s="843"/>
      <c r="Q19" s="844" t="str">
        <f ca="1">IF(INDIRECT("'PARINAM STD-2'!E"&amp;$R$1+4)="B","√","")</f>
        <v/>
      </c>
      <c r="R19" s="842"/>
      <c r="S19" s="843"/>
      <c r="T19" s="844" t="str">
        <f ca="1">IF(INDIRECT("'PARINAM STD-2'!E"&amp;$R$1+4)="C","√","")</f>
        <v/>
      </c>
      <c r="U19" s="842"/>
      <c r="V19" s="845"/>
      <c r="W19" s="69"/>
      <c r="X19" s="55"/>
      <c r="Y19" s="142"/>
      <c r="Z19" s="147"/>
      <c r="AA19" s="381">
        <v>7</v>
      </c>
      <c r="AB19" s="752" t="str">
        <f>'PARINAM STD-2'!AR2</f>
        <v>પ્રાર્થના સંમેલનમાં યોગદાન આપે છે.</v>
      </c>
      <c r="AC19" s="752"/>
      <c r="AD19" s="752"/>
      <c r="AE19" s="752"/>
      <c r="AF19" s="752"/>
      <c r="AG19" s="752"/>
      <c r="AH19" s="752"/>
      <c r="AI19" s="752"/>
      <c r="AJ19" s="752"/>
      <c r="AK19" s="752"/>
      <c r="AL19" s="850" t="str">
        <f ca="1">IF(INDIRECT("'PARINAM STD-2'!AR"&amp;$R$1+4)="A","√","")</f>
        <v/>
      </c>
      <c r="AM19" s="850"/>
      <c r="AN19" s="850"/>
      <c r="AO19" s="850" t="str">
        <f ca="1">IF(INDIRECT("'PARINAM STD-2'!AR"&amp;$R$1+4)="B","√","")</f>
        <v>√</v>
      </c>
      <c r="AP19" s="850"/>
      <c r="AQ19" s="850"/>
      <c r="AR19" s="850" t="str">
        <f ca="1">IF(INDIRECT("'PARINAM STD-2'!AR"&amp;$R$1+4)="C","√","")</f>
        <v/>
      </c>
      <c r="AS19" s="850"/>
      <c r="AT19" s="851"/>
      <c r="AU19" s="148"/>
      <c r="AV19" s="146"/>
    </row>
    <row r="20" spans="1:48" ht="18.95" customHeight="1">
      <c r="A20" s="56"/>
      <c r="B20" s="65"/>
      <c r="C20" s="381">
        <v>3</v>
      </c>
      <c r="D20" s="838" t="str">
        <f>'PARINAM STD-2'!F$2</f>
        <v>સર્જનાત્મક પ્રવૃત્તિઓ - ચિત્રકામ, માટીકામ, કાગળકામ વગેરે કરે છે.</v>
      </c>
      <c r="E20" s="839"/>
      <c r="F20" s="839"/>
      <c r="G20" s="839"/>
      <c r="H20" s="839"/>
      <c r="I20" s="839"/>
      <c r="J20" s="839"/>
      <c r="K20" s="839"/>
      <c r="L20" s="839"/>
      <c r="M20" s="840"/>
      <c r="N20" s="841" t="str">
        <f ca="1">IF(INDIRECT("'PARINAM STD-2'!F"&amp;$R$1+4)="A","√","")</f>
        <v>√</v>
      </c>
      <c r="O20" s="842"/>
      <c r="P20" s="843"/>
      <c r="Q20" s="844" t="str">
        <f ca="1">IF(INDIRECT("'PARINAM STD-2'!F"&amp;$R$1+4)="B","√","")</f>
        <v/>
      </c>
      <c r="R20" s="842"/>
      <c r="S20" s="843"/>
      <c r="T20" s="844" t="str">
        <f ca="1">IF(INDIRECT("'PARINAM STD-2'!F"&amp;$R$1+4)="C","√","")</f>
        <v/>
      </c>
      <c r="U20" s="842"/>
      <c r="V20" s="845"/>
      <c r="W20" s="67"/>
      <c r="X20" s="55"/>
      <c r="Y20" s="142"/>
      <c r="Z20" s="147"/>
      <c r="AA20" s="381">
        <v>8</v>
      </c>
      <c r="AB20" s="752" t="str">
        <f>'PARINAM STD-2'!AS2</f>
        <v>રસપૂર્વક અવલોકન કરે છે.</v>
      </c>
      <c r="AC20" s="752"/>
      <c r="AD20" s="752"/>
      <c r="AE20" s="752"/>
      <c r="AF20" s="752"/>
      <c r="AG20" s="752"/>
      <c r="AH20" s="752"/>
      <c r="AI20" s="752"/>
      <c r="AJ20" s="752"/>
      <c r="AK20" s="752"/>
      <c r="AL20" s="850" t="str">
        <f ca="1">IF(INDIRECT("'PARINAM STD-2'!AS"&amp;$R$1+4)="A","√","")</f>
        <v/>
      </c>
      <c r="AM20" s="850"/>
      <c r="AN20" s="850"/>
      <c r="AO20" s="850" t="str">
        <f ca="1">IF(INDIRECT("'PARINAM STD-2'!AS"&amp;$R$1+4)="B","√","")</f>
        <v>√</v>
      </c>
      <c r="AP20" s="850"/>
      <c r="AQ20" s="850"/>
      <c r="AR20" s="850" t="str">
        <f ca="1">IF(INDIRECT("'PARINAM STD-2'!AS"&amp;$R$1+4)="C","√","")</f>
        <v/>
      </c>
      <c r="AS20" s="850"/>
      <c r="AT20" s="851"/>
      <c r="AU20" s="148"/>
      <c r="AV20" s="146"/>
    </row>
    <row r="21" spans="1:48" ht="18.95" customHeight="1">
      <c r="A21" s="58"/>
      <c r="B21" s="70"/>
      <c r="C21" s="381">
        <v>4</v>
      </c>
      <c r="D21" s="838" t="str">
        <f>'PARINAM STD-2'!G$2</f>
        <v>રમતો રમે છે.</v>
      </c>
      <c r="E21" s="839"/>
      <c r="F21" s="839"/>
      <c r="G21" s="839"/>
      <c r="H21" s="839"/>
      <c r="I21" s="839"/>
      <c r="J21" s="839"/>
      <c r="K21" s="839"/>
      <c r="L21" s="839"/>
      <c r="M21" s="840"/>
      <c r="N21" s="841" t="str">
        <f ca="1">IF(INDIRECT("'PARINAM STD-2'!G"&amp;$R$1+4)="A","√","")</f>
        <v>√</v>
      </c>
      <c r="O21" s="842"/>
      <c r="P21" s="843"/>
      <c r="Q21" s="844" t="str">
        <f ca="1">IF(INDIRECT("'PARINAM STD-2'!G"&amp;$R$1+4)="B","√","")</f>
        <v/>
      </c>
      <c r="R21" s="842"/>
      <c r="S21" s="843"/>
      <c r="T21" s="844" t="str">
        <f ca="1">IF(INDIRECT("'PARINAM STD-2'!G"&amp;$R$1+4)="C","√","")</f>
        <v/>
      </c>
      <c r="U21" s="842"/>
      <c r="V21" s="845"/>
      <c r="W21" s="71"/>
      <c r="X21" s="59"/>
      <c r="Y21" s="142"/>
      <c r="Z21" s="147"/>
      <c r="AA21" s="381">
        <v>9</v>
      </c>
      <c r="AB21" s="752" t="str">
        <f>'PARINAM STD-2'!AT2</f>
        <v>જિજ્ઞાસુ છે. નવું નવું જાણવા પ્રયત્ન કરે છે.</v>
      </c>
      <c r="AC21" s="752"/>
      <c r="AD21" s="752"/>
      <c r="AE21" s="752"/>
      <c r="AF21" s="752"/>
      <c r="AG21" s="752"/>
      <c r="AH21" s="752"/>
      <c r="AI21" s="752"/>
      <c r="AJ21" s="752"/>
      <c r="AK21" s="752"/>
      <c r="AL21" s="850" t="str">
        <f ca="1">IF(INDIRECT("'PARINAM STD-2'!AT"&amp;$R$1+4)="A","√","")</f>
        <v/>
      </c>
      <c r="AM21" s="850"/>
      <c r="AN21" s="850"/>
      <c r="AO21" s="850" t="str">
        <f ca="1">IF(INDIRECT("'PARINAM STD-2'!AT"&amp;$R$1+4)="B","√","")</f>
        <v>√</v>
      </c>
      <c r="AP21" s="850"/>
      <c r="AQ21" s="850"/>
      <c r="AR21" s="850" t="str">
        <f ca="1">IF(INDIRECT("'PARINAM STD-2'!AT"&amp;$R$1+4)="C","√","")</f>
        <v/>
      </c>
      <c r="AS21" s="850"/>
      <c r="AT21" s="851"/>
      <c r="AU21" s="148"/>
      <c r="AV21" s="146"/>
    </row>
    <row r="22" spans="1:48" ht="18.95" customHeight="1">
      <c r="A22" s="56"/>
      <c r="B22" s="65"/>
      <c r="C22" s="381">
        <v>5</v>
      </c>
      <c r="D22" s="838" t="str">
        <f>'PARINAM STD-2'!H$2</f>
        <v>વર્ગીકરણ કરે છે.</v>
      </c>
      <c r="E22" s="839"/>
      <c r="F22" s="839"/>
      <c r="G22" s="839"/>
      <c r="H22" s="839"/>
      <c r="I22" s="839"/>
      <c r="J22" s="839"/>
      <c r="K22" s="839"/>
      <c r="L22" s="839"/>
      <c r="M22" s="840"/>
      <c r="N22" s="841" t="str">
        <f ca="1">IF(INDIRECT("'PARINAM STD-2'!H"&amp;$R$1+4)="A","√","")</f>
        <v/>
      </c>
      <c r="O22" s="842"/>
      <c r="P22" s="843"/>
      <c r="Q22" s="844" t="str">
        <f ca="1">IF(INDIRECT("'PARINAM STD-2'!H"&amp;$R$1+4)="B","√","")</f>
        <v>√</v>
      </c>
      <c r="R22" s="842"/>
      <c r="S22" s="843"/>
      <c r="T22" s="844" t="str">
        <f ca="1">IF(INDIRECT("'PARINAM STD-2'!H"&amp;$R$1+4)="C","√","")</f>
        <v/>
      </c>
      <c r="U22" s="842"/>
      <c r="V22" s="845"/>
      <c r="W22" s="72"/>
      <c r="X22" s="55"/>
      <c r="Y22" s="142"/>
      <c r="Z22" s="147"/>
      <c r="AA22" s="381">
        <v>10</v>
      </c>
      <c r="AB22" s="752" t="str">
        <f>'PARINAM STD-2'!AU2</f>
        <v>પશુ-પંખીઓ તરફ પ્રેમભાવ રાખે છે.</v>
      </c>
      <c r="AC22" s="752"/>
      <c r="AD22" s="752"/>
      <c r="AE22" s="752"/>
      <c r="AF22" s="752"/>
      <c r="AG22" s="752"/>
      <c r="AH22" s="752"/>
      <c r="AI22" s="752"/>
      <c r="AJ22" s="752"/>
      <c r="AK22" s="752"/>
      <c r="AL22" s="850" t="str">
        <f ca="1">IF(INDIRECT("'PARINAM STD-2'!AU"&amp;$R$1+4)="A","√","")</f>
        <v/>
      </c>
      <c r="AM22" s="850"/>
      <c r="AN22" s="850"/>
      <c r="AO22" s="850" t="str">
        <f ca="1">IF(INDIRECT("'PARINAM STD-2'!AU"&amp;$R$1+4)="B","√","")</f>
        <v>√</v>
      </c>
      <c r="AP22" s="850"/>
      <c r="AQ22" s="850"/>
      <c r="AR22" s="850" t="str">
        <f ca="1">IF(INDIRECT("'PARINAM STD-2'!AU"&amp;$R$1+4)="C","√","")</f>
        <v/>
      </c>
      <c r="AS22" s="850"/>
      <c r="AT22" s="851"/>
      <c r="AU22" s="148"/>
      <c r="AV22" s="146"/>
    </row>
    <row r="23" spans="1:48" ht="18.95" customHeight="1">
      <c r="A23" s="56"/>
      <c r="B23" s="65"/>
      <c r="C23" s="381">
        <v>6</v>
      </c>
      <c r="D23" s="838" t="str">
        <f>'PARINAM STD-2'!I$2</f>
        <v>દિશાઓ ઓળખે છે અને કહી શકે છે.</v>
      </c>
      <c r="E23" s="839"/>
      <c r="F23" s="839"/>
      <c r="G23" s="839"/>
      <c r="H23" s="839"/>
      <c r="I23" s="839"/>
      <c r="J23" s="839"/>
      <c r="K23" s="839"/>
      <c r="L23" s="839"/>
      <c r="M23" s="840"/>
      <c r="N23" s="841" t="str">
        <f ca="1">IF(INDIRECT("'PARINAM STD-2'!I"&amp;$R$1+4)="A","√","")</f>
        <v>√</v>
      </c>
      <c r="O23" s="842"/>
      <c r="P23" s="843"/>
      <c r="Q23" s="844" t="str">
        <f ca="1">IF(INDIRECT("'PARINAM STD-2'!I"&amp;$R$1+4)="B","√","")</f>
        <v/>
      </c>
      <c r="R23" s="842"/>
      <c r="S23" s="843"/>
      <c r="T23" s="844" t="str">
        <f ca="1">IF(INDIRECT("'PARINAM STD-2'!I"&amp;$R$1+4)="C","√","")</f>
        <v/>
      </c>
      <c r="U23" s="842"/>
      <c r="V23" s="845"/>
      <c r="W23" s="72"/>
      <c r="X23" s="55"/>
      <c r="Y23" s="142"/>
      <c r="Z23" s="147"/>
      <c r="AA23" s="382">
        <v>11</v>
      </c>
      <c r="AB23" s="765" t="str">
        <f>'PARINAM STD-2'!AV2</f>
        <v>પોતાને ભાગે આવેલું કાર્ય હોંશથી કરે છે.</v>
      </c>
      <c r="AC23" s="765"/>
      <c r="AD23" s="765"/>
      <c r="AE23" s="765"/>
      <c r="AF23" s="765"/>
      <c r="AG23" s="765"/>
      <c r="AH23" s="765"/>
      <c r="AI23" s="765"/>
      <c r="AJ23" s="765"/>
      <c r="AK23" s="765"/>
      <c r="AL23" s="889" t="str">
        <f ca="1">IF(INDIRECT("'PARINAM STD-2'!AV"&amp;$R$1+4)="A","√","")</f>
        <v/>
      </c>
      <c r="AM23" s="889"/>
      <c r="AN23" s="889"/>
      <c r="AO23" s="889" t="str">
        <f ca="1">IF(INDIRECT("'PARINAM STD-2'!AV"&amp;$R$1+4)="B","√","")</f>
        <v>√</v>
      </c>
      <c r="AP23" s="889"/>
      <c r="AQ23" s="889"/>
      <c r="AR23" s="889" t="str">
        <f ca="1">IF(INDIRECT("'PARINAM STD-2'!AV"&amp;$R$1+4)="C","√","")</f>
        <v/>
      </c>
      <c r="AS23" s="889"/>
      <c r="AT23" s="896"/>
      <c r="AU23" s="148"/>
      <c r="AV23" s="146"/>
    </row>
    <row r="24" spans="1:48" ht="18.95" customHeight="1">
      <c r="A24" s="56"/>
      <c r="B24" s="65"/>
      <c r="C24" s="381">
        <v>7</v>
      </c>
      <c r="D24" s="838" t="str">
        <f>'PARINAM STD-2'!J$2</f>
        <v>સાંભળેલી વિગતોમાંથી મુખ્ય વિચાર સમજે છે.</v>
      </c>
      <c r="E24" s="839"/>
      <c r="F24" s="839"/>
      <c r="G24" s="839"/>
      <c r="H24" s="839"/>
      <c r="I24" s="839"/>
      <c r="J24" s="839"/>
      <c r="K24" s="839"/>
      <c r="L24" s="839"/>
      <c r="M24" s="840"/>
      <c r="N24" s="841" t="str">
        <f ca="1">IF(INDIRECT("'PARINAM STD-2'!J"&amp;$R$1+4)="A","√","")</f>
        <v/>
      </c>
      <c r="O24" s="842"/>
      <c r="P24" s="843"/>
      <c r="Q24" s="844" t="str">
        <f ca="1">IF(INDIRECT("'PARINAM STD-2'!J"&amp;$R$1+4)="B","√","")</f>
        <v>√</v>
      </c>
      <c r="R24" s="842"/>
      <c r="S24" s="843"/>
      <c r="T24" s="844" t="str">
        <f ca="1">IF(INDIRECT("'PARINAM STD-2'!J"&amp;$R$1+4)="C","√","")</f>
        <v/>
      </c>
      <c r="U24" s="842"/>
      <c r="V24" s="845"/>
      <c r="W24" s="72"/>
      <c r="X24" s="55"/>
      <c r="Y24" s="142"/>
      <c r="Z24" s="147"/>
      <c r="AA24" s="386"/>
      <c r="AB24" s="388"/>
      <c r="AC24" s="388"/>
      <c r="AD24" s="388"/>
      <c r="AE24" s="388"/>
      <c r="AF24" s="388"/>
      <c r="AG24" s="388"/>
      <c r="AH24" s="388"/>
      <c r="AI24" s="387"/>
      <c r="AJ24" s="387"/>
      <c r="AK24" s="387"/>
      <c r="AL24" s="387"/>
      <c r="AM24" s="387"/>
      <c r="AN24" s="387"/>
      <c r="AO24" s="387"/>
      <c r="AP24" s="387"/>
      <c r="AQ24" s="387"/>
      <c r="AR24" s="387"/>
      <c r="AS24" s="387"/>
      <c r="AT24" s="387"/>
      <c r="AU24" s="148"/>
      <c r="AV24" s="146"/>
    </row>
    <row r="25" spans="1:48" ht="18.95" customHeight="1">
      <c r="A25" s="56"/>
      <c r="B25" s="65"/>
      <c r="C25" s="381">
        <v>8</v>
      </c>
      <c r="D25" s="838" t="str">
        <f>'PARINAM STD-2'!K$2</f>
        <v>અપરિચિત વાતચીત સમજે છે.</v>
      </c>
      <c r="E25" s="839"/>
      <c r="F25" s="839"/>
      <c r="G25" s="839"/>
      <c r="H25" s="839"/>
      <c r="I25" s="839"/>
      <c r="J25" s="839"/>
      <c r="K25" s="839"/>
      <c r="L25" s="839"/>
      <c r="M25" s="840"/>
      <c r="N25" s="841" t="str">
        <f ca="1">IF(INDIRECT("'PARINAM STD-2'!K"&amp;$R$1+4)="A","√","")</f>
        <v/>
      </c>
      <c r="O25" s="842"/>
      <c r="P25" s="843"/>
      <c r="Q25" s="844" t="str">
        <f ca="1">IF(INDIRECT("'PARINAM STD-2'!K"&amp;$R$1+4)="B","√","")</f>
        <v>√</v>
      </c>
      <c r="R25" s="842"/>
      <c r="S25" s="843"/>
      <c r="T25" s="844" t="str">
        <f ca="1">IF(INDIRECT("'PARINAM STD-2'!K"&amp;$R$1+4)="C","√","")</f>
        <v/>
      </c>
      <c r="U25" s="842"/>
      <c r="V25" s="845"/>
      <c r="W25" s="73"/>
      <c r="X25" s="55"/>
      <c r="Y25" s="142"/>
      <c r="Z25" s="147"/>
      <c r="AA25" s="295" t="s">
        <v>438</v>
      </c>
      <c r="AT25" s="403" t="s">
        <v>439</v>
      </c>
      <c r="AU25" s="148"/>
      <c r="AV25" s="146"/>
    </row>
    <row r="26" spans="1:48" ht="18.95" customHeight="1">
      <c r="A26" s="56"/>
      <c r="B26" s="65"/>
      <c r="C26" s="381">
        <v>9</v>
      </c>
      <c r="D26" s="838" t="str">
        <f>'PARINAM STD-2'!L$2</f>
        <v>પ્રશ્નોના જવાબ આપે છે.</v>
      </c>
      <c r="E26" s="839"/>
      <c r="F26" s="839"/>
      <c r="G26" s="839"/>
      <c r="H26" s="839"/>
      <c r="I26" s="839"/>
      <c r="J26" s="839"/>
      <c r="K26" s="839"/>
      <c r="L26" s="839"/>
      <c r="M26" s="840"/>
      <c r="N26" s="841" t="str">
        <f ca="1">IF(INDIRECT("'PARINAM STD-2'!L"&amp;$R$1+4)="A","√","")</f>
        <v>√</v>
      </c>
      <c r="O26" s="842"/>
      <c r="P26" s="843"/>
      <c r="Q26" s="844" t="str">
        <f ca="1">IF(INDIRECT("'PARINAM STD-2'!L"&amp;$R$1+4)="B","√","")</f>
        <v/>
      </c>
      <c r="R26" s="842"/>
      <c r="S26" s="843"/>
      <c r="T26" s="844" t="str">
        <f ca="1">IF(INDIRECT("'PARINAM STD-2'!L"&amp;$R$1+4)="C","√","")</f>
        <v/>
      </c>
      <c r="U26" s="842"/>
      <c r="V26" s="845"/>
      <c r="W26" s="73"/>
      <c r="X26" s="55"/>
      <c r="Y26" s="142"/>
      <c r="Z26" s="147"/>
      <c r="AA26" s="801" t="s">
        <v>430</v>
      </c>
      <c r="AB26" s="801"/>
      <c r="AC26" s="801"/>
      <c r="AD26" s="801"/>
      <c r="AE26" s="801"/>
      <c r="AF26" s="801"/>
      <c r="AG26" s="801"/>
      <c r="AH26" s="801"/>
      <c r="AI26" s="801"/>
      <c r="AJ26" s="801"/>
      <c r="AK26" s="801"/>
      <c r="AL26" s="801"/>
      <c r="AM26" s="801"/>
      <c r="AN26" s="801"/>
      <c r="AO26" s="801"/>
      <c r="AP26" s="801"/>
      <c r="AQ26" s="801"/>
      <c r="AR26" s="801"/>
      <c r="AS26" s="801"/>
      <c r="AT26" s="801"/>
      <c r="AU26" s="148"/>
      <c r="AV26" s="146"/>
    </row>
    <row r="27" spans="1:48" ht="18.95" customHeight="1">
      <c r="A27" s="56"/>
      <c r="B27" s="65"/>
      <c r="C27" s="381">
        <v>10</v>
      </c>
      <c r="D27" s="838" t="str">
        <f>'PARINAM STD-2'!M$2</f>
        <v>પાઠનું વાંચન મોટેથી કરી શકે છે.</v>
      </c>
      <c r="E27" s="839"/>
      <c r="F27" s="839"/>
      <c r="G27" s="839"/>
      <c r="H27" s="839"/>
      <c r="I27" s="839"/>
      <c r="J27" s="839"/>
      <c r="K27" s="839"/>
      <c r="L27" s="839"/>
      <c r="M27" s="840"/>
      <c r="N27" s="841" t="str">
        <f ca="1">IF(INDIRECT("'PARINAM STD-2'!M"&amp;$R$1+4)="A","√","")</f>
        <v>√</v>
      </c>
      <c r="O27" s="842"/>
      <c r="P27" s="843"/>
      <c r="Q27" s="844" t="str">
        <f ca="1">IF(INDIRECT("'PARINAM STD-2'!M"&amp;$R$1+4)="B","√","")</f>
        <v/>
      </c>
      <c r="R27" s="842"/>
      <c r="S27" s="843"/>
      <c r="T27" s="844" t="str">
        <f ca="1">IF(INDIRECT("'PARINAM STD-2'!M"&amp;$R$1+4)="C","√","")</f>
        <v/>
      </c>
      <c r="U27" s="842"/>
      <c r="V27" s="845"/>
      <c r="W27" s="73"/>
      <c r="X27" s="55"/>
      <c r="Y27" s="142"/>
      <c r="Z27" s="147"/>
      <c r="AA27" s="439">
        <v>1</v>
      </c>
      <c r="AB27" s="802" t="s">
        <v>431</v>
      </c>
      <c r="AC27" s="802"/>
      <c r="AD27" s="802"/>
      <c r="AE27" s="802"/>
      <c r="AF27" s="802"/>
      <c r="AG27" s="802"/>
      <c r="AH27" s="802"/>
      <c r="AI27" s="802"/>
      <c r="AJ27" s="802"/>
      <c r="AK27" s="802"/>
      <c r="AL27" s="802"/>
      <c r="AM27" s="802"/>
      <c r="AN27" s="802"/>
      <c r="AO27" s="802"/>
      <c r="AP27" s="802"/>
      <c r="AQ27" s="802"/>
      <c r="AR27" s="802"/>
      <c r="AS27" s="802"/>
      <c r="AT27" s="802"/>
      <c r="AU27" s="148"/>
      <c r="AV27" s="146"/>
    </row>
    <row r="28" spans="1:48" ht="18.95" customHeight="1">
      <c r="A28" s="56"/>
      <c r="B28" s="65"/>
      <c r="C28" s="381">
        <v>11</v>
      </c>
      <c r="D28" s="838" t="str">
        <f>'PARINAM STD-2'!N$2</f>
        <v>અપરિચિત વાક્યોનું અનુલેખન કરે છે.</v>
      </c>
      <c r="E28" s="839"/>
      <c r="F28" s="839"/>
      <c r="G28" s="839"/>
      <c r="H28" s="839"/>
      <c r="I28" s="839"/>
      <c r="J28" s="839"/>
      <c r="K28" s="839"/>
      <c r="L28" s="839"/>
      <c r="M28" s="840"/>
      <c r="N28" s="841" t="str">
        <f ca="1">IF(INDIRECT("'PARINAM STD-2'!N"&amp;$R$1+4)="A","√","")</f>
        <v>√</v>
      </c>
      <c r="O28" s="842"/>
      <c r="P28" s="843"/>
      <c r="Q28" s="844" t="str">
        <f ca="1">IF(INDIRECT("'PARINAM STD-2'!N"&amp;$R$1+4)="B","√","")</f>
        <v/>
      </c>
      <c r="R28" s="842"/>
      <c r="S28" s="843"/>
      <c r="T28" s="844" t="str">
        <f ca="1">IF(INDIRECT("'PARINAM STD-2'!N"&amp;$R$1+4)="C","√","")</f>
        <v/>
      </c>
      <c r="U28" s="842"/>
      <c r="V28" s="845"/>
      <c r="W28" s="73"/>
      <c r="X28" s="55"/>
      <c r="Y28" s="142"/>
      <c r="Z28" s="147"/>
      <c r="AA28" s="439"/>
      <c r="AB28" s="802"/>
      <c r="AC28" s="802"/>
      <c r="AD28" s="802"/>
      <c r="AE28" s="802"/>
      <c r="AF28" s="802"/>
      <c r="AG28" s="802"/>
      <c r="AH28" s="802"/>
      <c r="AI28" s="802"/>
      <c r="AJ28" s="802"/>
      <c r="AK28" s="802"/>
      <c r="AL28" s="802"/>
      <c r="AM28" s="802"/>
      <c r="AN28" s="802"/>
      <c r="AO28" s="802"/>
      <c r="AP28" s="802"/>
      <c r="AQ28" s="802"/>
      <c r="AR28" s="802"/>
      <c r="AS28" s="802"/>
      <c r="AT28" s="802"/>
      <c r="AU28" s="148"/>
      <c r="AV28" s="146"/>
    </row>
    <row r="29" spans="1:48" ht="18.95" customHeight="1">
      <c r="A29" s="56"/>
      <c r="B29" s="65"/>
      <c r="C29" s="381">
        <v>12</v>
      </c>
      <c r="D29" s="838" t="str">
        <f>'PARINAM STD-2'!O$2</f>
        <v>પરિચિત શબ્દો અને વાક્યોનું શ્રુતલેખન કરે છે.</v>
      </c>
      <c r="E29" s="839"/>
      <c r="F29" s="839"/>
      <c r="G29" s="839"/>
      <c r="H29" s="839"/>
      <c r="I29" s="839"/>
      <c r="J29" s="839"/>
      <c r="K29" s="839"/>
      <c r="L29" s="839"/>
      <c r="M29" s="840"/>
      <c r="N29" s="833" t="str">
        <f ca="1">IF(INDIRECT("'PARINAM STD-2'!O"&amp;$R$1+4)="A","√","")</f>
        <v>√</v>
      </c>
      <c r="O29" s="834"/>
      <c r="P29" s="835"/>
      <c r="Q29" s="836" t="str">
        <f ca="1">IF(INDIRECT("'PARINAM STD-2'!O"&amp;$R$1+4)="B","√","")</f>
        <v/>
      </c>
      <c r="R29" s="834"/>
      <c r="S29" s="835"/>
      <c r="T29" s="836" t="str">
        <f ca="1">IF(INDIRECT("'PARINAM STD-2'!O"&amp;$R$1+4)="C","√","")</f>
        <v/>
      </c>
      <c r="U29" s="834"/>
      <c r="V29" s="837"/>
      <c r="W29" s="74"/>
      <c r="X29" s="55"/>
      <c r="Y29" s="142"/>
      <c r="Z29" s="147"/>
      <c r="AA29" s="402">
        <v>2</v>
      </c>
      <c r="AB29" s="802" t="s">
        <v>432</v>
      </c>
      <c r="AC29" s="802"/>
      <c r="AD29" s="802"/>
      <c r="AE29" s="802"/>
      <c r="AF29" s="802"/>
      <c r="AG29" s="802"/>
      <c r="AH29" s="802"/>
      <c r="AI29" s="802"/>
      <c r="AJ29" s="802"/>
      <c r="AK29" s="802"/>
      <c r="AL29" s="802"/>
      <c r="AM29" s="802"/>
      <c r="AN29" s="802"/>
      <c r="AO29" s="802"/>
      <c r="AP29" s="802"/>
      <c r="AQ29" s="802"/>
      <c r="AR29" s="802"/>
      <c r="AS29" s="802"/>
      <c r="AT29" s="802"/>
      <c r="AU29" s="148"/>
      <c r="AV29" s="146"/>
    </row>
    <row r="30" spans="1:48" ht="18.95" customHeight="1">
      <c r="A30" s="56"/>
      <c r="B30" s="65"/>
      <c r="C30" s="381">
        <v>13</v>
      </c>
      <c r="D30" s="838" t="str">
        <f>'PARINAM STD-2'!P$2</f>
        <v>શિક્ષકની મદદથી સરળ વર્ણનાત્મક વાક્યો લખે છે.</v>
      </c>
      <c r="E30" s="839"/>
      <c r="F30" s="839"/>
      <c r="G30" s="839"/>
      <c r="H30" s="839"/>
      <c r="I30" s="839"/>
      <c r="J30" s="839"/>
      <c r="K30" s="839"/>
      <c r="L30" s="839"/>
      <c r="M30" s="840"/>
      <c r="N30" s="833" t="str">
        <f ca="1">IF(INDIRECT("'PARINAM STD-2'!P"&amp;$R$1+4)="A","√","")</f>
        <v>√</v>
      </c>
      <c r="O30" s="834"/>
      <c r="P30" s="835"/>
      <c r="Q30" s="836" t="str">
        <f ca="1">IF(INDIRECT("'PARINAM STD-2'!P"&amp;$R$1+4)="B","√","")</f>
        <v/>
      </c>
      <c r="R30" s="834"/>
      <c r="S30" s="835"/>
      <c r="T30" s="836" t="str">
        <f ca="1">IF(INDIRECT("'PARINAM STD-2'!P"&amp;$R$1+4)="C","√","")</f>
        <v/>
      </c>
      <c r="U30" s="834"/>
      <c r="V30" s="837"/>
      <c r="W30" s="67"/>
      <c r="X30" s="55"/>
      <c r="Y30" s="142"/>
      <c r="Z30" s="147"/>
      <c r="AA30" s="402"/>
      <c r="AB30" s="802"/>
      <c r="AC30" s="802"/>
      <c r="AD30" s="802"/>
      <c r="AE30" s="802"/>
      <c r="AF30" s="802"/>
      <c r="AG30" s="802"/>
      <c r="AH30" s="802"/>
      <c r="AI30" s="802"/>
      <c r="AJ30" s="802"/>
      <c r="AK30" s="802"/>
      <c r="AL30" s="802"/>
      <c r="AM30" s="802"/>
      <c r="AN30" s="802"/>
      <c r="AO30" s="802"/>
      <c r="AP30" s="802"/>
      <c r="AQ30" s="802"/>
      <c r="AR30" s="802"/>
      <c r="AS30" s="802"/>
      <c r="AT30" s="802"/>
      <c r="AU30" s="148"/>
      <c r="AV30" s="146"/>
    </row>
    <row r="31" spans="1:48" ht="18.95" customHeight="1">
      <c r="A31" s="56"/>
      <c r="B31" s="65"/>
      <c r="C31" s="381">
        <v>14</v>
      </c>
      <c r="D31" s="838" t="str">
        <f>'PARINAM STD-2'!Q$2</f>
        <v>શબ્દભંડોળમાં યોગ્ય વિકાસ જણાય છે.</v>
      </c>
      <c r="E31" s="839"/>
      <c r="F31" s="839"/>
      <c r="G31" s="839"/>
      <c r="H31" s="839"/>
      <c r="I31" s="839"/>
      <c r="J31" s="839"/>
      <c r="K31" s="839"/>
      <c r="L31" s="839"/>
      <c r="M31" s="840"/>
      <c r="N31" s="833" t="str">
        <f ca="1">IF(INDIRECT("'PARINAM STD-2'!Q"&amp;$R$1+4)="A","√","")</f>
        <v/>
      </c>
      <c r="O31" s="834"/>
      <c r="P31" s="835"/>
      <c r="Q31" s="836" t="str">
        <f ca="1">IF(INDIRECT("'PARINAM STD-2'!Q"&amp;$R$1+4)="B","√","")</f>
        <v>√</v>
      </c>
      <c r="R31" s="834"/>
      <c r="S31" s="835"/>
      <c r="T31" s="836" t="str">
        <f ca="1">IF(INDIRECT("'PARINAM STD-2'!Q"&amp;$R$1+4)="C","√","")</f>
        <v/>
      </c>
      <c r="U31" s="834"/>
      <c r="V31" s="837"/>
      <c r="W31" s="67"/>
      <c r="X31" s="55"/>
      <c r="Y31" s="142"/>
      <c r="Z31" s="147"/>
      <c r="AA31" s="402"/>
      <c r="AB31" s="802"/>
      <c r="AC31" s="802"/>
      <c r="AD31" s="802"/>
      <c r="AE31" s="802"/>
      <c r="AF31" s="802"/>
      <c r="AG31" s="802"/>
      <c r="AH31" s="802"/>
      <c r="AI31" s="802"/>
      <c r="AJ31" s="802"/>
      <c r="AK31" s="802"/>
      <c r="AL31" s="802"/>
      <c r="AM31" s="802"/>
      <c r="AN31" s="802"/>
      <c r="AO31" s="802"/>
      <c r="AP31" s="802"/>
      <c r="AQ31" s="802"/>
      <c r="AR31" s="802"/>
      <c r="AS31" s="802"/>
      <c r="AT31" s="802"/>
      <c r="AU31" s="148"/>
      <c r="AV31" s="146"/>
    </row>
    <row r="32" spans="1:48" ht="18.95" customHeight="1">
      <c r="A32" s="56"/>
      <c r="B32" s="65"/>
      <c r="C32" s="381">
        <v>15</v>
      </c>
      <c r="D32" s="838" t="str">
        <f>'PARINAM STD-2'!R$2</f>
        <v>સ્વાધ્યાયકાર્ય આપેલી સૂચના મુજબ કરે છે.</v>
      </c>
      <c r="E32" s="839"/>
      <c r="F32" s="839"/>
      <c r="G32" s="839"/>
      <c r="H32" s="839"/>
      <c r="I32" s="839"/>
      <c r="J32" s="839"/>
      <c r="K32" s="839"/>
      <c r="L32" s="839"/>
      <c r="M32" s="840"/>
      <c r="N32" s="833" t="str">
        <f ca="1">IF(INDIRECT("'PARINAM STD-2'!R"&amp;$R$1+4)="A","√","")</f>
        <v/>
      </c>
      <c r="O32" s="834"/>
      <c r="P32" s="835"/>
      <c r="Q32" s="836" t="str">
        <f ca="1">IF(INDIRECT("'PARINAM STD-2'!R"&amp;$R$1+4)="B","√","")</f>
        <v>√</v>
      </c>
      <c r="R32" s="834"/>
      <c r="S32" s="835"/>
      <c r="T32" s="836" t="str">
        <f ca="1">IF(INDIRECT("'PARINAM STD-2'!R"&amp;$R$1+4)="C","√","")</f>
        <v/>
      </c>
      <c r="U32" s="834"/>
      <c r="V32" s="837"/>
      <c r="W32" s="67"/>
      <c r="X32" s="55"/>
      <c r="Y32" s="142"/>
      <c r="Z32" s="147"/>
      <c r="AA32" s="402">
        <v>3</v>
      </c>
      <c r="AB32" s="802" t="s">
        <v>433</v>
      </c>
      <c r="AC32" s="802"/>
      <c r="AD32" s="802"/>
      <c r="AE32" s="802"/>
      <c r="AF32" s="802"/>
      <c r="AG32" s="802"/>
      <c r="AH32" s="802"/>
      <c r="AI32" s="802"/>
      <c r="AJ32" s="802"/>
      <c r="AK32" s="802"/>
      <c r="AL32" s="802"/>
      <c r="AM32" s="802"/>
      <c r="AN32" s="802"/>
      <c r="AO32" s="802"/>
      <c r="AP32" s="802"/>
      <c r="AQ32" s="802"/>
      <c r="AR32" s="802"/>
      <c r="AS32" s="802"/>
      <c r="AT32" s="802"/>
      <c r="AU32" s="148"/>
      <c r="AV32" s="146"/>
    </row>
    <row r="33" spans="1:48" ht="18.95" customHeight="1">
      <c r="A33" s="56"/>
      <c r="B33" s="65"/>
      <c r="C33" s="381">
        <v>16</v>
      </c>
      <c r="D33" s="838" t="str">
        <f>'PARINAM STD-2'!S$2</f>
        <v>પશુઓ, પક્ષીઓ અને જંતુઓના રહેઠાણો વિશે લખે છે.</v>
      </c>
      <c r="E33" s="839"/>
      <c r="F33" s="839"/>
      <c r="G33" s="839"/>
      <c r="H33" s="839"/>
      <c r="I33" s="839"/>
      <c r="J33" s="839"/>
      <c r="K33" s="839"/>
      <c r="L33" s="839"/>
      <c r="M33" s="840"/>
      <c r="N33" s="833" t="str">
        <f ca="1">IF(INDIRECT("'PARINAM STD-2'!S"&amp;$R$1+4)="A","√","")</f>
        <v/>
      </c>
      <c r="O33" s="834"/>
      <c r="P33" s="835"/>
      <c r="Q33" s="836" t="str">
        <f ca="1">IF(INDIRECT("'PARINAM STD-2'!S"&amp;$R$1+4)="B","√","")</f>
        <v>√</v>
      </c>
      <c r="R33" s="834"/>
      <c r="S33" s="835"/>
      <c r="T33" s="836" t="str">
        <f ca="1">IF(INDIRECT("'PARINAM STD-2'!S"&amp;$R$1+4)="C","√","")</f>
        <v/>
      </c>
      <c r="U33" s="834"/>
      <c r="V33" s="837"/>
      <c r="W33" s="67"/>
      <c r="X33" s="55"/>
      <c r="Y33" s="142"/>
      <c r="Z33" s="147"/>
      <c r="AA33" s="402"/>
      <c r="AB33" s="802"/>
      <c r="AC33" s="802"/>
      <c r="AD33" s="802"/>
      <c r="AE33" s="802"/>
      <c r="AF33" s="802"/>
      <c r="AG33" s="802"/>
      <c r="AH33" s="802"/>
      <c r="AI33" s="802"/>
      <c r="AJ33" s="802"/>
      <c r="AK33" s="802"/>
      <c r="AL33" s="802"/>
      <c r="AM33" s="802"/>
      <c r="AN33" s="802"/>
      <c r="AO33" s="802"/>
      <c r="AP33" s="802"/>
      <c r="AQ33" s="802"/>
      <c r="AR33" s="802"/>
      <c r="AS33" s="802"/>
      <c r="AT33" s="802"/>
      <c r="AU33" s="148"/>
      <c r="AV33" s="146"/>
    </row>
    <row r="34" spans="1:48" ht="18.95" customHeight="1">
      <c r="A34" s="56"/>
      <c r="B34" s="65"/>
      <c r="C34" s="381">
        <v>17</v>
      </c>
      <c r="D34" s="838" t="str">
        <f>'PARINAM STD-2'!T$2</f>
        <v>વિવિધ વ્યવસાયો વિશે જાણે છે.</v>
      </c>
      <c r="E34" s="839"/>
      <c r="F34" s="839"/>
      <c r="G34" s="839"/>
      <c r="H34" s="839"/>
      <c r="I34" s="839"/>
      <c r="J34" s="839"/>
      <c r="K34" s="839"/>
      <c r="L34" s="839"/>
      <c r="M34" s="840"/>
      <c r="N34" s="833" t="str">
        <f ca="1">IF(INDIRECT("'PARINAM STD-2'!T"&amp;$R$1+4)="A","√","")</f>
        <v/>
      </c>
      <c r="O34" s="834"/>
      <c r="P34" s="835"/>
      <c r="Q34" s="836" t="str">
        <f ca="1">IF(INDIRECT("'PARINAM STD-2'!T"&amp;$R$1+4)="B","√","")</f>
        <v>√</v>
      </c>
      <c r="R34" s="834"/>
      <c r="S34" s="835"/>
      <c r="T34" s="836" t="str">
        <f ca="1">IF(INDIRECT("'PARINAM STD-2'!T"&amp;$R$1+4)="C","√","")</f>
        <v/>
      </c>
      <c r="U34" s="834"/>
      <c r="V34" s="837"/>
      <c r="W34" s="67"/>
      <c r="X34" s="55"/>
      <c r="Y34" s="142"/>
      <c r="Z34" s="147"/>
      <c r="AA34" s="402">
        <v>4</v>
      </c>
      <c r="AB34" s="802" t="s">
        <v>434</v>
      </c>
      <c r="AC34" s="802"/>
      <c r="AD34" s="802"/>
      <c r="AE34" s="802"/>
      <c r="AF34" s="802"/>
      <c r="AG34" s="802"/>
      <c r="AH34" s="802"/>
      <c r="AI34" s="802"/>
      <c r="AJ34" s="802"/>
      <c r="AK34" s="802"/>
      <c r="AL34" s="802"/>
      <c r="AM34" s="802"/>
      <c r="AN34" s="802"/>
      <c r="AO34" s="802"/>
      <c r="AP34" s="802"/>
      <c r="AQ34" s="802"/>
      <c r="AR34" s="802"/>
      <c r="AS34" s="802"/>
      <c r="AT34" s="802"/>
      <c r="AU34" s="148"/>
      <c r="AV34" s="146"/>
    </row>
    <row r="35" spans="1:48" ht="18.95" customHeight="1">
      <c r="A35" s="56"/>
      <c r="B35" s="65"/>
      <c r="C35" s="381">
        <v>18</v>
      </c>
      <c r="D35" s="838" t="str">
        <f>'PARINAM STD-2'!U$2</f>
        <v>સ્થાનિક વિસ્તારના વૃક્ષો, પશુઓ અને ખેતીના પાક વિશે જાણે છે.</v>
      </c>
      <c r="E35" s="839"/>
      <c r="F35" s="839"/>
      <c r="G35" s="839"/>
      <c r="H35" s="839"/>
      <c r="I35" s="839"/>
      <c r="J35" s="839"/>
      <c r="K35" s="839"/>
      <c r="L35" s="839"/>
      <c r="M35" s="840"/>
      <c r="N35" s="833" t="str">
        <f ca="1">IF(INDIRECT("'PARINAM STD-2'!U"&amp;$R$1+4)="A","√","")</f>
        <v/>
      </c>
      <c r="O35" s="834"/>
      <c r="P35" s="835"/>
      <c r="Q35" s="836" t="str">
        <f ca="1">IF(INDIRECT("'PARINAM STD-2'!U"&amp;$R$1+4)="B","√","")</f>
        <v/>
      </c>
      <c r="R35" s="834"/>
      <c r="S35" s="835"/>
      <c r="T35" s="836" t="str">
        <f ca="1">IF(INDIRECT("'PARINAM STD-2'!U"&amp;$R$1+4)="C","√","")</f>
        <v>√</v>
      </c>
      <c r="U35" s="834"/>
      <c r="V35" s="837"/>
      <c r="W35" s="67"/>
      <c r="X35" s="55"/>
      <c r="Y35" s="142"/>
      <c r="Z35" s="147"/>
      <c r="AA35" s="402"/>
      <c r="AB35" s="802"/>
      <c r="AC35" s="802"/>
      <c r="AD35" s="802"/>
      <c r="AE35" s="802"/>
      <c r="AF35" s="802"/>
      <c r="AG35" s="802"/>
      <c r="AH35" s="802"/>
      <c r="AI35" s="802"/>
      <c r="AJ35" s="802"/>
      <c r="AK35" s="802"/>
      <c r="AL35" s="802"/>
      <c r="AM35" s="802"/>
      <c r="AN35" s="802"/>
      <c r="AO35" s="802"/>
      <c r="AP35" s="802"/>
      <c r="AQ35" s="802"/>
      <c r="AR35" s="802"/>
      <c r="AS35" s="802"/>
      <c r="AT35" s="802"/>
      <c r="AU35" s="148"/>
      <c r="AV35" s="146"/>
    </row>
    <row r="36" spans="1:48" ht="18.95" customHeight="1">
      <c r="A36" s="56"/>
      <c r="B36" s="65"/>
      <c r="C36" s="381">
        <v>19</v>
      </c>
      <c r="D36" s="838" t="str">
        <f>'PARINAM STD-2'!V$2</f>
        <v>રાષ્ટ્રીય પર્વોની ઉજવણીમાં ભાગ લે છે અને તે અંગેની વિગતો જાણે છે.</v>
      </c>
      <c r="E36" s="839"/>
      <c r="F36" s="839"/>
      <c r="G36" s="839"/>
      <c r="H36" s="839"/>
      <c r="I36" s="839"/>
      <c r="J36" s="839"/>
      <c r="K36" s="839"/>
      <c r="L36" s="839"/>
      <c r="M36" s="840"/>
      <c r="N36" s="833" t="str">
        <f ca="1">IF(INDIRECT("'PARINAM STD-2'!V"&amp;$R$1+4)="A","√","")</f>
        <v/>
      </c>
      <c r="O36" s="834"/>
      <c r="P36" s="835"/>
      <c r="Q36" s="836" t="str">
        <f ca="1">IF(INDIRECT("'PARINAM STD-2'!V"&amp;$R$1+4)="B","√","")</f>
        <v>√</v>
      </c>
      <c r="R36" s="834"/>
      <c r="S36" s="835"/>
      <c r="T36" s="836" t="str">
        <f ca="1">IF(INDIRECT("'PARINAM STD-2'!V"&amp;$R$1+4)="C","√","")</f>
        <v/>
      </c>
      <c r="U36" s="834"/>
      <c r="V36" s="837"/>
      <c r="W36" s="67"/>
      <c r="X36" s="55"/>
      <c r="Y36" s="142"/>
      <c r="Z36" s="147"/>
      <c r="AA36" s="402">
        <v>5</v>
      </c>
      <c r="AB36" s="802" t="s">
        <v>435</v>
      </c>
      <c r="AC36" s="802"/>
      <c r="AD36" s="802"/>
      <c r="AE36" s="802"/>
      <c r="AF36" s="802"/>
      <c r="AG36" s="802"/>
      <c r="AH36" s="802"/>
      <c r="AI36" s="802"/>
      <c r="AJ36" s="802"/>
      <c r="AK36" s="802"/>
      <c r="AL36" s="802"/>
      <c r="AM36" s="802"/>
      <c r="AN36" s="802"/>
      <c r="AO36" s="802"/>
      <c r="AP36" s="802"/>
      <c r="AQ36" s="802"/>
      <c r="AR36" s="802"/>
      <c r="AS36" s="802"/>
      <c r="AT36" s="802"/>
      <c r="AU36" s="148"/>
      <c r="AV36" s="146"/>
    </row>
    <row r="37" spans="1:48" ht="18.95" customHeight="1">
      <c r="A37" s="56"/>
      <c r="B37" s="65"/>
      <c r="C37" s="382">
        <v>20</v>
      </c>
      <c r="D37" s="872" t="str">
        <f>'PARINAM STD-2'!W$2</f>
        <v>વનસ્પતિના વિવિધ ભાગોને ઓળખે છે.</v>
      </c>
      <c r="E37" s="873"/>
      <c r="F37" s="873"/>
      <c r="G37" s="873"/>
      <c r="H37" s="873"/>
      <c r="I37" s="873"/>
      <c r="J37" s="873"/>
      <c r="K37" s="873"/>
      <c r="L37" s="873"/>
      <c r="M37" s="874"/>
      <c r="N37" s="871" t="str">
        <f ca="1">IF(INDIRECT("'PARINAM STD-2'!W"&amp;$R$1+4)="A","√","")</f>
        <v>√</v>
      </c>
      <c r="O37" s="868"/>
      <c r="P37" s="870"/>
      <c r="Q37" s="867" t="str">
        <f ca="1">IF(INDIRECT("'PARINAM STD-2'!W"&amp;$R$1+4)="B","√","")</f>
        <v/>
      </c>
      <c r="R37" s="868"/>
      <c r="S37" s="870"/>
      <c r="T37" s="867" t="str">
        <f ca="1">IF(INDIRECT("'PARINAM STD-2'!W"&amp;$R$1+4)="C","√","")</f>
        <v/>
      </c>
      <c r="U37" s="868"/>
      <c r="V37" s="869"/>
      <c r="W37" s="67"/>
      <c r="X37" s="55"/>
      <c r="Y37" s="142"/>
      <c r="Z37" s="147"/>
      <c r="AA37" s="402"/>
      <c r="AB37" s="802"/>
      <c r="AC37" s="802"/>
      <c r="AD37" s="802"/>
      <c r="AE37" s="802"/>
      <c r="AF37" s="802"/>
      <c r="AG37" s="802"/>
      <c r="AH37" s="802"/>
      <c r="AI37" s="802"/>
      <c r="AJ37" s="802"/>
      <c r="AK37" s="802"/>
      <c r="AL37" s="802"/>
      <c r="AM37" s="802"/>
      <c r="AN37" s="802"/>
      <c r="AO37" s="802"/>
      <c r="AP37" s="802"/>
      <c r="AQ37" s="802"/>
      <c r="AR37" s="802"/>
      <c r="AS37" s="802"/>
      <c r="AT37" s="802"/>
      <c r="AU37" s="148"/>
      <c r="AV37" s="146"/>
    </row>
    <row r="38" spans="1:48" ht="18.95" customHeight="1">
      <c r="A38" s="56"/>
      <c r="B38" s="65"/>
      <c r="C38" s="875" t="s">
        <v>477</v>
      </c>
      <c r="D38" s="875"/>
      <c r="E38" s="875"/>
      <c r="F38" s="875"/>
      <c r="G38" s="875"/>
      <c r="H38" s="875"/>
      <c r="I38" s="875"/>
      <c r="J38" s="875"/>
      <c r="K38" s="875"/>
      <c r="L38" s="875"/>
      <c r="M38" s="875"/>
      <c r="N38" s="875"/>
      <c r="O38" s="875"/>
      <c r="P38" s="875"/>
      <c r="Q38" s="875"/>
      <c r="R38" s="875"/>
      <c r="S38" s="875"/>
      <c r="T38" s="875"/>
      <c r="U38" s="875"/>
      <c r="V38" s="875"/>
      <c r="W38" s="67"/>
      <c r="X38" s="55"/>
      <c r="Y38" s="142"/>
      <c r="Z38" s="147"/>
      <c r="AA38" s="402">
        <v>6</v>
      </c>
      <c r="AB38" s="802" t="s">
        <v>436</v>
      </c>
      <c r="AC38" s="802"/>
      <c r="AD38" s="802"/>
      <c r="AE38" s="802"/>
      <c r="AF38" s="802"/>
      <c r="AG38" s="802"/>
      <c r="AH38" s="802"/>
      <c r="AI38" s="802"/>
      <c r="AJ38" s="802"/>
      <c r="AK38" s="802"/>
      <c r="AL38" s="802"/>
      <c r="AM38" s="802"/>
      <c r="AN38" s="802"/>
      <c r="AO38" s="802"/>
      <c r="AP38" s="802"/>
      <c r="AQ38" s="802"/>
      <c r="AR38" s="802"/>
      <c r="AS38" s="802"/>
      <c r="AT38" s="802"/>
      <c r="AU38" s="148"/>
      <c r="AV38" s="146"/>
    </row>
    <row r="39" spans="1:48" ht="18.95" customHeight="1">
      <c r="A39" s="56"/>
      <c r="B39" s="65"/>
      <c r="C39" s="380">
        <v>1</v>
      </c>
      <c r="D39" s="761" t="str">
        <f>'PARINAM STD-2'!X$2</f>
        <v>1 થી 100 સુધીની સમજપૂર્વકનું સંખ્યાજ્ઞાન ધરાવે છે.</v>
      </c>
      <c r="E39" s="762"/>
      <c r="F39" s="762"/>
      <c r="G39" s="762"/>
      <c r="H39" s="762"/>
      <c r="I39" s="762"/>
      <c r="J39" s="762"/>
      <c r="K39" s="762"/>
      <c r="L39" s="762"/>
      <c r="M39" s="763"/>
      <c r="N39" s="866" t="str">
        <f ca="1">IF(INDIRECT("'PARINAM STD-2'!X"&amp;$R$1+4)="A","√","")</f>
        <v>√</v>
      </c>
      <c r="O39" s="863"/>
      <c r="P39" s="865"/>
      <c r="Q39" s="862" t="str">
        <f ca="1">IF(INDIRECT("'PARINAM STD-2'!X"&amp;$R$1+4)="B","√","")</f>
        <v/>
      </c>
      <c r="R39" s="863"/>
      <c r="S39" s="865"/>
      <c r="T39" s="862" t="str">
        <f ca="1">IF(INDIRECT("'PARINAM STD-2'!X"&amp;$R$1+4)="C","√","")</f>
        <v/>
      </c>
      <c r="U39" s="863"/>
      <c r="V39" s="864"/>
      <c r="W39" s="67"/>
      <c r="X39" s="55"/>
      <c r="Y39" s="142"/>
      <c r="Z39" s="147"/>
      <c r="AA39" s="401"/>
      <c r="AB39" s="802"/>
      <c r="AC39" s="802"/>
      <c r="AD39" s="802"/>
      <c r="AE39" s="802"/>
      <c r="AF39" s="802"/>
      <c r="AG39" s="802"/>
      <c r="AH39" s="802"/>
      <c r="AI39" s="802"/>
      <c r="AJ39" s="802"/>
      <c r="AK39" s="802"/>
      <c r="AL39" s="802"/>
      <c r="AM39" s="802"/>
      <c r="AN39" s="802"/>
      <c r="AO39" s="802"/>
      <c r="AP39" s="802"/>
      <c r="AQ39" s="802"/>
      <c r="AR39" s="802"/>
      <c r="AS39" s="802"/>
      <c r="AT39" s="802"/>
      <c r="AU39" s="148"/>
      <c r="AV39" s="146"/>
    </row>
    <row r="40" spans="1:48" ht="18.95" customHeight="1">
      <c r="A40" s="56"/>
      <c r="B40" s="65"/>
      <c r="C40" s="381">
        <v>2</v>
      </c>
      <c r="D40" s="838" t="str">
        <f>'PARINAM STD-2'!Y$2</f>
        <v>1 થી 100 સુધીની સંખ્યાઓની વિવિધ રીતે સરખામણી કરે છે.</v>
      </c>
      <c r="E40" s="839"/>
      <c r="F40" s="839"/>
      <c r="G40" s="839"/>
      <c r="H40" s="839"/>
      <c r="I40" s="839"/>
      <c r="J40" s="839"/>
      <c r="K40" s="839"/>
      <c r="L40" s="839"/>
      <c r="M40" s="840"/>
      <c r="N40" s="833" t="str">
        <f ca="1">IF(INDIRECT("'PARINAM STD-2'!Y"&amp;$R$1+4)="A","√","")</f>
        <v>√</v>
      </c>
      <c r="O40" s="834"/>
      <c r="P40" s="835"/>
      <c r="Q40" s="836" t="str">
        <f ca="1">IF(INDIRECT("'PARINAM STD-2'!Y"&amp;$R$1+4)="B","√","")</f>
        <v/>
      </c>
      <c r="R40" s="834"/>
      <c r="S40" s="835"/>
      <c r="T40" s="836" t="str">
        <f ca="1">IF(INDIRECT("'PARINAM STD-2'!Y"&amp;$R$1+4)="C","√","")</f>
        <v/>
      </c>
      <c r="U40" s="834"/>
      <c r="V40" s="837"/>
      <c r="W40" s="67"/>
      <c r="X40" s="55"/>
      <c r="Y40" s="142"/>
      <c r="Z40" s="147"/>
      <c r="AA40" s="801" t="s">
        <v>437</v>
      </c>
      <c r="AB40" s="801"/>
      <c r="AC40" s="801"/>
      <c r="AD40" s="801"/>
      <c r="AE40" s="801"/>
      <c r="AF40" s="801"/>
      <c r="AG40" s="801"/>
      <c r="AH40" s="801"/>
      <c r="AI40" s="801"/>
      <c r="AJ40" s="801"/>
      <c r="AK40" s="801"/>
      <c r="AL40" s="801"/>
      <c r="AM40" s="801"/>
      <c r="AN40" s="801"/>
      <c r="AO40" s="801"/>
      <c r="AP40" s="801"/>
      <c r="AQ40" s="801"/>
      <c r="AR40" s="801"/>
      <c r="AS40" s="801"/>
      <c r="AT40" s="801"/>
      <c r="AU40" s="148"/>
      <c r="AV40" s="146"/>
    </row>
    <row r="41" spans="1:48" ht="18.95" customHeight="1">
      <c r="A41" s="56"/>
      <c r="B41" s="65"/>
      <c r="C41" s="381">
        <v>3</v>
      </c>
      <c r="D41" s="838" t="str">
        <f>'PARINAM STD-2'!Z$2</f>
        <v>સંખ્યાઓને ચડતા/ઉતરતા ક્રમમાં ગોઠવે છે.</v>
      </c>
      <c r="E41" s="839"/>
      <c r="F41" s="839"/>
      <c r="G41" s="839"/>
      <c r="H41" s="839"/>
      <c r="I41" s="839"/>
      <c r="J41" s="839"/>
      <c r="K41" s="839"/>
      <c r="L41" s="839"/>
      <c r="M41" s="840"/>
      <c r="N41" s="833" t="str">
        <f ca="1">IF(INDIRECT("'PARINAM STD-2'!Z"&amp;$R$1+4)="A","√","")</f>
        <v>√</v>
      </c>
      <c r="O41" s="834"/>
      <c r="P41" s="835"/>
      <c r="Q41" s="836" t="str">
        <f ca="1">IF(INDIRECT("'PARINAM STD-2'!Z"&amp;$R$1+4)="B","√","")</f>
        <v/>
      </c>
      <c r="R41" s="834"/>
      <c r="S41" s="835"/>
      <c r="T41" s="836" t="str">
        <f ca="1">IF(INDIRECT("'PARINAM STD-2'!Z"&amp;$R$1+4)="C","√","")</f>
        <v/>
      </c>
      <c r="U41" s="834"/>
      <c r="V41" s="837"/>
      <c r="W41" s="67"/>
      <c r="X41" s="55"/>
      <c r="Y41" s="142"/>
      <c r="Z41" s="147"/>
      <c r="AA41" s="890" t="str">
        <f ca="1">INDIRECT("'PARINAM STD-2'!AW"&amp;$R$1+3)</f>
        <v>DFGD DFGD FDGD SFG FGDF</v>
      </c>
      <c r="AB41" s="891"/>
      <c r="AC41" s="891"/>
      <c r="AD41" s="891"/>
      <c r="AE41" s="891"/>
      <c r="AF41" s="891"/>
      <c r="AG41" s="891"/>
      <c r="AH41" s="891"/>
      <c r="AI41" s="891"/>
      <c r="AJ41" s="891"/>
      <c r="AK41" s="891"/>
      <c r="AL41" s="891"/>
      <c r="AM41" s="891"/>
      <c r="AN41" s="891"/>
      <c r="AO41" s="891"/>
      <c r="AP41" s="891"/>
      <c r="AQ41" s="891"/>
      <c r="AR41" s="891"/>
      <c r="AS41" s="891"/>
      <c r="AT41" s="892"/>
      <c r="AU41" s="148"/>
      <c r="AV41" s="146"/>
    </row>
    <row r="42" spans="1:48" ht="18.95" customHeight="1">
      <c r="A42" s="56"/>
      <c r="B42" s="65"/>
      <c r="C42" s="381">
        <v>4</v>
      </c>
      <c r="D42" s="838" t="str">
        <f>'PARINAM STD-2'!AA$2</f>
        <v>10 થી 99 સુધીની સંખ્યાના અંકોની સ્થાનકિંમત સમજે છે.</v>
      </c>
      <c r="E42" s="839"/>
      <c r="F42" s="839"/>
      <c r="G42" s="839"/>
      <c r="H42" s="839"/>
      <c r="I42" s="839"/>
      <c r="J42" s="839"/>
      <c r="K42" s="839"/>
      <c r="L42" s="839"/>
      <c r="M42" s="840"/>
      <c r="N42" s="833" t="str">
        <f ca="1">IF(INDIRECT("'PARINAM STD-2'!AA"&amp;$R$1+4)="A","√","")</f>
        <v>√</v>
      </c>
      <c r="O42" s="834"/>
      <c r="P42" s="835"/>
      <c r="Q42" s="836" t="str">
        <f ca="1">IF(INDIRECT("'PARINAM STD-2'!AA"&amp;$R$1+4)="B","√","")</f>
        <v/>
      </c>
      <c r="R42" s="834"/>
      <c r="S42" s="835"/>
      <c r="T42" s="836" t="str">
        <f ca="1">IF(INDIRECT("'PARINAM STD-2'!AA"&amp;$R$1+4)="C","√","")</f>
        <v/>
      </c>
      <c r="U42" s="834"/>
      <c r="V42" s="837"/>
      <c r="W42" s="67"/>
      <c r="X42" s="55"/>
      <c r="Y42" s="142"/>
      <c r="Z42" s="147"/>
      <c r="AA42" s="893"/>
      <c r="AB42" s="894"/>
      <c r="AC42" s="894"/>
      <c r="AD42" s="894"/>
      <c r="AE42" s="894"/>
      <c r="AF42" s="894"/>
      <c r="AG42" s="894"/>
      <c r="AH42" s="894"/>
      <c r="AI42" s="894"/>
      <c r="AJ42" s="894"/>
      <c r="AK42" s="894"/>
      <c r="AL42" s="894"/>
      <c r="AM42" s="894"/>
      <c r="AN42" s="894"/>
      <c r="AO42" s="894"/>
      <c r="AP42" s="894"/>
      <c r="AQ42" s="894"/>
      <c r="AR42" s="894"/>
      <c r="AS42" s="894"/>
      <c r="AT42" s="895"/>
      <c r="AU42" s="148"/>
      <c r="AV42" s="146"/>
    </row>
    <row r="43" spans="1:48" ht="16.899999999999999" customHeight="1">
      <c r="A43" s="56"/>
      <c r="B43" s="65"/>
      <c r="C43" s="381">
        <v>5</v>
      </c>
      <c r="D43" s="838" t="str">
        <f>'PARINAM STD-2'!AB$2</f>
        <v>બે અંકની સંખ્યાના સાદા સરવાળા કરે છે.</v>
      </c>
      <c r="E43" s="839"/>
      <c r="F43" s="839"/>
      <c r="G43" s="839"/>
      <c r="H43" s="839"/>
      <c r="I43" s="839"/>
      <c r="J43" s="839"/>
      <c r="K43" s="839"/>
      <c r="L43" s="839"/>
      <c r="M43" s="840"/>
      <c r="N43" s="833" t="str">
        <f ca="1">IF(INDIRECT("'PARINAM STD-2'!AB"&amp;$R$1+4)="A","√","")</f>
        <v/>
      </c>
      <c r="O43" s="834"/>
      <c r="P43" s="835"/>
      <c r="Q43" s="836" t="str">
        <f ca="1">IF(INDIRECT("'PARINAM STD-2'!AB"&amp;$R$1+4)="B","√","")</f>
        <v>√</v>
      </c>
      <c r="R43" s="834"/>
      <c r="S43" s="835"/>
      <c r="T43" s="836" t="str">
        <f ca="1">IF(INDIRECT("'PARINAM STD-2'!AB"&amp;$R$1+4)="C","√","")</f>
        <v/>
      </c>
      <c r="U43" s="834"/>
      <c r="V43" s="837"/>
      <c r="W43" s="67"/>
      <c r="X43" s="55"/>
      <c r="Y43" s="142"/>
      <c r="Z43" s="147"/>
      <c r="AA43" s="379"/>
      <c r="AB43" s="379"/>
      <c r="AC43" s="379"/>
      <c r="AD43" s="379"/>
      <c r="AE43" s="379"/>
      <c r="AF43" s="379"/>
      <c r="AG43" s="379"/>
      <c r="AH43" s="379"/>
      <c r="AI43" s="379"/>
      <c r="AJ43" s="379"/>
      <c r="AK43" s="379"/>
      <c r="AL43" s="379"/>
      <c r="AM43" s="379"/>
      <c r="AN43" s="379"/>
      <c r="AO43" s="379"/>
      <c r="AP43" s="379"/>
      <c r="AQ43" s="379"/>
      <c r="AR43" s="379"/>
      <c r="AS43" s="379"/>
      <c r="AT43" s="379"/>
      <c r="AU43" s="148"/>
      <c r="AV43" s="146"/>
    </row>
    <row r="44" spans="1:48" ht="16.899999999999999" customHeight="1">
      <c r="A44" s="56"/>
      <c r="B44" s="65"/>
      <c r="C44" s="381">
        <v>6</v>
      </c>
      <c r="D44" s="838" t="str">
        <f>'PARINAM STD-2'!AC$2</f>
        <v>બે અંકની બે સંખ્યાના વદીવાળા સરવાળા કરે છે.</v>
      </c>
      <c r="E44" s="839"/>
      <c r="F44" s="839"/>
      <c r="G44" s="839"/>
      <c r="H44" s="839"/>
      <c r="I44" s="839"/>
      <c r="J44" s="839"/>
      <c r="K44" s="839"/>
      <c r="L44" s="839"/>
      <c r="M44" s="840"/>
      <c r="N44" s="833" t="str">
        <f ca="1">IF(INDIRECT("'PARINAM STD-2'!AC"&amp;$R$1+4)="A","√","")</f>
        <v>√</v>
      </c>
      <c r="O44" s="834"/>
      <c r="P44" s="835"/>
      <c r="Q44" s="836" t="str">
        <f ca="1">IF(INDIRECT("'PARINAM STD-2'!AC"&amp;$R$1+4)="B","√","")</f>
        <v/>
      </c>
      <c r="R44" s="834"/>
      <c r="S44" s="835"/>
      <c r="T44" s="836" t="str">
        <f ca="1">IF(INDIRECT("'PARINAM STD-2'!AC"&amp;$R$1+4)="C","√","")</f>
        <v/>
      </c>
      <c r="U44" s="834"/>
      <c r="V44" s="837"/>
      <c r="W44" s="67"/>
      <c r="X44" s="55"/>
      <c r="Y44" s="142"/>
      <c r="Z44" s="147"/>
      <c r="AA44" s="57"/>
      <c r="AB44" s="57"/>
      <c r="AC44" s="57"/>
      <c r="AD44" s="57"/>
      <c r="AE44" s="57"/>
      <c r="AF44" s="57"/>
      <c r="AG44" s="57"/>
      <c r="AH44" s="57"/>
      <c r="AI44" s="57"/>
      <c r="AJ44" s="57"/>
      <c r="AK44" s="57"/>
      <c r="AL44" s="57"/>
      <c r="AM44" s="57"/>
      <c r="AN44" s="57"/>
      <c r="AO44" s="57"/>
      <c r="AP44" s="57"/>
      <c r="AQ44" s="57"/>
      <c r="AR44" s="57"/>
      <c r="AS44" s="57"/>
      <c r="AT44" s="57"/>
      <c r="AU44" s="148"/>
      <c r="AV44" s="146"/>
    </row>
    <row r="45" spans="1:48" ht="16.899999999999999" customHeight="1">
      <c r="A45" s="56"/>
      <c r="B45" s="65"/>
      <c r="C45" s="382">
        <v>7</v>
      </c>
      <c r="D45" s="872" t="str">
        <f>'PARINAM STD-2'!AD$2</f>
        <v>બે અંકની બે સંખ્યાની સાદી બાદબાકી કરે છે.</v>
      </c>
      <c r="E45" s="873"/>
      <c r="F45" s="873"/>
      <c r="G45" s="873"/>
      <c r="H45" s="873"/>
      <c r="I45" s="873"/>
      <c r="J45" s="873"/>
      <c r="K45" s="873"/>
      <c r="L45" s="873"/>
      <c r="M45" s="874"/>
      <c r="N45" s="871" t="str">
        <f ca="1">IF(INDIRECT("'PARINAM STD-2'!AD"&amp;$R$1+4)="A","√","")</f>
        <v>√</v>
      </c>
      <c r="O45" s="868"/>
      <c r="P45" s="870"/>
      <c r="Q45" s="867" t="str">
        <f ca="1">IF(INDIRECT("'PARINAM STD-2'!AD"&amp;$R$1+4)="B","√","")</f>
        <v/>
      </c>
      <c r="R45" s="868"/>
      <c r="S45" s="870"/>
      <c r="T45" s="867" t="str">
        <f ca="1">IF(INDIRECT("'PARINAM STD-2'!AD"&amp;$R$1+4)="C","√","")</f>
        <v/>
      </c>
      <c r="U45" s="868"/>
      <c r="V45" s="869"/>
      <c r="W45" s="67"/>
      <c r="X45" s="55"/>
      <c r="Y45" s="142"/>
      <c r="Z45" s="147"/>
      <c r="AA45" s="57"/>
      <c r="AB45" s="57"/>
      <c r="AC45" s="57"/>
      <c r="AD45" s="57"/>
      <c r="AE45" s="57"/>
      <c r="AF45" s="57"/>
      <c r="AG45" s="57"/>
      <c r="AH45" s="57"/>
      <c r="AI45" s="57"/>
      <c r="AJ45" s="57"/>
      <c r="AK45" s="57"/>
      <c r="AL45" s="57"/>
      <c r="AM45" s="57"/>
      <c r="AN45" s="57"/>
      <c r="AO45" s="57"/>
      <c r="AP45" s="57"/>
      <c r="AQ45" s="57"/>
      <c r="AR45" s="57"/>
      <c r="AS45" s="57"/>
      <c r="AT45" s="404" t="s">
        <v>221</v>
      </c>
      <c r="AU45" s="148"/>
      <c r="AV45" s="146"/>
    </row>
    <row r="46" spans="1:48" ht="16.5" customHeight="1" thickBot="1">
      <c r="A46" s="56"/>
      <c r="B46" s="75"/>
      <c r="C46" s="384"/>
      <c r="D46" s="384"/>
      <c r="E46" s="384"/>
      <c r="F46" s="76"/>
      <c r="G46" s="76"/>
      <c r="H46" s="76"/>
      <c r="I46" s="76"/>
      <c r="J46" s="76"/>
      <c r="K46" s="76"/>
      <c r="L46" s="76"/>
      <c r="M46" s="76"/>
      <c r="N46" s="76"/>
      <c r="O46" s="76"/>
      <c r="P46" s="76"/>
      <c r="Q46" s="76"/>
      <c r="R46" s="76"/>
      <c r="S46" s="76"/>
      <c r="T46" s="76"/>
      <c r="U46" s="76"/>
      <c r="V46" s="76"/>
      <c r="W46" s="77"/>
      <c r="X46" s="55"/>
      <c r="Y46" s="142"/>
      <c r="Z46" s="151"/>
      <c r="AA46" s="152"/>
      <c r="AB46" s="152"/>
      <c r="AC46" s="152"/>
      <c r="AD46" s="152"/>
      <c r="AE46" s="152"/>
      <c r="AF46" s="152"/>
      <c r="AG46" s="152"/>
      <c r="AH46" s="152"/>
      <c r="AI46" s="152"/>
      <c r="AJ46" s="152"/>
      <c r="AK46" s="152"/>
      <c r="AL46" s="152"/>
      <c r="AM46" s="152"/>
      <c r="AN46" s="152"/>
      <c r="AO46" s="152"/>
      <c r="AP46" s="152"/>
      <c r="AQ46" s="152"/>
      <c r="AR46" s="152"/>
      <c r="AS46" s="152"/>
      <c r="AT46" s="152"/>
      <c r="AU46" s="153"/>
      <c r="AV46" s="146"/>
    </row>
    <row r="47" spans="1:48" ht="16.5" customHeight="1">
      <c r="A47" s="60"/>
      <c r="B47" s="61"/>
      <c r="C47" s="61"/>
      <c r="D47" s="61"/>
      <c r="E47" s="61"/>
      <c r="F47" s="61"/>
      <c r="G47" s="61"/>
      <c r="H47" s="61"/>
      <c r="I47" s="61"/>
      <c r="J47" s="61"/>
      <c r="K47" s="61"/>
      <c r="L47" s="61"/>
      <c r="M47" s="61"/>
      <c r="N47" s="61"/>
      <c r="O47" s="61"/>
      <c r="P47" s="61"/>
      <c r="Q47" s="61"/>
      <c r="R47" s="61"/>
      <c r="S47" s="61"/>
      <c r="T47" s="61"/>
      <c r="U47" s="61"/>
      <c r="V47" s="61"/>
      <c r="W47" s="61"/>
      <c r="X47" s="62"/>
      <c r="Y47" s="154"/>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6"/>
    </row>
  </sheetData>
  <sheetProtection password="DC6E" sheet="1" objects="1" scenarios="1"/>
  <mergeCells count="225">
    <mergeCell ref="AB29:AT31"/>
    <mergeCell ref="AB36:AT37"/>
    <mergeCell ref="AB38:AT39"/>
    <mergeCell ref="AA40:AT40"/>
    <mergeCell ref="AA26:AT26"/>
    <mergeCell ref="AA41:AT42"/>
    <mergeCell ref="AB19:AK19"/>
    <mergeCell ref="AB20:AK20"/>
    <mergeCell ref="AB21:AK21"/>
    <mergeCell ref="AB22:AK22"/>
    <mergeCell ref="AB23:AK23"/>
    <mergeCell ref="AB27:AT28"/>
    <mergeCell ref="AO23:AQ23"/>
    <mergeCell ref="AB32:AT33"/>
    <mergeCell ref="AB34:AT35"/>
    <mergeCell ref="AR19:AT19"/>
    <mergeCell ref="AR20:AT20"/>
    <mergeCell ref="AR21:AT21"/>
    <mergeCell ref="AR22:AT22"/>
    <mergeCell ref="AR23:AT23"/>
    <mergeCell ref="AL19:AN19"/>
    <mergeCell ref="AL20:AN20"/>
    <mergeCell ref="AL21:AN21"/>
    <mergeCell ref="AL22:AN22"/>
    <mergeCell ref="AB15:AK15"/>
    <mergeCell ref="AL15:AN15"/>
    <mergeCell ref="AO15:AQ15"/>
    <mergeCell ref="AR15:AT15"/>
    <mergeCell ref="AB16:AK16"/>
    <mergeCell ref="AL23:AN23"/>
    <mergeCell ref="AO19:AQ19"/>
    <mergeCell ref="AO20:AQ20"/>
    <mergeCell ref="AO21:AQ21"/>
    <mergeCell ref="AO22:AQ22"/>
    <mergeCell ref="AL17:AN17"/>
    <mergeCell ref="AL18:AN18"/>
    <mergeCell ref="AB17:AK17"/>
    <mergeCell ref="AB18:AK18"/>
    <mergeCell ref="C12:F12"/>
    <mergeCell ref="AB5:AK5"/>
    <mergeCell ref="AL5:AN5"/>
    <mergeCell ref="AO5:AQ5"/>
    <mergeCell ref="AR5:AT5"/>
    <mergeCell ref="AB6:AK6"/>
    <mergeCell ref="AL6:AN6"/>
    <mergeCell ref="AO6:AQ6"/>
    <mergeCell ref="AR6:AT6"/>
    <mergeCell ref="E11:H11"/>
    <mergeCell ref="C11:D11"/>
    <mergeCell ref="C9:V10"/>
    <mergeCell ref="R11:V11"/>
    <mergeCell ref="P11:Q11"/>
    <mergeCell ref="K11:O11"/>
    <mergeCell ref="I11:J11"/>
    <mergeCell ref="AB10:AK10"/>
    <mergeCell ref="AL10:AN10"/>
    <mergeCell ref="AO10:AQ10"/>
    <mergeCell ref="AR10:AT10"/>
    <mergeCell ref="R12:V12"/>
    <mergeCell ref="N26:P26"/>
    <mergeCell ref="Q26:S26"/>
    <mergeCell ref="T26:V26"/>
    <mergeCell ref="T34:V34"/>
    <mergeCell ref="Q34:S34"/>
    <mergeCell ref="N34:P34"/>
    <mergeCell ref="D34:M34"/>
    <mergeCell ref="T33:V33"/>
    <mergeCell ref="Q33:S33"/>
    <mergeCell ref="N33:P33"/>
    <mergeCell ref="D33:M33"/>
    <mergeCell ref="T30:V30"/>
    <mergeCell ref="Q30:S30"/>
    <mergeCell ref="N30:P30"/>
    <mergeCell ref="D30:M30"/>
    <mergeCell ref="D31:M31"/>
    <mergeCell ref="N31:P31"/>
    <mergeCell ref="Q31:S31"/>
    <mergeCell ref="T31:V31"/>
    <mergeCell ref="D32:M32"/>
    <mergeCell ref="N32:P32"/>
    <mergeCell ref="Q32:S32"/>
    <mergeCell ref="T32:V32"/>
    <mergeCell ref="N41:P41"/>
    <mergeCell ref="Q41:S41"/>
    <mergeCell ref="T41:V41"/>
    <mergeCell ref="D42:M42"/>
    <mergeCell ref="T29:V29"/>
    <mergeCell ref="Q29:S29"/>
    <mergeCell ref="N29:P29"/>
    <mergeCell ref="D29:M29"/>
    <mergeCell ref="Q24:S24"/>
    <mergeCell ref="N42:P42"/>
    <mergeCell ref="D27:M27"/>
    <mergeCell ref="N27:P27"/>
    <mergeCell ref="Q27:S27"/>
    <mergeCell ref="T27:V27"/>
    <mergeCell ref="D28:M28"/>
    <mergeCell ref="N28:P28"/>
    <mergeCell ref="Q28:S28"/>
    <mergeCell ref="T28:V28"/>
    <mergeCell ref="T24:V24"/>
    <mergeCell ref="D25:M25"/>
    <mergeCell ref="N25:P25"/>
    <mergeCell ref="Q25:S25"/>
    <mergeCell ref="T25:V25"/>
    <mergeCell ref="D26:M26"/>
    <mergeCell ref="D45:M45"/>
    <mergeCell ref="N45:P45"/>
    <mergeCell ref="Q45:S45"/>
    <mergeCell ref="T45:V45"/>
    <mergeCell ref="D43:M43"/>
    <mergeCell ref="N43:P43"/>
    <mergeCell ref="Q43:S43"/>
    <mergeCell ref="T43:V43"/>
    <mergeCell ref="D44:M44"/>
    <mergeCell ref="N44:P44"/>
    <mergeCell ref="Q44:S44"/>
    <mergeCell ref="T44:V44"/>
    <mergeCell ref="Q42:S42"/>
    <mergeCell ref="T42:V42"/>
    <mergeCell ref="D40:M40"/>
    <mergeCell ref="N40:P40"/>
    <mergeCell ref="Q40:S40"/>
    <mergeCell ref="T40:V40"/>
    <mergeCell ref="D35:M35"/>
    <mergeCell ref="N35:P35"/>
    <mergeCell ref="Q35:S35"/>
    <mergeCell ref="T35:V35"/>
    <mergeCell ref="D36:M36"/>
    <mergeCell ref="N36:P36"/>
    <mergeCell ref="Q36:S36"/>
    <mergeCell ref="T36:V36"/>
    <mergeCell ref="T39:V39"/>
    <mergeCell ref="Q39:S39"/>
    <mergeCell ref="N39:P39"/>
    <mergeCell ref="D39:M39"/>
    <mergeCell ref="T37:V37"/>
    <mergeCell ref="Q37:S37"/>
    <mergeCell ref="N37:P37"/>
    <mergeCell ref="D37:M37"/>
    <mergeCell ref="C38:V38"/>
    <mergeCell ref="D41:M41"/>
    <mergeCell ref="D21:M21"/>
    <mergeCell ref="N21:P21"/>
    <mergeCell ref="Q21:S21"/>
    <mergeCell ref="T21:V21"/>
    <mergeCell ref="D22:M22"/>
    <mergeCell ref="N22:P22"/>
    <mergeCell ref="Q22:S22"/>
    <mergeCell ref="T22:V22"/>
    <mergeCell ref="N24:P24"/>
    <mergeCell ref="D24:M24"/>
    <mergeCell ref="T23:V23"/>
    <mergeCell ref="Q23:S23"/>
    <mergeCell ref="N23:P23"/>
    <mergeCell ref="D23:M23"/>
    <mergeCell ref="D20:M20"/>
    <mergeCell ref="N20:P20"/>
    <mergeCell ref="Q20:S20"/>
    <mergeCell ref="T20:V20"/>
    <mergeCell ref="J14:P14"/>
    <mergeCell ref="J15:P15"/>
    <mergeCell ref="C16:V16"/>
    <mergeCell ref="C13:D13"/>
    <mergeCell ref="E13:F13"/>
    <mergeCell ref="G13:H13"/>
    <mergeCell ref="D17:M17"/>
    <mergeCell ref="N17:P17"/>
    <mergeCell ref="Q17:S17"/>
    <mergeCell ref="T17:V17"/>
    <mergeCell ref="T18:V18"/>
    <mergeCell ref="Q18:S18"/>
    <mergeCell ref="N18:P18"/>
    <mergeCell ref="D18:M18"/>
    <mergeCell ref="I13:J13"/>
    <mergeCell ref="K13:M13"/>
    <mergeCell ref="N13:P13"/>
    <mergeCell ref="Q13:S13"/>
    <mergeCell ref="T13:V13"/>
    <mergeCell ref="D19:M19"/>
    <mergeCell ref="N19:P19"/>
    <mergeCell ref="Q19:S19"/>
    <mergeCell ref="T19:V19"/>
    <mergeCell ref="AB12:AK12"/>
    <mergeCell ref="AL12:AN12"/>
    <mergeCell ref="AO12:AQ12"/>
    <mergeCell ref="AR12:AT12"/>
    <mergeCell ref="AB13:AK13"/>
    <mergeCell ref="AL13:AN13"/>
    <mergeCell ref="AO13:AQ13"/>
    <mergeCell ref="AR13:AT13"/>
    <mergeCell ref="P12:Q12"/>
    <mergeCell ref="AR18:AT18"/>
    <mergeCell ref="AO18:AQ18"/>
    <mergeCell ref="G12:O12"/>
    <mergeCell ref="AR17:AT17"/>
    <mergeCell ref="AL16:AN16"/>
    <mergeCell ref="AO16:AQ16"/>
    <mergeCell ref="AR16:AT16"/>
    <mergeCell ref="AB14:AK14"/>
    <mergeCell ref="AL14:AN14"/>
    <mergeCell ref="AO14:AQ14"/>
    <mergeCell ref="AR14:AT14"/>
    <mergeCell ref="AO17:AQ17"/>
    <mergeCell ref="I1:Q1"/>
    <mergeCell ref="R1:S1"/>
    <mergeCell ref="AA1:AT1"/>
    <mergeCell ref="C4:V4"/>
    <mergeCell ref="AA4:AT4"/>
    <mergeCell ref="C5:V5"/>
    <mergeCell ref="AA11:AT11"/>
    <mergeCell ref="AL7:AN7"/>
    <mergeCell ref="AO7:AQ7"/>
    <mergeCell ref="AR7:AT7"/>
    <mergeCell ref="B1:D1"/>
    <mergeCell ref="J6:P7"/>
    <mergeCell ref="AB7:AK7"/>
    <mergeCell ref="AB8:AK8"/>
    <mergeCell ref="AL8:AN8"/>
    <mergeCell ref="AO8:AQ8"/>
    <mergeCell ref="AR8:AT8"/>
    <mergeCell ref="AB9:AK9"/>
    <mergeCell ref="AL9:AN9"/>
    <mergeCell ref="AO9:AQ9"/>
    <mergeCell ref="AR9:AT9"/>
  </mergeCells>
  <dataValidations count="1">
    <dataValidation type="list" allowBlank="1" showInputMessage="1" showErrorMessage="1" sqref="R1">
      <formula1>ROLLNO</formula1>
    </dataValidation>
  </dataValidations>
  <hyperlinks>
    <hyperlink ref="B1:D1" location="INDEX!A1" display="INDEX"/>
  </hyperlinks>
  <pageMargins left="0.25" right="0.25" top="0.2" bottom="0.2" header="0" footer="0"/>
  <pageSetup paperSize="9" scale="99" pageOrder="overThenDown" orientation="portrait" horizontalDpi="4294967292" verticalDpi="300" r:id="rId1"/>
  <colBreaks count="1" manualBreakCount="1">
    <brk id="24" min="2" max="46"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sheetPr>
  <dimension ref="A1:AV184"/>
  <sheetViews>
    <sheetView showGridLines="0" showZeros="0" view="pageBreakPreview" zoomScaleSheetLayoutView="100" workbookViewId="0">
      <pane ySplit="1" topLeftCell="A38" activePane="bottomLeft" state="frozen"/>
      <selection pane="bottomLeft" sqref="A1:D1"/>
    </sheetView>
  </sheetViews>
  <sheetFormatPr defaultColWidth="0" defaultRowHeight="15" zeroHeight="1"/>
  <cols>
    <col min="1" max="2" width="1.7109375" style="138" customWidth="1"/>
    <col min="3" max="3" width="4" style="138" customWidth="1"/>
    <col min="4" max="4" width="6.42578125" style="138" customWidth="1"/>
    <col min="5" max="7" width="4" style="138" customWidth="1"/>
    <col min="8" max="8" width="5.5703125" style="138" customWidth="1"/>
    <col min="9" max="9" width="4" style="138" customWidth="1"/>
    <col min="10" max="10" width="5.28515625" style="138" customWidth="1"/>
    <col min="11" max="11" width="4" style="138" customWidth="1"/>
    <col min="12" max="12" width="5.140625" style="138" customWidth="1"/>
    <col min="13" max="14" width="4" style="138" customWidth="1"/>
    <col min="15" max="15" width="4.42578125" style="138" customWidth="1"/>
    <col min="16" max="16" width="5.5703125" style="138" customWidth="1"/>
    <col min="17" max="17" width="4.42578125" style="138" customWidth="1"/>
    <col min="18" max="18" width="4" style="138" customWidth="1"/>
    <col min="19" max="20" width="5.140625" style="138" customWidth="1"/>
    <col min="21" max="21" width="4.7109375" style="138" customWidth="1"/>
    <col min="22" max="22" width="5.5703125" style="138" customWidth="1"/>
    <col min="23" max="23" width="1.85546875" style="138" customWidth="1"/>
    <col min="24" max="26" width="1.7109375" style="138" customWidth="1"/>
    <col min="27" max="27" width="5" style="138" customWidth="1"/>
    <col min="28" max="28" width="4.85546875" style="138" customWidth="1"/>
    <col min="29" max="30" width="4" style="138" customWidth="1"/>
    <col min="31" max="31" width="5.28515625" style="138" customWidth="1"/>
    <col min="32" max="33" width="4" style="138" customWidth="1"/>
    <col min="34" max="34" width="5.28515625" style="138" customWidth="1"/>
    <col min="35" max="36" width="4" style="138" customWidth="1"/>
    <col min="37" max="37" width="5.28515625" style="138" customWidth="1"/>
    <col min="38" max="39" width="4" style="138" customWidth="1"/>
    <col min="40" max="40" width="5.140625" style="138" customWidth="1"/>
    <col min="41" max="42" width="4" style="138" customWidth="1"/>
    <col min="43" max="43" width="4.85546875" style="138" customWidth="1"/>
    <col min="44" max="45" width="4" style="138" customWidth="1"/>
    <col min="46" max="46" width="10.140625" style="138" customWidth="1"/>
    <col min="47" max="47" width="1.85546875" style="138" customWidth="1"/>
    <col min="48" max="48" width="1.7109375" style="138" customWidth="1"/>
    <col min="49" max="16384" width="9.140625" style="138" hidden="1"/>
  </cols>
  <sheetData>
    <row r="1" spans="1:48" ht="22.5" customHeight="1">
      <c r="A1" s="751" t="s">
        <v>492</v>
      </c>
      <c r="B1" s="751"/>
      <c r="C1" s="751"/>
      <c r="D1" s="751"/>
      <c r="I1" s="766" t="s">
        <v>207</v>
      </c>
      <c r="J1" s="766"/>
      <c r="K1" s="766"/>
      <c r="L1" s="766"/>
      <c r="M1" s="766"/>
      <c r="N1" s="766"/>
      <c r="O1" s="766"/>
      <c r="P1" s="766"/>
      <c r="Q1" s="766"/>
      <c r="R1" s="767">
        <v>1</v>
      </c>
      <c r="S1" s="767"/>
      <c r="AA1" s="768" t="s">
        <v>260</v>
      </c>
      <c r="AB1" s="768"/>
      <c r="AC1" s="768"/>
      <c r="AD1" s="768"/>
      <c r="AE1" s="768"/>
      <c r="AF1" s="768"/>
      <c r="AG1" s="768"/>
      <c r="AH1" s="768"/>
      <c r="AI1" s="768"/>
      <c r="AJ1" s="768"/>
      <c r="AK1" s="768"/>
      <c r="AL1" s="768"/>
      <c r="AM1" s="768"/>
      <c r="AN1" s="768"/>
      <c r="AO1" s="768"/>
      <c r="AP1" s="768"/>
      <c r="AQ1" s="768"/>
      <c r="AR1" s="768"/>
      <c r="AS1" s="768"/>
      <c r="AT1" s="768"/>
    </row>
    <row r="2" spans="1:48"/>
    <row r="3" spans="1:48" ht="21.75" customHeight="1" thickBot="1">
      <c r="A3" s="50"/>
      <c r="B3" s="51"/>
      <c r="C3" s="51"/>
      <c r="D3" s="51"/>
      <c r="E3" s="51"/>
      <c r="F3" s="51"/>
      <c r="G3" s="52" t="s">
        <v>184</v>
      </c>
      <c r="H3" s="52"/>
      <c r="I3" s="52"/>
      <c r="J3" s="52"/>
      <c r="K3" s="52"/>
      <c r="L3" s="52"/>
      <c r="M3" s="52"/>
      <c r="N3" s="52"/>
      <c r="O3" s="52"/>
      <c r="P3" s="52"/>
      <c r="Q3" s="52"/>
      <c r="R3" s="52"/>
      <c r="S3" s="52"/>
      <c r="T3" s="52"/>
      <c r="U3" s="52"/>
      <c r="V3" s="52"/>
      <c r="W3" s="52"/>
      <c r="X3" s="53"/>
      <c r="Y3" s="139"/>
      <c r="Z3" s="140"/>
      <c r="AA3" s="140"/>
      <c r="AB3" s="140"/>
      <c r="AC3" s="140"/>
      <c r="AD3" s="140"/>
      <c r="AE3" s="140"/>
      <c r="AF3" s="140"/>
      <c r="AG3" s="140"/>
      <c r="AH3" s="140"/>
      <c r="AI3" s="140"/>
      <c r="AJ3" s="140"/>
      <c r="AK3" s="140"/>
      <c r="AL3" s="140"/>
      <c r="AM3" s="140"/>
      <c r="AN3" s="140"/>
      <c r="AO3" s="140"/>
      <c r="AP3" s="140"/>
      <c r="AQ3" s="140"/>
      <c r="AR3" s="140"/>
      <c r="AS3" s="140"/>
      <c r="AT3" s="140"/>
      <c r="AU3" s="140"/>
      <c r="AV3" s="141"/>
    </row>
    <row r="4" spans="1:48" ht="16.5" customHeight="1">
      <c r="A4" s="54"/>
      <c r="B4" s="63"/>
      <c r="C4" s="769"/>
      <c r="D4" s="769"/>
      <c r="E4" s="769"/>
      <c r="F4" s="769"/>
      <c r="G4" s="769"/>
      <c r="H4" s="769"/>
      <c r="I4" s="769"/>
      <c r="J4" s="769"/>
      <c r="K4" s="769"/>
      <c r="L4" s="769"/>
      <c r="M4" s="769"/>
      <c r="N4" s="769"/>
      <c r="O4" s="769"/>
      <c r="P4" s="769"/>
      <c r="Q4" s="769"/>
      <c r="R4" s="769"/>
      <c r="S4" s="769"/>
      <c r="T4" s="769"/>
      <c r="U4" s="769"/>
      <c r="V4" s="769"/>
      <c r="W4" s="64"/>
      <c r="X4" s="55"/>
      <c r="Y4" s="142"/>
      <c r="Z4" s="143"/>
      <c r="AA4" s="144"/>
      <c r="AB4" s="144"/>
      <c r="AC4" s="144"/>
      <c r="AD4" s="144"/>
      <c r="AE4" s="144"/>
      <c r="AF4" s="144"/>
      <c r="AG4" s="144"/>
      <c r="AH4" s="144"/>
      <c r="AI4" s="144"/>
      <c r="AJ4" s="144"/>
      <c r="AK4" s="144"/>
      <c r="AL4" s="144"/>
      <c r="AM4" s="144"/>
      <c r="AN4" s="144"/>
      <c r="AO4" s="144"/>
      <c r="AP4" s="144"/>
      <c r="AQ4" s="144"/>
      <c r="AR4" s="144"/>
      <c r="AS4" s="144"/>
      <c r="AT4" s="144"/>
      <c r="AU4" s="145"/>
      <c r="AV4" s="146"/>
    </row>
    <row r="5" spans="1:48" ht="18" customHeight="1">
      <c r="A5" s="56"/>
      <c r="B5" s="65"/>
      <c r="C5" s="995" t="s">
        <v>204</v>
      </c>
      <c r="D5" s="995"/>
      <c r="E5" s="995"/>
      <c r="F5" s="995"/>
      <c r="G5" s="995"/>
      <c r="H5" s="995"/>
      <c r="I5" s="995"/>
      <c r="J5" s="995"/>
      <c r="K5" s="995"/>
      <c r="L5" s="995"/>
      <c r="M5" s="995"/>
      <c r="N5" s="995"/>
      <c r="O5" s="995"/>
      <c r="P5" s="995"/>
      <c r="Q5" s="995"/>
      <c r="R5" s="995"/>
      <c r="S5" s="995"/>
      <c r="T5" s="995"/>
      <c r="U5" s="995"/>
      <c r="V5" s="995"/>
      <c r="W5" s="66"/>
      <c r="X5" s="55"/>
      <c r="Y5" s="142"/>
      <c r="Z5" s="147"/>
      <c r="AA5" s="993" t="s">
        <v>8</v>
      </c>
      <c r="AB5" s="993"/>
      <c r="AC5" s="993"/>
      <c r="AD5" s="993"/>
      <c r="AE5" s="993"/>
      <c r="AF5" s="993"/>
      <c r="AG5" s="993"/>
      <c r="AH5" s="993"/>
      <c r="AI5" s="993"/>
      <c r="AJ5" s="993"/>
      <c r="AK5" s="993"/>
      <c r="AL5" s="993"/>
      <c r="AM5" s="993"/>
      <c r="AN5" s="993"/>
      <c r="AO5" s="993"/>
      <c r="AP5" s="993"/>
      <c r="AQ5" s="993"/>
      <c r="AR5" s="993"/>
      <c r="AS5" s="993"/>
      <c r="AT5" s="993"/>
      <c r="AU5" s="148"/>
      <c r="AV5" s="146"/>
    </row>
    <row r="6" spans="1:48" ht="18.95" customHeight="1">
      <c r="A6" s="56"/>
      <c r="B6" s="65"/>
      <c r="C6" s="995"/>
      <c r="D6" s="995"/>
      <c r="E6" s="995"/>
      <c r="F6" s="995"/>
      <c r="G6" s="995"/>
      <c r="H6" s="995"/>
      <c r="I6" s="995"/>
      <c r="J6" s="995"/>
      <c r="K6" s="995"/>
      <c r="L6" s="995"/>
      <c r="M6" s="995"/>
      <c r="N6" s="995"/>
      <c r="O6" s="995"/>
      <c r="P6" s="995"/>
      <c r="Q6" s="995"/>
      <c r="R6" s="995"/>
      <c r="S6" s="995"/>
      <c r="T6" s="995"/>
      <c r="U6" s="995"/>
      <c r="V6" s="995"/>
      <c r="W6" s="67"/>
      <c r="X6" s="55"/>
      <c r="Y6" s="142"/>
      <c r="Z6" s="147"/>
      <c r="AA6" s="211">
        <v>1</v>
      </c>
      <c r="AB6" s="988" t="str">
        <f>STUDENTS!B2</f>
        <v>નામ</v>
      </c>
      <c r="AC6" s="988"/>
      <c r="AD6" s="988"/>
      <c r="AE6" s="988"/>
      <c r="AF6" s="988"/>
      <c r="AG6" s="988"/>
      <c r="AH6" s="988"/>
      <c r="AI6" s="985" t="str">
        <f ca="1">I32</f>
        <v>ગોહેલ રાજેશભાઇ ચીથરભાઇ</v>
      </c>
      <c r="AJ6" s="985"/>
      <c r="AK6" s="985"/>
      <c r="AL6" s="985"/>
      <c r="AM6" s="985"/>
      <c r="AN6" s="985"/>
      <c r="AO6" s="985"/>
      <c r="AP6" s="985"/>
      <c r="AQ6" s="985"/>
      <c r="AR6" s="985"/>
      <c r="AS6" s="985"/>
      <c r="AT6" s="986"/>
      <c r="AU6" s="148"/>
      <c r="AV6" s="146"/>
    </row>
    <row r="7" spans="1:48" ht="18.95" customHeight="1">
      <c r="A7" s="56"/>
      <c r="B7" s="65"/>
      <c r="C7" s="994" t="s">
        <v>203</v>
      </c>
      <c r="D7" s="994"/>
      <c r="E7" s="994"/>
      <c r="F7" s="994"/>
      <c r="G7" s="994"/>
      <c r="H7" s="994"/>
      <c r="I7" s="994"/>
      <c r="J7" s="994"/>
      <c r="K7" s="994"/>
      <c r="L7" s="994"/>
      <c r="M7" s="994"/>
      <c r="N7" s="994"/>
      <c r="O7" s="994"/>
      <c r="P7" s="994"/>
      <c r="Q7" s="994"/>
      <c r="R7" s="994"/>
      <c r="S7" s="994"/>
      <c r="T7" s="994"/>
      <c r="U7" s="994"/>
      <c r="V7" s="994"/>
      <c r="W7" s="67"/>
      <c r="X7" s="55"/>
      <c r="Y7" s="142"/>
      <c r="Z7" s="147"/>
      <c r="AA7" s="212">
        <v>2</v>
      </c>
      <c r="AB7" s="963" t="str">
        <f>STUDENTS!C5</f>
        <v>જાતિ</v>
      </c>
      <c r="AC7" s="963"/>
      <c r="AD7" s="963"/>
      <c r="AE7" s="963"/>
      <c r="AF7" s="963"/>
      <c r="AG7" s="963"/>
      <c r="AH7" s="963"/>
      <c r="AI7" s="961" t="str">
        <f ca="1">INDIRECT("STUDENTS!D"&amp;($R$1-1)*12+5)</f>
        <v>કુમાર</v>
      </c>
      <c r="AJ7" s="961"/>
      <c r="AK7" s="961"/>
      <c r="AL7" s="961"/>
      <c r="AM7" s="961"/>
      <c r="AN7" s="961"/>
      <c r="AO7" s="961"/>
      <c r="AP7" s="961"/>
      <c r="AQ7" s="961"/>
      <c r="AR7" s="961"/>
      <c r="AS7" s="961"/>
      <c r="AT7" s="962"/>
      <c r="AU7" s="148"/>
      <c r="AV7" s="146"/>
    </row>
    <row r="8" spans="1:48" ht="18.95" customHeight="1">
      <c r="A8" s="56"/>
      <c r="B8" s="65"/>
      <c r="C8" s="994"/>
      <c r="D8" s="994"/>
      <c r="E8" s="994"/>
      <c r="F8" s="994"/>
      <c r="G8" s="994"/>
      <c r="H8" s="994"/>
      <c r="I8" s="994"/>
      <c r="J8" s="994"/>
      <c r="K8" s="994"/>
      <c r="L8" s="994"/>
      <c r="M8" s="994"/>
      <c r="N8" s="994"/>
      <c r="O8" s="994"/>
      <c r="P8" s="994"/>
      <c r="Q8" s="994"/>
      <c r="R8" s="994"/>
      <c r="S8" s="994"/>
      <c r="T8" s="994"/>
      <c r="U8" s="994"/>
      <c r="V8" s="994"/>
      <c r="W8" s="67"/>
      <c r="X8" s="55"/>
      <c r="Y8" s="142"/>
      <c r="Z8" s="147"/>
      <c r="AA8" s="212">
        <v>3</v>
      </c>
      <c r="AB8" s="963" t="str">
        <f>STUDENTS!C6</f>
        <v>જન્મતારીખ</v>
      </c>
      <c r="AC8" s="963"/>
      <c r="AD8" s="963"/>
      <c r="AE8" s="963"/>
      <c r="AF8" s="963"/>
      <c r="AG8" s="963"/>
      <c r="AH8" s="963"/>
      <c r="AI8" s="987">
        <f ca="1">I34</f>
        <v>35170</v>
      </c>
      <c r="AJ8" s="961"/>
      <c r="AK8" s="961"/>
      <c r="AL8" s="961"/>
      <c r="AM8" s="961"/>
      <c r="AN8" s="961"/>
      <c r="AO8" s="961"/>
      <c r="AP8" s="961"/>
      <c r="AQ8" s="961"/>
      <c r="AR8" s="961"/>
      <c r="AS8" s="961"/>
      <c r="AT8" s="962"/>
      <c r="AU8" s="148"/>
      <c r="AV8" s="146"/>
    </row>
    <row r="9" spans="1:48" ht="18.95" customHeight="1">
      <c r="A9" s="56"/>
      <c r="B9" s="65"/>
      <c r="C9" s="996" t="str">
        <f>SCHOOL!B8</f>
        <v>જિલ્લા પંચાયત શિક્ષણ સમિતિ, અમરેલી</v>
      </c>
      <c r="D9" s="996"/>
      <c r="E9" s="996"/>
      <c r="F9" s="996"/>
      <c r="G9" s="996"/>
      <c r="H9" s="996"/>
      <c r="I9" s="996"/>
      <c r="J9" s="996"/>
      <c r="K9" s="996"/>
      <c r="L9" s="996"/>
      <c r="M9" s="996"/>
      <c r="N9" s="996"/>
      <c r="O9" s="996"/>
      <c r="P9" s="996"/>
      <c r="Q9" s="996"/>
      <c r="R9" s="996"/>
      <c r="S9" s="996"/>
      <c r="T9" s="996"/>
      <c r="U9" s="996"/>
      <c r="V9" s="996"/>
      <c r="W9" s="67"/>
      <c r="X9" s="55"/>
      <c r="Y9" s="142"/>
      <c r="Z9" s="147"/>
      <c r="AA9" s="212">
        <v>4</v>
      </c>
      <c r="AB9" s="963" t="str">
        <f>STUDENTS!C7</f>
        <v>જ.તા. શબ્દમાં</v>
      </c>
      <c r="AC9" s="963"/>
      <c r="AD9" s="963"/>
      <c r="AE9" s="963"/>
      <c r="AF9" s="963"/>
      <c r="AG9" s="963"/>
      <c r="AH9" s="963"/>
      <c r="AI9" s="961" t="str">
        <f ca="1">INDIRECT("STUDENTS!D"&amp;($R$1-1)*12+7)</f>
        <v>પંદરમી એપ્રિલ ઓગ. છન્નુ</v>
      </c>
      <c r="AJ9" s="961"/>
      <c r="AK9" s="961"/>
      <c r="AL9" s="961"/>
      <c r="AM9" s="961"/>
      <c r="AN9" s="961"/>
      <c r="AO9" s="961"/>
      <c r="AP9" s="961"/>
      <c r="AQ9" s="961"/>
      <c r="AR9" s="961"/>
      <c r="AS9" s="961"/>
      <c r="AT9" s="962"/>
      <c r="AU9" s="148"/>
      <c r="AV9" s="146"/>
    </row>
    <row r="10" spans="1:48" ht="18.95" customHeight="1">
      <c r="A10" s="56"/>
      <c r="B10" s="65"/>
      <c r="C10" s="996"/>
      <c r="D10" s="996"/>
      <c r="E10" s="996"/>
      <c r="F10" s="996"/>
      <c r="G10" s="996"/>
      <c r="H10" s="996"/>
      <c r="I10" s="996"/>
      <c r="J10" s="996"/>
      <c r="K10" s="996"/>
      <c r="L10" s="996"/>
      <c r="M10" s="996"/>
      <c r="N10" s="996"/>
      <c r="O10" s="996"/>
      <c r="P10" s="996"/>
      <c r="Q10" s="996"/>
      <c r="R10" s="996"/>
      <c r="S10" s="996"/>
      <c r="T10" s="996"/>
      <c r="U10" s="996"/>
      <c r="V10" s="996"/>
      <c r="W10" s="67"/>
      <c r="X10" s="55"/>
      <c r="Y10" s="142"/>
      <c r="Z10" s="147"/>
      <c r="AA10" s="212">
        <v>5</v>
      </c>
      <c r="AB10" s="963" t="str">
        <f>STUDENTS!C9</f>
        <v>જન્મસ્થળ</v>
      </c>
      <c r="AC10" s="963"/>
      <c r="AD10" s="963"/>
      <c r="AE10" s="963"/>
      <c r="AF10" s="963"/>
      <c r="AG10" s="963"/>
      <c r="AH10" s="963"/>
      <c r="AI10" s="961" t="str">
        <f ca="1">INDIRECT("STUDENTS!D"&amp;($R$1-1)*12+9)</f>
        <v>ખારા</v>
      </c>
      <c r="AJ10" s="961"/>
      <c r="AK10" s="961"/>
      <c r="AL10" s="961"/>
      <c r="AM10" s="961"/>
      <c r="AN10" s="961"/>
      <c r="AO10" s="961"/>
      <c r="AP10" s="961"/>
      <c r="AQ10" s="961"/>
      <c r="AR10" s="961"/>
      <c r="AS10" s="961"/>
      <c r="AT10" s="962"/>
      <c r="AU10" s="148"/>
      <c r="AV10" s="146"/>
    </row>
    <row r="11" spans="1:48" ht="18.95" customHeight="1">
      <c r="A11" s="56"/>
      <c r="B11" s="65"/>
      <c r="C11" s="42"/>
      <c r="D11" s="42"/>
      <c r="E11" s="42"/>
      <c r="F11" s="42"/>
      <c r="G11" s="42"/>
      <c r="H11" s="42"/>
      <c r="I11" s="42"/>
      <c r="J11" s="42"/>
      <c r="K11" s="42"/>
      <c r="L11" s="42"/>
      <c r="M11" s="42"/>
      <c r="N11" s="42"/>
      <c r="O11" s="42"/>
      <c r="P11" s="42"/>
      <c r="Q11" s="42"/>
      <c r="R11" s="42"/>
      <c r="S11" s="42"/>
      <c r="T11" s="42"/>
      <c r="U11" s="42"/>
      <c r="V11" s="42"/>
      <c r="W11" s="67"/>
      <c r="X11" s="55"/>
      <c r="Y11" s="142"/>
      <c r="Z11" s="147"/>
      <c r="AA11" s="212">
        <v>6</v>
      </c>
      <c r="AB11" s="963" t="str">
        <f>STUDENTS!C10</f>
        <v>ધર્મ, જ્ઞાતિ, પેટાજ્ઞાતિ</v>
      </c>
      <c r="AC11" s="963"/>
      <c r="AD11" s="963"/>
      <c r="AE11" s="963"/>
      <c r="AF11" s="963"/>
      <c r="AG11" s="963"/>
      <c r="AH11" s="963"/>
      <c r="AI11" s="961" t="str">
        <f ca="1">INDIRECT("STUDENTS!D"&amp;($R$1-1)*12+10)</f>
        <v>હિન્દુ, પટેલ</v>
      </c>
      <c r="AJ11" s="961"/>
      <c r="AK11" s="961"/>
      <c r="AL11" s="961"/>
      <c r="AM11" s="961"/>
      <c r="AN11" s="961"/>
      <c r="AO11" s="961"/>
      <c r="AP11" s="961"/>
      <c r="AQ11" s="961"/>
      <c r="AR11" s="961"/>
      <c r="AS11" s="961"/>
      <c r="AT11" s="962"/>
      <c r="AU11" s="148"/>
      <c r="AV11" s="146"/>
    </row>
    <row r="12" spans="1:48" ht="18.95" customHeight="1">
      <c r="A12" s="56"/>
      <c r="B12" s="65"/>
      <c r="C12" s="42"/>
      <c r="D12" s="42"/>
      <c r="E12" s="42"/>
      <c r="F12" s="42"/>
      <c r="G12" s="42"/>
      <c r="H12" s="42"/>
      <c r="I12" s="42"/>
      <c r="J12" s="42"/>
      <c r="K12" s="42"/>
      <c r="L12" s="42"/>
      <c r="M12" s="42"/>
      <c r="N12" s="42"/>
      <c r="O12" s="42"/>
      <c r="P12" s="42"/>
      <c r="Q12" s="42"/>
      <c r="R12" s="42"/>
      <c r="S12" s="42"/>
      <c r="T12" s="42"/>
      <c r="U12" s="42"/>
      <c r="V12" s="42"/>
      <c r="W12" s="67"/>
      <c r="X12" s="55"/>
      <c r="Y12" s="142"/>
      <c r="Z12" s="147"/>
      <c r="AA12" s="212">
        <v>7</v>
      </c>
      <c r="AB12" s="963" t="str">
        <f>STUDENTS!C11</f>
        <v>ઓળખની નિશાની</v>
      </c>
      <c r="AC12" s="963"/>
      <c r="AD12" s="963"/>
      <c r="AE12" s="963"/>
      <c r="AF12" s="963"/>
      <c r="AG12" s="963"/>
      <c r="AH12" s="963"/>
      <c r="AI12" s="961">
        <f ca="1">INDIRECT("STUDENTS!D"&amp;($R$1-1)*12+11)</f>
        <v>0</v>
      </c>
      <c r="AJ12" s="961"/>
      <c r="AK12" s="961"/>
      <c r="AL12" s="961"/>
      <c r="AM12" s="961"/>
      <c r="AN12" s="961"/>
      <c r="AO12" s="961"/>
      <c r="AP12" s="961"/>
      <c r="AQ12" s="961"/>
      <c r="AR12" s="961"/>
      <c r="AS12" s="961"/>
      <c r="AT12" s="962"/>
      <c r="AU12" s="148"/>
      <c r="AV12" s="146"/>
    </row>
    <row r="13" spans="1:48" ht="18.95" customHeight="1">
      <c r="A13" s="56"/>
      <c r="B13" s="65"/>
      <c r="C13" s="42"/>
      <c r="D13" s="42"/>
      <c r="E13" s="42"/>
      <c r="F13" s="42"/>
      <c r="G13" s="42"/>
      <c r="H13" s="42"/>
      <c r="I13" s="42"/>
      <c r="J13" s="42"/>
      <c r="K13" s="42"/>
      <c r="L13" s="42"/>
      <c r="M13" s="42"/>
      <c r="N13" s="42"/>
      <c r="O13" s="42"/>
      <c r="P13" s="42"/>
      <c r="Q13" s="42"/>
      <c r="R13" s="42"/>
      <c r="S13" s="42"/>
      <c r="T13" s="42"/>
      <c r="U13" s="42"/>
      <c r="V13" s="42"/>
      <c r="W13" s="67"/>
      <c r="X13" s="55"/>
      <c r="Y13" s="142"/>
      <c r="Z13" s="147"/>
      <c r="AA13" s="212">
        <v>8</v>
      </c>
      <c r="AB13" s="963" t="str">
        <f>STUDENTS!C12</f>
        <v>વતનનું સરનામું</v>
      </c>
      <c r="AC13" s="963"/>
      <c r="AD13" s="963"/>
      <c r="AE13" s="963"/>
      <c r="AF13" s="963"/>
      <c r="AG13" s="963"/>
      <c r="AH13" s="963"/>
      <c r="AI13" s="961">
        <f ca="1">INDIRECT("STUDENTS!D"&amp;($R$1-1)*12+12)</f>
        <v>0</v>
      </c>
      <c r="AJ13" s="961"/>
      <c r="AK13" s="961"/>
      <c r="AL13" s="961"/>
      <c r="AM13" s="961"/>
      <c r="AN13" s="961"/>
      <c r="AO13" s="961"/>
      <c r="AP13" s="961"/>
      <c r="AQ13" s="961"/>
      <c r="AR13" s="961"/>
      <c r="AS13" s="961"/>
      <c r="AT13" s="962"/>
      <c r="AU13" s="148"/>
      <c r="AV13" s="146"/>
    </row>
    <row r="14" spans="1:48" ht="18.95" customHeight="1">
      <c r="A14" s="56"/>
      <c r="B14" s="65"/>
      <c r="C14" s="42"/>
      <c r="D14" s="42"/>
      <c r="E14" s="42"/>
      <c r="F14" s="42"/>
      <c r="G14" s="42"/>
      <c r="H14" s="42"/>
      <c r="I14" s="42"/>
      <c r="J14" s="42"/>
      <c r="K14" s="42"/>
      <c r="L14" s="42"/>
      <c r="M14" s="42"/>
      <c r="N14" s="42"/>
      <c r="O14" s="42"/>
      <c r="P14" s="42"/>
      <c r="Q14" s="42"/>
      <c r="R14" s="42"/>
      <c r="S14" s="42"/>
      <c r="T14" s="42"/>
      <c r="U14" s="42"/>
      <c r="V14" s="42"/>
      <c r="W14" s="67"/>
      <c r="X14" s="55"/>
      <c r="Y14" s="142"/>
      <c r="Z14" s="147"/>
      <c r="AA14" s="212">
        <v>9</v>
      </c>
      <c r="AB14" s="963" t="str">
        <f>STUDENTS!C13</f>
        <v>હાલનું સરનામું</v>
      </c>
      <c r="AC14" s="963"/>
      <c r="AD14" s="963"/>
      <c r="AE14" s="963"/>
      <c r="AF14" s="963"/>
      <c r="AG14" s="963"/>
      <c r="AH14" s="963"/>
      <c r="AI14" s="961">
        <f ca="1">INDIRECT("STUDENTS!D"&amp;($R$1-1)*12+13)</f>
        <v>0</v>
      </c>
      <c r="AJ14" s="961"/>
      <c r="AK14" s="961"/>
      <c r="AL14" s="961"/>
      <c r="AM14" s="961"/>
      <c r="AN14" s="961"/>
      <c r="AO14" s="961"/>
      <c r="AP14" s="961"/>
      <c r="AQ14" s="961"/>
      <c r="AR14" s="961"/>
      <c r="AS14" s="961"/>
      <c r="AT14" s="962"/>
      <c r="AU14" s="148"/>
      <c r="AV14" s="146"/>
    </row>
    <row r="15" spans="1:48" ht="18.95" customHeight="1">
      <c r="A15" s="56"/>
      <c r="B15" s="65"/>
      <c r="C15" s="42"/>
      <c r="D15" s="109"/>
      <c r="E15" s="109"/>
      <c r="F15" s="109"/>
      <c r="G15" s="109"/>
      <c r="H15" s="149"/>
      <c r="I15" s="149"/>
      <c r="J15" s="149"/>
      <c r="K15" s="149"/>
      <c r="L15" s="149"/>
      <c r="M15" s="149"/>
      <c r="N15" s="149"/>
      <c r="O15" s="109"/>
      <c r="P15" s="109"/>
      <c r="Q15" s="109"/>
      <c r="R15" s="149"/>
      <c r="S15" s="149"/>
      <c r="T15" s="149"/>
      <c r="U15" s="149"/>
      <c r="V15" s="42"/>
      <c r="W15" s="68"/>
      <c r="X15" s="55"/>
      <c r="Y15" s="142"/>
      <c r="Z15" s="147"/>
      <c r="AA15" s="212">
        <v>10</v>
      </c>
      <c r="AB15" s="963" t="str">
        <f>STUDENTS!C14</f>
        <v>કુટુંબની ભાષા</v>
      </c>
      <c r="AC15" s="963"/>
      <c r="AD15" s="963"/>
      <c r="AE15" s="963"/>
      <c r="AF15" s="963"/>
      <c r="AG15" s="963"/>
      <c r="AH15" s="963"/>
      <c r="AI15" s="961">
        <f ca="1">INDIRECT("STUDENTS!D"&amp;($R$1-1)*12+14)</f>
        <v>0</v>
      </c>
      <c r="AJ15" s="961"/>
      <c r="AK15" s="961"/>
      <c r="AL15" s="961"/>
      <c r="AM15" s="961"/>
      <c r="AN15" s="961"/>
      <c r="AO15" s="961"/>
      <c r="AP15" s="961"/>
      <c r="AQ15" s="961"/>
      <c r="AR15" s="961"/>
      <c r="AS15" s="961"/>
      <c r="AT15" s="962"/>
      <c r="AU15" s="148"/>
      <c r="AV15" s="146"/>
    </row>
    <row r="16" spans="1:48" ht="18.95" customHeight="1">
      <c r="A16" s="56"/>
      <c r="B16" s="65"/>
      <c r="C16" s="42"/>
      <c r="D16" s="109"/>
      <c r="E16" s="109"/>
      <c r="F16" s="109"/>
      <c r="G16" s="109"/>
      <c r="H16" s="149"/>
      <c r="I16" s="149"/>
      <c r="J16" s="149"/>
      <c r="K16" s="149"/>
      <c r="L16" s="149"/>
      <c r="M16" s="149"/>
      <c r="N16" s="149"/>
      <c r="O16" s="109"/>
      <c r="P16" s="109"/>
      <c r="Q16" s="109"/>
      <c r="R16" s="149"/>
      <c r="S16" s="149"/>
      <c r="T16" s="149"/>
      <c r="U16" s="149"/>
      <c r="V16" s="42"/>
      <c r="W16" s="69"/>
      <c r="X16" s="55"/>
      <c r="Y16" s="142"/>
      <c r="Z16" s="147"/>
      <c r="AA16" s="212">
        <v>11</v>
      </c>
      <c r="AB16" s="963" t="str">
        <f>SCHOOL!A3</f>
        <v>શાળાનું નામ</v>
      </c>
      <c r="AC16" s="963"/>
      <c r="AD16" s="963"/>
      <c r="AE16" s="963"/>
      <c r="AF16" s="963"/>
      <c r="AG16" s="963"/>
      <c r="AH16" s="963"/>
      <c r="AI16" s="961" t="str">
        <f>SCHOOL!B3</f>
        <v>શ્રી ખારા પ્રાથમિક શાળા</v>
      </c>
      <c r="AJ16" s="961"/>
      <c r="AK16" s="961"/>
      <c r="AL16" s="961"/>
      <c r="AM16" s="961"/>
      <c r="AN16" s="961"/>
      <c r="AO16" s="961"/>
      <c r="AP16" s="961"/>
      <c r="AQ16" s="961"/>
      <c r="AR16" s="961"/>
      <c r="AS16" s="961"/>
      <c r="AT16" s="962"/>
      <c r="AU16" s="148"/>
      <c r="AV16" s="146"/>
    </row>
    <row r="17" spans="1:48" ht="18.95" customHeight="1">
      <c r="A17" s="56"/>
      <c r="B17" s="65"/>
      <c r="C17" s="42"/>
      <c r="D17" s="109"/>
      <c r="E17" s="109"/>
      <c r="F17" s="109"/>
      <c r="G17" s="109"/>
      <c r="H17" s="149"/>
      <c r="I17" s="149"/>
      <c r="J17" s="149"/>
      <c r="K17" s="149"/>
      <c r="L17" s="149"/>
      <c r="M17" s="149"/>
      <c r="N17" s="149"/>
      <c r="O17" s="109"/>
      <c r="P17" s="109"/>
      <c r="Q17" s="109"/>
      <c r="R17" s="149"/>
      <c r="S17" s="149"/>
      <c r="T17" s="149"/>
      <c r="U17" s="149"/>
      <c r="V17" s="42"/>
      <c r="W17" s="69"/>
      <c r="X17" s="55"/>
      <c r="Y17" s="142"/>
      <c r="Z17" s="147"/>
      <c r="AA17" s="212">
        <v>12</v>
      </c>
      <c r="AB17" s="963" t="s">
        <v>3</v>
      </c>
      <c r="AC17" s="963"/>
      <c r="AD17" s="963"/>
      <c r="AE17" s="963"/>
      <c r="AF17" s="963"/>
      <c r="AG17" s="963"/>
      <c r="AH17" s="963"/>
      <c r="AI17" s="961">
        <f>SCHOOL!B7</f>
        <v>0</v>
      </c>
      <c r="AJ17" s="961"/>
      <c r="AK17" s="961"/>
      <c r="AL17" s="961"/>
      <c r="AM17" s="961"/>
      <c r="AN17" s="961"/>
      <c r="AO17" s="961"/>
      <c r="AP17" s="961"/>
      <c r="AQ17" s="961"/>
      <c r="AR17" s="961"/>
      <c r="AS17" s="961"/>
      <c r="AT17" s="962"/>
      <c r="AU17" s="148"/>
      <c r="AV17" s="146"/>
    </row>
    <row r="18" spans="1:48" ht="18.95" customHeight="1">
      <c r="A18" s="56"/>
      <c r="B18" s="65"/>
      <c r="C18" s="42"/>
      <c r="D18" s="109"/>
      <c r="E18" s="109"/>
      <c r="F18" s="109"/>
      <c r="G18" s="109"/>
      <c r="H18" s="149"/>
      <c r="I18" s="149"/>
      <c r="J18" s="149"/>
      <c r="K18" s="149"/>
      <c r="L18" s="149"/>
      <c r="M18" s="149"/>
      <c r="N18" s="149"/>
      <c r="O18" s="109"/>
      <c r="P18" s="109"/>
      <c r="Q18" s="109"/>
      <c r="R18" s="149"/>
      <c r="S18" s="149"/>
      <c r="T18" s="149"/>
      <c r="U18" s="149"/>
      <c r="V18" s="42"/>
      <c r="W18" s="69"/>
      <c r="X18" s="55"/>
      <c r="Y18" s="142"/>
      <c r="Z18" s="147"/>
      <c r="AA18" s="213">
        <v>13</v>
      </c>
      <c r="AB18" s="1031" t="str">
        <f>STUDENTS!C4</f>
        <v>જ.ર.નંબર</v>
      </c>
      <c r="AC18" s="1031"/>
      <c r="AD18" s="1031"/>
      <c r="AE18" s="1031"/>
      <c r="AF18" s="1031"/>
      <c r="AG18" s="1031"/>
      <c r="AH18" s="1031"/>
      <c r="AI18" s="964">
        <f ca="1">INDIRECT("STUDENTS!D"&amp;($R$1-1)*12+4)</f>
        <v>1555</v>
      </c>
      <c r="AJ18" s="964"/>
      <c r="AK18" s="964"/>
      <c r="AL18" s="964"/>
      <c r="AM18" s="964"/>
      <c r="AN18" s="964"/>
      <c r="AO18" s="964"/>
      <c r="AP18" s="964"/>
      <c r="AQ18" s="964"/>
      <c r="AR18" s="964"/>
      <c r="AS18" s="964"/>
      <c r="AT18" s="965"/>
      <c r="AU18" s="148"/>
      <c r="AV18" s="146"/>
    </row>
    <row r="19" spans="1:48" ht="18.95" customHeight="1">
      <c r="A19" s="56"/>
      <c r="B19" s="65"/>
      <c r="D19" s="150"/>
      <c r="E19" s="150"/>
      <c r="F19" s="150"/>
      <c r="G19" s="150"/>
      <c r="H19" s="150"/>
      <c r="I19" s="150"/>
      <c r="J19" s="793" t="s">
        <v>523</v>
      </c>
      <c r="K19" s="793"/>
      <c r="L19" s="793"/>
      <c r="M19" s="793"/>
      <c r="N19" s="793"/>
      <c r="O19" s="793"/>
      <c r="P19" s="793"/>
      <c r="Q19" s="150"/>
      <c r="R19" s="150"/>
      <c r="S19" s="150"/>
      <c r="T19" s="150"/>
      <c r="U19" s="150"/>
      <c r="V19" s="150"/>
      <c r="W19" s="69"/>
      <c r="X19" s="55"/>
      <c r="Y19" s="142"/>
      <c r="Z19" s="147"/>
      <c r="AA19" s="57"/>
      <c r="AB19" s="57"/>
      <c r="AC19" s="57"/>
      <c r="AD19" s="57"/>
      <c r="AE19" s="57"/>
      <c r="AF19" s="57"/>
      <c r="AG19" s="57"/>
      <c r="AH19" s="57"/>
      <c r="AI19" s="57"/>
      <c r="AJ19" s="57"/>
      <c r="AK19" s="57"/>
      <c r="AL19" s="57"/>
      <c r="AM19" s="57"/>
      <c r="AN19" s="57"/>
      <c r="AO19" s="57"/>
      <c r="AP19" s="57"/>
      <c r="AQ19" s="57"/>
      <c r="AR19" s="57"/>
      <c r="AS19" s="57"/>
      <c r="AT19" s="57"/>
      <c r="AU19" s="148"/>
      <c r="AV19" s="146"/>
    </row>
    <row r="20" spans="1:48" ht="18.95" customHeight="1">
      <c r="A20" s="56"/>
      <c r="B20" s="65"/>
      <c r="J20" s="793"/>
      <c r="K20" s="793"/>
      <c r="L20" s="793"/>
      <c r="M20" s="793"/>
      <c r="N20" s="793"/>
      <c r="O20" s="793"/>
      <c r="P20" s="793"/>
      <c r="W20" s="67"/>
      <c r="X20" s="55"/>
      <c r="Y20" s="142"/>
      <c r="Z20" s="147"/>
      <c r="AA20" s="997" t="s">
        <v>9</v>
      </c>
      <c r="AB20" s="997"/>
      <c r="AC20" s="997"/>
      <c r="AD20" s="997"/>
      <c r="AE20" s="997"/>
      <c r="AF20" s="997"/>
      <c r="AG20" s="997"/>
      <c r="AH20" s="997"/>
      <c r="AI20" s="997"/>
      <c r="AJ20" s="997"/>
      <c r="AK20" s="997"/>
      <c r="AL20" s="997"/>
      <c r="AM20" s="997"/>
      <c r="AN20" s="997"/>
      <c r="AO20" s="997"/>
      <c r="AP20" s="997"/>
      <c r="AQ20" s="997"/>
      <c r="AR20" s="997"/>
      <c r="AS20" s="997"/>
      <c r="AT20" s="997"/>
      <c r="AU20" s="148"/>
      <c r="AV20" s="146"/>
    </row>
    <row r="21" spans="1:48" ht="18.95" customHeight="1">
      <c r="A21" s="58"/>
      <c r="B21" s="70"/>
      <c r="W21" s="71"/>
      <c r="X21" s="59"/>
      <c r="Y21" s="142"/>
      <c r="Z21" s="147"/>
      <c r="AA21" s="211">
        <v>14</v>
      </c>
      <c r="AB21" s="988" t="str">
        <f>STUDENTS!E4</f>
        <v>પિતાનું નામ</v>
      </c>
      <c r="AC21" s="988"/>
      <c r="AD21" s="988"/>
      <c r="AE21" s="988"/>
      <c r="AF21" s="988"/>
      <c r="AG21" s="988"/>
      <c r="AH21" s="988"/>
      <c r="AI21" s="985" t="str">
        <f ca="1">INDIRECT("STUDENTS!F"&amp;($R$1-1)*12+4)</f>
        <v>ધનેશભાઇ વીરજીભાઇ વિરપરા</v>
      </c>
      <c r="AJ21" s="985"/>
      <c r="AK21" s="985"/>
      <c r="AL21" s="985"/>
      <c r="AM21" s="985"/>
      <c r="AN21" s="985"/>
      <c r="AO21" s="985"/>
      <c r="AP21" s="985"/>
      <c r="AQ21" s="985"/>
      <c r="AR21" s="985"/>
      <c r="AS21" s="985"/>
      <c r="AT21" s="986"/>
      <c r="AU21" s="148"/>
      <c r="AV21" s="146"/>
    </row>
    <row r="22" spans="1:48" ht="18.95" customHeight="1">
      <c r="A22" s="56"/>
      <c r="B22" s="65"/>
      <c r="C22" s="1048" t="s">
        <v>205</v>
      </c>
      <c r="D22" s="1048"/>
      <c r="E22" s="1048"/>
      <c r="F22" s="1048"/>
      <c r="G22" s="1048"/>
      <c r="H22" s="1048"/>
      <c r="I22" s="1048"/>
      <c r="J22" s="1048"/>
      <c r="K22" s="1048"/>
      <c r="L22" s="1048"/>
      <c r="M22" s="1048"/>
      <c r="N22" s="1048"/>
      <c r="O22" s="1048"/>
      <c r="P22" s="1048"/>
      <c r="Q22" s="1048"/>
      <c r="R22" s="1048"/>
      <c r="S22" s="1048"/>
      <c r="T22" s="1048"/>
      <c r="U22" s="1048"/>
      <c r="V22" s="1048"/>
      <c r="W22" s="72"/>
      <c r="X22" s="55"/>
      <c r="Y22" s="142"/>
      <c r="Z22" s="147"/>
      <c r="AA22" s="212">
        <v>15</v>
      </c>
      <c r="AB22" s="963" t="str">
        <f>STUDENTS!E5</f>
        <v>ઉમર (વર્ષ)</v>
      </c>
      <c r="AC22" s="963"/>
      <c r="AD22" s="963"/>
      <c r="AE22" s="963"/>
      <c r="AF22" s="963"/>
      <c r="AG22" s="963"/>
      <c r="AH22" s="963"/>
      <c r="AI22" s="961">
        <f ca="1">INDIRECT("STUDENTS!F"&amp;($R$1-1)*12+5)</f>
        <v>45</v>
      </c>
      <c r="AJ22" s="961"/>
      <c r="AK22" s="961"/>
      <c r="AL22" s="961"/>
      <c r="AM22" s="961"/>
      <c r="AN22" s="961"/>
      <c r="AO22" s="961"/>
      <c r="AP22" s="961"/>
      <c r="AQ22" s="961"/>
      <c r="AR22" s="961"/>
      <c r="AS22" s="961"/>
      <c r="AT22" s="962"/>
      <c r="AU22" s="148"/>
      <c r="AV22" s="146"/>
    </row>
    <row r="23" spans="1:48" ht="18.95" customHeight="1">
      <c r="A23" s="56"/>
      <c r="B23" s="65"/>
      <c r="C23" s="1048"/>
      <c r="D23" s="1048"/>
      <c r="E23" s="1048"/>
      <c r="F23" s="1048"/>
      <c r="G23" s="1048"/>
      <c r="H23" s="1048"/>
      <c r="I23" s="1048"/>
      <c r="J23" s="1048"/>
      <c r="K23" s="1048"/>
      <c r="L23" s="1048"/>
      <c r="M23" s="1048"/>
      <c r="N23" s="1048"/>
      <c r="O23" s="1048"/>
      <c r="P23" s="1048"/>
      <c r="Q23" s="1048"/>
      <c r="R23" s="1048"/>
      <c r="S23" s="1048"/>
      <c r="T23" s="1048"/>
      <c r="U23" s="1048"/>
      <c r="V23" s="1048"/>
      <c r="W23" s="72"/>
      <c r="X23" s="55"/>
      <c r="Y23" s="142"/>
      <c r="Z23" s="147"/>
      <c r="AA23" s="212">
        <v>16</v>
      </c>
      <c r="AB23" s="963" t="str">
        <f>STUDENTS!E6</f>
        <v>અભ્યાસ</v>
      </c>
      <c r="AC23" s="963"/>
      <c r="AD23" s="963"/>
      <c r="AE23" s="963"/>
      <c r="AF23" s="963"/>
      <c r="AG23" s="963"/>
      <c r="AH23" s="963"/>
      <c r="AI23" s="987" t="str">
        <f ca="1">INDIRECT("STUDENTS!F"&amp;($R$1-1)*12+6)</f>
        <v>ધોરણ - 8</v>
      </c>
      <c r="AJ23" s="961"/>
      <c r="AK23" s="961"/>
      <c r="AL23" s="961"/>
      <c r="AM23" s="961"/>
      <c r="AN23" s="961"/>
      <c r="AO23" s="961"/>
      <c r="AP23" s="961"/>
      <c r="AQ23" s="961"/>
      <c r="AR23" s="961"/>
      <c r="AS23" s="961"/>
      <c r="AT23" s="962"/>
      <c r="AU23" s="148"/>
      <c r="AV23" s="146"/>
    </row>
    <row r="24" spans="1:48" ht="18.95" customHeight="1">
      <c r="A24" s="56"/>
      <c r="B24" s="65"/>
      <c r="C24" s="1065" t="s">
        <v>522</v>
      </c>
      <c r="D24" s="1065"/>
      <c r="E24" s="1065"/>
      <c r="F24" s="1065"/>
      <c r="G24" s="1065"/>
      <c r="H24" s="1065"/>
      <c r="I24" s="1065"/>
      <c r="J24" s="1065"/>
      <c r="K24" s="1065"/>
      <c r="L24" s="1065"/>
      <c r="M24" s="1065"/>
      <c r="N24" s="1065"/>
      <c r="O24" s="1065"/>
      <c r="P24" s="1065"/>
      <c r="Q24" s="1065"/>
      <c r="R24" s="1065"/>
      <c r="S24" s="1065"/>
      <c r="T24" s="1065"/>
      <c r="U24" s="1065"/>
      <c r="V24" s="1065"/>
      <c r="W24" s="72"/>
      <c r="X24" s="55"/>
      <c r="Y24" s="142"/>
      <c r="Z24" s="147"/>
      <c r="AA24" s="212">
        <v>17</v>
      </c>
      <c r="AB24" s="963" t="str">
        <f>STUDENTS!E7</f>
        <v>વ્યવસાય (વાર્ષિક આવક)</v>
      </c>
      <c r="AC24" s="963"/>
      <c r="AD24" s="963"/>
      <c r="AE24" s="963"/>
      <c r="AF24" s="963"/>
      <c r="AG24" s="963"/>
      <c r="AH24" s="963"/>
      <c r="AI24" s="961" t="str">
        <f ca="1">INDIRECT("STUDENTS!F"&amp;($R$1-1)*12+7)</f>
        <v>ખેતી (50,000)</v>
      </c>
      <c r="AJ24" s="961"/>
      <c r="AK24" s="961"/>
      <c r="AL24" s="961"/>
      <c r="AM24" s="961"/>
      <c r="AN24" s="961"/>
      <c r="AO24" s="961"/>
      <c r="AP24" s="961"/>
      <c r="AQ24" s="961"/>
      <c r="AR24" s="961"/>
      <c r="AS24" s="961"/>
      <c r="AT24" s="962"/>
      <c r="AU24" s="148"/>
      <c r="AV24" s="146"/>
    </row>
    <row r="25" spans="1:48" ht="18.95" customHeight="1">
      <c r="A25" s="56"/>
      <c r="B25" s="65"/>
      <c r="C25" s="1065"/>
      <c r="D25" s="1065"/>
      <c r="E25" s="1065"/>
      <c r="F25" s="1065"/>
      <c r="G25" s="1065"/>
      <c r="H25" s="1065"/>
      <c r="I25" s="1065"/>
      <c r="J25" s="1065"/>
      <c r="K25" s="1065"/>
      <c r="L25" s="1065"/>
      <c r="M25" s="1065"/>
      <c r="N25" s="1065"/>
      <c r="O25" s="1065"/>
      <c r="P25" s="1065"/>
      <c r="Q25" s="1065"/>
      <c r="R25" s="1065"/>
      <c r="S25" s="1065"/>
      <c r="T25" s="1065"/>
      <c r="U25" s="1065"/>
      <c r="V25" s="1065"/>
      <c r="W25" s="73"/>
      <c r="X25" s="55"/>
      <c r="Y25" s="142"/>
      <c r="Z25" s="147"/>
      <c r="AA25" s="212">
        <v>18</v>
      </c>
      <c r="AB25" s="963" t="str">
        <f>STUDENTS!E8</f>
        <v>વ્યવસાયનું સ્થળ</v>
      </c>
      <c r="AC25" s="963"/>
      <c r="AD25" s="963"/>
      <c r="AE25" s="963"/>
      <c r="AF25" s="963"/>
      <c r="AG25" s="963"/>
      <c r="AH25" s="963"/>
      <c r="AI25" s="961">
        <f ca="1">INDIRECT("STUDENTS!F"&amp;($R$1-1)*12+8)</f>
        <v>0</v>
      </c>
      <c r="AJ25" s="961"/>
      <c r="AK25" s="961"/>
      <c r="AL25" s="961"/>
      <c r="AM25" s="961"/>
      <c r="AN25" s="961"/>
      <c r="AO25" s="961"/>
      <c r="AP25" s="961"/>
      <c r="AQ25" s="961"/>
      <c r="AR25" s="961"/>
      <c r="AS25" s="961"/>
      <c r="AT25" s="962"/>
      <c r="AU25" s="148"/>
      <c r="AV25" s="146"/>
    </row>
    <row r="26" spans="1:48" ht="18.95" customHeight="1">
      <c r="A26" s="56"/>
      <c r="B26" s="65"/>
      <c r="W26" s="73"/>
      <c r="X26" s="55"/>
      <c r="Y26" s="142"/>
      <c r="Z26" s="147"/>
      <c r="AA26" s="212">
        <v>19</v>
      </c>
      <c r="AB26" s="963" t="str">
        <f>STUDENTS!E9</f>
        <v>સંપર્ક નંબર</v>
      </c>
      <c r="AC26" s="963"/>
      <c r="AD26" s="963"/>
      <c r="AE26" s="963"/>
      <c r="AF26" s="963"/>
      <c r="AG26" s="963"/>
      <c r="AH26" s="963"/>
      <c r="AI26" s="961">
        <f ca="1">INDIRECT("STUDENTS!F"&amp;($R$1-1)*12+9)</f>
        <v>0</v>
      </c>
      <c r="AJ26" s="961"/>
      <c r="AK26" s="961"/>
      <c r="AL26" s="961"/>
      <c r="AM26" s="961"/>
      <c r="AN26" s="961"/>
      <c r="AO26" s="961"/>
      <c r="AP26" s="961"/>
      <c r="AQ26" s="961"/>
      <c r="AR26" s="961"/>
      <c r="AS26" s="961"/>
      <c r="AT26" s="962"/>
      <c r="AU26" s="148"/>
      <c r="AV26" s="146"/>
    </row>
    <row r="27" spans="1:48" ht="18.95" customHeight="1">
      <c r="A27" s="56"/>
      <c r="B27" s="65"/>
      <c r="C27" s="794" t="str">
        <f>SCHOOL!B3</f>
        <v>શ્રી ખારા પ્રાથમિક શાળા</v>
      </c>
      <c r="D27" s="794"/>
      <c r="E27" s="794"/>
      <c r="F27" s="794"/>
      <c r="G27" s="794"/>
      <c r="H27" s="794"/>
      <c r="I27" s="794"/>
      <c r="J27" s="794"/>
      <c r="K27" s="794"/>
      <c r="L27" s="794"/>
      <c r="M27" s="794"/>
      <c r="N27" s="794"/>
      <c r="O27" s="794"/>
      <c r="P27" s="794"/>
      <c r="Q27" s="794"/>
      <c r="R27" s="794"/>
      <c r="S27" s="794"/>
      <c r="T27" s="794"/>
      <c r="U27" s="794"/>
      <c r="V27" s="794"/>
      <c r="W27" s="73"/>
      <c r="X27" s="55"/>
      <c r="Y27" s="142"/>
      <c r="Z27" s="147"/>
      <c r="AA27" s="212">
        <v>20</v>
      </c>
      <c r="AB27" s="963" t="str">
        <f>STUDENTS!E10</f>
        <v>માતાનું નામ</v>
      </c>
      <c r="AC27" s="963"/>
      <c r="AD27" s="963"/>
      <c r="AE27" s="963"/>
      <c r="AF27" s="963"/>
      <c r="AG27" s="963"/>
      <c r="AH27" s="963"/>
      <c r="AI27" s="961">
        <f ca="1">INDIRECT("STUDENTS!F"&amp;($R$1-1)*12+10)</f>
        <v>0</v>
      </c>
      <c r="AJ27" s="961"/>
      <c r="AK27" s="961"/>
      <c r="AL27" s="961"/>
      <c r="AM27" s="961"/>
      <c r="AN27" s="961"/>
      <c r="AO27" s="961"/>
      <c r="AP27" s="961"/>
      <c r="AQ27" s="961"/>
      <c r="AR27" s="961"/>
      <c r="AS27" s="961"/>
      <c r="AT27" s="962"/>
      <c r="AU27" s="148"/>
      <c r="AV27" s="146"/>
    </row>
    <row r="28" spans="1:48" ht="18.95" customHeight="1">
      <c r="A28" s="56"/>
      <c r="B28" s="65"/>
      <c r="C28" s="795"/>
      <c r="D28" s="795"/>
      <c r="E28" s="795"/>
      <c r="F28" s="795"/>
      <c r="G28" s="795"/>
      <c r="H28" s="795"/>
      <c r="I28" s="795"/>
      <c r="J28" s="795"/>
      <c r="K28" s="795"/>
      <c r="L28" s="795"/>
      <c r="M28" s="795"/>
      <c r="N28" s="795"/>
      <c r="O28" s="795"/>
      <c r="P28" s="795"/>
      <c r="Q28" s="795"/>
      <c r="R28" s="795"/>
      <c r="S28" s="795"/>
      <c r="T28" s="795"/>
      <c r="U28" s="795"/>
      <c r="V28" s="795"/>
      <c r="W28" s="73"/>
      <c r="X28" s="55"/>
      <c r="Y28" s="142"/>
      <c r="Z28" s="147"/>
      <c r="AA28" s="212">
        <v>21</v>
      </c>
      <c r="AB28" s="963" t="str">
        <f>STUDENTS!E11</f>
        <v>માતાનો વ્યવસાય</v>
      </c>
      <c r="AC28" s="963"/>
      <c r="AD28" s="963"/>
      <c r="AE28" s="963"/>
      <c r="AF28" s="963"/>
      <c r="AG28" s="963"/>
      <c r="AH28" s="963"/>
      <c r="AI28" s="961">
        <f ca="1">INDIRECT("STUDENTS!F"&amp;($R$1-1)*12+11)</f>
        <v>0</v>
      </c>
      <c r="AJ28" s="961"/>
      <c r="AK28" s="961"/>
      <c r="AL28" s="961"/>
      <c r="AM28" s="961"/>
      <c r="AN28" s="961"/>
      <c r="AO28" s="961"/>
      <c r="AP28" s="961"/>
      <c r="AQ28" s="961"/>
      <c r="AR28" s="961"/>
      <c r="AS28" s="961"/>
      <c r="AT28" s="962"/>
      <c r="AU28" s="148"/>
      <c r="AV28" s="146"/>
    </row>
    <row r="29" spans="1:48" ht="18.95" customHeight="1">
      <c r="A29" s="56"/>
      <c r="B29" s="65"/>
      <c r="C29" s="1075" t="s">
        <v>181</v>
      </c>
      <c r="D29" s="1075"/>
      <c r="E29" s="1076" t="str">
        <f>SCHOOL!B4</f>
        <v>ખારા</v>
      </c>
      <c r="F29" s="1076"/>
      <c r="G29" s="1076"/>
      <c r="H29" s="1076"/>
      <c r="I29" s="1075" t="s">
        <v>1</v>
      </c>
      <c r="J29" s="1075"/>
      <c r="K29" s="1076" t="str">
        <f>SCHOOL!B5</f>
        <v>લીલીયા</v>
      </c>
      <c r="L29" s="1076"/>
      <c r="M29" s="1076"/>
      <c r="N29" s="1076"/>
      <c r="O29" s="1076"/>
      <c r="P29" s="1075" t="s">
        <v>2</v>
      </c>
      <c r="Q29" s="1075"/>
      <c r="R29" s="1076" t="str">
        <f>SCHOOL!B6</f>
        <v>અમરેલી</v>
      </c>
      <c r="S29" s="1076"/>
      <c r="T29" s="1076"/>
      <c r="U29" s="1076"/>
      <c r="V29" s="1076"/>
      <c r="W29" s="74"/>
      <c r="X29" s="55"/>
      <c r="Y29" s="142"/>
      <c r="Z29" s="147"/>
      <c r="AA29" s="212">
        <v>22</v>
      </c>
      <c r="AB29" s="963" t="str">
        <f>STUDENTS!E12</f>
        <v>ભાઇ</v>
      </c>
      <c r="AC29" s="963"/>
      <c r="AD29" s="963"/>
      <c r="AE29" s="963"/>
      <c r="AF29" s="963"/>
      <c r="AG29" s="963"/>
      <c r="AH29" s="963"/>
      <c r="AI29" s="961">
        <f ca="1">INDIRECT("STUDENTS!F"&amp;($R$1-1)*12+12)</f>
        <v>0</v>
      </c>
      <c r="AJ29" s="961"/>
      <c r="AK29" s="961"/>
      <c r="AL29" s="961"/>
      <c r="AM29" s="961"/>
      <c r="AN29" s="961"/>
      <c r="AO29" s="961"/>
      <c r="AP29" s="961"/>
      <c r="AQ29" s="961"/>
      <c r="AR29" s="961"/>
      <c r="AS29" s="961"/>
      <c r="AT29" s="962"/>
      <c r="AU29" s="148"/>
      <c r="AV29" s="146"/>
    </row>
    <row r="30" spans="1:48" ht="18.95" customHeight="1">
      <c r="A30" s="56"/>
      <c r="B30" s="65"/>
      <c r="C30" s="1075"/>
      <c r="D30" s="1075"/>
      <c r="E30" s="1076"/>
      <c r="F30" s="1076"/>
      <c r="G30" s="1076"/>
      <c r="H30" s="1076"/>
      <c r="I30" s="1075"/>
      <c r="J30" s="1075"/>
      <c r="K30" s="1076"/>
      <c r="L30" s="1076"/>
      <c r="M30" s="1076"/>
      <c r="N30" s="1076"/>
      <c r="O30" s="1076"/>
      <c r="P30" s="1075"/>
      <c r="Q30" s="1075"/>
      <c r="R30" s="1076"/>
      <c r="S30" s="1076"/>
      <c r="T30" s="1076"/>
      <c r="U30" s="1076"/>
      <c r="V30" s="1076"/>
      <c r="W30" s="67"/>
      <c r="X30" s="55"/>
      <c r="Y30" s="142"/>
      <c r="Z30" s="147"/>
      <c r="AA30" s="213">
        <v>23</v>
      </c>
      <c r="AB30" s="1031" t="str">
        <f>STUDENTS!E13</f>
        <v>બહેન</v>
      </c>
      <c r="AC30" s="1031"/>
      <c r="AD30" s="1031"/>
      <c r="AE30" s="1031"/>
      <c r="AF30" s="1031"/>
      <c r="AG30" s="1031"/>
      <c r="AH30" s="1031"/>
      <c r="AI30" s="964">
        <f ca="1">INDIRECT("STUDENTS!F"&amp;($R$1-1)*12+13)</f>
        <v>0</v>
      </c>
      <c r="AJ30" s="964"/>
      <c r="AK30" s="964"/>
      <c r="AL30" s="964"/>
      <c r="AM30" s="964"/>
      <c r="AN30" s="964"/>
      <c r="AO30" s="964"/>
      <c r="AP30" s="964"/>
      <c r="AQ30" s="964"/>
      <c r="AR30" s="964"/>
      <c r="AS30" s="964"/>
      <c r="AT30" s="965"/>
      <c r="AU30" s="148"/>
      <c r="AV30" s="146"/>
    </row>
    <row r="31" spans="1:48" ht="18.95" customHeight="1">
      <c r="A31" s="56"/>
      <c r="B31" s="65"/>
      <c r="C31" s="42"/>
      <c r="D31" s="48"/>
      <c r="U31" s="42"/>
      <c r="V31" s="42"/>
      <c r="W31" s="67"/>
      <c r="X31" s="55"/>
      <c r="Y31" s="142"/>
      <c r="Z31" s="147"/>
      <c r="AA31" s="57"/>
      <c r="AB31" s="57"/>
      <c r="AC31" s="57"/>
      <c r="AD31" s="57"/>
      <c r="AE31" s="57"/>
      <c r="AF31" s="57"/>
      <c r="AG31" s="57"/>
      <c r="AH31" s="57"/>
      <c r="AI31" s="57"/>
      <c r="AJ31" s="57"/>
      <c r="AK31" s="57"/>
      <c r="AL31" s="57"/>
      <c r="AM31" s="57"/>
      <c r="AN31" s="57"/>
      <c r="AO31" s="57"/>
      <c r="AP31" s="57"/>
      <c r="AQ31" s="57"/>
      <c r="AR31" s="57"/>
      <c r="AS31" s="57"/>
      <c r="AT31" s="57"/>
      <c r="AU31" s="148"/>
      <c r="AV31" s="146"/>
    </row>
    <row r="32" spans="1:48" ht="18.95" customHeight="1">
      <c r="A32" s="56"/>
      <c r="B32" s="65"/>
      <c r="C32" s="42"/>
      <c r="D32" s="42"/>
      <c r="E32" s="1057" t="s">
        <v>82</v>
      </c>
      <c r="F32" s="1058"/>
      <c r="G32" s="1058"/>
      <c r="H32" s="1059"/>
      <c r="I32" s="969" t="str">
        <f ca="1">INDIRECT("STUDENTS!B"&amp;($R$1-1)*12+4)</f>
        <v>ગોહેલ રાજેશભાઇ ચીથરભાઇ</v>
      </c>
      <c r="J32" s="970"/>
      <c r="K32" s="970"/>
      <c r="L32" s="970"/>
      <c r="M32" s="970"/>
      <c r="N32" s="970"/>
      <c r="O32" s="970"/>
      <c r="P32" s="970"/>
      <c r="Q32" s="970"/>
      <c r="R32" s="970"/>
      <c r="S32" s="970"/>
      <c r="T32" s="971"/>
      <c r="U32" s="42"/>
      <c r="V32" s="42"/>
      <c r="W32" s="67"/>
      <c r="X32" s="55"/>
      <c r="Y32" s="142"/>
      <c r="Z32" s="147"/>
      <c r="AA32" s="997" t="s">
        <v>10</v>
      </c>
      <c r="AB32" s="997"/>
      <c r="AC32" s="997"/>
      <c r="AD32" s="997"/>
      <c r="AE32" s="997"/>
      <c r="AF32" s="997"/>
      <c r="AG32" s="997"/>
      <c r="AH32" s="997"/>
      <c r="AI32" s="997"/>
      <c r="AJ32" s="997"/>
      <c r="AK32" s="997"/>
      <c r="AL32" s="997"/>
      <c r="AM32" s="997"/>
      <c r="AN32" s="997"/>
      <c r="AO32" s="997"/>
      <c r="AP32" s="997"/>
      <c r="AQ32" s="997"/>
      <c r="AR32" s="997"/>
      <c r="AS32" s="997"/>
      <c r="AT32" s="997"/>
      <c r="AU32" s="148"/>
      <c r="AV32" s="146"/>
    </row>
    <row r="33" spans="1:48" ht="18.95" customHeight="1">
      <c r="A33" s="56"/>
      <c r="B33" s="65"/>
      <c r="C33" s="42"/>
      <c r="D33" s="42"/>
      <c r="E33" s="1060"/>
      <c r="F33" s="1061"/>
      <c r="G33" s="1061"/>
      <c r="H33" s="1062"/>
      <c r="I33" s="972"/>
      <c r="J33" s="973"/>
      <c r="K33" s="973"/>
      <c r="L33" s="973"/>
      <c r="M33" s="973"/>
      <c r="N33" s="973"/>
      <c r="O33" s="973"/>
      <c r="P33" s="973"/>
      <c r="Q33" s="973"/>
      <c r="R33" s="973"/>
      <c r="S33" s="973"/>
      <c r="T33" s="974"/>
      <c r="U33" s="42"/>
      <c r="V33" s="42"/>
      <c r="W33" s="67"/>
      <c r="X33" s="55"/>
      <c r="Y33" s="142"/>
      <c r="Z33" s="147"/>
      <c r="AA33" s="998" t="str">
        <f>STUDENTS!G3</f>
        <v xml:space="preserve">ધોરણ </v>
      </c>
      <c r="AB33" s="999"/>
      <c r="AC33" s="999" t="str">
        <f>STUDENTS!H3</f>
        <v>વજન (કિગ્રા)</v>
      </c>
      <c r="AD33" s="999"/>
      <c r="AE33" s="999"/>
      <c r="AF33" s="999"/>
      <c r="AG33" s="999"/>
      <c r="AH33" s="999"/>
      <c r="AI33" s="1000" t="str">
        <f>STUDENTS!I3</f>
        <v>ઉંચાઇ (સેમી)</v>
      </c>
      <c r="AJ33" s="1000"/>
      <c r="AK33" s="1000"/>
      <c r="AL33" s="1000"/>
      <c r="AM33" s="1000"/>
      <c r="AN33" s="1000"/>
      <c r="AO33" s="1000" t="str">
        <f>STUDENTS!J3</f>
        <v>છાતી (સેમી)</v>
      </c>
      <c r="AP33" s="1000"/>
      <c r="AQ33" s="1000"/>
      <c r="AR33" s="1000"/>
      <c r="AS33" s="1000"/>
      <c r="AT33" s="1001"/>
      <c r="AU33" s="148"/>
      <c r="AV33" s="146"/>
    </row>
    <row r="34" spans="1:48" ht="18.95" customHeight="1">
      <c r="A34" s="56"/>
      <c r="B34" s="65"/>
      <c r="C34" s="42"/>
      <c r="D34" s="42"/>
      <c r="E34" s="1063" t="s">
        <v>34</v>
      </c>
      <c r="F34" s="1049"/>
      <c r="G34" s="1049"/>
      <c r="H34" s="1049"/>
      <c r="I34" s="1051">
        <f ca="1">INDIRECT("STUDENTS!D"&amp;($R$1-1)*12+6)</f>
        <v>35170</v>
      </c>
      <c r="J34" s="1051"/>
      <c r="K34" s="1051"/>
      <c r="L34" s="1051"/>
      <c r="M34" s="1049" t="s">
        <v>417</v>
      </c>
      <c r="N34" s="1049"/>
      <c r="O34" s="1049"/>
      <c r="P34" s="1049"/>
      <c r="Q34" s="1053">
        <f ca="1">INDIRECT("STUDENTS!D"&amp;($R$1-1)*12+8)</f>
        <v>0</v>
      </c>
      <c r="R34" s="1053"/>
      <c r="S34" s="1053"/>
      <c r="T34" s="1054"/>
      <c r="U34" s="42"/>
      <c r="V34" s="42"/>
      <c r="W34" s="67"/>
      <c r="X34" s="55"/>
      <c r="Y34" s="142"/>
      <c r="Z34" s="147"/>
      <c r="AA34" s="989">
        <v>1</v>
      </c>
      <c r="AB34" s="990"/>
      <c r="AC34" s="903">
        <f ca="1">INDIRECT("STUDENTS!H"&amp;($R$1-1)*12+4)</f>
        <v>33</v>
      </c>
      <c r="AD34" s="903"/>
      <c r="AE34" s="903"/>
      <c r="AF34" s="903"/>
      <c r="AG34" s="903"/>
      <c r="AH34" s="903"/>
      <c r="AI34" s="903">
        <f ca="1">INDIRECT("STUDENTS!I"&amp;($R$1-1)*12+4)</f>
        <v>133</v>
      </c>
      <c r="AJ34" s="903"/>
      <c r="AK34" s="903"/>
      <c r="AL34" s="903"/>
      <c r="AM34" s="903"/>
      <c r="AN34" s="903"/>
      <c r="AO34" s="903">
        <f ca="1">INDIRECT("STUDENTS!J"&amp;($R$1-1)*12+4)</f>
        <v>56</v>
      </c>
      <c r="AP34" s="903"/>
      <c r="AQ34" s="903"/>
      <c r="AR34" s="903"/>
      <c r="AS34" s="903"/>
      <c r="AT34" s="904"/>
      <c r="AU34" s="148"/>
      <c r="AV34" s="146"/>
    </row>
    <row r="35" spans="1:48" ht="18.95" customHeight="1">
      <c r="A35" s="56"/>
      <c r="B35" s="65"/>
      <c r="C35" s="42"/>
      <c r="D35" s="42"/>
      <c r="E35" s="1064"/>
      <c r="F35" s="1050"/>
      <c r="G35" s="1050"/>
      <c r="H35" s="1050"/>
      <c r="I35" s="1052"/>
      <c r="J35" s="1052"/>
      <c r="K35" s="1052"/>
      <c r="L35" s="1052"/>
      <c r="M35" s="1050"/>
      <c r="N35" s="1050"/>
      <c r="O35" s="1050"/>
      <c r="P35" s="1050"/>
      <c r="Q35" s="1055"/>
      <c r="R35" s="1055"/>
      <c r="S35" s="1055"/>
      <c r="T35" s="1056"/>
      <c r="U35" s="42"/>
      <c r="V35" s="42"/>
      <c r="W35" s="67"/>
      <c r="X35" s="55"/>
      <c r="Y35" s="142"/>
      <c r="Z35" s="147"/>
      <c r="AA35" s="989">
        <v>2</v>
      </c>
      <c r="AB35" s="990"/>
      <c r="AC35" s="903">
        <f ca="1">INDIRECT("STUDENTS!H"&amp;($R$1-1)*12+5)</f>
        <v>36</v>
      </c>
      <c r="AD35" s="903"/>
      <c r="AE35" s="903"/>
      <c r="AF35" s="903"/>
      <c r="AG35" s="903"/>
      <c r="AH35" s="903"/>
      <c r="AI35" s="903">
        <f ca="1">INDIRECT("STUDENTS!I"&amp;($R$1-1)*12+5)</f>
        <v>140</v>
      </c>
      <c r="AJ35" s="903"/>
      <c r="AK35" s="903"/>
      <c r="AL35" s="903"/>
      <c r="AM35" s="903"/>
      <c r="AN35" s="903"/>
      <c r="AO35" s="903">
        <f ca="1">INDIRECT("STUDENTS!J"&amp;($R$1-1)*12+5)</f>
        <v>57</v>
      </c>
      <c r="AP35" s="903"/>
      <c r="AQ35" s="903"/>
      <c r="AR35" s="903"/>
      <c r="AS35" s="903"/>
      <c r="AT35" s="904"/>
      <c r="AU35" s="148"/>
      <c r="AV35" s="146"/>
    </row>
    <row r="36" spans="1:48" ht="18.95" customHeight="1">
      <c r="A36" s="56"/>
      <c r="B36" s="65"/>
      <c r="C36" s="42"/>
      <c r="D36" s="42"/>
      <c r="U36" s="42"/>
      <c r="V36" s="42"/>
      <c r="W36" s="67"/>
      <c r="X36" s="55"/>
      <c r="Y36" s="142"/>
      <c r="Z36" s="147"/>
      <c r="AA36" s="989">
        <v>3</v>
      </c>
      <c r="AB36" s="990"/>
      <c r="AC36" s="903">
        <f ca="1">INDIRECT("STUDENTS!H"&amp;($R$1-1)*12+6)</f>
        <v>40</v>
      </c>
      <c r="AD36" s="903"/>
      <c r="AE36" s="903"/>
      <c r="AF36" s="903"/>
      <c r="AG36" s="903"/>
      <c r="AH36" s="903"/>
      <c r="AI36" s="903">
        <f ca="1">INDIRECT("STUDENTS!I"&amp;($R$1-1)*12+6)</f>
        <v>146</v>
      </c>
      <c r="AJ36" s="903"/>
      <c r="AK36" s="903"/>
      <c r="AL36" s="903"/>
      <c r="AM36" s="903"/>
      <c r="AN36" s="903"/>
      <c r="AO36" s="903">
        <f ca="1">INDIRECT("STUDENTS!J"&amp;($R$1-1)*12+6)</f>
        <v>59</v>
      </c>
      <c r="AP36" s="903"/>
      <c r="AQ36" s="903"/>
      <c r="AR36" s="903"/>
      <c r="AS36" s="903"/>
      <c r="AT36" s="904"/>
      <c r="AU36" s="148"/>
      <c r="AV36" s="146"/>
    </row>
    <row r="37" spans="1:48" ht="18.95" customHeight="1">
      <c r="A37" s="56"/>
      <c r="B37" s="65"/>
      <c r="C37" s="42"/>
      <c r="D37" s="42"/>
      <c r="U37" s="42"/>
      <c r="V37" s="42"/>
      <c r="W37" s="67"/>
      <c r="X37" s="55"/>
      <c r="Y37" s="142"/>
      <c r="Z37" s="147"/>
      <c r="AA37" s="989">
        <v>4</v>
      </c>
      <c r="AB37" s="990"/>
      <c r="AC37" s="903">
        <f ca="1">INDIRECT("STUDENTS!H"&amp;($R$1-1)*12+7)</f>
        <v>0</v>
      </c>
      <c r="AD37" s="903"/>
      <c r="AE37" s="903"/>
      <c r="AF37" s="903"/>
      <c r="AG37" s="903"/>
      <c r="AH37" s="903"/>
      <c r="AI37" s="903">
        <f ca="1">INDIRECT("STUDENTS!I"&amp;($R$1-1)*12+7)</f>
        <v>0</v>
      </c>
      <c r="AJ37" s="903"/>
      <c r="AK37" s="903"/>
      <c r="AL37" s="903"/>
      <c r="AM37" s="903"/>
      <c r="AN37" s="903"/>
      <c r="AO37" s="903">
        <f ca="1">INDIRECT("STUDENTS!J"&amp;($R$1-1)*12+7)</f>
        <v>0</v>
      </c>
      <c r="AP37" s="903"/>
      <c r="AQ37" s="903"/>
      <c r="AR37" s="903"/>
      <c r="AS37" s="903"/>
      <c r="AT37" s="904"/>
      <c r="AU37" s="148"/>
      <c r="AV37" s="146"/>
    </row>
    <row r="38" spans="1:48" ht="18.95" customHeight="1">
      <c r="A38" s="56"/>
      <c r="B38" s="65"/>
      <c r="C38" s="42"/>
      <c r="D38" s="42"/>
      <c r="U38" s="42"/>
      <c r="V38" s="42"/>
      <c r="W38" s="67"/>
      <c r="X38" s="55"/>
      <c r="Y38" s="142"/>
      <c r="Z38" s="147"/>
      <c r="AA38" s="991">
        <v>5</v>
      </c>
      <c r="AB38" s="992"/>
      <c r="AC38" s="914">
        <f ca="1">INDIRECT("STUDENTS!H"&amp;($R$1-1)*12+8)</f>
        <v>0</v>
      </c>
      <c r="AD38" s="914"/>
      <c r="AE38" s="914"/>
      <c r="AF38" s="914"/>
      <c r="AG38" s="914"/>
      <c r="AH38" s="914"/>
      <c r="AI38" s="914">
        <f ca="1">INDIRECT("STUDENTS!I"&amp;($R$1-1)*12+8)</f>
        <v>0</v>
      </c>
      <c r="AJ38" s="914"/>
      <c r="AK38" s="914"/>
      <c r="AL38" s="914"/>
      <c r="AM38" s="914"/>
      <c r="AN38" s="914"/>
      <c r="AO38" s="914">
        <f ca="1">INDIRECT("STUDENTS!J"&amp;($R$1-1)*12+8)</f>
        <v>0</v>
      </c>
      <c r="AP38" s="914"/>
      <c r="AQ38" s="914"/>
      <c r="AR38" s="914"/>
      <c r="AS38" s="914"/>
      <c r="AT38" s="915"/>
      <c r="AU38" s="148"/>
      <c r="AV38" s="146"/>
    </row>
    <row r="39" spans="1:48" ht="18.95" customHeight="1">
      <c r="A39" s="56"/>
      <c r="B39" s="65"/>
      <c r="C39" s="42"/>
      <c r="D39" s="42"/>
      <c r="U39" s="42"/>
      <c r="V39" s="42"/>
      <c r="W39" s="67"/>
      <c r="X39" s="55"/>
      <c r="Y39" s="142"/>
      <c r="Z39" s="147"/>
      <c r="AA39" s="955" t="s">
        <v>14</v>
      </c>
      <c r="AB39" s="955"/>
      <c r="AC39" s="955"/>
      <c r="AD39" s="955"/>
      <c r="AE39" s="955"/>
      <c r="AF39" s="955"/>
      <c r="AG39" s="955"/>
      <c r="AH39" s="955"/>
      <c r="AI39" s="955"/>
      <c r="AJ39" s="955"/>
      <c r="AK39" s="955"/>
      <c r="AL39" s="955"/>
      <c r="AM39" s="955"/>
      <c r="AN39" s="955"/>
      <c r="AO39" s="955"/>
      <c r="AP39" s="955"/>
      <c r="AQ39" s="955"/>
      <c r="AR39" s="955"/>
      <c r="AS39" s="955"/>
      <c r="AT39" s="955"/>
      <c r="AU39" s="148"/>
      <c r="AV39" s="146"/>
    </row>
    <row r="40" spans="1:48" ht="18.95" customHeight="1">
      <c r="A40" s="56"/>
      <c r="B40" s="65"/>
      <c r="C40" s="42"/>
      <c r="D40" s="42"/>
      <c r="U40" s="42"/>
      <c r="V40" s="42"/>
      <c r="W40" s="67"/>
      <c r="X40" s="55"/>
      <c r="Y40" s="142"/>
      <c r="Z40" s="147"/>
      <c r="AA40" s="1012" t="str">
        <f>STUDENTS!G9</f>
        <v>ધોરણ</v>
      </c>
      <c r="AB40" s="1004"/>
      <c r="AC40" s="1002" t="str">
        <f>STUDENTS!H9</f>
        <v>કુલ દિવસો</v>
      </c>
      <c r="AD40" s="1003"/>
      <c r="AE40" s="1003"/>
      <c r="AF40" s="1003"/>
      <c r="AG40" s="1003"/>
      <c r="AH40" s="1004"/>
      <c r="AI40" s="1005" t="str">
        <f>STUDENTS!I9</f>
        <v>હાજરી</v>
      </c>
      <c r="AJ40" s="1006"/>
      <c r="AK40" s="1006"/>
      <c r="AL40" s="1006"/>
      <c r="AM40" s="1006"/>
      <c r="AN40" s="1007"/>
      <c r="AO40" s="1005" t="str">
        <f>STUDENTS!J9</f>
        <v>નોંધ</v>
      </c>
      <c r="AP40" s="1006"/>
      <c r="AQ40" s="1006"/>
      <c r="AR40" s="1006"/>
      <c r="AS40" s="1006"/>
      <c r="AT40" s="1016"/>
      <c r="AU40" s="148"/>
      <c r="AV40" s="146"/>
    </row>
    <row r="41" spans="1:48" ht="18.95" customHeight="1">
      <c r="A41" s="56"/>
      <c r="B41" s="65"/>
      <c r="C41" s="42"/>
      <c r="D41" s="42"/>
      <c r="U41" s="42"/>
      <c r="V41" s="42"/>
      <c r="W41" s="67"/>
      <c r="X41" s="55"/>
      <c r="Y41" s="142"/>
      <c r="Z41" s="147"/>
      <c r="AA41" s="1008">
        <v>1</v>
      </c>
      <c r="AB41" s="1009"/>
      <c r="AC41" s="1013">
        <f ca="1">INDIRECT("STUDENTS!H"&amp;($R$1-1)*12+10)</f>
        <v>231</v>
      </c>
      <c r="AD41" s="1014"/>
      <c r="AE41" s="1014"/>
      <c r="AF41" s="1014"/>
      <c r="AG41" s="1014"/>
      <c r="AH41" s="1015"/>
      <c r="AI41" s="1013">
        <f ca="1">INDIRECT("STUDENTS!I"&amp;($R$1-1)*12+10)</f>
        <v>211</v>
      </c>
      <c r="AJ41" s="1014"/>
      <c r="AK41" s="1014"/>
      <c r="AL41" s="1014"/>
      <c r="AM41" s="1014"/>
      <c r="AN41" s="1015"/>
      <c r="AO41" s="1013">
        <f ca="1">INDIRECT("STUDENTS!J"&amp;($R$1-1)*12+10)</f>
        <v>0</v>
      </c>
      <c r="AP41" s="1014"/>
      <c r="AQ41" s="1014"/>
      <c r="AR41" s="1014"/>
      <c r="AS41" s="1014"/>
      <c r="AT41" s="1020"/>
      <c r="AU41" s="148"/>
      <c r="AV41" s="146"/>
    </row>
    <row r="42" spans="1:48" ht="18.95" customHeight="1">
      <c r="A42" s="56"/>
      <c r="B42" s="65"/>
      <c r="C42" s="42"/>
      <c r="D42" s="42"/>
      <c r="U42" s="42"/>
      <c r="V42" s="42"/>
      <c r="W42" s="67"/>
      <c r="X42" s="55"/>
      <c r="Y42" s="142"/>
      <c r="Z42" s="147"/>
      <c r="AA42" s="1008">
        <v>2</v>
      </c>
      <c r="AB42" s="1009"/>
      <c r="AC42" s="1013">
        <f ca="1">INDIRECT("STUDENTS!H"&amp;($R$1-1)*12+11)</f>
        <v>0</v>
      </c>
      <c r="AD42" s="1014"/>
      <c r="AE42" s="1014"/>
      <c r="AF42" s="1014"/>
      <c r="AG42" s="1014"/>
      <c r="AH42" s="1015"/>
      <c r="AI42" s="1013">
        <f ca="1">INDIRECT("STUDENTS!I"&amp;($R$1-1)*12+11)</f>
        <v>0</v>
      </c>
      <c r="AJ42" s="1014"/>
      <c r="AK42" s="1014"/>
      <c r="AL42" s="1014"/>
      <c r="AM42" s="1014"/>
      <c r="AN42" s="1015"/>
      <c r="AO42" s="1013">
        <f ca="1">INDIRECT("STUDENTS!J"&amp;($R$1-1)*12+11)</f>
        <v>0</v>
      </c>
      <c r="AP42" s="1014"/>
      <c r="AQ42" s="1014"/>
      <c r="AR42" s="1014"/>
      <c r="AS42" s="1014"/>
      <c r="AT42" s="1020"/>
      <c r="AU42" s="148"/>
      <c r="AV42" s="146"/>
    </row>
    <row r="43" spans="1:48" ht="16.899999999999999" customHeight="1">
      <c r="A43" s="56"/>
      <c r="B43" s="65"/>
      <c r="C43" s="42"/>
      <c r="D43" s="42"/>
      <c r="U43" s="42"/>
      <c r="V43" s="42"/>
      <c r="W43" s="67"/>
      <c r="X43" s="55"/>
      <c r="Y43" s="142"/>
      <c r="Z43" s="147"/>
      <c r="AA43" s="1008">
        <v>3</v>
      </c>
      <c r="AB43" s="1009"/>
      <c r="AC43" s="1013">
        <f ca="1">INDIRECT("STUDENTS!H"&amp;($R$1-1)*12+12)</f>
        <v>0</v>
      </c>
      <c r="AD43" s="1014"/>
      <c r="AE43" s="1014"/>
      <c r="AF43" s="1014"/>
      <c r="AG43" s="1014"/>
      <c r="AH43" s="1015"/>
      <c r="AI43" s="1013">
        <f ca="1">INDIRECT("STUDENTS!I"&amp;($R$1-1)*12+12)</f>
        <v>0</v>
      </c>
      <c r="AJ43" s="1014"/>
      <c r="AK43" s="1014"/>
      <c r="AL43" s="1014"/>
      <c r="AM43" s="1014"/>
      <c r="AN43" s="1015"/>
      <c r="AO43" s="1013">
        <f ca="1">INDIRECT("STUDENTS!J"&amp;($R$1-1)*12+12)</f>
        <v>0</v>
      </c>
      <c r="AP43" s="1014"/>
      <c r="AQ43" s="1014"/>
      <c r="AR43" s="1014"/>
      <c r="AS43" s="1014"/>
      <c r="AT43" s="1020"/>
      <c r="AU43" s="148"/>
      <c r="AV43" s="146"/>
    </row>
    <row r="44" spans="1:48" ht="16.899999999999999" customHeight="1">
      <c r="A44" s="56"/>
      <c r="B44" s="65"/>
      <c r="C44" s="42"/>
      <c r="D44" s="42"/>
      <c r="U44" s="42"/>
      <c r="V44" s="42"/>
      <c r="W44" s="67"/>
      <c r="X44" s="55"/>
      <c r="Y44" s="142"/>
      <c r="Z44" s="147"/>
      <c r="AA44" s="1008">
        <v>4</v>
      </c>
      <c r="AB44" s="1009"/>
      <c r="AC44" s="1013">
        <f ca="1">INDIRECT("STUDENTS!H"&amp;($R$1-1)*12+13)</f>
        <v>0</v>
      </c>
      <c r="AD44" s="1014"/>
      <c r="AE44" s="1014"/>
      <c r="AF44" s="1014"/>
      <c r="AG44" s="1014"/>
      <c r="AH44" s="1015"/>
      <c r="AI44" s="1013">
        <f ca="1">INDIRECT("STUDENTS!I"&amp;($R$1-1)*12+13)</f>
        <v>0</v>
      </c>
      <c r="AJ44" s="1014"/>
      <c r="AK44" s="1014"/>
      <c r="AL44" s="1014"/>
      <c r="AM44" s="1014"/>
      <c r="AN44" s="1015"/>
      <c r="AO44" s="1013">
        <f ca="1">INDIRECT("STUDENTS!J"&amp;($R$1-1)*12+13)</f>
        <v>0</v>
      </c>
      <c r="AP44" s="1014"/>
      <c r="AQ44" s="1014"/>
      <c r="AR44" s="1014"/>
      <c r="AS44" s="1014"/>
      <c r="AT44" s="1020"/>
      <c r="AU44" s="148"/>
      <c r="AV44" s="146"/>
    </row>
    <row r="45" spans="1:48" ht="16.899999999999999" customHeight="1">
      <c r="A45" s="56"/>
      <c r="B45" s="65"/>
      <c r="C45" s="42"/>
      <c r="D45" s="42"/>
      <c r="U45" s="42"/>
      <c r="V45" s="42"/>
      <c r="W45" s="67"/>
      <c r="X45" s="55"/>
      <c r="Y45" s="142"/>
      <c r="Z45" s="147"/>
      <c r="AA45" s="1010">
        <v>5</v>
      </c>
      <c r="AB45" s="1011"/>
      <c r="AC45" s="1017">
        <f ca="1">INDIRECT("STUDENTS!H"&amp;($R$1-1)*12+14)</f>
        <v>0</v>
      </c>
      <c r="AD45" s="1018"/>
      <c r="AE45" s="1018"/>
      <c r="AF45" s="1018"/>
      <c r="AG45" s="1018"/>
      <c r="AH45" s="1019"/>
      <c r="AI45" s="1017">
        <f ca="1">INDIRECT("STUDENTS!I"&amp;($R$1-1)*12+14)</f>
        <v>0</v>
      </c>
      <c r="AJ45" s="1018"/>
      <c r="AK45" s="1018"/>
      <c r="AL45" s="1018"/>
      <c r="AM45" s="1018"/>
      <c r="AN45" s="1019"/>
      <c r="AO45" s="1017">
        <f ca="1">INDIRECT("STUDENTS!J"&amp;($R$1-1)*12+14)</f>
        <v>0</v>
      </c>
      <c r="AP45" s="1018"/>
      <c r="AQ45" s="1018"/>
      <c r="AR45" s="1018"/>
      <c r="AS45" s="1018"/>
      <c r="AT45" s="1021"/>
      <c r="AU45" s="148"/>
      <c r="AV45" s="146"/>
    </row>
    <row r="46" spans="1:48" ht="16.5" customHeight="1" thickBot="1">
      <c r="A46" s="56"/>
      <c r="B46" s="75"/>
      <c r="C46" s="76"/>
      <c r="D46" s="76"/>
      <c r="E46" s="76"/>
      <c r="F46" s="76"/>
      <c r="G46" s="76"/>
      <c r="H46" s="76"/>
      <c r="I46" s="76"/>
      <c r="J46" s="76"/>
      <c r="K46" s="76"/>
      <c r="L46" s="76"/>
      <c r="M46" s="76"/>
      <c r="N46" s="76"/>
      <c r="O46" s="76"/>
      <c r="P46" s="76"/>
      <c r="Q46" s="76"/>
      <c r="R46" s="76"/>
      <c r="S46" s="76"/>
      <c r="T46" s="76"/>
      <c r="U46" s="76"/>
      <c r="V46" s="76"/>
      <c r="W46" s="77"/>
      <c r="X46" s="55"/>
      <c r="Y46" s="142"/>
      <c r="Z46" s="151"/>
      <c r="AA46" s="152"/>
      <c r="AB46" s="152"/>
      <c r="AC46" s="152"/>
      <c r="AD46" s="152"/>
      <c r="AE46" s="152"/>
      <c r="AF46" s="152"/>
      <c r="AG46" s="152"/>
      <c r="AH46" s="152"/>
      <c r="AI46" s="152"/>
      <c r="AJ46" s="152"/>
      <c r="AK46" s="152"/>
      <c r="AL46" s="152"/>
      <c r="AM46" s="152"/>
      <c r="AN46" s="152"/>
      <c r="AO46" s="152"/>
      <c r="AP46" s="152"/>
      <c r="AQ46" s="152"/>
      <c r="AR46" s="152"/>
      <c r="AS46" s="152"/>
      <c r="AT46" s="152"/>
      <c r="AU46" s="153"/>
      <c r="AV46" s="146"/>
    </row>
    <row r="47" spans="1:48" ht="16.5" customHeight="1">
      <c r="A47" s="60"/>
      <c r="B47" s="61"/>
      <c r="C47" s="61"/>
      <c r="D47" s="61"/>
      <c r="E47" s="61"/>
      <c r="F47" s="61"/>
      <c r="G47" s="61"/>
      <c r="H47" s="61"/>
      <c r="I47" s="61"/>
      <c r="J47" s="61"/>
      <c r="K47" s="61"/>
      <c r="L47" s="61"/>
      <c r="M47" s="61"/>
      <c r="N47" s="61"/>
      <c r="O47" s="61"/>
      <c r="P47" s="61"/>
      <c r="Q47" s="61"/>
      <c r="R47" s="61"/>
      <c r="S47" s="61"/>
      <c r="T47" s="61"/>
      <c r="U47" s="61"/>
      <c r="V47" s="61"/>
      <c r="W47" s="61"/>
      <c r="X47" s="62"/>
      <c r="Y47" s="154"/>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6"/>
    </row>
    <row r="48" spans="1:48" ht="16.5" customHeight="1"/>
    <row r="49" spans="1:48" ht="15.75" thickBot="1">
      <c r="A49" s="139"/>
      <c r="B49" s="140"/>
      <c r="C49" s="140"/>
      <c r="D49" s="140"/>
      <c r="E49" s="140"/>
      <c r="F49" s="140"/>
      <c r="G49" s="140"/>
      <c r="H49" s="140"/>
      <c r="I49" s="140"/>
      <c r="J49" s="140"/>
      <c r="K49" s="140"/>
      <c r="L49" s="140"/>
      <c r="M49" s="140"/>
      <c r="N49" s="140"/>
      <c r="O49" s="140"/>
      <c r="P49" s="140"/>
      <c r="Q49" s="140"/>
      <c r="R49" s="140"/>
      <c r="S49" s="140"/>
      <c r="T49" s="140"/>
      <c r="U49" s="140"/>
      <c r="V49" s="140"/>
      <c r="W49" s="140"/>
      <c r="X49" s="141"/>
      <c r="Y49" s="139"/>
      <c r="Z49" s="140"/>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1"/>
    </row>
    <row r="50" spans="1:48">
      <c r="A50" s="142"/>
      <c r="B50" s="143"/>
      <c r="C50" s="144"/>
      <c r="D50" s="144"/>
      <c r="E50" s="144"/>
      <c r="F50" s="144"/>
      <c r="G50" s="144"/>
      <c r="H50" s="144"/>
      <c r="I50" s="144"/>
      <c r="J50" s="144"/>
      <c r="K50" s="144"/>
      <c r="L50" s="144"/>
      <c r="M50" s="144"/>
      <c r="N50" s="144"/>
      <c r="O50" s="144"/>
      <c r="P50" s="144"/>
      <c r="Q50" s="144"/>
      <c r="R50" s="144"/>
      <c r="S50" s="144"/>
      <c r="T50" s="144"/>
      <c r="U50" s="144"/>
      <c r="V50" s="144"/>
      <c r="W50" s="145"/>
      <c r="X50" s="146"/>
      <c r="Y50" s="142"/>
      <c r="Z50" s="143"/>
      <c r="AA50" s="144"/>
      <c r="AB50" s="144"/>
      <c r="AC50" s="144"/>
      <c r="AD50" s="144"/>
      <c r="AE50" s="144"/>
      <c r="AF50" s="144"/>
      <c r="AG50" s="144"/>
      <c r="AH50" s="144"/>
      <c r="AI50" s="144"/>
      <c r="AJ50" s="144"/>
      <c r="AK50" s="144"/>
      <c r="AL50" s="144"/>
      <c r="AM50" s="144"/>
      <c r="AN50" s="144"/>
      <c r="AO50" s="144"/>
      <c r="AP50" s="144"/>
      <c r="AQ50" s="144"/>
      <c r="AR50" s="144"/>
      <c r="AS50" s="144"/>
      <c r="AT50" s="144"/>
      <c r="AU50" s="145"/>
      <c r="AV50" s="146"/>
    </row>
    <row r="51" spans="1:48">
      <c r="A51" s="142"/>
      <c r="B51" s="147"/>
      <c r="C51" s="955" t="s">
        <v>332</v>
      </c>
      <c r="D51" s="955"/>
      <c r="E51" s="955"/>
      <c r="F51" s="955"/>
      <c r="G51" s="955"/>
      <c r="H51" s="955"/>
      <c r="I51" s="955"/>
      <c r="J51" s="955"/>
      <c r="K51" s="955"/>
      <c r="L51" s="955"/>
      <c r="M51" s="955"/>
      <c r="N51" s="955"/>
      <c r="O51" s="955"/>
      <c r="P51" s="955"/>
      <c r="Q51" s="955"/>
      <c r="R51" s="955"/>
      <c r="S51" s="955"/>
      <c r="T51" s="955"/>
      <c r="U51" s="955"/>
      <c r="V51" s="955"/>
      <c r="W51" s="148"/>
      <c r="X51" s="146"/>
      <c r="Y51" s="142"/>
      <c r="Z51" s="147"/>
      <c r="AA51" s="997" t="s">
        <v>343</v>
      </c>
      <c r="AB51" s="997"/>
      <c r="AC51" s="997"/>
      <c r="AD51" s="997"/>
      <c r="AE51" s="997"/>
      <c r="AF51" s="997"/>
      <c r="AG51" s="997"/>
      <c r="AH51" s="997"/>
      <c r="AI51" s="997"/>
      <c r="AJ51" s="997"/>
      <c r="AK51" s="997"/>
      <c r="AL51" s="997"/>
      <c r="AM51" s="997"/>
      <c r="AN51" s="997"/>
      <c r="AO51" s="997"/>
      <c r="AP51" s="997"/>
      <c r="AQ51" s="997"/>
      <c r="AR51" s="997"/>
      <c r="AS51" s="997"/>
      <c r="AT51" s="997"/>
      <c r="AU51" s="148"/>
      <c r="AV51" s="146"/>
    </row>
    <row r="52" spans="1:48" ht="22.5" customHeight="1">
      <c r="A52" s="142"/>
      <c r="B52" s="147"/>
      <c r="C52" s="956" t="s">
        <v>16</v>
      </c>
      <c r="D52" s="957"/>
      <c r="E52" s="957"/>
      <c r="F52" s="157" t="s">
        <v>17</v>
      </c>
      <c r="G52" s="957" t="s">
        <v>210</v>
      </c>
      <c r="H52" s="957"/>
      <c r="I52" s="957"/>
      <c r="J52" s="957"/>
      <c r="K52" s="957"/>
      <c r="L52" s="957"/>
      <c r="M52" s="957"/>
      <c r="N52" s="957"/>
      <c r="O52" s="958" t="s">
        <v>211</v>
      </c>
      <c r="P52" s="958"/>
      <c r="Q52" s="958"/>
      <c r="R52" s="958"/>
      <c r="S52" s="958"/>
      <c r="T52" s="958"/>
      <c r="U52" s="958"/>
      <c r="V52" s="959"/>
      <c r="W52" s="148"/>
      <c r="X52" s="146"/>
      <c r="Y52" s="142"/>
      <c r="Z52" s="147"/>
      <c r="AA52" s="1066" t="s">
        <v>16</v>
      </c>
      <c r="AB52" s="1067"/>
      <c r="AC52" s="1067"/>
      <c r="AD52" s="157" t="s">
        <v>17</v>
      </c>
      <c r="AE52" s="1067" t="s">
        <v>210</v>
      </c>
      <c r="AF52" s="1067"/>
      <c r="AG52" s="1067"/>
      <c r="AH52" s="1067"/>
      <c r="AI52" s="1067"/>
      <c r="AJ52" s="1067"/>
      <c r="AK52" s="1067"/>
      <c r="AL52" s="1067"/>
      <c r="AM52" s="1068" t="s">
        <v>211</v>
      </c>
      <c r="AN52" s="1068"/>
      <c r="AO52" s="1068"/>
      <c r="AP52" s="1068"/>
      <c r="AQ52" s="1068"/>
      <c r="AR52" s="1068"/>
      <c r="AS52" s="1068"/>
      <c r="AT52" s="1069"/>
      <c r="AU52" s="148"/>
      <c r="AV52" s="146"/>
    </row>
    <row r="53" spans="1:48" ht="18.95" customHeight="1">
      <c r="A53" s="142"/>
      <c r="B53" s="147"/>
      <c r="C53" s="923" t="str">
        <f>STUDENTS!K4</f>
        <v>શ્રવણ</v>
      </c>
      <c r="D53" s="924"/>
      <c r="E53" s="925"/>
      <c r="F53" s="929" t="str">
        <f ca="1">INDIRECT("STUDENTS!L"&amp;($R$1-1)*12+4)</f>
        <v>A</v>
      </c>
      <c r="G53" s="931" t="str">
        <f ca="1">INDIRECT("STUDENTS!M"&amp;($R$1-1)*12+4)</f>
        <v>sfgsgsfg</v>
      </c>
      <c r="H53" s="932"/>
      <c r="I53" s="932"/>
      <c r="J53" s="932"/>
      <c r="K53" s="932"/>
      <c r="L53" s="932"/>
      <c r="M53" s="932"/>
      <c r="N53" s="933"/>
      <c r="O53" s="931" t="str">
        <f ca="1">INDIRECT("STUDENTS!N"&amp;($R$1-1)*12+4)</f>
        <v>dhjkghk</v>
      </c>
      <c r="P53" s="932"/>
      <c r="Q53" s="932"/>
      <c r="R53" s="932"/>
      <c r="S53" s="932"/>
      <c r="T53" s="932"/>
      <c r="U53" s="932"/>
      <c r="V53" s="950"/>
      <c r="W53" s="148"/>
      <c r="X53" s="146"/>
      <c r="Y53" s="142"/>
      <c r="Z53" s="147"/>
      <c r="AA53" s="923" t="str">
        <f>STUDENTS!S4</f>
        <v>ગુજરાતી</v>
      </c>
      <c r="AB53" s="924"/>
      <c r="AC53" s="925"/>
      <c r="AD53" s="929" t="str">
        <f ca="1">INDIRECT("STUDENTS!T"&amp;($R$1-1)*12+4)</f>
        <v>A</v>
      </c>
      <c r="AE53" s="931" t="str">
        <f ca="1">INDIRECT("STUDENTS!U"&amp;($R$1-1)*12+4)</f>
        <v>sfgsgsfg</v>
      </c>
      <c r="AF53" s="932" t="str">
        <f t="shared" ref="AF53:AT53" ca="1" si="0">INDIRECT("STUDENTS!T"&amp;($R$1-1)*12+4)</f>
        <v>A</v>
      </c>
      <c r="AG53" s="932" t="str">
        <f t="shared" ca="1" si="0"/>
        <v>A</v>
      </c>
      <c r="AH53" s="932" t="str">
        <f t="shared" ca="1" si="0"/>
        <v>A</v>
      </c>
      <c r="AI53" s="932" t="str">
        <f t="shared" ca="1" si="0"/>
        <v>A</v>
      </c>
      <c r="AJ53" s="932" t="str">
        <f t="shared" ca="1" si="0"/>
        <v>A</v>
      </c>
      <c r="AK53" s="932" t="str">
        <f t="shared" ca="1" si="0"/>
        <v>A</v>
      </c>
      <c r="AL53" s="933" t="str">
        <f t="shared" ca="1" si="0"/>
        <v>A</v>
      </c>
      <c r="AM53" s="931" t="str">
        <f ca="1">INDIRECT("STUDENTS!V"&amp;($R$1-1)*12+4)</f>
        <v>dhjkghk</v>
      </c>
      <c r="AN53" s="932" t="str">
        <f t="shared" ca="1" si="0"/>
        <v>A</v>
      </c>
      <c r="AO53" s="932" t="str">
        <f t="shared" ca="1" si="0"/>
        <v>A</v>
      </c>
      <c r="AP53" s="932" t="str">
        <f t="shared" ca="1" si="0"/>
        <v>A</v>
      </c>
      <c r="AQ53" s="932" t="str">
        <f t="shared" ca="1" si="0"/>
        <v>A</v>
      </c>
      <c r="AR53" s="932" t="str">
        <f t="shared" ca="1" si="0"/>
        <v>A</v>
      </c>
      <c r="AS53" s="932" t="str">
        <f t="shared" ca="1" si="0"/>
        <v>A</v>
      </c>
      <c r="AT53" s="950" t="str">
        <f t="shared" ca="1" si="0"/>
        <v>A</v>
      </c>
      <c r="AU53" s="148"/>
      <c r="AV53" s="146"/>
    </row>
    <row r="54" spans="1:48" ht="18.95" customHeight="1">
      <c r="A54" s="142"/>
      <c r="B54" s="147"/>
      <c r="C54" s="926"/>
      <c r="D54" s="927"/>
      <c r="E54" s="928"/>
      <c r="F54" s="930"/>
      <c r="G54" s="934"/>
      <c r="H54" s="935"/>
      <c r="I54" s="935"/>
      <c r="J54" s="935"/>
      <c r="K54" s="935"/>
      <c r="L54" s="935"/>
      <c r="M54" s="935"/>
      <c r="N54" s="936"/>
      <c r="O54" s="934"/>
      <c r="P54" s="935"/>
      <c r="Q54" s="935"/>
      <c r="R54" s="935"/>
      <c r="S54" s="935"/>
      <c r="T54" s="935"/>
      <c r="U54" s="935"/>
      <c r="V54" s="951"/>
      <c r="W54" s="148"/>
      <c r="X54" s="146"/>
      <c r="Y54" s="142"/>
      <c r="Z54" s="147"/>
      <c r="AA54" s="926"/>
      <c r="AB54" s="927"/>
      <c r="AC54" s="928"/>
      <c r="AD54" s="930"/>
      <c r="AE54" s="934"/>
      <c r="AF54" s="935"/>
      <c r="AG54" s="935"/>
      <c r="AH54" s="935"/>
      <c r="AI54" s="935"/>
      <c r="AJ54" s="935"/>
      <c r="AK54" s="935"/>
      <c r="AL54" s="936"/>
      <c r="AM54" s="934"/>
      <c r="AN54" s="935"/>
      <c r="AO54" s="935"/>
      <c r="AP54" s="935"/>
      <c r="AQ54" s="935"/>
      <c r="AR54" s="935"/>
      <c r="AS54" s="935"/>
      <c r="AT54" s="951"/>
      <c r="AU54" s="148"/>
      <c r="AV54" s="146"/>
    </row>
    <row r="55" spans="1:48" ht="18.95" customHeight="1">
      <c r="A55" s="142"/>
      <c r="B55" s="147"/>
      <c r="C55" s="923" t="str">
        <f>STUDENTS!K5</f>
        <v>કથન</v>
      </c>
      <c r="D55" s="924"/>
      <c r="E55" s="925"/>
      <c r="F55" s="929" t="str">
        <f ca="1">INDIRECT("STUDENTS!L"&amp;($R$1-1)*12+5)</f>
        <v>A</v>
      </c>
      <c r="G55" s="931" t="str">
        <f ca="1">INDIRECT("STUDENTS!M"&amp;($R$1-1)*12+5)</f>
        <v>sfgsgsfg</v>
      </c>
      <c r="H55" s="932"/>
      <c r="I55" s="932"/>
      <c r="J55" s="932"/>
      <c r="K55" s="932"/>
      <c r="L55" s="932"/>
      <c r="M55" s="932"/>
      <c r="N55" s="933"/>
      <c r="O55" s="931" t="str">
        <f ca="1">INDIRECT("STUDENTS!N"&amp;($R$1-1)*12+5)</f>
        <v>dhjkghk</v>
      </c>
      <c r="P55" s="932"/>
      <c r="Q55" s="932"/>
      <c r="R55" s="932"/>
      <c r="S55" s="932"/>
      <c r="T55" s="932"/>
      <c r="U55" s="932"/>
      <c r="V55" s="950"/>
      <c r="W55" s="148"/>
      <c r="X55" s="146"/>
      <c r="Y55" s="142"/>
      <c r="Z55" s="147"/>
      <c r="AA55" s="926"/>
      <c r="AB55" s="927"/>
      <c r="AC55" s="928"/>
      <c r="AD55" s="930"/>
      <c r="AE55" s="934"/>
      <c r="AF55" s="935"/>
      <c r="AG55" s="935"/>
      <c r="AH55" s="935"/>
      <c r="AI55" s="935"/>
      <c r="AJ55" s="935"/>
      <c r="AK55" s="935"/>
      <c r="AL55" s="936"/>
      <c r="AM55" s="934"/>
      <c r="AN55" s="935"/>
      <c r="AO55" s="935"/>
      <c r="AP55" s="935"/>
      <c r="AQ55" s="935"/>
      <c r="AR55" s="935"/>
      <c r="AS55" s="935"/>
      <c r="AT55" s="951"/>
      <c r="AU55" s="148"/>
      <c r="AV55" s="146"/>
    </row>
    <row r="56" spans="1:48" ht="18.95" customHeight="1">
      <c r="A56" s="142"/>
      <c r="B56" s="147"/>
      <c r="C56" s="926"/>
      <c r="D56" s="927"/>
      <c r="E56" s="928"/>
      <c r="F56" s="930"/>
      <c r="G56" s="952"/>
      <c r="H56" s="953"/>
      <c r="I56" s="953"/>
      <c r="J56" s="953"/>
      <c r="K56" s="953"/>
      <c r="L56" s="953"/>
      <c r="M56" s="953"/>
      <c r="N56" s="960"/>
      <c r="O56" s="952"/>
      <c r="P56" s="953"/>
      <c r="Q56" s="953"/>
      <c r="R56" s="953"/>
      <c r="S56" s="953"/>
      <c r="T56" s="953"/>
      <c r="U56" s="953"/>
      <c r="V56" s="954"/>
      <c r="W56" s="148"/>
      <c r="X56" s="146"/>
      <c r="Y56" s="142"/>
      <c r="Z56" s="147"/>
      <c r="AA56" s="926"/>
      <c r="AB56" s="927"/>
      <c r="AC56" s="928"/>
      <c r="AD56" s="930"/>
      <c r="AE56" s="934"/>
      <c r="AF56" s="935"/>
      <c r="AG56" s="935"/>
      <c r="AH56" s="935"/>
      <c r="AI56" s="935"/>
      <c r="AJ56" s="935"/>
      <c r="AK56" s="935"/>
      <c r="AL56" s="936"/>
      <c r="AM56" s="934"/>
      <c r="AN56" s="935"/>
      <c r="AO56" s="935"/>
      <c r="AP56" s="935"/>
      <c r="AQ56" s="935"/>
      <c r="AR56" s="935"/>
      <c r="AS56" s="935"/>
      <c r="AT56" s="951"/>
      <c r="AU56" s="148"/>
      <c r="AV56" s="146"/>
    </row>
    <row r="57" spans="1:48" ht="18.95" customHeight="1">
      <c r="A57" s="142"/>
      <c r="B57" s="147"/>
      <c r="C57" s="923" t="str">
        <f>STUDENTS!K6</f>
        <v>વાંચન</v>
      </c>
      <c r="D57" s="924"/>
      <c r="E57" s="925"/>
      <c r="F57" s="929" t="str">
        <f ca="1">INDIRECT("STUDENTS!L"&amp;($R$1-1)*12+6)</f>
        <v>A</v>
      </c>
      <c r="G57" s="931" t="str">
        <f ca="1">INDIRECT("STUDENTS!M"&amp;($R$1-1)*12+6)</f>
        <v>sfgsgsfg</v>
      </c>
      <c r="H57" s="932"/>
      <c r="I57" s="932"/>
      <c r="J57" s="932"/>
      <c r="K57" s="932"/>
      <c r="L57" s="932"/>
      <c r="M57" s="932"/>
      <c r="N57" s="933"/>
      <c r="O57" s="931" t="str">
        <f ca="1">INDIRECT("STUDENTS!N"&amp;($R$1-1)*12+6)</f>
        <v>dhjkghk</v>
      </c>
      <c r="P57" s="932"/>
      <c r="Q57" s="932"/>
      <c r="R57" s="932"/>
      <c r="S57" s="932"/>
      <c r="T57" s="932"/>
      <c r="U57" s="932"/>
      <c r="V57" s="950"/>
      <c r="W57" s="148"/>
      <c r="X57" s="146"/>
      <c r="Y57" s="142"/>
      <c r="Z57" s="147"/>
      <c r="AA57" s="926"/>
      <c r="AB57" s="927"/>
      <c r="AC57" s="928"/>
      <c r="AD57" s="930"/>
      <c r="AE57" s="934"/>
      <c r="AF57" s="935"/>
      <c r="AG57" s="935"/>
      <c r="AH57" s="935"/>
      <c r="AI57" s="935"/>
      <c r="AJ57" s="935"/>
      <c r="AK57" s="935"/>
      <c r="AL57" s="936"/>
      <c r="AM57" s="952"/>
      <c r="AN57" s="953"/>
      <c r="AO57" s="953"/>
      <c r="AP57" s="953"/>
      <c r="AQ57" s="953"/>
      <c r="AR57" s="953"/>
      <c r="AS57" s="953"/>
      <c r="AT57" s="954"/>
      <c r="AU57" s="148"/>
      <c r="AV57" s="146"/>
    </row>
    <row r="58" spans="1:48" ht="18.95" customHeight="1">
      <c r="A58" s="142"/>
      <c r="B58" s="147"/>
      <c r="C58" s="946"/>
      <c r="D58" s="947"/>
      <c r="E58" s="948"/>
      <c r="F58" s="930"/>
      <c r="G58" s="952"/>
      <c r="H58" s="953"/>
      <c r="I58" s="953"/>
      <c r="J58" s="953"/>
      <c r="K58" s="953"/>
      <c r="L58" s="953"/>
      <c r="M58" s="953"/>
      <c r="N58" s="960"/>
      <c r="O58" s="952"/>
      <c r="P58" s="953"/>
      <c r="Q58" s="953"/>
      <c r="R58" s="953"/>
      <c r="S58" s="953"/>
      <c r="T58" s="953"/>
      <c r="U58" s="953"/>
      <c r="V58" s="954"/>
      <c r="W58" s="148"/>
      <c r="X58" s="146"/>
      <c r="Y58" s="142"/>
      <c r="Z58" s="147"/>
      <c r="AA58" s="923" t="str">
        <f>STUDENTS!S8</f>
        <v>ગણિત</v>
      </c>
      <c r="AB58" s="924"/>
      <c r="AC58" s="925"/>
      <c r="AD58" s="929" t="str">
        <f ca="1">INDIRECT("STUDENTS!T"&amp;($R$1-1)*12+8)</f>
        <v>A</v>
      </c>
      <c r="AE58" s="931" t="str">
        <f ca="1">INDIRECT("STUDENTS!U"&amp;($R$1-1)*12+8)</f>
        <v>sfgsgsfg</v>
      </c>
      <c r="AF58" s="932" t="str">
        <f t="shared" ref="AF58:AT58" ca="1" si="1">INDIRECT("STUDENTS!T"&amp;($R$1-1)*12+8)</f>
        <v>A</v>
      </c>
      <c r="AG58" s="932" t="str">
        <f t="shared" ca="1" si="1"/>
        <v>A</v>
      </c>
      <c r="AH58" s="932" t="str">
        <f t="shared" ca="1" si="1"/>
        <v>A</v>
      </c>
      <c r="AI58" s="932" t="str">
        <f t="shared" ca="1" si="1"/>
        <v>A</v>
      </c>
      <c r="AJ58" s="932" t="str">
        <f t="shared" ca="1" si="1"/>
        <v>A</v>
      </c>
      <c r="AK58" s="932" t="str">
        <f t="shared" ca="1" si="1"/>
        <v>A</v>
      </c>
      <c r="AL58" s="933" t="str">
        <f t="shared" ca="1" si="1"/>
        <v>A</v>
      </c>
      <c r="AM58" s="931" t="str">
        <f ca="1">INDIRECT("STUDENTS!V"&amp;($R$1-1)*12+8)</f>
        <v>dhjkghk</v>
      </c>
      <c r="AN58" s="932" t="str">
        <f t="shared" ca="1" si="1"/>
        <v>A</v>
      </c>
      <c r="AO58" s="932" t="str">
        <f t="shared" ca="1" si="1"/>
        <v>A</v>
      </c>
      <c r="AP58" s="932" t="str">
        <f t="shared" ca="1" si="1"/>
        <v>A</v>
      </c>
      <c r="AQ58" s="932" t="str">
        <f t="shared" ca="1" si="1"/>
        <v>A</v>
      </c>
      <c r="AR58" s="932" t="str">
        <f t="shared" ca="1" si="1"/>
        <v>A</v>
      </c>
      <c r="AS58" s="932" t="str">
        <f t="shared" ca="1" si="1"/>
        <v>A</v>
      </c>
      <c r="AT58" s="950" t="str">
        <f t="shared" ca="1" si="1"/>
        <v>A</v>
      </c>
      <c r="AU58" s="148"/>
      <c r="AV58" s="146"/>
    </row>
    <row r="59" spans="1:48" ht="18.95" customHeight="1">
      <c r="A59" s="142"/>
      <c r="B59" s="147"/>
      <c r="C59" s="923" t="str">
        <f>STUDENTS!K7</f>
        <v>લેખન</v>
      </c>
      <c r="D59" s="924"/>
      <c r="E59" s="925"/>
      <c r="F59" s="929" t="str">
        <f ca="1">INDIRECT("STUDENTS!L"&amp;($R$1-1)*12+7)</f>
        <v>A</v>
      </c>
      <c r="G59" s="931" t="str">
        <f ca="1">INDIRECT("STUDENTS!M"&amp;($R$1-1)*12+7)</f>
        <v>sfgsgsfg</v>
      </c>
      <c r="H59" s="932"/>
      <c r="I59" s="932"/>
      <c r="J59" s="932"/>
      <c r="K59" s="932"/>
      <c r="L59" s="932"/>
      <c r="M59" s="932"/>
      <c r="N59" s="933"/>
      <c r="O59" s="931" t="str">
        <f ca="1">INDIRECT("STUDENTS!N"&amp;($R$1-1)*12+7)</f>
        <v>dhjkghk</v>
      </c>
      <c r="P59" s="932"/>
      <c r="Q59" s="932"/>
      <c r="R59" s="932"/>
      <c r="S59" s="932"/>
      <c r="T59" s="932"/>
      <c r="U59" s="932"/>
      <c r="V59" s="950"/>
      <c r="W59" s="148"/>
      <c r="X59" s="146"/>
      <c r="Y59" s="142"/>
      <c r="Z59" s="147"/>
      <c r="AA59" s="926"/>
      <c r="AB59" s="927"/>
      <c r="AC59" s="928"/>
      <c r="AD59" s="930"/>
      <c r="AE59" s="934"/>
      <c r="AF59" s="935"/>
      <c r="AG59" s="935"/>
      <c r="AH59" s="935"/>
      <c r="AI59" s="935"/>
      <c r="AJ59" s="935"/>
      <c r="AK59" s="935"/>
      <c r="AL59" s="936"/>
      <c r="AM59" s="934"/>
      <c r="AN59" s="935"/>
      <c r="AO59" s="935"/>
      <c r="AP59" s="935"/>
      <c r="AQ59" s="935"/>
      <c r="AR59" s="935"/>
      <c r="AS59" s="935"/>
      <c r="AT59" s="951"/>
      <c r="AU59" s="148"/>
      <c r="AV59" s="146"/>
    </row>
    <row r="60" spans="1:48" ht="18.95" customHeight="1">
      <c r="A60" s="142"/>
      <c r="B60" s="147"/>
      <c r="C60" s="946"/>
      <c r="D60" s="947"/>
      <c r="E60" s="948"/>
      <c r="F60" s="930"/>
      <c r="G60" s="952"/>
      <c r="H60" s="953"/>
      <c r="I60" s="953"/>
      <c r="J60" s="953"/>
      <c r="K60" s="953"/>
      <c r="L60" s="953"/>
      <c r="M60" s="953"/>
      <c r="N60" s="960"/>
      <c r="O60" s="952"/>
      <c r="P60" s="953"/>
      <c r="Q60" s="953"/>
      <c r="R60" s="953"/>
      <c r="S60" s="953"/>
      <c r="T60" s="953"/>
      <c r="U60" s="953"/>
      <c r="V60" s="954"/>
      <c r="W60" s="148"/>
      <c r="X60" s="146"/>
      <c r="Y60" s="142"/>
      <c r="Z60" s="147"/>
      <c r="AA60" s="926"/>
      <c r="AB60" s="927"/>
      <c r="AC60" s="928"/>
      <c r="AD60" s="930"/>
      <c r="AE60" s="934"/>
      <c r="AF60" s="935"/>
      <c r="AG60" s="935"/>
      <c r="AH60" s="935"/>
      <c r="AI60" s="935"/>
      <c r="AJ60" s="935"/>
      <c r="AK60" s="935"/>
      <c r="AL60" s="936"/>
      <c r="AM60" s="934"/>
      <c r="AN60" s="935"/>
      <c r="AO60" s="935"/>
      <c r="AP60" s="935"/>
      <c r="AQ60" s="935"/>
      <c r="AR60" s="935"/>
      <c r="AS60" s="935"/>
      <c r="AT60" s="951"/>
      <c r="AU60" s="148"/>
      <c r="AV60" s="146"/>
    </row>
    <row r="61" spans="1:48" ht="18.95" customHeight="1">
      <c r="A61" s="142"/>
      <c r="B61" s="147"/>
      <c r="C61" s="923" t="str">
        <f>STUDENTS!K8</f>
        <v>ગણન</v>
      </c>
      <c r="D61" s="924"/>
      <c r="E61" s="925"/>
      <c r="F61" s="929" t="str">
        <f ca="1">INDIRECT("STUDENTS!L"&amp;($R$1-1)*12+8)</f>
        <v>A</v>
      </c>
      <c r="G61" s="931" t="str">
        <f ca="1">INDIRECT("STUDENTS!M"&amp;($R$1-1)*12+8)</f>
        <v>sfgsgsfg</v>
      </c>
      <c r="H61" s="932"/>
      <c r="I61" s="932"/>
      <c r="J61" s="932"/>
      <c r="K61" s="932"/>
      <c r="L61" s="932"/>
      <c r="M61" s="932"/>
      <c r="N61" s="933"/>
      <c r="O61" s="931" t="str">
        <f ca="1">INDIRECT("STUDENTS!N"&amp;($R$1-1)*12+8)</f>
        <v>dhjkghk</v>
      </c>
      <c r="P61" s="932"/>
      <c r="Q61" s="932"/>
      <c r="R61" s="932"/>
      <c r="S61" s="932"/>
      <c r="T61" s="932"/>
      <c r="U61" s="932"/>
      <c r="V61" s="950"/>
      <c r="W61" s="148"/>
      <c r="X61" s="146"/>
      <c r="Y61" s="142"/>
      <c r="Z61" s="147"/>
      <c r="AA61" s="926"/>
      <c r="AB61" s="927"/>
      <c r="AC61" s="928"/>
      <c r="AD61" s="930"/>
      <c r="AE61" s="934"/>
      <c r="AF61" s="935"/>
      <c r="AG61" s="935"/>
      <c r="AH61" s="935"/>
      <c r="AI61" s="935"/>
      <c r="AJ61" s="935"/>
      <c r="AK61" s="935"/>
      <c r="AL61" s="936"/>
      <c r="AM61" s="934"/>
      <c r="AN61" s="935"/>
      <c r="AO61" s="935"/>
      <c r="AP61" s="935"/>
      <c r="AQ61" s="935"/>
      <c r="AR61" s="935"/>
      <c r="AS61" s="935"/>
      <c r="AT61" s="951"/>
      <c r="AU61" s="148"/>
      <c r="AV61" s="146"/>
    </row>
    <row r="62" spans="1:48" ht="18.95" customHeight="1">
      <c r="A62" s="142"/>
      <c r="B62" s="147"/>
      <c r="C62" s="946"/>
      <c r="D62" s="947"/>
      <c r="E62" s="948"/>
      <c r="F62" s="930"/>
      <c r="G62" s="952"/>
      <c r="H62" s="953"/>
      <c r="I62" s="953"/>
      <c r="J62" s="953"/>
      <c r="K62" s="953"/>
      <c r="L62" s="953"/>
      <c r="M62" s="953"/>
      <c r="N62" s="960"/>
      <c r="O62" s="952"/>
      <c r="P62" s="953"/>
      <c r="Q62" s="953"/>
      <c r="R62" s="953"/>
      <c r="S62" s="953"/>
      <c r="T62" s="953"/>
      <c r="U62" s="953"/>
      <c r="V62" s="954"/>
      <c r="W62" s="148"/>
      <c r="X62" s="146"/>
      <c r="Y62" s="142"/>
      <c r="Z62" s="147"/>
      <c r="AA62" s="946"/>
      <c r="AB62" s="947"/>
      <c r="AC62" s="948"/>
      <c r="AD62" s="949"/>
      <c r="AE62" s="934"/>
      <c r="AF62" s="935"/>
      <c r="AG62" s="935"/>
      <c r="AH62" s="935"/>
      <c r="AI62" s="935"/>
      <c r="AJ62" s="935"/>
      <c r="AK62" s="935"/>
      <c r="AL62" s="936"/>
      <c r="AM62" s="952"/>
      <c r="AN62" s="953"/>
      <c r="AO62" s="953"/>
      <c r="AP62" s="953"/>
      <c r="AQ62" s="953"/>
      <c r="AR62" s="953"/>
      <c r="AS62" s="953"/>
      <c r="AT62" s="954"/>
      <c r="AU62" s="148"/>
      <c r="AV62" s="146"/>
    </row>
    <row r="63" spans="1:48" ht="18.95" customHeight="1">
      <c r="A63" s="142"/>
      <c r="B63" s="147"/>
      <c r="C63" s="923" t="str">
        <f>STUDENTS!K9</f>
        <v>સર્જ. પ્રવૃત્તિ</v>
      </c>
      <c r="D63" s="924"/>
      <c r="E63" s="925"/>
      <c r="F63" s="929" t="str">
        <f ca="1">INDIRECT("STUDENTS!L"&amp;($R$1-1)*12+9)</f>
        <v>A</v>
      </c>
      <c r="G63" s="931" t="str">
        <f ca="1">INDIRECT("STUDENTS!M"&amp;($R$1-1)*12+9)</f>
        <v>sfgsgsfg</v>
      </c>
      <c r="H63" s="932"/>
      <c r="I63" s="932"/>
      <c r="J63" s="932"/>
      <c r="K63" s="932"/>
      <c r="L63" s="932"/>
      <c r="M63" s="932"/>
      <c r="N63" s="933"/>
      <c r="O63" s="931" t="str">
        <f ca="1">INDIRECT("STUDENTS!N"&amp;($R$1-1)*12+9)</f>
        <v>dhjkghk</v>
      </c>
      <c r="P63" s="932"/>
      <c r="Q63" s="932"/>
      <c r="R63" s="932"/>
      <c r="S63" s="932"/>
      <c r="T63" s="932"/>
      <c r="U63" s="932"/>
      <c r="V63" s="950"/>
      <c r="W63" s="148"/>
      <c r="X63" s="146"/>
      <c r="Y63" s="142"/>
      <c r="Z63" s="147"/>
      <c r="AA63" s="923" t="str">
        <f>STUDENTS!S12</f>
        <v>પર્યાવરણ</v>
      </c>
      <c r="AB63" s="924"/>
      <c r="AC63" s="925"/>
      <c r="AD63" s="929" t="str">
        <f ca="1">INDIRECT("STUDENTS!T"&amp;($R$1-1)*12+12)</f>
        <v>A</v>
      </c>
      <c r="AE63" s="931" t="str">
        <f ca="1">INDIRECT("STUDENTS!U"&amp;($R$1-1)*12+12)</f>
        <v>sfgsgsfg</v>
      </c>
      <c r="AF63" s="932" t="str">
        <f t="shared" ref="AF63:AT63" ca="1" si="2">INDIRECT("STUDENTS!T"&amp;($R$1-1)*12+12)</f>
        <v>A</v>
      </c>
      <c r="AG63" s="932" t="str">
        <f t="shared" ca="1" si="2"/>
        <v>A</v>
      </c>
      <c r="AH63" s="932" t="str">
        <f t="shared" ca="1" si="2"/>
        <v>A</v>
      </c>
      <c r="AI63" s="932" t="str">
        <f t="shared" ca="1" si="2"/>
        <v>A</v>
      </c>
      <c r="AJ63" s="932" t="str">
        <f t="shared" ca="1" si="2"/>
        <v>A</v>
      </c>
      <c r="AK63" s="932" t="str">
        <f t="shared" ca="1" si="2"/>
        <v>A</v>
      </c>
      <c r="AL63" s="933" t="str">
        <f t="shared" ca="1" si="2"/>
        <v>A</v>
      </c>
      <c r="AM63" s="931" t="str">
        <f ca="1">INDIRECT("STUDENTS!V"&amp;($R$1-1)*12+12)</f>
        <v>dhjkghk</v>
      </c>
      <c r="AN63" s="932" t="str">
        <f t="shared" ca="1" si="2"/>
        <v>A</v>
      </c>
      <c r="AO63" s="932" t="str">
        <f t="shared" ca="1" si="2"/>
        <v>A</v>
      </c>
      <c r="AP63" s="932" t="str">
        <f t="shared" ca="1" si="2"/>
        <v>A</v>
      </c>
      <c r="AQ63" s="932" t="str">
        <f t="shared" ca="1" si="2"/>
        <v>A</v>
      </c>
      <c r="AR63" s="932" t="str">
        <f t="shared" ca="1" si="2"/>
        <v>A</v>
      </c>
      <c r="AS63" s="932" t="str">
        <f t="shared" ca="1" si="2"/>
        <v>A</v>
      </c>
      <c r="AT63" s="950" t="str">
        <f t="shared" ca="1" si="2"/>
        <v>A</v>
      </c>
      <c r="AU63" s="148"/>
      <c r="AV63" s="146"/>
    </row>
    <row r="64" spans="1:48" ht="18.95" customHeight="1">
      <c r="A64" s="142"/>
      <c r="B64" s="147"/>
      <c r="C64" s="946"/>
      <c r="D64" s="947"/>
      <c r="E64" s="948"/>
      <c r="F64" s="930"/>
      <c r="G64" s="952"/>
      <c r="H64" s="953"/>
      <c r="I64" s="953"/>
      <c r="J64" s="953"/>
      <c r="K64" s="953"/>
      <c r="L64" s="953"/>
      <c r="M64" s="953"/>
      <c r="N64" s="960"/>
      <c r="O64" s="952"/>
      <c r="P64" s="953"/>
      <c r="Q64" s="953"/>
      <c r="R64" s="953"/>
      <c r="S64" s="953"/>
      <c r="T64" s="953"/>
      <c r="U64" s="953"/>
      <c r="V64" s="954"/>
      <c r="W64" s="148"/>
      <c r="X64" s="146"/>
      <c r="Y64" s="142"/>
      <c r="Z64" s="147"/>
      <c r="AA64" s="926"/>
      <c r="AB64" s="927"/>
      <c r="AC64" s="928"/>
      <c r="AD64" s="930"/>
      <c r="AE64" s="934"/>
      <c r="AF64" s="935"/>
      <c r="AG64" s="935"/>
      <c r="AH64" s="935"/>
      <c r="AI64" s="935"/>
      <c r="AJ64" s="935"/>
      <c r="AK64" s="935"/>
      <c r="AL64" s="936"/>
      <c r="AM64" s="934"/>
      <c r="AN64" s="935"/>
      <c r="AO64" s="935"/>
      <c r="AP64" s="935"/>
      <c r="AQ64" s="935"/>
      <c r="AR64" s="935"/>
      <c r="AS64" s="935"/>
      <c r="AT64" s="951"/>
      <c r="AU64" s="148"/>
      <c r="AV64" s="146"/>
    </row>
    <row r="65" spans="1:48" ht="18.95" customHeight="1">
      <c r="A65" s="142"/>
      <c r="B65" s="147"/>
      <c r="C65" s="923" t="str">
        <f>STUDENTS!K10</f>
        <v>સ્વચ્છતા</v>
      </c>
      <c r="D65" s="924"/>
      <c r="E65" s="925"/>
      <c r="F65" s="929" t="str">
        <f ca="1">INDIRECT("STUDENTS!L"&amp;($R$1-1)*12+10)</f>
        <v>A</v>
      </c>
      <c r="G65" s="931" t="str">
        <f ca="1">INDIRECT("STUDENTS!M"&amp;($R$1-1)*12+10)</f>
        <v>sfgsgsfg</v>
      </c>
      <c r="H65" s="932"/>
      <c r="I65" s="932"/>
      <c r="J65" s="932"/>
      <c r="K65" s="932"/>
      <c r="L65" s="932"/>
      <c r="M65" s="932"/>
      <c r="N65" s="933"/>
      <c r="O65" s="931" t="str">
        <f ca="1">INDIRECT("STUDENTS!N"&amp;($R$1-1)*12+10)</f>
        <v>dhjkghk</v>
      </c>
      <c r="P65" s="932"/>
      <c r="Q65" s="932"/>
      <c r="R65" s="932"/>
      <c r="S65" s="932"/>
      <c r="T65" s="932"/>
      <c r="U65" s="932"/>
      <c r="V65" s="950"/>
      <c r="W65" s="148"/>
      <c r="X65" s="146"/>
      <c r="Y65" s="142"/>
      <c r="Z65" s="147"/>
      <c r="AA65" s="926"/>
      <c r="AB65" s="927"/>
      <c r="AC65" s="928"/>
      <c r="AD65" s="930"/>
      <c r="AE65" s="934"/>
      <c r="AF65" s="935"/>
      <c r="AG65" s="935"/>
      <c r="AH65" s="935"/>
      <c r="AI65" s="935"/>
      <c r="AJ65" s="935"/>
      <c r="AK65" s="935"/>
      <c r="AL65" s="936"/>
      <c r="AM65" s="934"/>
      <c r="AN65" s="935"/>
      <c r="AO65" s="935"/>
      <c r="AP65" s="935"/>
      <c r="AQ65" s="935"/>
      <c r="AR65" s="935"/>
      <c r="AS65" s="935"/>
      <c r="AT65" s="951"/>
      <c r="AU65" s="148"/>
      <c r="AV65" s="146"/>
    </row>
    <row r="66" spans="1:48" ht="18.95" customHeight="1">
      <c r="A66" s="142"/>
      <c r="B66" s="147"/>
      <c r="C66" s="946"/>
      <c r="D66" s="947"/>
      <c r="E66" s="948"/>
      <c r="F66" s="930"/>
      <c r="G66" s="952"/>
      <c r="H66" s="953"/>
      <c r="I66" s="953"/>
      <c r="J66" s="953"/>
      <c r="K66" s="953"/>
      <c r="L66" s="953"/>
      <c r="M66" s="953"/>
      <c r="N66" s="960"/>
      <c r="O66" s="952"/>
      <c r="P66" s="953"/>
      <c r="Q66" s="953"/>
      <c r="R66" s="953"/>
      <c r="S66" s="953"/>
      <c r="T66" s="953"/>
      <c r="U66" s="953"/>
      <c r="V66" s="954"/>
      <c r="W66" s="148"/>
      <c r="X66" s="146"/>
      <c r="Y66" s="142"/>
      <c r="Z66" s="147"/>
      <c r="AA66" s="926"/>
      <c r="AB66" s="927"/>
      <c r="AC66" s="928"/>
      <c r="AD66" s="930"/>
      <c r="AE66" s="934"/>
      <c r="AF66" s="935"/>
      <c r="AG66" s="935"/>
      <c r="AH66" s="935"/>
      <c r="AI66" s="935"/>
      <c r="AJ66" s="935"/>
      <c r="AK66" s="935"/>
      <c r="AL66" s="936"/>
      <c r="AM66" s="934"/>
      <c r="AN66" s="935"/>
      <c r="AO66" s="935"/>
      <c r="AP66" s="935"/>
      <c r="AQ66" s="935"/>
      <c r="AR66" s="935"/>
      <c r="AS66" s="935"/>
      <c r="AT66" s="951"/>
      <c r="AU66" s="148"/>
      <c r="AV66" s="146"/>
    </row>
    <row r="67" spans="1:48" ht="18.95" customHeight="1">
      <c r="A67" s="142"/>
      <c r="B67" s="147"/>
      <c r="C67" s="923" t="str">
        <f>STUDENTS!K11</f>
        <v>પર્યાવરણ પ્રેમ</v>
      </c>
      <c r="D67" s="924"/>
      <c r="E67" s="925"/>
      <c r="F67" s="929" t="str">
        <f ca="1">INDIRECT("STUDENTS!L"&amp;($R$1-1)*12+11)</f>
        <v>A</v>
      </c>
      <c r="G67" s="931" t="str">
        <f ca="1">INDIRECT("STUDENTS!M"&amp;($R$1-1)*12+11)</f>
        <v>sfgsgsfg</v>
      </c>
      <c r="H67" s="932"/>
      <c r="I67" s="932"/>
      <c r="J67" s="932"/>
      <c r="K67" s="932"/>
      <c r="L67" s="932"/>
      <c r="M67" s="932"/>
      <c r="N67" s="933"/>
      <c r="O67" s="931" t="str">
        <f ca="1">INDIRECT("STUDENTS!N"&amp;($R$1-1)*12+11)</f>
        <v>dhjkghk</v>
      </c>
      <c r="P67" s="932"/>
      <c r="Q67" s="932"/>
      <c r="R67" s="932"/>
      <c r="S67" s="932"/>
      <c r="T67" s="932"/>
      <c r="U67" s="932"/>
      <c r="V67" s="950"/>
      <c r="W67" s="148"/>
      <c r="X67" s="146"/>
      <c r="Y67" s="142"/>
      <c r="Z67" s="147"/>
      <c r="AA67" s="1022"/>
      <c r="AB67" s="1023"/>
      <c r="AC67" s="1024"/>
      <c r="AD67" s="1070"/>
      <c r="AE67" s="1071"/>
      <c r="AF67" s="1072"/>
      <c r="AG67" s="1072"/>
      <c r="AH67" s="1072"/>
      <c r="AI67" s="1072"/>
      <c r="AJ67" s="1072"/>
      <c r="AK67" s="1072"/>
      <c r="AL67" s="1073"/>
      <c r="AM67" s="1071"/>
      <c r="AN67" s="1072"/>
      <c r="AO67" s="1072"/>
      <c r="AP67" s="1072"/>
      <c r="AQ67" s="1072"/>
      <c r="AR67" s="1072"/>
      <c r="AS67" s="1072"/>
      <c r="AT67" s="1074"/>
      <c r="AU67" s="148"/>
      <c r="AV67" s="146"/>
    </row>
    <row r="68" spans="1:48" ht="18.95" customHeight="1">
      <c r="A68" s="142"/>
      <c r="B68" s="147"/>
      <c r="C68" s="946"/>
      <c r="D68" s="947"/>
      <c r="E68" s="948"/>
      <c r="F68" s="930"/>
      <c r="G68" s="952"/>
      <c r="H68" s="953"/>
      <c r="I68" s="953"/>
      <c r="J68" s="953"/>
      <c r="K68" s="953"/>
      <c r="L68" s="953"/>
      <c r="M68" s="953"/>
      <c r="N68" s="960"/>
      <c r="O68" s="952"/>
      <c r="P68" s="953"/>
      <c r="Q68" s="953"/>
      <c r="R68" s="953"/>
      <c r="S68" s="953"/>
      <c r="T68" s="953"/>
      <c r="U68" s="953"/>
      <c r="V68" s="954"/>
      <c r="W68" s="148"/>
      <c r="X68" s="146"/>
      <c r="Y68" s="142"/>
      <c r="Z68" s="147"/>
      <c r="AA68" s="997" t="s">
        <v>345</v>
      </c>
      <c r="AB68" s="997"/>
      <c r="AC68" s="997"/>
      <c r="AD68" s="997"/>
      <c r="AE68" s="997"/>
      <c r="AF68" s="997"/>
      <c r="AG68" s="997"/>
      <c r="AH68" s="997"/>
      <c r="AI68" s="997"/>
      <c r="AJ68" s="997"/>
      <c r="AK68" s="997"/>
      <c r="AL68" s="997"/>
      <c r="AM68" s="997"/>
      <c r="AN68" s="997"/>
      <c r="AO68" s="997"/>
      <c r="AP68" s="997"/>
      <c r="AQ68" s="997"/>
      <c r="AR68" s="997"/>
      <c r="AS68" s="997"/>
      <c r="AT68" s="997"/>
      <c r="AU68" s="148"/>
      <c r="AV68" s="146"/>
    </row>
    <row r="69" spans="1:48" ht="18.95" customHeight="1">
      <c r="A69" s="142"/>
      <c r="B69" s="147"/>
      <c r="C69" s="923" t="str">
        <f>STUDENTS!K12</f>
        <v>નિયમિતતા</v>
      </c>
      <c r="D69" s="924"/>
      <c r="E69" s="925"/>
      <c r="F69" s="929" t="str">
        <f ca="1">INDIRECT("STUDENTS!L"&amp;($R$1-1)*12+12)</f>
        <v>A</v>
      </c>
      <c r="G69" s="931" t="str">
        <f ca="1">INDIRECT("STUDENTS!M"&amp;($R$1-1)*12+12)</f>
        <v>sfgsgsfg</v>
      </c>
      <c r="H69" s="932"/>
      <c r="I69" s="932"/>
      <c r="J69" s="932"/>
      <c r="K69" s="932"/>
      <c r="L69" s="932"/>
      <c r="M69" s="932"/>
      <c r="N69" s="933"/>
      <c r="O69" s="931" t="str">
        <f ca="1">INDIRECT("STUDENTS!N"&amp;($R$1-1)*12+12)</f>
        <v>dhjkghk</v>
      </c>
      <c r="P69" s="932"/>
      <c r="Q69" s="932"/>
      <c r="R69" s="932"/>
      <c r="S69" s="932"/>
      <c r="T69" s="932"/>
      <c r="U69" s="932"/>
      <c r="V69" s="950"/>
      <c r="W69" s="148"/>
      <c r="X69" s="146"/>
      <c r="Y69" s="142"/>
      <c r="Z69" s="147"/>
      <c r="AA69" s="1066" t="s">
        <v>16</v>
      </c>
      <c r="AB69" s="1067"/>
      <c r="AC69" s="1067"/>
      <c r="AD69" s="157" t="s">
        <v>17</v>
      </c>
      <c r="AE69" s="1067" t="s">
        <v>210</v>
      </c>
      <c r="AF69" s="1067"/>
      <c r="AG69" s="1067"/>
      <c r="AH69" s="1067"/>
      <c r="AI69" s="1067"/>
      <c r="AJ69" s="1067"/>
      <c r="AK69" s="1067"/>
      <c r="AL69" s="1067"/>
      <c r="AM69" s="1068" t="s">
        <v>211</v>
      </c>
      <c r="AN69" s="1068"/>
      <c r="AO69" s="1068"/>
      <c r="AP69" s="1068"/>
      <c r="AQ69" s="1068"/>
      <c r="AR69" s="1068"/>
      <c r="AS69" s="1068"/>
      <c r="AT69" s="1069"/>
      <c r="AU69" s="148"/>
      <c r="AV69" s="146"/>
    </row>
    <row r="70" spans="1:48" ht="18.95" customHeight="1">
      <c r="A70" s="142"/>
      <c r="B70" s="147"/>
      <c r="C70" s="926"/>
      <c r="D70" s="927"/>
      <c r="E70" s="928"/>
      <c r="F70" s="930"/>
      <c r="G70" s="952"/>
      <c r="H70" s="953"/>
      <c r="I70" s="953"/>
      <c r="J70" s="953"/>
      <c r="K70" s="953"/>
      <c r="L70" s="953"/>
      <c r="M70" s="953"/>
      <c r="N70" s="960"/>
      <c r="O70" s="934"/>
      <c r="P70" s="935"/>
      <c r="Q70" s="935"/>
      <c r="R70" s="935"/>
      <c r="S70" s="935"/>
      <c r="T70" s="935"/>
      <c r="U70" s="935"/>
      <c r="V70" s="951"/>
      <c r="W70" s="148"/>
      <c r="X70" s="146"/>
      <c r="Y70" s="142"/>
      <c r="Z70" s="147"/>
      <c r="AA70" s="923" t="str">
        <f>STUDENTS!W4</f>
        <v>ગુજરાતી</v>
      </c>
      <c r="AB70" s="924"/>
      <c r="AC70" s="925"/>
      <c r="AD70" s="929" t="str">
        <f ca="1">INDIRECT("STUDENTS!X"&amp;($R$1-1)*12+4)</f>
        <v>A</v>
      </c>
      <c r="AE70" s="931" t="str">
        <f ca="1">INDIRECT("STUDENTS!Y"&amp;($R$1-1)*12+4)</f>
        <v>sfgsgsfg</v>
      </c>
      <c r="AF70" s="932" t="str">
        <f t="shared" ref="AF70:AT70" ca="1" si="3">INDIRECT("STUDENTS!X"&amp;($R$1-1)*12+4)</f>
        <v>A</v>
      </c>
      <c r="AG70" s="932" t="str">
        <f t="shared" ca="1" si="3"/>
        <v>A</v>
      </c>
      <c r="AH70" s="932" t="str">
        <f t="shared" ca="1" si="3"/>
        <v>A</v>
      </c>
      <c r="AI70" s="932" t="str">
        <f t="shared" ca="1" si="3"/>
        <v>A</v>
      </c>
      <c r="AJ70" s="932" t="str">
        <f t="shared" ca="1" si="3"/>
        <v>A</v>
      </c>
      <c r="AK70" s="932" t="str">
        <f t="shared" ca="1" si="3"/>
        <v>A</v>
      </c>
      <c r="AL70" s="933" t="str">
        <f t="shared" ca="1" si="3"/>
        <v>A</v>
      </c>
      <c r="AM70" s="931" t="str">
        <f ca="1">INDIRECT("STUDENTS!Z"&amp;($R$1-1)*12+4)</f>
        <v>dhjkghk</v>
      </c>
      <c r="AN70" s="932" t="str">
        <f t="shared" ca="1" si="3"/>
        <v>A</v>
      </c>
      <c r="AO70" s="932" t="str">
        <f t="shared" ca="1" si="3"/>
        <v>A</v>
      </c>
      <c r="AP70" s="932" t="str">
        <f t="shared" ca="1" si="3"/>
        <v>A</v>
      </c>
      <c r="AQ70" s="932" t="str">
        <f t="shared" ca="1" si="3"/>
        <v>A</v>
      </c>
      <c r="AR70" s="932" t="str">
        <f t="shared" ca="1" si="3"/>
        <v>A</v>
      </c>
      <c r="AS70" s="932" t="str">
        <f t="shared" ca="1" si="3"/>
        <v>A</v>
      </c>
      <c r="AT70" s="950" t="str">
        <f t="shared" ca="1" si="3"/>
        <v>A</v>
      </c>
      <c r="AU70" s="148"/>
      <c r="AV70" s="146"/>
    </row>
    <row r="71" spans="1:48" ht="18.95" customHeight="1">
      <c r="A71" s="142"/>
      <c r="B71" s="147"/>
      <c r="C71" s="955" t="s">
        <v>342</v>
      </c>
      <c r="D71" s="955"/>
      <c r="E71" s="955"/>
      <c r="F71" s="955"/>
      <c r="G71" s="955"/>
      <c r="H71" s="955"/>
      <c r="I71" s="955"/>
      <c r="J71" s="955"/>
      <c r="K71" s="955"/>
      <c r="L71" s="955"/>
      <c r="M71" s="955"/>
      <c r="N71" s="955"/>
      <c r="O71" s="955"/>
      <c r="P71" s="955"/>
      <c r="Q71" s="955"/>
      <c r="R71" s="955"/>
      <c r="S71" s="955"/>
      <c r="T71" s="955"/>
      <c r="U71" s="955"/>
      <c r="V71" s="955"/>
      <c r="W71" s="148"/>
      <c r="X71" s="146"/>
      <c r="Y71" s="142"/>
      <c r="Z71" s="147"/>
      <c r="AA71" s="926"/>
      <c r="AB71" s="927"/>
      <c r="AC71" s="928"/>
      <c r="AD71" s="930"/>
      <c r="AE71" s="934"/>
      <c r="AF71" s="935"/>
      <c r="AG71" s="935"/>
      <c r="AH71" s="935"/>
      <c r="AI71" s="935"/>
      <c r="AJ71" s="935"/>
      <c r="AK71" s="935"/>
      <c r="AL71" s="936"/>
      <c r="AM71" s="934"/>
      <c r="AN71" s="935"/>
      <c r="AO71" s="935"/>
      <c r="AP71" s="935"/>
      <c r="AQ71" s="935"/>
      <c r="AR71" s="935"/>
      <c r="AS71" s="935"/>
      <c r="AT71" s="951"/>
      <c r="AU71" s="148"/>
      <c r="AV71" s="146"/>
    </row>
    <row r="72" spans="1:48" ht="18.95" customHeight="1">
      <c r="A72" s="142"/>
      <c r="B72" s="147"/>
      <c r="C72" s="956" t="s">
        <v>16</v>
      </c>
      <c r="D72" s="957"/>
      <c r="E72" s="957"/>
      <c r="F72" s="157" t="s">
        <v>17</v>
      </c>
      <c r="G72" s="957" t="s">
        <v>210</v>
      </c>
      <c r="H72" s="957"/>
      <c r="I72" s="957"/>
      <c r="J72" s="957"/>
      <c r="K72" s="957"/>
      <c r="L72" s="957"/>
      <c r="M72" s="957"/>
      <c r="N72" s="957"/>
      <c r="O72" s="958" t="s">
        <v>211</v>
      </c>
      <c r="P72" s="958"/>
      <c r="Q72" s="958"/>
      <c r="R72" s="958"/>
      <c r="S72" s="958"/>
      <c r="T72" s="958"/>
      <c r="U72" s="958"/>
      <c r="V72" s="959"/>
      <c r="W72" s="148"/>
      <c r="X72" s="146"/>
      <c r="Y72" s="142"/>
      <c r="Z72" s="147"/>
      <c r="AA72" s="926"/>
      <c r="AB72" s="927"/>
      <c r="AC72" s="928"/>
      <c r="AD72" s="930"/>
      <c r="AE72" s="934"/>
      <c r="AF72" s="935"/>
      <c r="AG72" s="935"/>
      <c r="AH72" s="935"/>
      <c r="AI72" s="935"/>
      <c r="AJ72" s="935"/>
      <c r="AK72" s="935"/>
      <c r="AL72" s="936"/>
      <c r="AM72" s="934"/>
      <c r="AN72" s="935"/>
      <c r="AO72" s="935"/>
      <c r="AP72" s="935"/>
      <c r="AQ72" s="935"/>
      <c r="AR72" s="935"/>
      <c r="AS72" s="935"/>
      <c r="AT72" s="951"/>
      <c r="AU72" s="148"/>
      <c r="AV72" s="146"/>
    </row>
    <row r="73" spans="1:48" ht="18.95" customHeight="1">
      <c r="A73" s="142"/>
      <c r="B73" s="147"/>
      <c r="C73" s="923" t="s">
        <v>333</v>
      </c>
      <c r="D73" s="924"/>
      <c r="E73" s="925"/>
      <c r="F73" s="929" t="str">
        <f ca="1">INDIRECT("STUDENTS!P"&amp;($R$1-1)*12+4)</f>
        <v>A</v>
      </c>
      <c r="G73" s="931" t="str">
        <f ca="1">INDIRECT("STUDENTS!Q"&amp;($R$1-1)*12+4)</f>
        <v>sfgsgsfg</v>
      </c>
      <c r="H73" s="932"/>
      <c r="I73" s="932"/>
      <c r="J73" s="932"/>
      <c r="K73" s="932"/>
      <c r="L73" s="932"/>
      <c r="M73" s="932"/>
      <c r="N73" s="933"/>
      <c r="O73" s="937" t="str">
        <f ca="1">INDIRECT("STUDENTS!R"&amp;($R$1-1)*12+4)</f>
        <v>dhjkghk</v>
      </c>
      <c r="P73" s="938"/>
      <c r="Q73" s="938"/>
      <c r="R73" s="938"/>
      <c r="S73" s="938"/>
      <c r="T73" s="938"/>
      <c r="U73" s="938"/>
      <c r="V73" s="939"/>
      <c r="W73" s="148"/>
      <c r="X73" s="146"/>
      <c r="Y73" s="142"/>
      <c r="Z73" s="147"/>
      <c r="AA73" s="926"/>
      <c r="AB73" s="927"/>
      <c r="AC73" s="928"/>
      <c r="AD73" s="930"/>
      <c r="AE73" s="934"/>
      <c r="AF73" s="935"/>
      <c r="AG73" s="935"/>
      <c r="AH73" s="935"/>
      <c r="AI73" s="935"/>
      <c r="AJ73" s="935"/>
      <c r="AK73" s="935"/>
      <c r="AL73" s="936"/>
      <c r="AM73" s="934"/>
      <c r="AN73" s="935"/>
      <c r="AO73" s="935"/>
      <c r="AP73" s="935"/>
      <c r="AQ73" s="935"/>
      <c r="AR73" s="935"/>
      <c r="AS73" s="935"/>
      <c r="AT73" s="951"/>
      <c r="AU73" s="148"/>
      <c r="AV73" s="146"/>
    </row>
    <row r="74" spans="1:48" ht="18.95" customHeight="1">
      <c r="A74" s="142"/>
      <c r="B74" s="147"/>
      <c r="C74" s="946"/>
      <c r="D74" s="947"/>
      <c r="E74" s="948"/>
      <c r="F74" s="930"/>
      <c r="G74" s="934"/>
      <c r="H74" s="935"/>
      <c r="I74" s="935"/>
      <c r="J74" s="935"/>
      <c r="K74" s="935"/>
      <c r="L74" s="935"/>
      <c r="M74" s="935"/>
      <c r="N74" s="936"/>
      <c r="O74" s="943"/>
      <c r="P74" s="944"/>
      <c r="Q74" s="944"/>
      <c r="R74" s="944"/>
      <c r="S74" s="944"/>
      <c r="T74" s="944"/>
      <c r="U74" s="944"/>
      <c r="V74" s="945"/>
      <c r="W74" s="148"/>
      <c r="X74" s="146"/>
      <c r="Y74" s="142"/>
      <c r="Z74" s="147"/>
      <c r="AA74" s="926"/>
      <c r="AB74" s="927"/>
      <c r="AC74" s="928"/>
      <c r="AD74" s="930"/>
      <c r="AE74" s="934"/>
      <c r="AF74" s="935"/>
      <c r="AG74" s="935"/>
      <c r="AH74" s="935"/>
      <c r="AI74" s="935"/>
      <c r="AJ74" s="935"/>
      <c r="AK74" s="935"/>
      <c r="AL74" s="936"/>
      <c r="AM74" s="952"/>
      <c r="AN74" s="953"/>
      <c r="AO74" s="953"/>
      <c r="AP74" s="953"/>
      <c r="AQ74" s="953"/>
      <c r="AR74" s="953"/>
      <c r="AS74" s="953"/>
      <c r="AT74" s="954"/>
      <c r="AU74" s="148"/>
      <c r="AV74" s="146"/>
    </row>
    <row r="75" spans="1:48" ht="18.95" customHeight="1">
      <c r="A75" s="142"/>
      <c r="B75" s="147"/>
      <c r="C75" s="923" t="s">
        <v>334</v>
      </c>
      <c r="D75" s="924"/>
      <c r="E75" s="925"/>
      <c r="F75" s="929" t="str">
        <f ca="1">INDIRECT("STUDENTS!P"&amp;($R$1-1)*12+5)</f>
        <v>A</v>
      </c>
      <c r="G75" s="931" t="str">
        <f ca="1">INDIRECT("STUDENTS!Q"&amp;($R$1-1)*12+5)</f>
        <v>sfgsgsfg</v>
      </c>
      <c r="H75" s="932"/>
      <c r="I75" s="932"/>
      <c r="J75" s="932"/>
      <c r="K75" s="932"/>
      <c r="L75" s="932"/>
      <c r="M75" s="932"/>
      <c r="N75" s="933"/>
      <c r="O75" s="937" t="str">
        <f ca="1">INDIRECT("STUDENTS!R"&amp;($R$1-1)*12+5)</f>
        <v>dhjkghk</v>
      </c>
      <c r="P75" s="938"/>
      <c r="Q75" s="938"/>
      <c r="R75" s="938"/>
      <c r="S75" s="938"/>
      <c r="T75" s="938"/>
      <c r="U75" s="938"/>
      <c r="V75" s="939"/>
      <c r="W75" s="148"/>
      <c r="X75" s="146"/>
      <c r="Y75" s="142"/>
      <c r="Z75" s="147"/>
      <c r="AA75" s="923" t="str">
        <f>STUDENTS!W7</f>
        <v>ગણિત</v>
      </c>
      <c r="AB75" s="924"/>
      <c r="AC75" s="925"/>
      <c r="AD75" s="929" t="str">
        <f ca="1">INDIRECT("STUDENTS!X"&amp;($R$1-1)*12+7)</f>
        <v>A</v>
      </c>
      <c r="AE75" s="931" t="str">
        <f ca="1">INDIRECT("STUDENTS!Y"&amp;($R$1-1)*12+7)</f>
        <v>sfgsgsfg</v>
      </c>
      <c r="AF75" s="932" t="str">
        <f t="shared" ref="AF75:AT75" ca="1" si="4">INDIRECT("STUDENTS!X"&amp;($R$1-1)*12+7)</f>
        <v>A</v>
      </c>
      <c r="AG75" s="932" t="str">
        <f t="shared" ca="1" si="4"/>
        <v>A</v>
      </c>
      <c r="AH75" s="932" t="str">
        <f t="shared" ca="1" si="4"/>
        <v>A</v>
      </c>
      <c r="AI75" s="932" t="str">
        <f t="shared" ca="1" si="4"/>
        <v>A</v>
      </c>
      <c r="AJ75" s="932" t="str">
        <f t="shared" ca="1" si="4"/>
        <v>A</v>
      </c>
      <c r="AK75" s="932" t="str">
        <f t="shared" ca="1" si="4"/>
        <v>A</v>
      </c>
      <c r="AL75" s="933" t="str">
        <f t="shared" ca="1" si="4"/>
        <v>A</v>
      </c>
      <c r="AM75" s="931" t="str">
        <f ca="1">INDIRECT("STUDENTS!Z"&amp;($R$1-1)*12+7)</f>
        <v>dhjkghk</v>
      </c>
      <c r="AN75" s="932" t="str">
        <f t="shared" ca="1" si="4"/>
        <v>A</v>
      </c>
      <c r="AO75" s="932" t="str">
        <f t="shared" ca="1" si="4"/>
        <v>A</v>
      </c>
      <c r="AP75" s="932" t="str">
        <f t="shared" ca="1" si="4"/>
        <v>A</v>
      </c>
      <c r="AQ75" s="932" t="str">
        <f t="shared" ca="1" si="4"/>
        <v>A</v>
      </c>
      <c r="AR75" s="932" t="str">
        <f t="shared" ca="1" si="4"/>
        <v>A</v>
      </c>
      <c r="AS75" s="932" t="str">
        <f t="shared" ca="1" si="4"/>
        <v>A</v>
      </c>
      <c r="AT75" s="950" t="str">
        <f t="shared" ca="1" si="4"/>
        <v>A</v>
      </c>
      <c r="AU75" s="148"/>
      <c r="AV75" s="146"/>
    </row>
    <row r="76" spans="1:48" ht="18.95" customHeight="1">
      <c r="A76" s="142"/>
      <c r="B76" s="147"/>
      <c r="C76" s="946"/>
      <c r="D76" s="947"/>
      <c r="E76" s="948"/>
      <c r="F76" s="930"/>
      <c r="G76" s="934"/>
      <c r="H76" s="935"/>
      <c r="I76" s="935"/>
      <c r="J76" s="935"/>
      <c r="K76" s="935"/>
      <c r="L76" s="935"/>
      <c r="M76" s="935"/>
      <c r="N76" s="936"/>
      <c r="O76" s="943"/>
      <c r="P76" s="944"/>
      <c r="Q76" s="944"/>
      <c r="R76" s="944"/>
      <c r="S76" s="944"/>
      <c r="T76" s="944"/>
      <c r="U76" s="944"/>
      <c r="V76" s="945"/>
      <c r="W76" s="148"/>
      <c r="X76" s="146"/>
      <c r="Y76" s="142"/>
      <c r="Z76" s="147"/>
      <c r="AA76" s="926"/>
      <c r="AB76" s="927"/>
      <c r="AC76" s="928"/>
      <c r="AD76" s="930"/>
      <c r="AE76" s="934"/>
      <c r="AF76" s="935"/>
      <c r="AG76" s="935"/>
      <c r="AH76" s="935"/>
      <c r="AI76" s="935"/>
      <c r="AJ76" s="935"/>
      <c r="AK76" s="935"/>
      <c r="AL76" s="936"/>
      <c r="AM76" s="934"/>
      <c r="AN76" s="935"/>
      <c r="AO76" s="935"/>
      <c r="AP76" s="935"/>
      <c r="AQ76" s="935"/>
      <c r="AR76" s="935"/>
      <c r="AS76" s="935"/>
      <c r="AT76" s="951"/>
      <c r="AU76" s="148"/>
      <c r="AV76" s="146"/>
    </row>
    <row r="77" spans="1:48" ht="18.95" customHeight="1">
      <c r="A77" s="142"/>
      <c r="B77" s="147"/>
      <c r="C77" s="923" t="s">
        <v>335</v>
      </c>
      <c r="D77" s="924"/>
      <c r="E77" s="925"/>
      <c r="F77" s="929" t="str">
        <f ca="1">INDIRECT("STUDENTS!P"&amp;($R$1-1)*12+6)</f>
        <v>A</v>
      </c>
      <c r="G77" s="931" t="str">
        <f ca="1">INDIRECT("STUDENTS!Q"&amp;($R$1-1)*12+6)</f>
        <v>sfgsgsfg</v>
      </c>
      <c r="H77" s="932"/>
      <c r="I77" s="932"/>
      <c r="J77" s="932"/>
      <c r="K77" s="932"/>
      <c r="L77" s="932"/>
      <c r="M77" s="932"/>
      <c r="N77" s="933"/>
      <c r="O77" s="937" t="str">
        <f ca="1">INDIRECT("STUDENTS!R"&amp;($R$1-1)*12+6)</f>
        <v>dhjkghk</v>
      </c>
      <c r="P77" s="938"/>
      <c r="Q77" s="938"/>
      <c r="R77" s="938"/>
      <c r="S77" s="938"/>
      <c r="T77" s="938"/>
      <c r="U77" s="938"/>
      <c r="V77" s="939"/>
      <c r="W77" s="148"/>
      <c r="X77" s="146"/>
      <c r="Y77" s="142"/>
      <c r="Z77" s="147"/>
      <c r="AA77" s="926"/>
      <c r="AB77" s="927"/>
      <c r="AC77" s="928"/>
      <c r="AD77" s="930"/>
      <c r="AE77" s="934"/>
      <c r="AF77" s="935"/>
      <c r="AG77" s="935"/>
      <c r="AH77" s="935"/>
      <c r="AI77" s="935"/>
      <c r="AJ77" s="935"/>
      <c r="AK77" s="935"/>
      <c r="AL77" s="936"/>
      <c r="AM77" s="934"/>
      <c r="AN77" s="935"/>
      <c r="AO77" s="935"/>
      <c r="AP77" s="935"/>
      <c r="AQ77" s="935"/>
      <c r="AR77" s="935"/>
      <c r="AS77" s="935"/>
      <c r="AT77" s="951"/>
      <c r="AU77" s="148"/>
      <c r="AV77" s="146"/>
    </row>
    <row r="78" spans="1:48" ht="18.95" customHeight="1">
      <c r="A78" s="142"/>
      <c r="B78" s="147"/>
      <c r="C78" s="946"/>
      <c r="D78" s="947"/>
      <c r="E78" s="948"/>
      <c r="F78" s="930"/>
      <c r="G78" s="934"/>
      <c r="H78" s="935"/>
      <c r="I78" s="935"/>
      <c r="J78" s="935"/>
      <c r="K78" s="935"/>
      <c r="L78" s="935"/>
      <c r="M78" s="935"/>
      <c r="N78" s="936"/>
      <c r="O78" s="943"/>
      <c r="P78" s="944"/>
      <c r="Q78" s="944"/>
      <c r="R78" s="944"/>
      <c r="S78" s="944"/>
      <c r="T78" s="944"/>
      <c r="U78" s="944"/>
      <c r="V78" s="945"/>
      <c r="W78" s="148"/>
      <c r="X78" s="146"/>
      <c r="Y78" s="142"/>
      <c r="Z78" s="147"/>
      <c r="AA78" s="926"/>
      <c r="AB78" s="927"/>
      <c r="AC78" s="928"/>
      <c r="AD78" s="930"/>
      <c r="AE78" s="934"/>
      <c r="AF78" s="935"/>
      <c r="AG78" s="935"/>
      <c r="AH78" s="935"/>
      <c r="AI78" s="935"/>
      <c r="AJ78" s="935"/>
      <c r="AK78" s="935"/>
      <c r="AL78" s="936"/>
      <c r="AM78" s="934"/>
      <c r="AN78" s="935"/>
      <c r="AO78" s="935"/>
      <c r="AP78" s="935"/>
      <c r="AQ78" s="935"/>
      <c r="AR78" s="935"/>
      <c r="AS78" s="935"/>
      <c r="AT78" s="951"/>
      <c r="AU78" s="148"/>
      <c r="AV78" s="146"/>
    </row>
    <row r="79" spans="1:48" ht="18.95" customHeight="1">
      <c r="A79" s="142"/>
      <c r="B79" s="147"/>
      <c r="C79" s="923" t="s">
        <v>336</v>
      </c>
      <c r="D79" s="924"/>
      <c r="E79" s="925"/>
      <c r="F79" s="929" t="str">
        <f ca="1">INDIRECT("STUDENTS!P"&amp;($R$1-1)*12+7)</f>
        <v>A</v>
      </c>
      <c r="G79" s="931" t="str">
        <f ca="1">INDIRECT("STUDENTS!Q"&amp;($R$1-1)*12+7)</f>
        <v>sfgsgsfg</v>
      </c>
      <c r="H79" s="932"/>
      <c r="I79" s="932"/>
      <c r="J79" s="932"/>
      <c r="K79" s="932"/>
      <c r="L79" s="932"/>
      <c r="M79" s="932"/>
      <c r="N79" s="933"/>
      <c r="O79" s="937" t="str">
        <f ca="1">INDIRECT("STUDENTS!R"&amp;($R$1-1)*12+7)</f>
        <v>dhjkghk</v>
      </c>
      <c r="P79" s="938"/>
      <c r="Q79" s="938"/>
      <c r="R79" s="938"/>
      <c r="S79" s="938"/>
      <c r="T79" s="938"/>
      <c r="U79" s="938"/>
      <c r="V79" s="939"/>
      <c r="W79" s="148"/>
      <c r="X79" s="146"/>
      <c r="Y79" s="142"/>
      <c r="Z79" s="147"/>
      <c r="AA79" s="946"/>
      <c r="AB79" s="947"/>
      <c r="AC79" s="948"/>
      <c r="AD79" s="949"/>
      <c r="AE79" s="934"/>
      <c r="AF79" s="935"/>
      <c r="AG79" s="935"/>
      <c r="AH79" s="935"/>
      <c r="AI79" s="935"/>
      <c r="AJ79" s="935"/>
      <c r="AK79" s="935"/>
      <c r="AL79" s="936"/>
      <c r="AM79" s="952"/>
      <c r="AN79" s="953"/>
      <c r="AO79" s="953"/>
      <c r="AP79" s="953"/>
      <c r="AQ79" s="953"/>
      <c r="AR79" s="953"/>
      <c r="AS79" s="953"/>
      <c r="AT79" s="954"/>
      <c r="AU79" s="148"/>
      <c r="AV79" s="146"/>
    </row>
    <row r="80" spans="1:48" ht="18.95" customHeight="1">
      <c r="A80" s="142"/>
      <c r="B80" s="147"/>
      <c r="C80" s="946"/>
      <c r="D80" s="947"/>
      <c r="E80" s="948"/>
      <c r="F80" s="930"/>
      <c r="G80" s="934"/>
      <c r="H80" s="935"/>
      <c r="I80" s="935"/>
      <c r="J80" s="935"/>
      <c r="K80" s="935"/>
      <c r="L80" s="935"/>
      <c r="M80" s="935"/>
      <c r="N80" s="936"/>
      <c r="O80" s="943"/>
      <c r="P80" s="944"/>
      <c r="Q80" s="944"/>
      <c r="R80" s="944"/>
      <c r="S80" s="944"/>
      <c r="T80" s="944"/>
      <c r="U80" s="944"/>
      <c r="V80" s="945"/>
      <c r="W80" s="148"/>
      <c r="X80" s="146"/>
      <c r="Y80" s="142"/>
      <c r="Z80" s="147"/>
      <c r="AA80" s="923" t="str">
        <f>STUDENTS!W10</f>
        <v>પર્યાવરણ</v>
      </c>
      <c r="AB80" s="924"/>
      <c r="AC80" s="925"/>
      <c r="AD80" s="929" t="str">
        <f ca="1">INDIRECT("STUDENTS!X"&amp;($R$1-1)*12+10)</f>
        <v>A</v>
      </c>
      <c r="AE80" s="931" t="str">
        <f ca="1">INDIRECT("STUDENTS!Y"&amp;($R$1-1)*12+10)</f>
        <v>sfgsgsfg</v>
      </c>
      <c r="AF80" s="932" t="str">
        <f t="shared" ref="AF80:AT80" ca="1" si="5">INDIRECT("STUDENTS!X"&amp;($R$1-1)*12+10)</f>
        <v>A</v>
      </c>
      <c r="AG80" s="932" t="str">
        <f t="shared" ca="1" si="5"/>
        <v>A</v>
      </c>
      <c r="AH80" s="932" t="str">
        <f t="shared" ca="1" si="5"/>
        <v>A</v>
      </c>
      <c r="AI80" s="932" t="str">
        <f t="shared" ca="1" si="5"/>
        <v>A</v>
      </c>
      <c r="AJ80" s="932" t="str">
        <f t="shared" ca="1" si="5"/>
        <v>A</v>
      </c>
      <c r="AK80" s="932" t="str">
        <f t="shared" ca="1" si="5"/>
        <v>A</v>
      </c>
      <c r="AL80" s="933" t="str">
        <f t="shared" ca="1" si="5"/>
        <v>A</v>
      </c>
      <c r="AM80" s="931" t="str">
        <f ca="1">INDIRECT("STUDENTS!Z"&amp;($R$1-1)*12+10)</f>
        <v>dhjkghk</v>
      </c>
      <c r="AN80" s="932" t="str">
        <f t="shared" ca="1" si="5"/>
        <v>A</v>
      </c>
      <c r="AO80" s="932" t="str">
        <f t="shared" ca="1" si="5"/>
        <v>A</v>
      </c>
      <c r="AP80" s="932" t="str">
        <f t="shared" ca="1" si="5"/>
        <v>A</v>
      </c>
      <c r="AQ80" s="932" t="str">
        <f t="shared" ca="1" si="5"/>
        <v>A</v>
      </c>
      <c r="AR80" s="932" t="str">
        <f t="shared" ca="1" si="5"/>
        <v>A</v>
      </c>
      <c r="AS80" s="932" t="str">
        <f t="shared" ca="1" si="5"/>
        <v>A</v>
      </c>
      <c r="AT80" s="950" t="str">
        <f t="shared" ca="1" si="5"/>
        <v>A</v>
      </c>
      <c r="AU80" s="148"/>
      <c r="AV80" s="146"/>
    </row>
    <row r="81" spans="1:48" ht="18.95" customHeight="1">
      <c r="A81" s="142"/>
      <c r="B81" s="147"/>
      <c r="C81" s="923" t="s">
        <v>337</v>
      </c>
      <c r="D81" s="924"/>
      <c r="E81" s="925"/>
      <c r="F81" s="929" t="str">
        <f ca="1">INDIRECT("STUDENTS!P"&amp;($R$1-1)*12+8)</f>
        <v>A</v>
      </c>
      <c r="G81" s="931" t="str">
        <f ca="1">INDIRECT("STUDENTS!Q"&amp;($R$1-1)*12+8)</f>
        <v>sfgsgsfg</v>
      </c>
      <c r="H81" s="932"/>
      <c r="I81" s="932"/>
      <c r="J81" s="932"/>
      <c r="K81" s="932"/>
      <c r="L81" s="932"/>
      <c r="M81" s="932"/>
      <c r="N81" s="933"/>
      <c r="O81" s="937" t="str">
        <f ca="1">INDIRECT("STUDENTS!R"&amp;($R$1-1)*12+8)</f>
        <v>dhjkghk</v>
      </c>
      <c r="P81" s="938"/>
      <c r="Q81" s="938"/>
      <c r="R81" s="938"/>
      <c r="S81" s="938"/>
      <c r="T81" s="938"/>
      <c r="U81" s="938"/>
      <c r="V81" s="939"/>
      <c r="W81" s="148"/>
      <c r="X81" s="146"/>
      <c r="Y81" s="142"/>
      <c r="Z81" s="147"/>
      <c r="AA81" s="926"/>
      <c r="AB81" s="927"/>
      <c r="AC81" s="928"/>
      <c r="AD81" s="930"/>
      <c r="AE81" s="934"/>
      <c r="AF81" s="935"/>
      <c r="AG81" s="935"/>
      <c r="AH81" s="935"/>
      <c r="AI81" s="935"/>
      <c r="AJ81" s="935"/>
      <c r="AK81" s="935"/>
      <c r="AL81" s="936"/>
      <c r="AM81" s="934"/>
      <c r="AN81" s="935"/>
      <c r="AO81" s="935"/>
      <c r="AP81" s="935"/>
      <c r="AQ81" s="935"/>
      <c r="AR81" s="935"/>
      <c r="AS81" s="935"/>
      <c r="AT81" s="951"/>
      <c r="AU81" s="148"/>
      <c r="AV81" s="146"/>
    </row>
    <row r="82" spans="1:48" ht="18.95" customHeight="1">
      <c r="A82" s="142"/>
      <c r="B82" s="147"/>
      <c r="C82" s="946"/>
      <c r="D82" s="947"/>
      <c r="E82" s="948"/>
      <c r="F82" s="930"/>
      <c r="G82" s="934"/>
      <c r="H82" s="935"/>
      <c r="I82" s="935"/>
      <c r="J82" s="935"/>
      <c r="K82" s="935"/>
      <c r="L82" s="935"/>
      <c r="M82" s="935"/>
      <c r="N82" s="936"/>
      <c r="O82" s="943"/>
      <c r="P82" s="944"/>
      <c r="Q82" s="944"/>
      <c r="R82" s="944"/>
      <c r="S82" s="944"/>
      <c r="T82" s="944"/>
      <c r="U82" s="944"/>
      <c r="V82" s="945"/>
      <c r="W82" s="148"/>
      <c r="X82" s="146"/>
      <c r="Y82" s="142"/>
      <c r="Z82" s="147"/>
      <c r="AA82" s="926"/>
      <c r="AB82" s="927"/>
      <c r="AC82" s="928"/>
      <c r="AD82" s="930"/>
      <c r="AE82" s="934"/>
      <c r="AF82" s="935"/>
      <c r="AG82" s="935"/>
      <c r="AH82" s="935"/>
      <c r="AI82" s="935"/>
      <c r="AJ82" s="935"/>
      <c r="AK82" s="935"/>
      <c r="AL82" s="936"/>
      <c r="AM82" s="934"/>
      <c r="AN82" s="935"/>
      <c r="AO82" s="935"/>
      <c r="AP82" s="935"/>
      <c r="AQ82" s="935"/>
      <c r="AR82" s="935"/>
      <c r="AS82" s="935"/>
      <c r="AT82" s="951"/>
      <c r="AU82" s="148"/>
      <c r="AV82" s="146"/>
    </row>
    <row r="83" spans="1:48" ht="18.95" customHeight="1">
      <c r="A83" s="142"/>
      <c r="B83" s="147"/>
      <c r="C83" s="923" t="s">
        <v>338</v>
      </c>
      <c r="D83" s="924"/>
      <c r="E83" s="925"/>
      <c r="F83" s="929" t="str">
        <f ca="1">INDIRECT("STUDENTS!P"&amp;($R$1-1)*12+9)</f>
        <v>A</v>
      </c>
      <c r="G83" s="931" t="str">
        <f ca="1">INDIRECT("STUDENTS!Q"&amp;($R$1-1)*12+9)</f>
        <v>sfgsgsfg</v>
      </c>
      <c r="H83" s="932"/>
      <c r="I83" s="932"/>
      <c r="J83" s="932"/>
      <c r="K83" s="932"/>
      <c r="L83" s="932"/>
      <c r="M83" s="932"/>
      <c r="N83" s="933"/>
      <c r="O83" s="937" t="str">
        <f ca="1">INDIRECT("STUDENTS!R"&amp;($R$1-1)*12+9)</f>
        <v>dhjkghk</v>
      </c>
      <c r="P83" s="938"/>
      <c r="Q83" s="938"/>
      <c r="R83" s="938"/>
      <c r="S83" s="938"/>
      <c r="T83" s="938"/>
      <c r="U83" s="938"/>
      <c r="V83" s="939"/>
      <c r="W83" s="148"/>
      <c r="X83" s="146"/>
      <c r="Y83" s="142"/>
      <c r="Z83" s="147"/>
      <c r="AA83" s="926"/>
      <c r="AB83" s="927"/>
      <c r="AC83" s="928"/>
      <c r="AD83" s="930"/>
      <c r="AE83" s="934"/>
      <c r="AF83" s="935"/>
      <c r="AG83" s="935"/>
      <c r="AH83" s="935"/>
      <c r="AI83" s="935"/>
      <c r="AJ83" s="935"/>
      <c r="AK83" s="935"/>
      <c r="AL83" s="936"/>
      <c r="AM83" s="934"/>
      <c r="AN83" s="935"/>
      <c r="AO83" s="935"/>
      <c r="AP83" s="935"/>
      <c r="AQ83" s="935"/>
      <c r="AR83" s="935"/>
      <c r="AS83" s="935"/>
      <c r="AT83" s="951"/>
      <c r="AU83" s="148"/>
      <c r="AV83" s="146"/>
    </row>
    <row r="84" spans="1:48" ht="18.95" customHeight="1">
      <c r="A84" s="142"/>
      <c r="B84" s="147"/>
      <c r="C84" s="946"/>
      <c r="D84" s="947"/>
      <c r="E84" s="948"/>
      <c r="F84" s="930"/>
      <c r="G84" s="934"/>
      <c r="H84" s="935"/>
      <c r="I84" s="935"/>
      <c r="J84" s="935"/>
      <c r="K84" s="935"/>
      <c r="L84" s="935"/>
      <c r="M84" s="935"/>
      <c r="N84" s="936"/>
      <c r="O84" s="943"/>
      <c r="P84" s="944"/>
      <c r="Q84" s="944"/>
      <c r="R84" s="944"/>
      <c r="S84" s="944"/>
      <c r="T84" s="944"/>
      <c r="U84" s="944"/>
      <c r="V84" s="945"/>
      <c r="W84" s="148"/>
      <c r="X84" s="146"/>
      <c r="Y84" s="142"/>
      <c r="Z84" s="147"/>
      <c r="AA84" s="946"/>
      <c r="AB84" s="947"/>
      <c r="AC84" s="948"/>
      <c r="AD84" s="949"/>
      <c r="AE84" s="934"/>
      <c r="AF84" s="935"/>
      <c r="AG84" s="935"/>
      <c r="AH84" s="935"/>
      <c r="AI84" s="935"/>
      <c r="AJ84" s="935"/>
      <c r="AK84" s="935"/>
      <c r="AL84" s="936"/>
      <c r="AM84" s="952"/>
      <c r="AN84" s="953"/>
      <c r="AO84" s="953"/>
      <c r="AP84" s="953"/>
      <c r="AQ84" s="953"/>
      <c r="AR84" s="953"/>
      <c r="AS84" s="953"/>
      <c r="AT84" s="954"/>
      <c r="AU84" s="148"/>
      <c r="AV84" s="146"/>
    </row>
    <row r="85" spans="1:48" ht="18.95" customHeight="1">
      <c r="A85" s="142"/>
      <c r="B85" s="147"/>
      <c r="C85" s="923" t="s">
        <v>339</v>
      </c>
      <c r="D85" s="924"/>
      <c r="E85" s="925"/>
      <c r="F85" s="929" t="str">
        <f ca="1">INDIRECT("STUDENTS!P"&amp;($R$1-1)*12+10)</f>
        <v>A</v>
      </c>
      <c r="G85" s="931" t="str">
        <f ca="1">INDIRECT("STUDENTS!Q"&amp;($R$1-1)*12+10)</f>
        <v>sfgsgsfg</v>
      </c>
      <c r="H85" s="932"/>
      <c r="I85" s="932"/>
      <c r="J85" s="932"/>
      <c r="K85" s="932"/>
      <c r="L85" s="932"/>
      <c r="M85" s="932"/>
      <c r="N85" s="933"/>
      <c r="O85" s="937" t="str">
        <f ca="1">INDIRECT("STUDENTS!R"&amp;($R$1-1)*12+10)</f>
        <v>dhjkghk</v>
      </c>
      <c r="P85" s="938"/>
      <c r="Q85" s="938"/>
      <c r="R85" s="938"/>
      <c r="S85" s="938"/>
      <c r="T85" s="938"/>
      <c r="U85" s="938"/>
      <c r="V85" s="939"/>
      <c r="W85" s="148"/>
      <c r="X85" s="146"/>
      <c r="Y85" s="142"/>
      <c r="Z85" s="147"/>
      <c r="AA85" s="923" t="str">
        <f>STUDENTS!W13</f>
        <v>હિન્દી</v>
      </c>
      <c r="AB85" s="924"/>
      <c r="AC85" s="925"/>
      <c r="AD85" s="929" t="str">
        <f ca="1">INDIRECT("STUDENTS!X"&amp;($R$1-1)*12+13)</f>
        <v>A</v>
      </c>
      <c r="AE85" s="931" t="str">
        <f ca="1">INDIRECT("STUDENTS!Y"&amp;($R$1-1)*12+13)</f>
        <v>sfgsgsfg</v>
      </c>
      <c r="AF85" s="932" t="str">
        <f t="shared" ref="AF85:AT85" ca="1" si="6">INDIRECT("STUDENTS!X"&amp;($R$1-1)*12+13)</f>
        <v>A</v>
      </c>
      <c r="AG85" s="932" t="str">
        <f t="shared" ca="1" si="6"/>
        <v>A</v>
      </c>
      <c r="AH85" s="932" t="str">
        <f t="shared" ca="1" si="6"/>
        <v>A</v>
      </c>
      <c r="AI85" s="932" t="str">
        <f t="shared" ca="1" si="6"/>
        <v>A</v>
      </c>
      <c r="AJ85" s="932" t="str">
        <f t="shared" ca="1" si="6"/>
        <v>A</v>
      </c>
      <c r="AK85" s="932" t="str">
        <f t="shared" ca="1" si="6"/>
        <v>A</v>
      </c>
      <c r="AL85" s="933" t="str">
        <f t="shared" ca="1" si="6"/>
        <v>A</v>
      </c>
      <c r="AM85" s="931" t="str">
        <f ca="1">INDIRECT("STUDENTS!Z"&amp;($R$1-1)*12+13)</f>
        <v>dhjkghk</v>
      </c>
      <c r="AN85" s="932" t="str">
        <f t="shared" ca="1" si="6"/>
        <v>A</v>
      </c>
      <c r="AO85" s="932" t="str">
        <f t="shared" ca="1" si="6"/>
        <v>A</v>
      </c>
      <c r="AP85" s="932" t="str">
        <f t="shared" ca="1" si="6"/>
        <v>A</v>
      </c>
      <c r="AQ85" s="932" t="str">
        <f t="shared" ca="1" si="6"/>
        <v>A</v>
      </c>
      <c r="AR85" s="932" t="str">
        <f t="shared" ca="1" si="6"/>
        <v>A</v>
      </c>
      <c r="AS85" s="932" t="str">
        <f t="shared" ca="1" si="6"/>
        <v>A</v>
      </c>
      <c r="AT85" s="950" t="str">
        <f t="shared" ca="1" si="6"/>
        <v>A</v>
      </c>
      <c r="AU85" s="148"/>
      <c r="AV85" s="146"/>
    </row>
    <row r="86" spans="1:48" ht="18.95" customHeight="1">
      <c r="A86" s="142"/>
      <c r="B86" s="147"/>
      <c r="C86" s="946"/>
      <c r="D86" s="947"/>
      <c r="E86" s="948"/>
      <c r="F86" s="930"/>
      <c r="G86" s="934"/>
      <c r="H86" s="935"/>
      <c r="I86" s="935"/>
      <c r="J86" s="935"/>
      <c r="K86" s="935"/>
      <c r="L86" s="935"/>
      <c r="M86" s="935"/>
      <c r="N86" s="936"/>
      <c r="O86" s="943"/>
      <c r="P86" s="944"/>
      <c r="Q86" s="944"/>
      <c r="R86" s="944"/>
      <c r="S86" s="944"/>
      <c r="T86" s="944"/>
      <c r="U86" s="944"/>
      <c r="V86" s="945"/>
      <c r="W86" s="148"/>
      <c r="X86" s="146"/>
      <c r="Y86" s="142"/>
      <c r="Z86" s="147"/>
      <c r="AA86" s="926"/>
      <c r="AB86" s="927"/>
      <c r="AC86" s="928"/>
      <c r="AD86" s="930"/>
      <c r="AE86" s="934"/>
      <c r="AF86" s="935"/>
      <c r="AG86" s="935"/>
      <c r="AH86" s="935"/>
      <c r="AI86" s="935"/>
      <c r="AJ86" s="935"/>
      <c r="AK86" s="935"/>
      <c r="AL86" s="936"/>
      <c r="AM86" s="934"/>
      <c r="AN86" s="935"/>
      <c r="AO86" s="935"/>
      <c r="AP86" s="935"/>
      <c r="AQ86" s="935"/>
      <c r="AR86" s="935"/>
      <c r="AS86" s="935"/>
      <c r="AT86" s="951"/>
      <c r="AU86" s="148"/>
      <c r="AV86" s="146"/>
    </row>
    <row r="87" spans="1:48" ht="18.95" customHeight="1">
      <c r="A87" s="142"/>
      <c r="B87" s="147"/>
      <c r="C87" s="923" t="s">
        <v>340</v>
      </c>
      <c r="D87" s="924"/>
      <c r="E87" s="925"/>
      <c r="F87" s="929" t="str">
        <f ca="1">INDIRECT("STUDENTS!P"&amp;($R$1-1)*12+11)</f>
        <v>A</v>
      </c>
      <c r="G87" s="931" t="str">
        <f ca="1">INDIRECT("STUDENTS!Q"&amp;($R$1-1)*12+11)</f>
        <v>sfgsgsfg</v>
      </c>
      <c r="H87" s="932"/>
      <c r="I87" s="932"/>
      <c r="J87" s="932"/>
      <c r="K87" s="932"/>
      <c r="L87" s="932"/>
      <c r="M87" s="932"/>
      <c r="N87" s="933"/>
      <c r="O87" s="937" t="str">
        <f ca="1">INDIRECT("STUDENTS!R"&amp;($R$1-1)*12+11)</f>
        <v>dhjkghk</v>
      </c>
      <c r="P87" s="938"/>
      <c r="Q87" s="938"/>
      <c r="R87" s="938"/>
      <c r="S87" s="938"/>
      <c r="T87" s="938"/>
      <c r="U87" s="938"/>
      <c r="V87" s="939"/>
      <c r="W87" s="148"/>
      <c r="X87" s="146"/>
      <c r="Y87" s="142"/>
      <c r="Z87" s="147"/>
      <c r="AA87" s="926"/>
      <c r="AB87" s="927"/>
      <c r="AC87" s="928"/>
      <c r="AD87" s="930"/>
      <c r="AE87" s="934"/>
      <c r="AF87" s="935"/>
      <c r="AG87" s="935"/>
      <c r="AH87" s="935"/>
      <c r="AI87" s="935"/>
      <c r="AJ87" s="935"/>
      <c r="AK87" s="935"/>
      <c r="AL87" s="936"/>
      <c r="AM87" s="934"/>
      <c r="AN87" s="935"/>
      <c r="AO87" s="935"/>
      <c r="AP87" s="935"/>
      <c r="AQ87" s="935"/>
      <c r="AR87" s="935"/>
      <c r="AS87" s="935"/>
      <c r="AT87" s="951"/>
      <c r="AU87" s="148"/>
      <c r="AV87" s="146"/>
    </row>
    <row r="88" spans="1:48" ht="18.95" customHeight="1">
      <c r="A88" s="142"/>
      <c r="B88" s="147"/>
      <c r="C88" s="946"/>
      <c r="D88" s="947"/>
      <c r="E88" s="948"/>
      <c r="F88" s="930"/>
      <c r="G88" s="934"/>
      <c r="H88" s="935"/>
      <c r="I88" s="935"/>
      <c r="J88" s="935"/>
      <c r="K88" s="935"/>
      <c r="L88" s="935"/>
      <c r="M88" s="935"/>
      <c r="N88" s="936"/>
      <c r="O88" s="943"/>
      <c r="P88" s="944"/>
      <c r="Q88" s="944"/>
      <c r="R88" s="944"/>
      <c r="S88" s="944"/>
      <c r="T88" s="944"/>
      <c r="U88" s="944"/>
      <c r="V88" s="945"/>
      <c r="W88" s="148"/>
      <c r="X88" s="146"/>
      <c r="Y88" s="142"/>
      <c r="Z88" s="147"/>
      <c r="AA88" s="926"/>
      <c r="AB88" s="927"/>
      <c r="AC88" s="928"/>
      <c r="AD88" s="930"/>
      <c r="AE88" s="934"/>
      <c r="AF88" s="935"/>
      <c r="AG88" s="935"/>
      <c r="AH88" s="935"/>
      <c r="AI88" s="935"/>
      <c r="AJ88" s="935"/>
      <c r="AK88" s="935"/>
      <c r="AL88" s="936"/>
      <c r="AM88" s="934"/>
      <c r="AN88" s="935"/>
      <c r="AO88" s="935"/>
      <c r="AP88" s="935"/>
      <c r="AQ88" s="935"/>
      <c r="AR88" s="935"/>
      <c r="AS88" s="935"/>
      <c r="AT88" s="951"/>
      <c r="AU88" s="148"/>
      <c r="AV88" s="146"/>
    </row>
    <row r="89" spans="1:48" ht="18.95" customHeight="1">
      <c r="A89" s="142"/>
      <c r="B89" s="147"/>
      <c r="C89" s="923" t="s">
        <v>341</v>
      </c>
      <c r="D89" s="924"/>
      <c r="E89" s="925"/>
      <c r="F89" s="929" t="str">
        <f ca="1">INDIRECT("STUDENTS!P"&amp;($R$1-1)*12+12)</f>
        <v>A</v>
      </c>
      <c r="G89" s="931" t="str">
        <f ca="1">INDIRECT("STUDENTS!Q"&amp;($R$1-1)*12+12)</f>
        <v>sfgsgsfg</v>
      </c>
      <c r="H89" s="932"/>
      <c r="I89" s="932"/>
      <c r="J89" s="932"/>
      <c r="K89" s="932"/>
      <c r="L89" s="932"/>
      <c r="M89" s="932"/>
      <c r="N89" s="933"/>
      <c r="O89" s="937" t="str">
        <f ca="1">INDIRECT("STUDENTS!R"&amp;($R$1-1)*12+12)</f>
        <v>dhjkghk</v>
      </c>
      <c r="P89" s="938"/>
      <c r="Q89" s="938"/>
      <c r="R89" s="938"/>
      <c r="S89" s="938"/>
      <c r="T89" s="938"/>
      <c r="U89" s="938"/>
      <c r="V89" s="939"/>
      <c r="W89" s="148"/>
      <c r="X89" s="146"/>
      <c r="Y89" s="142"/>
      <c r="Z89" s="147"/>
      <c r="AA89" s="926"/>
      <c r="AB89" s="927"/>
      <c r="AC89" s="928"/>
      <c r="AD89" s="930"/>
      <c r="AE89" s="934"/>
      <c r="AF89" s="935"/>
      <c r="AG89" s="935"/>
      <c r="AH89" s="935"/>
      <c r="AI89" s="935"/>
      <c r="AJ89" s="935"/>
      <c r="AK89" s="935"/>
      <c r="AL89" s="936"/>
      <c r="AM89" s="934"/>
      <c r="AN89" s="935"/>
      <c r="AO89" s="935"/>
      <c r="AP89" s="935"/>
      <c r="AQ89" s="935"/>
      <c r="AR89" s="935"/>
      <c r="AS89" s="935"/>
      <c r="AT89" s="951"/>
      <c r="AU89" s="148"/>
      <c r="AV89" s="146"/>
    </row>
    <row r="90" spans="1:48" ht="18.95" customHeight="1">
      <c r="A90" s="142"/>
      <c r="B90" s="147"/>
      <c r="C90" s="926"/>
      <c r="D90" s="927"/>
      <c r="E90" s="928"/>
      <c r="F90" s="930"/>
      <c r="G90" s="934"/>
      <c r="H90" s="935"/>
      <c r="I90" s="935"/>
      <c r="J90" s="935"/>
      <c r="K90" s="935"/>
      <c r="L90" s="935"/>
      <c r="M90" s="935"/>
      <c r="N90" s="936"/>
      <c r="O90" s="940"/>
      <c r="P90" s="941"/>
      <c r="Q90" s="941"/>
      <c r="R90" s="941"/>
      <c r="S90" s="941"/>
      <c r="T90" s="941"/>
      <c r="U90" s="941"/>
      <c r="V90" s="942"/>
      <c r="W90" s="148"/>
      <c r="X90" s="146"/>
      <c r="Y90" s="142"/>
      <c r="Z90" s="147"/>
      <c r="AA90" s="440"/>
      <c r="AB90" s="441"/>
      <c r="AC90" s="442"/>
      <c r="AD90" s="443"/>
      <c r="AE90" s="444"/>
      <c r="AF90" s="445"/>
      <c r="AG90" s="445"/>
      <c r="AH90" s="445"/>
      <c r="AI90" s="445"/>
      <c r="AJ90" s="445"/>
      <c r="AK90" s="445"/>
      <c r="AL90" s="446"/>
      <c r="AM90" s="444"/>
      <c r="AN90" s="445"/>
      <c r="AO90" s="445"/>
      <c r="AP90" s="445"/>
      <c r="AQ90" s="445"/>
      <c r="AR90" s="445"/>
      <c r="AS90" s="445"/>
      <c r="AT90" s="447"/>
      <c r="AU90" s="148"/>
      <c r="AV90" s="146"/>
    </row>
    <row r="91" spans="1:48" ht="18.95" customHeight="1">
      <c r="A91" s="142"/>
      <c r="B91" s="147"/>
      <c r="C91" s="448"/>
      <c r="D91" s="449"/>
      <c r="E91" s="450"/>
      <c r="F91" s="451"/>
      <c r="G91" s="452"/>
      <c r="H91" s="453"/>
      <c r="I91" s="453"/>
      <c r="J91" s="453"/>
      <c r="K91" s="453"/>
      <c r="L91" s="453"/>
      <c r="M91" s="453"/>
      <c r="N91" s="454"/>
      <c r="O91" s="452"/>
      <c r="P91" s="453"/>
      <c r="Q91" s="453"/>
      <c r="R91" s="453"/>
      <c r="S91" s="453"/>
      <c r="T91" s="453"/>
      <c r="U91" s="453"/>
      <c r="V91" s="455"/>
      <c r="W91" s="148"/>
      <c r="X91" s="146"/>
      <c r="Y91" s="142"/>
      <c r="Z91" s="147"/>
      <c r="AA91" s="448"/>
      <c r="AB91" s="449"/>
      <c r="AC91" s="450"/>
      <c r="AD91" s="451"/>
      <c r="AE91" s="452"/>
      <c r="AF91" s="453"/>
      <c r="AG91" s="453"/>
      <c r="AH91" s="453"/>
      <c r="AI91" s="453"/>
      <c r="AJ91" s="453"/>
      <c r="AK91" s="453"/>
      <c r="AL91" s="454"/>
      <c r="AM91" s="452"/>
      <c r="AN91" s="453"/>
      <c r="AO91" s="453"/>
      <c r="AP91" s="453"/>
      <c r="AQ91" s="453"/>
      <c r="AR91" s="453"/>
      <c r="AS91" s="453"/>
      <c r="AT91" s="455"/>
      <c r="AU91" s="148"/>
      <c r="AV91" s="146"/>
    </row>
    <row r="92" spans="1:48" ht="15.75" thickBot="1">
      <c r="A92" s="142"/>
      <c r="B92" s="151"/>
      <c r="C92" s="152"/>
      <c r="D92" s="152"/>
      <c r="E92" s="152"/>
      <c r="F92" s="152"/>
      <c r="G92" s="152"/>
      <c r="H92" s="152"/>
      <c r="I92" s="152"/>
      <c r="J92" s="152"/>
      <c r="K92" s="152"/>
      <c r="L92" s="152"/>
      <c r="M92" s="152"/>
      <c r="N92" s="152"/>
      <c r="O92" s="152"/>
      <c r="P92" s="152"/>
      <c r="Q92" s="152"/>
      <c r="R92" s="152"/>
      <c r="S92" s="152"/>
      <c r="T92" s="152"/>
      <c r="U92" s="152"/>
      <c r="V92" s="152"/>
      <c r="W92" s="153"/>
      <c r="X92" s="146"/>
      <c r="Y92" s="142"/>
      <c r="Z92" s="151"/>
      <c r="AA92" s="152"/>
      <c r="AB92" s="152"/>
      <c r="AC92" s="152"/>
      <c r="AD92" s="152"/>
      <c r="AE92" s="152"/>
      <c r="AF92" s="152"/>
      <c r="AG92" s="152"/>
      <c r="AH92" s="152"/>
      <c r="AI92" s="152"/>
      <c r="AJ92" s="152"/>
      <c r="AK92" s="152"/>
      <c r="AL92" s="152"/>
      <c r="AM92" s="152"/>
      <c r="AN92" s="152"/>
      <c r="AO92" s="152"/>
      <c r="AP92" s="152"/>
      <c r="AQ92" s="152"/>
      <c r="AR92" s="152"/>
      <c r="AS92" s="152"/>
      <c r="AT92" s="152"/>
      <c r="AU92" s="153"/>
      <c r="AV92" s="146"/>
    </row>
    <row r="93" spans="1:48">
      <c r="A93" s="154"/>
      <c r="B93" s="155"/>
      <c r="C93" s="155"/>
      <c r="D93" s="155"/>
      <c r="E93" s="155"/>
      <c r="F93" s="155"/>
      <c r="G93" s="155"/>
      <c r="H93" s="155"/>
      <c r="I93" s="155"/>
      <c r="J93" s="155"/>
      <c r="K93" s="155"/>
      <c r="L93" s="155"/>
      <c r="M93" s="155"/>
      <c r="N93" s="155"/>
      <c r="O93" s="155"/>
      <c r="P93" s="155"/>
      <c r="Q93" s="155"/>
      <c r="R93" s="155"/>
      <c r="S93" s="155"/>
      <c r="T93" s="155"/>
      <c r="U93" s="155"/>
      <c r="V93" s="155"/>
      <c r="W93" s="155"/>
      <c r="X93" s="156"/>
      <c r="Y93" s="154"/>
      <c r="Z93" s="155"/>
      <c r="AA93" s="155"/>
      <c r="AB93" s="155"/>
      <c r="AC93" s="155"/>
      <c r="AD93" s="155"/>
      <c r="AE93" s="155"/>
      <c r="AF93" s="155"/>
      <c r="AG93" s="155"/>
      <c r="AH93" s="155"/>
      <c r="AI93" s="155"/>
      <c r="AJ93" s="155"/>
      <c r="AK93" s="155"/>
      <c r="AL93" s="155"/>
      <c r="AM93" s="155"/>
      <c r="AN93" s="155"/>
      <c r="AO93" s="155"/>
      <c r="AP93" s="155"/>
      <c r="AQ93" s="155"/>
      <c r="AR93" s="155"/>
      <c r="AS93" s="155"/>
      <c r="AT93" s="155"/>
      <c r="AU93" s="155"/>
      <c r="AV93" s="156"/>
    </row>
    <row r="94" spans="1:48" ht="15.75" thickBot="1">
      <c r="A94" s="139"/>
      <c r="B94" s="140"/>
      <c r="C94" s="140"/>
      <c r="D94" s="140"/>
      <c r="E94" s="140"/>
      <c r="F94" s="140"/>
      <c r="G94" s="140"/>
      <c r="H94" s="140"/>
      <c r="I94" s="140"/>
      <c r="J94" s="140"/>
      <c r="K94" s="140"/>
      <c r="L94" s="140"/>
      <c r="M94" s="140"/>
      <c r="N94" s="140"/>
      <c r="O94" s="140"/>
      <c r="P94" s="140"/>
      <c r="Q94" s="140"/>
      <c r="R94" s="140"/>
      <c r="S94" s="140"/>
      <c r="T94" s="140"/>
      <c r="U94" s="140"/>
      <c r="V94" s="140"/>
      <c r="W94" s="140"/>
      <c r="X94" s="141"/>
      <c r="Y94" s="139"/>
      <c r="Z94" s="140"/>
      <c r="AA94" s="140"/>
      <c r="AB94" s="140"/>
      <c r="AC94" s="140"/>
      <c r="AD94" s="140"/>
      <c r="AE94" s="140"/>
      <c r="AF94" s="140"/>
      <c r="AG94" s="140"/>
      <c r="AH94" s="140"/>
      <c r="AI94" s="140"/>
      <c r="AJ94" s="140"/>
      <c r="AK94" s="140"/>
      <c r="AL94" s="140"/>
      <c r="AM94" s="140"/>
      <c r="AN94" s="140"/>
      <c r="AO94" s="140"/>
      <c r="AP94" s="140"/>
      <c r="AQ94" s="140"/>
      <c r="AR94" s="140"/>
      <c r="AS94" s="140"/>
      <c r="AT94" s="140"/>
      <c r="AU94" s="140"/>
      <c r="AV94" s="141"/>
    </row>
    <row r="95" spans="1:48" ht="15.75" customHeight="1">
      <c r="A95" s="142"/>
      <c r="B95" s="143"/>
      <c r="C95" s="144"/>
      <c r="D95" s="144"/>
      <c r="E95" s="144"/>
      <c r="F95" s="144"/>
      <c r="G95" s="144"/>
      <c r="H95" s="144"/>
      <c r="I95" s="144"/>
      <c r="J95" s="144"/>
      <c r="K95" s="144"/>
      <c r="L95" s="144"/>
      <c r="M95" s="144"/>
      <c r="N95" s="144"/>
      <c r="O95" s="144"/>
      <c r="P95" s="144"/>
      <c r="Q95" s="144"/>
      <c r="R95" s="144"/>
      <c r="S95" s="144"/>
      <c r="T95" s="144"/>
      <c r="U95" s="144"/>
      <c r="V95" s="144"/>
      <c r="W95" s="145"/>
      <c r="X95" s="146"/>
      <c r="Y95" s="142"/>
      <c r="Z95" s="143"/>
      <c r="AA95" s="144"/>
      <c r="AB95" s="144"/>
      <c r="AC95" s="144"/>
      <c r="AD95" s="144"/>
      <c r="AE95" s="144"/>
      <c r="AF95" s="144"/>
      <c r="AG95" s="144"/>
      <c r="AH95" s="144"/>
      <c r="AI95" s="144"/>
      <c r="AJ95" s="144"/>
      <c r="AK95" s="144"/>
      <c r="AL95" s="144"/>
      <c r="AM95" s="144"/>
      <c r="AN95" s="144"/>
      <c r="AO95" s="144"/>
      <c r="AP95" s="144"/>
      <c r="AQ95" s="144"/>
      <c r="AR95" s="144"/>
      <c r="AS95" s="144"/>
      <c r="AT95" s="144"/>
      <c r="AU95" s="145"/>
      <c r="AV95" s="146"/>
    </row>
    <row r="96" spans="1:48" ht="15.75" customHeight="1">
      <c r="A96" s="142"/>
      <c r="B96" s="147"/>
      <c r="C96" s="997" t="s">
        <v>487</v>
      </c>
      <c r="D96" s="997"/>
      <c r="E96" s="997"/>
      <c r="F96" s="997"/>
      <c r="G96" s="997"/>
      <c r="H96" s="997"/>
      <c r="I96" s="997"/>
      <c r="J96" s="997"/>
      <c r="K96" s="997"/>
      <c r="L96" s="997"/>
      <c r="M96" s="997"/>
      <c r="N96" s="997"/>
      <c r="O96" s="997"/>
      <c r="P96" s="997"/>
      <c r="Q96" s="997"/>
      <c r="R96" s="997"/>
      <c r="S96" s="997"/>
      <c r="T96" s="997"/>
      <c r="U96" s="997"/>
      <c r="V96" s="997"/>
      <c r="W96" s="148"/>
      <c r="X96" s="146"/>
      <c r="Y96" s="142"/>
      <c r="Z96" s="147"/>
      <c r="AA96" s="997" t="s">
        <v>21</v>
      </c>
      <c r="AB96" s="997"/>
      <c r="AC96" s="997"/>
      <c r="AD96" s="997"/>
      <c r="AE96" s="997"/>
      <c r="AF96" s="997"/>
      <c r="AG96" s="997"/>
      <c r="AH96" s="997"/>
      <c r="AI96" s="997"/>
      <c r="AJ96" s="997"/>
      <c r="AK96" s="997"/>
      <c r="AL96" s="997"/>
      <c r="AM96" s="997"/>
      <c r="AN96" s="997"/>
      <c r="AO96" s="997"/>
      <c r="AP96" s="997"/>
      <c r="AQ96" s="997"/>
      <c r="AR96" s="997"/>
      <c r="AS96" s="997"/>
      <c r="AT96" s="997"/>
      <c r="AU96" s="148"/>
      <c r="AV96" s="146"/>
    </row>
    <row r="97" spans="1:48" ht="15.75" customHeight="1">
      <c r="A97" s="142"/>
      <c r="B97" s="147"/>
      <c r="C97" s="1066" t="s">
        <v>16</v>
      </c>
      <c r="D97" s="1067"/>
      <c r="E97" s="1067"/>
      <c r="F97" s="157" t="s">
        <v>17</v>
      </c>
      <c r="G97" s="1067" t="s">
        <v>210</v>
      </c>
      <c r="H97" s="1067"/>
      <c r="I97" s="1067"/>
      <c r="J97" s="1067"/>
      <c r="K97" s="1067"/>
      <c r="L97" s="1067"/>
      <c r="M97" s="1067"/>
      <c r="N97" s="1067"/>
      <c r="O97" s="1068" t="s">
        <v>211</v>
      </c>
      <c r="P97" s="1068"/>
      <c r="Q97" s="1068"/>
      <c r="R97" s="1068"/>
      <c r="S97" s="1068"/>
      <c r="T97" s="1068"/>
      <c r="U97" s="1068"/>
      <c r="V97" s="1069"/>
      <c r="W97" s="148"/>
      <c r="X97" s="146"/>
      <c r="Y97" s="142"/>
      <c r="Z97" s="147"/>
      <c r="AA97" s="1046" t="s">
        <v>12</v>
      </c>
      <c r="AB97" s="975"/>
      <c r="AC97" s="975" t="s">
        <v>213</v>
      </c>
      <c r="AD97" s="975"/>
      <c r="AE97" s="975"/>
      <c r="AF97" s="975" t="s">
        <v>23</v>
      </c>
      <c r="AG97" s="975"/>
      <c r="AH97" s="975"/>
      <c r="AI97" s="975" t="s">
        <v>214</v>
      </c>
      <c r="AJ97" s="975"/>
      <c r="AK97" s="975"/>
      <c r="AL97" s="975" t="s">
        <v>25</v>
      </c>
      <c r="AM97" s="975"/>
      <c r="AN97" s="975"/>
      <c r="AO97" s="975" t="s">
        <v>15</v>
      </c>
      <c r="AP97" s="975"/>
      <c r="AQ97" s="975"/>
      <c r="AR97" s="975" t="s">
        <v>212</v>
      </c>
      <c r="AS97" s="975"/>
      <c r="AT97" s="977"/>
      <c r="AU97" s="148"/>
      <c r="AV97" s="146"/>
    </row>
    <row r="98" spans="1:48" ht="18.95" customHeight="1">
      <c r="A98" s="142"/>
      <c r="B98" s="147"/>
      <c r="C98" s="966" t="str">
        <f>STUDENTS!AA4</f>
        <v>ગુજરાતી</v>
      </c>
      <c r="D98" s="967"/>
      <c r="E98" s="967"/>
      <c r="F98" s="1077" t="str">
        <f ca="1">INDIRECT("STUDENTS!AB"&amp;($R$1-1)*12+4)</f>
        <v>A</v>
      </c>
      <c r="G98" s="1040" t="str">
        <f ca="1">INDIRECT("STUDENTS!AC"&amp;($R$1-1)*12+4)</f>
        <v>sfgsgsfg</v>
      </c>
      <c r="H98" s="1040" t="str">
        <f t="shared" ref="H98:V98" ca="1" si="7">INDIRECT("STUDENTS!AB"&amp;($R$1-1)*12+4)</f>
        <v>A</v>
      </c>
      <c r="I98" s="1040" t="str">
        <f t="shared" ca="1" si="7"/>
        <v>A</v>
      </c>
      <c r="J98" s="1040" t="str">
        <f t="shared" ca="1" si="7"/>
        <v>A</v>
      </c>
      <c r="K98" s="1040" t="str">
        <f t="shared" ca="1" si="7"/>
        <v>A</v>
      </c>
      <c r="L98" s="1040" t="str">
        <f t="shared" ca="1" si="7"/>
        <v>A</v>
      </c>
      <c r="M98" s="1040" t="str">
        <f t="shared" ca="1" si="7"/>
        <v>A</v>
      </c>
      <c r="N98" s="1040" t="str">
        <f t="shared" ca="1" si="7"/>
        <v>A</v>
      </c>
      <c r="O98" s="1040" t="str">
        <f ca="1">INDIRECT("STUDENTS!AD"&amp;($R$1-1)*12+4)</f>
        <v>dhjkghk</v>
      </c>
      <c r="P98" s="1040" t="str">
        <f t="shared" ca="1" si="7"/>
        <v>A</v>
      </c>
      <c r="Q98" s="1040" t="str">
        <f t="shared" ca="1" si="7"/>
        <v>A</v>
      </c>
      <c r="R98" s="1040" t="str">
        <f t="shared" ca="1" si="7"/>
        <v>A</v>
      </c>
      <c r="S98" s="1040" t="str">
        <f t="shared" ca="1" si="7"/>
        <v>A</v>
      </c>
      <c r="T98" s="1040" t="str">
        <f t="shared" ca="1" si="7"/>
        <v>A</v>
      </c>
      <c r="U98" s="1040" t="str">
        <f t="shared" ca="1" si="7"/>
        <v>A</v>
      </c>
      <c r="V98" s="1041" t="str">
        <f t="shared" ca="1" si="7"/>
        <v>A</v>
      </c>
      <c r="W98" s="148"/>
      <c r="X98" s="146"/>
      <c r="Y98" s="142"/>
      <c r="Z98" s="147"/>
      <c r="AA98" s="1047"/>
      <c r="AB98" s="976"/>
      <c r="AC98" s="976"/>
      <c r="AD98" s="976"/>
      <c r="AE98" s="976"/>
      <c r="AF98" s="976"/>
      <c r="AG98" s="976"/>
      <c r="AH98" s="976"/>
      <c r="AI98" s="976"/>
      <c r="AJ98" s="976"/>
      <c r="AK98" s="976"/>
      <c r="AL98" s="976"/>
      <c r="AM98" s="976"/>
      <c r="AN98" s="976"/>
      <c r="AO98" s="976"/>
      <c r="AP98" s="976"/>
      <c r="AQ98" s="976"/>
      <c r="AR98" s="976"/>
      <c r="AS98" s="976"/>
      <c r="AT98" s="978"/>
      <c r="AU98" s="148"/>
      <c r="AV98" s="146"/>
    </row>
    <row r="99" spans="1:48" ht="18.95" customHeight="1">
      <c r="A99" s="142"/>
      <c r="B99" s="147"/>
      <c r="C99" s="966"/>
      <c r="D99" s="967"/>
      <c r="E99" s="967"/>
      <c r="F99" s="1077"/>
      <c r="G99" s="1040"/>
      <c r="H99" s="1040"/>
      <c r="I99" s="1040"/>
      <c r="J99" s="1040"/>
      <c r="K99" s="1040"/>
      <c r="L99" s="1040"/>
      <c r="M99" s="1040"/>
      <c r="N99" s="1040"/>
      <c r="O99" s="1040"/>
      <c r="P99" s="1040"/>
      <c r="Q99" s="1040"/>
      <c r="R99" s="1040"/>
      <c r="S99" s="1040"/>
      <c r="T99" s="1040"/>
      <c r="U99" s="1040"/>
      <c r="V99" s="1041"/>
      <c r="W99" s="148"/>
      <c r="X99" s="146"/>
      <c r="Y99" s="142"/>
      <c r="Z99" s="147"/>
      <c r="AA99" s="966">
        <f ca="1">INDIRECT("STUDENTS!AE"&amp;($R$1-1)*12+4)</f>
        <v>1</v>
      </c>
      <c r="AB99" s="967"/>
      <c r="AC99" s="968" t="str">
        <f ca="1">INDIRECT("STUDENTS!AF"&amp;($R$1-1)*12+4)</f>
        <v>કમાન નજા</v>
      </c>
      <c r="AD99" s="968"/>
      <c r="AE99" s="968"/>
      <c r="AF99" s="979">
        <f ca="1">INDIRECT("STUDENTS!AG"&amp;($R$1-1)*12+4)</f>
        <v>0</v>
      </c>
      <c r="AG99" s="980"/>
      <c r="AH99" s="981"/>
      <c r="AI99" s="979">
        <f ca="1">INDIRECT("STUDENTS!AH"&amp;($R$1-1)*12+4)</f>
        <v>0</v>
      </c>
      <c r="AJ99" s="980"/>
      <c r="AK99" s="981"/>
      <c r="AL99" s="1032">
        <f ca="1">INDIRECT("STUDENTS!AI"&amp;($R$1-1)*12+4)</f>
        <v>0</v>
      </c>
      <c r="AM99" s="1033"/>
      <c r="AN99" s="1034"/>
      <c r="AO99" s="979">
        <f ca="1">INDIRECT("STUDENTS!AJ"&amp;($R$1-1)*12+4)</f>
        <v>0</v>
      </c>
      <c r="AP99" s="980"/>
      <c r="AQ99" s="981"/>
      <c r="AR99" s="979"/>
      <c r="AS99" s="980"/>
      <c r="AT99" s="1038"/>
      <c r="AU99" s="148"/>
      <c r="AV99" s="146"/>
    </row>
    <row r="100" spans="1:48" ht="18.95" customHeight="1">
      <c r="A100" s="142"/>
      <c r="B100" s="147"/>
      <c r="C100" s="966"/>
      <c r="D100" s="967"/>
      <c r="E100" s="967"/>
      <c r="F100" s="1077"/>
      <c r="G100" s="1040"/>
      <c r="H100" s="1040"/>
      <c r="I100" s="1040"/>
      <c r="J100" s="1040"/>
      <c r="K100" s="1040"/>
      <c r="L100" s="1040"/>
      <c r="M100" s="1040"/>
      <c r="N100" s="1040"/>
      <c r="O100" s="1040"/>
      <c r="P100" s="1040"/>
      <c r="Q100" s="1040"/>
      <c r="R100" s="1040"/>
      <c r="S100" s="1040"/>
      <c r="T100" s="1040"/>
      <c r="U100" s="1040"/>
      <c r="V100" s="1041"/>
      <c r="W100" s="148"/>
      <c r="X100" s="146"/>
      <c r="Y100" s="142"/>
      <c r="Z100" s="147"/>
      <c r="AA100" s="966"/>
      <c r="AB100" s="967"/>
      <c r="AC100" s="968"/>
      <c r="AD100" s="968"/>
      <c r="AE100" s="968"/>
      <c r="AF100" s="982"/>
      <c r="AG100" s="983"/>
      <c r="AH100" s="984"/>
      <c r="AI100" s="982"/>
      <c r="AJ100" s="983"/>
      <c r="AK100" s="984"/>
      <c r="AL100" s="1042"/>
      <c r="AM100" s="1043"/>
      <c r="AN100" s="1044"/>
      <c r="AO100" s="982"/>
      <c r="AP100" s="983"/>
      <c r="AQ100" s="984"/>
      <c r="AR100" s="982"/>
      <c r="AS100" s="983"/>
      <c r="AT100" s="1039"/>
      <c r="AU100" s="148"/>
      <c r="AV100" s="146"/>
    </row>
    <row r="101" spans="1:48" ht="18.95" customHeight="1">
      <c r="A101" s="142"/>
      <c r="B101" s="147"/>
      <c r="C101" s="966"/>
      <c r="D101" s="967"/>
      <c r="E101" s="967"/>
      <c r="F101" s="1077"/>
      <c r="G101" s="1040"/>
      <c r="H101" s="1040"/>
      <c r="I101" s="1040"/>
      <c r="J101" s="1040"/>
      <c r="K101" s="1040"/>
      <c r="L101" s="1040"/>
      <c r="M101" s="1040"/>
      <c r="N101" s="1040"/>
      <c r="O101" s="1040"/>
      <c r="P101" s="1040"/>
      <c r="Q101" s="1040"/>
      <c r="R101" s="1040"/>
      <c r="S101" s="1040"/>
      <c r="T101" s="1040"/>
      <c r="U101" s="1040"/>
      <c r="V101" s="1041"/>
      <c r="W101" s="148"/>
      <c r="X101" s="146"/>
      <c r="Y101" s="142"/>
      <c r="Z101" s="147"/>
      <c r="AA101" s="923">
        <f ca="1">INDIRECT("STUDENTS!AE"&amp;($R$1-1)*12+6)</f>
        <v>0</v>
      </c>
      <c r="AB101" s="925"/>
      <c r="AC101" s="979">
        <f ca="1">INDIRECT("STUDENTS!AF"&amp;($R$1-1)*12+6)</f>
        <v>0</v>
      </c>
      <c r="AD101" s="980"/>
      <c r="AE101" s="981"/>
      <c r="AF101" s="979">
        <f ca="1">INDIRECT("STUDENTS!AG"&amp;($R$1-1)*12+6)</f>
        <v>0</v>
      </c>
      <c r="AG101" s="980"/>
      <c r="AH101" s="981"/>
      <c r="AI101" s="979">
        <f ca="1">INDIRECT("STUDENTS!AH"&amp;($R$1-1)*12+6)</f>
        <v>0</v>
      </c>
      <c r="AJ101" s="980"/>
      <c r="AK101" s="981"/>
      <c r="AL101" s="1032">
        <f ca="1">INDIRECT("STUDENTS!AI"&amp;($R$1-1)*12+6)</f>
        <v>0</v>
      </c>
      <c r="AM101" s="1033"/>
      <c r="AN101" s="1034"/>
      <c r="AO101" s="979">
        <f ca="1">INDIRECT("STUDENTS!AJ"&amp;($R$1-1)*12+6)</f>
        <v>0</v>
      </c>
      <c r="AP101" s="980"/>
      <c r="AQ101" s="981"/>
      <c r="AR101" s="979"/>
      <c r="AS101" s="980"/>
      <c r="AT101" s="1038"/>
      <c r="AU101" s="148"/>
      <c r="AV101" s="146"/>
    </row>
    <row r="102" spans="1:48" ht="18.95" customHeight="1">
      <c r="A102" s="142"/>
      <c r="B102" s="147"/>
      <c r="C102" s="923" t="str">
        <f>STUDENTS!AA5</f>
        <v>ગણિત</v>
      </c>
      <c r="D102" s="924"/>
      <c r="E102" s="925"/>
      <c r="F102" s="929" t="str">
        <f ca="1">INDIRECT("STUDENTS!AB"&amp;($R$1-1)*12+5)</f>
        <v>A</v>
      </c>
      <c r="G102" s="931" t="str">
        <f ca="1">INDIRECT("STUDENTS!AC"&amp;($R$1-1)*12+5)</f>
        <v>sfgsgsfg</v>
      </c>
      <c r="H102" s="932" t="str">
        <f t="shared" ref="H102:V102" ca="1" si="8">INDIRECT("STUDENTS!AB"&amp;($R$1-1)*12+5)</f>
        <v>A</v>
      </c>
      <c r="I102" s="932" t="str">
        <f t="shared" ca="1" si="8"/>
        <v>A</v>
      </c>
      <c r="J102" s="932" t="str">
        <f t="shared" ca="1" si="8"/>
        <v>A</v>
      </c>
      <c r="K102" s="932" t="str">
        <f t="shared" ca="1" si="8"/>
        <v>A</v>
      </c>
      <c r="L102" s="932" t="str">
        <f t="shared" ca="1" si="8"/>
        <v>A</v>
      </c>
      <c r="M102" s="932" t="str">
        <f t="shared" ca="1" si="8"/>
        <v>A</v>
      </c>
      <c r="N102" s="933" t="str">
        <f t="shared" ca="1" si="8"/>
        <v>A</v>
      </c>
      <c r="O102" s="1040" t="str">
        <f ca="1">INDIRECT("STUDENTS!AD"&amp;($R$1-1)*12+5)</f>
        <v>dhjkghk</v>
      </c>
      <c r="P102" s="1040" t="str">
        <f t="shared" ca="1" si="8"/>
        <v>A</v>
      </c>
      <c r="Q102" s="1040" t="str">
        <f t="shared" ca="1" si="8"/>
        <v>A</v>
      </c>
      <c r="R102" s="1040" t="str">
        <f t="shared" ca="1" si="8"/>
        <v>A</v>
      </c>
      <c r="S102" s="1040" t="str">
        <f t="shared" ca="1" si="8"/>
        <v>A</v>
      </c>
      <c r="T102" s="1040" t="str">
        <f t="shared" ca="1" si="8"/>
        <v>A</v>
      </c>
      <c r="U102" s="1040" t="str">
        <f t="shared" ca="1" si="8"/>
        <v>A</v>
      </c>
      <c r="V102" s="1041" t="str">
        <f t="shared" ca="1" si="8"/>
        <v>A</v>
      </c>
      <c r="W102" s="148"/>
      <c r="X102" s="146"/>
      <c r="Y102" s="142"/>
      <c r="Z102" s="147"/>
      <c r="AA102" s="946"/>
      <c r="AB102" s="948"/>
      <c r="AC102" s="982"/>
      <c r="AD102" s="983"/>
      <c r="AE102" s="984"/>
      <c r="AF102" s="982"/>
      <c r="AG102" s="983"/>
      <c r="AH102" s="984"/>
      <c r="AI102" s="982"/>
      <c r="AJ102" s="983"/>
      <c r="AK102" s="984"/>
      <c r="AL102" s="1042"/>
      <c r="AM102" s="1043"/>
      <c r="AN102" s="1044"/>
      <c r="AO102" s="982"/>
      <c r="AP102" s="983"/>
      <c r="AQ102" s="984"/>
      <c r="AR102" s="982"/>
      <c r="AS102" s="983"/>
      <c r="AT102" s="1039"/>
      <c r="AU102" s="148"/>
      <c r="AV102" s="146"/>
    </row>
    <row r="103" spans="1:48" ht="18.95" customHeight="1">
      <c r="A103" s="142"/>
      <c r="B103" s="147"/>
      <c r="C103" s="926"/>
      <c r="D103" s="927"/>
      <c r="E103" s="928"/>
      <c r="F103" s="930"/>
      <c r="G103" s="934"/>
      <c r="H103" s="935"/>
      <c r="I103" s="935"/>
      <c r="J103" s="935"/>
      <c r="K103" s="935"/>
      <c r="L103" s="935"/>
      <c r="M103" s="935"/>
      <c r="N103" s="936"/>
      <c r="O103" s="1040"/>
      <c r="P103" s="1040"/>
      <c r="Q103" s="1040"/>
      <c r="R103" s="1040"/>
      <c r="S103" s="1040"/>
      <c r="T103" s="1040"/>
      <c r="U103" s="1040"/>
      <c r="V103" s="1041"/>
      <c r="W103" s="148"/>
      <c r="X103" s="146"/>
      <c r="Y103" s="142"/>
      <c r="Z103" s="147"/>
      <c r="AA103" s="923">
        <f ca="1">INDIRECT("STUDENTS!AE"&amp;($R$1-1)*12+8)</f>
        <v>0</v>
      </c>
      <c r="AB103" s="925"/>
      <c r="AC103" s="979">
        <f ca="1">INDIRECT("STUDENTS!AF"&amp;($R$1-1)*12+8)</f>
        <v>0</v>
      </c>
      <c r="AD103" s="980"/>
      <c r="AE103" s="981"/>
      <c r="AF103" s="979">
        <f ca="1">INDIRECT("STUDENTS!AG"&amp;($R$1-1)*12+8)</f>
        <v>0</v>
      </c>
      <c r="AG103" s="980"/>
      <c r="AH103" s="981"/>
      <c r="AI103" s="979">
        <f ca="1">INDIRECT("STUDENTS!AH"&amp;($R$1-1)*12+8)</f>
        <v>0</v>
      </c>
      <c r="AJ103" s="980"/>
      <c r="AK103" s="981"/>
      <c r="AL103" s="1032">
        <f ca="1">INDIRECT("STUDENTS!AI"&amp;($R$1-1)*12+8)</f>
        <v>0</v>
      </c>
      <c r="AM103" s="1033"/>
      <c r="AN103" s="1034"/>
      <c r="AO103" s="979">
        <f ca="1">INDIRECT("STUDENTS!AJ"&amp;($R$1-1)*12+8)</f>
        <v>0</v>
      </c>
      <c r="AP103" s="980"/>
      <c r="AQ103" s="981"/>
      <c r="AR103" s="979"/>
      <c r="AS103" s="980"/>
      <c r="AT103" s="1038"/>
      <c r="AU103" s="148"/>
      <c r="AV103" s="146"/>
    </row>
    <row r="104" spans="1:48" ht="18.95" customHeight="1">
      <c r="A104" s="142"/>
      <c r="B104" s="147"/>
      <c r="C104" s="926"/>
      <c r="D104" s="927"/>
      <c r="E104" s="928"/>
      <c r="F104" s="930"/>
      <c r="G104" s="934"/>
      <c r="H104" s="935"/>
      <c r="I104" s="935"/>
      <c r="J104" s="935"/>
      <c r="K104" s="935"/>
      <c r="L104" s="935"/>
      <c r="M104" s="935"/>
      <c r="N104" s="936"/>
      <c r="O104" s="1040"/>
      <c r="P104" s="1040"/>
      <c r="Q104" s="1040"/>
      <c r="R104" s="1040"/>
      <c r="S104" s="1040"/>
      <c r="T104" s="1040"/>
      <c r="U104" s="1040"/>
      <c r="V104" s="1041"/>
      <c r="W104" s="148"/>
      <c r="X104" s="146"/>
      <c r="Y104" s="142"/>
      <c r="Z104" s="147"/>
      <c r="AA104" s="946"/>
      <c r="AB104" s="948"/>
      <c r="AC104" s="982"/>
      <c r="AD104" s="983"/>
      <c r="AE104" s="984"/>
      <c r="AF104" s="982"/>
      <c r="AG104" s="983"/>
      <c r="AH104" s="984"/>
      <c r="AI104" s="982"/>
      <c r="AJ104" s="983"/>
      <c r="AK104" s="984"/>
      <c r="AL104" s="1042"/>
      <c r="AM104" s="1043"/>
      <c r="AN104" s="1044"/>
      <c r="AO104" s="982"/>
      <c r="AP104" s="983"/>
      <c r="AQ104" s="984"/>
      <c r="AR104" s="982"/>
      <c r="AS104" s="983"/>
      <c r="AT104" s="1039"/>
      <c r="AU104" s="148"/>
      <c r="AV104" s="146"/>
    </row>
    <row r="105" spans="1:48" ht="18.95" customHeight="1">
      <c r="A105" s="142"/>
      <c r="B105" s="147"/>
      <c r="C105" s="946"/>
      <c r="D105" s="947"/>
      <c r="E105" s="948"/>
      <c r="F105" s="949"/>
      <c r="G105" s="952"/>
      <c r="H105" s="953"/>
      <c r="I105" s="953"/>
      <c r="J105" s="953"/>
      <c r="K105" s="953"/>
      <c r="L105" s="953"/>
      <c r="M105" s="953"/>
      <c r="N105" s="960"/>
      <c r="O105" s="1040"/>
      <c r="P105" s="1040"/>
      <c r="Q105" s="1040"/>
      <c r="R105" s="1040"/>
      <c r="S105" s="1040"/>
      <c r="T105" s="1040"/>
      <c r="U105" s="1040"/>
      <c r="V105" s="1041"/>
      <c r="W105" s="148"/>
      <c r="X105" s="146"/>
      <c r="Y105" s="142"/>
      <c r="Z105" s="147"/>
      <c r="AA105" s="923">
        <f ca="1">INDIRECT("STUDENTS!AE"&amp;($R$1-1)*12+10)</f>
        <v>0</v>
      </c>
      <c r="AB105" s="925"/>
      <c r="AC105" s="979">
        <f ca="1">INDIRECT("STUDENTS!AF"&amp;($R$1-1)*12+10)</f>
        <v>0</v>
      </c>
      <c r="AD105" s="980"/>
      <c r="AE105" s="981"/>
      <c r="AF105" s="979">
        <f ca="1">INDIRECT("STUDENTS!AG"&amp;($R$1-1)*12+10)</f>
        <v>0</v>
      </c>
      <c r="AG105" s="980"/>
      <c r="AH105" s="981"/>
      <c r="AI105" s="979">
        <f ca="1">INDIRECT("STUDENTS!AH"&amp;($R$1-1)*12+10)</f>
        <v>0</v>
      </c>
      <c r="AJ105" s="980"/>
      <c r="AK105" s="981"/>
      <c r="AL105" s="1032">
        <f ca="1">INDIRECT("STUDENTS!AI"&amp;($R$1-1)*12+10)</f>
        <v>0</v>
      </c>
      <c r="AM105" s="1033"/>
      <c r="AN105" s="1034"/>
      <c r="AO105" s="979">
        <f ca="1">INDIRECT("STUDENTS!AJ"&amp;($R$1-1)*12+10)</f>
        <v>0</v>
      </c>
      <c r="AP105" s="980"/>
      <c r="AQ105" s="981"/>
      <c r="AR105" s="979"/>
      <c r="AS105" s="980"/>
      <c r="AT105" s="1038"/>
      <c r="AU105" s="148"/>
      <c r="AV105" s="146"/>
    </row>
    <row r="106" spans="1:48" ht="18.95" customHeight="1">
      <c r="A106" s="142"/>
      <c r="B106" s="147"/>
      <c r="C106" s="923" t="str">
        <f>STUDENTS!AA6</f>
        <v>હિન્દી</v>
      </c>
      <c r="D106" s="924"/>
      <c r="E106" s="925"/>
      <c r="F106" s="929" t="str">
        <f ca="1">INDIRECT("STUDENTS!AB"&amp;($R$1-1)*12+6)</f>
        <v>A</v>
      </c>
      <c r="G106" s="931" t="str">
        <f ca="1">INDIRECT("STUDENTS!AC"&amp;($R$1-1)*12+6)</f>
        <v>sfgsgsfg</v>
      </c>
      <c r="H106" s="932" t="str">
        <f t="shared" ref="H106:V106" ca="1" si="9">INDIRECT("STUDENTS!AB"&amp;($R$1-1)*12+6)</f>
        <v>A</v>
      </c>
      <c r="I106" s="932" t="str">
        <f t="shared" ca="1" si="9"/>
        <v>A</v>
      </c>
      <c r="J106" s="932" t="str">
        <f t="shared" ca="1" si="9"/>
        <v>A</v>
      </c>
      <c r="K106" s="932" t="str">
        <f t="shared" ca="1" si="9"/>
        <v>A</v>
      </c>
      <c r="L106" s="932" t="str">
        <f t="shared" ca="1" si="9"/>
        <v>A</v>
      </c>
      <c r="M106" s="932" t="str">
        <f t="shared" ca="1" si="9"/>
        <v>A</v>
      </c>
      <c r="N106" s="933" t="str">
        <f t="shared" ca="1" si="9"/>
        <v>A</v>
      </c>
      <c r="O106" s="1040" t="str">
        <f ca="1">INDIRECT("STUDENTS!AD"&amp;($R$1-1)*12+6)</f>
        <v>dhjkghk</v>
      </c>
      <c r="P106" s="1040" t="str">
        <f t="shared" ca="1" si="9"/>
        <v>A</v>
      </c>
      <c r="Q106" s="1040" t="str">
        <f t="shared" ca="1" si="9"/>
        <v>A</v>
      </c>
      <c r="R106" s="1040" t="str">
        <f t="shared" ca="1" si="9"/>
        <v>A</v>
      </c>
      <c r="S106" s="1040" t="str">
        <f t="shared" ca="1" si="9"/>
        <v>A</v>
      </c>
      <c r="T106" s="1040" t="str">
        <f t="shared" ca="1" si="9"/>
        <v>A</v>
      </c>
      <c r="U106" s="1040" t="str">
        <f t="shared" ca="1" si="9"/>
        <v>A</v>
      </c>
      <c r="V106" s="1041" t="str">
        <f t="shared" ca="1" si="9"/>
        <v>A</v>
      </c>
      <c r="W106" s="148"/>
      <c r="X106" s="146"/>
      <c r="Y106" s="142"/>
      <c r="Z106" s="147"/>
      <c r="AA106" s="946"/>
      <c r="AB106" s="948"/>
      <c r="AC106" s="982"/>
      <c r="AD106" s="983"/>
      <c r="AE106" s="984"/>
      <c r="AF106" s="982"/>
      <c r="AG106" s="983"/>
      <c r="AH106" s="984"/>
      <c r="AI106" s="982"/>
      <c r="AJ106" s="983"/>
      <c r="AK106" s="984"/>
      <c r="AL106" s="1042"/>
      <c r="AM106" s="1043"/>
      <c r="AN106" s="1044"/>
      <c r="AO106" s="982"/>
      <c r="AP106" s="983"/>
      <c r="AQ106" s="984"/>
      <c r="AR106" s="982"/>
      <c r="AS106" s="983"/>
      <c r="AT106" s="1039"/>
      <c r="AU106" s="148"/>
      <c r="AV106" s="146"/>
    </row>
    <row r="107" spans="1:48" ht="18.95" customHeight="1">
      <c r="A107" s="142"/>
      <c r="B107" s="147"/>
      <c r="C107" s="926"/>
      <c r="D107" s="927"/>
      <c r="E107" s="928"/>
      <c r="F107" s="930"/>
      <c r="G107" s="934"/>
      <c r="H107" s="935"/>
      <c r="I107" s="935"/>
      <c r="J107" s="935"/>
      <c r="K107" s="935"/>
      <c r="L107" s="935"/>
      <c r="M107" s="935"/>
      <c r="N107" s="936"/>
      <c r="O107" s="1040"/>
      <c r="P107" s="1040"/>
      <c r="Q107" s="1040"/>
      <c r="R107" s="1040"/>
      <c r="S107" s="1040"/>
      <c r="T107" s="1040"/>
      <c r="U107" s="1040"/>
      <c r="V107" s="1041"/>
      <c r="W107" s="148"/>
      <c r="X107" s="146"/>
      <c r="Y107" s="142"/>
      <c r="Z107" s="147"/>
      <c r="AA107" s="923">
        <f ca="1">INDIRECT("STUDENTS!AE"&amp;($R$1-1)*12+12)</f>
        <v>0</v>
      </c>
      <c r="AB107" s="925"/>
      <c r="AC107" s="979">
        <f ca="1">INDIRECT("STUDENTS!AF"&amp;($R$1-1)*12+12)</f>
        <v>0</v>
      </c>
      <c r="AD107" s="980"/>
      <c r="AE107" s="981"/>
      <c r="AF107" s="979">
        <f ca="1">INDIRECT("STUDENTS!AG"&amp;($R$1-1)*12+12)</f>
        <v>0</v>
      </c>
      <c r="AG107" s="980"/>
      <c r="AH107" s="981"/>
      <c r="AI107" s="979">
        <f ca="1">INDIRECT("STUDENTS!AH"&amp;($R$1-1)*12+12)</f>
        <v>0</v>
      </c>
      <c r="AJ107" s="980"/>
      <c r="AK107" s="981"/>
      <c r="AL107" s="1032">
        <f ca="1">INDIRECT("STUDENTS!AI"&amp;($R$1-1)*12+12)</f>
        <v>0</v>
      </c>
      <c r="AM107" s="1033"/>
      <c r="AN107" s="1034"/>
      <c r="AO107" s="979">
        <f ca="1">INDIRECT("STUDENTS!AJ"&amp;($R$1-1)*12+12)</f>
        <v>0</v>
      </c>
      <c r="AP107" s="980"/>
      <c r="AQ107" s="981"/>
      <c r="AR107" s="979"/>
      <c r="AS107" s="980"/>
      <c r="AT107" s="1038"/>
      <c r="AU107" s="148"/>
      <c r="AV107" s="146"/>
    </row>
    <row r="108" spans="1:48" ht="18.95" customHeight="1">
      <c r="A108" s="142"/>
      <c r="B108" s="147"/>
      <c r="C108" s="926"/>
      <c r="D108" s="927"/>
      <c r="E108" s="928"/>
      <c r="F108" s="930"/>
      <c r="G108" s="934"/>
      <c r="H108" s="935"/>
      <c r="I108" s="935"/>
      <c r="J108" s="935"/>
      <c r="K108" s="935"/>
      <c r="L108" s="935"/>
      <c r="M108" s="935"/>
      <c r="N108" s="936"/>
      <c r="O108" s="1040"/>
      <c r="P108" s="1040"/>
      <c r="Q108" s="1040"/>
      <c r="R108" s="1040"/>
      <c r="S108" s="1040"/>
      <c r="T108" s="1040"/>
      <c r="U108" s="1040"/>
      <c r="V108" s="1041"/>
      <c r="W108" s="148"/>
      <c r="X108" s="146"/>
      <c r="Y108" s="142"/>
      <c r="Z108" s="147"/>
      <c r="AA108" s="1022"/>
      <c r="AB108" s="1024"/>
      <c r="AC108" s="1025"/>
      <c r="AD108" s="1026"/>
      <c r="AE108" s="1027"/>
      <c r="AF108" s="1025"/>
      <c r="AG108" s="1026"/>
      <c r="AH108" s="1027"/>
      <c r="AI108" s="1025"/>
      <c r="AJ108" s="1026"/>
      <c r="AK108" s="1027"/>
      <c r="AL108" s="1035"/>
      <c r="AM108" s="1036"/>
      <c r="AN108" s="1037"/>
      <c r="AO108" s="1025"/>
      <c r="AP108" s="1026"/>
      <c r="AQ108" s="1027"/>
      <c r="AR108" s="1025"/>
      <c r="AS108" s="1026"/>
      <c r="AT108" s="1045"/>
      <c r="AU108" s="148"/>
      <c r="AV108" s="146"/>
    </row>
    <row r="109" spans="1:48" ht="18.95" customHeight="1">
      <c r="A109" s="142"/>
      <c r="B109" s="147"/>
      <c r="C109" s="946"/>
      <c r="D109" s="947"/>
      <c r="E109" s="948"/>
      <c r="F109" s="949"/>
      <c r="G109" s="952"/>
      <c r="H109" s="953"/>
      <c r="I109" s="953"/>
      <c r="J109" s="953"/>
      <c r="K109" s="953"/>
      <c r="L109" s="953"/>
      <c r="M109" s="953"/>
      <c r="N109" s="960"/>
      <c r="O109" s="1040"/>
      <c r="P109" s="1040"/>
      <c r="Q109" s="1040"/>
      <c r="R109" s="1040"/>
      <c r="S109" s="1040"/>
      <c r="T109" s="1040"/>
      <c r="U109" s="1040"/>
      <c r="V109" s="1041"/>
      <c r="W109" s="148"/>
      <c r="X109" s="146"/>
      <c r="Y109" s="142"/>
      <c r="Z109" s="147"/>
      <c r="AA109" s="158"/>
      <c r="AB109" s="158"/>
      <c r="AC109" s="158"/>
      <c r="AD109" s="159"/>
      <c r="AE109" s="160"/>
      <c r="AF109" s="160"/>
      <c r="AG109" s="160"/>
      <c r="AH109" s="160"/>
      <c r="AI109" s="160"/>
      <c r="AJ109" s="160"/>
      <c r="AK109" s="160"/>
      <c r="AL109" s="160"/>
      <c r="AM109" s="160"/>
      <c r="AN109" s="160"/>
      <c r="AO109" s="160"/>
      <c r="AP109" s="160"/>
      <c r="AQ109" s="160"/>
      <c r="AR109" s="160"/>
      <c r="AS109" s="160"/>
      <c r="AT109" s="160"/>
      <c r="AU109" s="148"/>
      <c r="AV109" s="146"/>
    </row>
    <row r="110" spans="1:48" ht="18.95" customHeight="1">
      <c r="A110" s="142"/>
      <c r="B110" s="147"/>
      <c r="C110" s="923" t="str">
        <f>STUDENTS!AA7</f>
        <v>અંગ્રેજી</v>
      </c>
      <c r="D110" s="924"/>
      <c r="E110" s="925"/>
      <c r="F110" s="929" t="str">
        <f ca="1">INDIRECT("STUDENTS!AB"&amp;($R$1-1)*12+7)</f>
        <v>A</v>
      </c>
      <c r="G110" s="931" t="str">
        <f ca="1">INDIRECT("STUDENTS!AC"&amp;($R$1-1)*12+7)</f>
        <v>sfgsgsfg</v>
      </c>
      <c r="H110" s="932" t="str">
        <f t="shared" ref="H110:V110" ca="1" si="10">INDIRECT("STUDENTS!AB"&amp;($R$1-1)*12+7)</f>
        <v>A</v>
      </c>
      <c r="I110" s="932" t="str">
        <f t="shared" ca="1" si="10"/>
        <v>A</v>
      </c>
      <c r="J110" s="932" t="str">
        <f t="shared" ca="1" si="10"/>
        <v>A</v>
      </c>
      <c r="K110" s="932" t="str">
        <f t="shared" ca="1" si="10"/>
        <v>A</v>
      </c>
      <c r="L110" s="932" t="str">
        <f t="shared" ca="1" si="10"/>
        <v>A</v>
      </c>
      <c r="M110" s="932" t="str">
        <f t="shared" ca="1" si="10"/>
        <v>A</v>
      </c>
      <c r="N110" s="933" t="str">
        <f t="shared" ca="1" si="10"/>
        <v>A</v>
      </c>
      <c r="O110" s="1040" t="str">
        <f ca="1">INDIRECT("STUDENTS!AD"&amp;($R$1-1)*12+7)</f>
        <v>dhjkghk</v>
      </c>
      <c r="P110" s="1040" t="str">
        <f t="shared" ca="1" si="10"/>
        <v>A</v>
      </c>
      <c r="Q110" s="1040" t="str">
        <f t="shared" ca="1" si="10"/>
        <v>A</v>
      </c>
      <c r="R110" s="1040" t="str">
        <f t="shared" ca="1" si="10"/>
        <v>A</v>
      </c>
      <c r="S110" s="1040" t="str">
        <f t="shared" ca="1" si="10"/>
        <v>A</v>
      </c>
      <c r="T110" s="1040" t="str">
        <f t="shared" ca="1" si="10"/>
        <v>A</v>
      </c>
      <c r="U110" s="1040" t="str">
        <f t="shared" ca="1" si="10"/>
        <v>A</v>
      </c>
      <c r="V110" s="1041" t="str">
        <f t="shared" ca="1" si="10"/>
        <v>A</v>
      </c>
      <c r="W110" s="148"/>
      <c r="X110" s="146"/>
      <c r="Y110" s="142"/>
      <c r="Z110" s="147"/>
      <c r="AA110" s="997" t="s">
        <v>217</v>
      </c>
      <c r="AB110" s="997"/>
      <c r="AC110" s="997"/>
      <c r="AD110" s="997"/>
      <c r="AE110" s="997"/>
      <c r="AF110" s="997"/>
      <c r="AG110" s="997"/>
      <c r="AH110" s="997"/>
      <c r="AI110" s="997"/>
      <c r="AJ110" s="997"/>
      <c r="AK110" s="997"/>
      <c r="AL110" s="997"/>
      <c r="AM110" s="997"/>
      <c r="AN110" s="997"/>
      <c r="AO110" s="997"/>
      <c r="AP110" s="997"/>
      <c r="AQ110" s="997"/>
      <c r="AR110" s="997"/>
      <c r="AS110" s="997"/>
      <c r="AT110" s="997"/>
      <c r="AU110" s="148"/>
      <c r="AV110" s="146"/>
    </row>
    <row r="111" spans="1:48" ht="18.95" customHeight="1">
      <c r="A111" s="142"/>
      <c r="B111" s="147"/>
      <c r="C111" s="926"/>
      <c r="D111" s="927"/>
      <c r="E111" s="928"/>
      <c r="F111" s="930"/>
      <c r="G111" s="934"/>
      <c r="H111" s="935"/>
      <c r="I111" s="935"/>
      <c r="J111" s="935"/>
      <c r="K111" s="935"/>
      <c r="L111" s="935"/>
      <c r="M111" s="935"/>
      <c r="N111" s="936"/>
      <c r="O111" s="1040"/>
      <c r="P111" s="1040"/>
      <c r="Q111" s="1040"/>
      <c r="R111" s="1040"/>
      <c r="S111" s="1040"/>
      <c r="T111" s="1040"/>
      <c r="U111" s="1040"/>
      <c r="V111" s="1041"/>
      <c r="W111" s="148"/>
      <c r="X111" s="146"/>
      <c r="Y111" s="142"/>
      <c r="Z111" s="147"/>
      <c r="AA111" s="1046" t="s">
        <v>12</v>
      </c>
      <c r="AB111" s="975"/>
      <c r="AC111" s="975" t="s">
        <v>215</v>
      </c>
      <c r="AD111" s="975"/>
      <c r="AE111" s="975"/>
      <c r="AF111" s="975" t="s">
        <v>216</v>
      </c>
      <c r="AG111" s="975"/>
      <c r="AH111" s="975"/>
      <c r="AI111" s="975" t="s">
        <v>28</v>
      </c>
      <c r="AJ111" s="975"/>
      <c r="AK111" s="975"/>
      <c r="AL111" s="975" t="s">
        <v>29</v>
      </c>
      <c r="AM111" s="975"/>
      <c r="AN111" s="975"/>
      <c r="AO111" s="975" t="s">
        <v>15</v>
      </c>
      <c r="AP111" s="975"/>
      <c r="AQ111" s="975"/>
      <c r="AR111" s="975" t="s">
        <v>212</v>
      </c>
      <c r="AS111" s="975"/>
      <c r="AT111" s="977"/>
      <c r="AU111" s="148"/>
      <c r="AV111" s="146"/>
    </row>
    <row r="112" spans="1:48" ht="18.95" customHeight="1">
      <c r="A112" s="142"/>
      <c r="B112" s="147"/>
      <c r="C112" s="926"/>
      <c r="D112" s="927"/>
      <c r="E112" s="928"/>
      <c r="F112" s="930"/>
      <c r="G112" s="934"/>
      <c r="H112" s="935"/>
      <c r="I112" s="935"/>
      <c r="J112" s="935"/>
      <c r="K112" s="935"/>
      <c r="L112" s="935"/>
      <c r="M112" s="935"/>
      <c r="N112" s="936"/>
      <c r="O112" s="1040"/>
      <c r="P112" s="1040"/>
      <c r="Q112" s="1040"/>
      <c r="R112" s="1040"/>
      <c r="S112" s="1040"/>
      <c r="T112" s="1040"/>
      <c r="U112" s="1040"/>
      <c r="V112" s="1041"/>
      <c r="W112" s="148"/>
      <c r="X112" s="146"/>
      <c r="Y112" s="142"/>
      <c r="Z112" s="147"/>
      <c r="AA112" s="1047"/>
      <c r="AB112" s="976"/>
      <c r="AC112" s="976"/>
      <c r="AD112" s="976"/>
      <c r="AE112" s="976"/>
      <c r="AF112" s="976"/>
      <c r="AG112" s="976"/>
      <c r="AH112" s="976"/>
      <c r="AI112" s="976"/>
      <c r="AJ112" s="976"/>
      <c r="AK112" s="976"/>
      <c r="AL112" s="976"/>
      <c r="AM112" s="976"/>
      <c r="AN112" s="976"/>
      <c r="AO112" s="976"/>
      <c r="AP112" s="976"/>
      <c r="AQ112" s="976"/>
      <c r="AR112" s="976"/>
      <c r="AS112" s="976"/>
      <c r="AT112" s="978"/>
      <c r="AU112" s="148"/>
      <c r="AV112" s="146"/>
    </row>
    <row r="113" spans="1:48" ht="18.95" customHeight="1">
      <c r="A113" s="142"/>
      <c r="B113" s="147"/>
      <c r="C113" s="946"/>
      <c r="D113" s="947"/>
      <c r="E113" s="948"/>
      <c r="F113" s="949"/>
      <c r="G113" s="952"/>
      <c r="H113" s="953"/>
      <c r="I113" s="953"/>
      <c r="J113" s="953"/>
      <c r="K113" s="953"/>
      <c r="L113" s="953"/>
      <c r="M113" s="953"/>
      <c r="N113" s="960"/>
      <c r="O113" s="1040"/>
      <c r="P113" s="1040"/>
      <c r="Q113" s="1040"/>
      <c r="R113" s="1040"/>
      <c r="S113" s="1040"/>
      <c r="T113" s="1040"/>
      <c r="U113" s="1040"/>
      <c r="V113" s="1041"/>
      <c r="W113" s="148"/>
      <c r="X113" s="146"/>
      <c r="Y113" s="142"/>
      <c r="Z113" s="147"/>
      <c r="AA113" s="966">
        <f ca="1">INDIRECT("STUDENTS!AK"&amp;($R$1-1)*12+4)</f>
        <v>2</v>
      </c>
      <c r="AB113" s="967"/>
      <c r="AC113" s="968" t="str">
        <f ca="1">INDIRECT("STUDENTS!AL"&amp;($R$1-1)*12+4)</f>
        <v>DFSDF SG</v>
      </c>
      <c r="AD113" s="968"/>
      <c r="AE113" s="968"/>
      <c r="AF113" s="1032">
        <f ca="1">INDIRECT("STUDENTS!AM"&amp;($R$1-1)*12+4)</f>
        <v>39519</v>
      </c>
      <c r="AG113" s="1033"/>
      <c r="AH113" s="1034"/>
      <c r="AI113" s="979">
        <f ca="1">INDIRECT("STUDENTS!AN"&amp;($R$1-1)*12+4)</f>
        <v>0</v>
      </c>
      <c r="AJ113" s="980"/>
      <c r="AK113" s="981"/>
      <c r="AL113" s="979">
        <f ca="1">INDIRECT("STUDENTS!AO"&amp;($R$1-1)*12+4)</f>
        <v>0</v>
      </c>
      <c r="AM113" s="980"/>
      <c r="AN113" s="981"/>
      <c r="AO113" s="979">
        <f ca="1">INDIRECT("STUDENTS!AP"&amp;($R$1-1)*12+4)</f>
        <v>0</v>
      </c>
      <c r="AP113" s="980"/>
      <c r="AQ113" s="981"/>
      <c r="AR113" s="968"/>
      <c r="AS113" s="968"/>
      <c r="AT113" s="1028"/>
      <c r="AU113" s="148"/>
      <c r="AV113" s="146"/>
    </row>
    <row r="114" spans="1:48" ht="18.95" customHeight="1">
      <c r="A114" s="142"/>
      <c r="B114" s="147"/>
      <c r="C114" s="923" t="str">
        <f>STUDENTS!AA8</f>
        <v>સા. વિ.</v>
      </c>
      <c r="D114" s="924"/>
      <c r="E114" s="925"/>
      <c r="F114" s="929" t="str">
        <f ca="1">INDIRECT("STUDENTS!AB"&amp;($R$1-1)*12+8)</f>
        <v>A</v>
      </c>
      <c r="G114" s="931" t="str">
        <f ca="1">INDIRECT("STUDENTS!AC"&amp;($R$1-1)*12+8)</f>
        <v>sfgsgsfg</v>
      </c>
      <c r="H114" s="932" t="str">
        <f t="shared" ref="H114:V114" ca="1" si="11">INDIRECT("STUDENTS!AB"&amp;($R$1-1)*12+8)</f>
        <v>A</v>
      </c>
      <c r="I114" s="932" t="str">
        <f t="shared" ca="1" si="11"/>
        <v>A</v>
      </c>
      <c r="J114" s="932" t="str">
        <f t="shared" ca="1" si="11"/>
        <v>A</v>
      </c>
      <c r="K114" s="932" t="str">
        <f t="shared" ca="1" si="11"/>
        <v>A</v>
      </c>
      <c r="L114" s="932" t="str">
        <f t="shared" ca="1" si="11"/>
        <v>A</v>
      </c>
      <c r="M114" s="932" t="str">
        <f t="shared" ca="1" si="11"/>
        <v>A</v>
      </c>
      <c r="N114" s="933" t="str">
        <f t="shared" ca="1" si="11"/>
        <v>A</v>
      </c>
      <c r="O114" s="1040" t="str">
        <f ca="1">INDIRECT("STUDENTS!AD"&amp;($R$1-1)*12+8)</f>
        <v>dhjkghk</v>
      </c>
      <c r="P114" s="1040" t="str">
        <f t="shared" ca="1" si="11"/>
        <v>A</v>
      </c>
      <c r="Q114" s="1040" t="str">
        <f t="shared" ca="1" si="11"/>
        <v>A</v>
      </c>
      <c r="R114" s="1040" t="str">
        <f t="shared" ca="1" si="11"/>
        <v>A</v>
      </c>
      <c r="S114" s="1040" t="str">
        <f t="shared" ca="1" si="11"/>
        <v>A</v>
      </c>
      <c r="T114" s="1040" t="str">
        <f t="shared" ca="1" si="11"/>
        <v>A</v>
      </c>
      <c r="U114" s="1040" t="str">
        <f t="shared" ca="1" si="11"/>
        <v>A</v>
      </c>
      <c r="V114" s="1041" t="str">
        <f t="shared" ca="1" si="11"/>
        <v>A</v>
      </c>
      <c r="W114" s="148"/>
      <c r="X114" s="146"/>
      <c r="Y114" s="142"/>
      <c r="Z114" s="147"/>
      <c r="AA114" s="966"/>
      <c r="AB114" s="967"/>
      <c r="AC114" s="968"/>
      <c r="AD114" s="968"/>
      <c r="AE114" s="968"/>
      <c r="AF114" s="1042"/>
      <c r="AG114" s="1043"/>
      <c r="AH114" s="1044"/>
      <c r="AI114" s="982"/>
      <c r="AJ114" s="983"/>
      <c r="AK114" s="984"/>
      <c r="AL114" s="982"/>
      <c r="AM114" s="983"/>
      <c r="AN114" s="984"/>
      <c r="AO114" s="982"/>
      <c r="AP114" s="983"/>
      <c r="AQ114" s="984"/>
      <c r="AR114" s="968"/>
      <c r="AS114" s="968"/>
      <c r="AT114" s="1028"/>
      <c r="AU114" s="148"/>
      <c r="AV114" s="146"/>
    </row>
    <row r="115" spans="1:48" ht="18.95" customHeight="1">
      <c r="A115" s="142"/>
      <c r="B115" s="147"/>
      <c r="C115" s="926"/>
      <c r="D115" s="927"/>
      <c r="E115" s="928"/>
      <c r="F115" s="930"/>
      <c r="G115" s="934"/>
      <c r="H115" s="935"/>
      <c r="I115" s="935"/>
      <c r="J115" s="935"/>
      <c r="K115" s="935"/>
      <c r="L115" s="935"/>
      <c r="M115" s="935"/>
      <c r="N115" s="936"/>
      <c r="O115" s="1040"/>
      <c r="P115" s="1040"/>
      <c r="Q115" s="1040"/>
      <c r="R115" s="1040"/>
      <c r="S115" s="1040"/>
      <c r="T115" s="1040"/>
      <c r="U115" s="1040"/>
      <c r="V115" s="1041"/>
      <c r="W115" s="148"/>
      <c r="X115" s="146"/>
      <c r="Y115" s="142"/>
      <c r="Z115" s="147"/>
      <c r="AA115" s="923">
        <f ca="1">INDIRECT("STUDENTS!AK"&amp;($R$1-1)*12+6)</f>
        <v>0</v>
      </c>
      <c r="AB115" s="925"/>
      <c r="AC115" s="979">
        <f ca="1">INDIRECT("STUDENTS!AL"&amp;($R$1-1)*12+6)</f>
        <v>0</v>
      </c>
      <c r="AD115" s="980"/>
      <c r="AE115" s="981"/>
      <c r="AF115" s="1032">
        <f ca="1">INDIRECT("STUDENTS!AM"&amp;($R$1-1)*12+6)</f>
        <v>0</v>
      </c>
      <c r="AG115" s="1033"/>
      <c r="AH115" s="1034"/>
      <c r="AI115" s="979">
        <f ca="1">INDIRECT("STUDENTS!AN"&amp;($R$1-1)*12+6)</f>
        <v>0</v>
      </c>
      <c r="AJ115" s="980"/>
      <c r="AK115" s="981"/>
      <c r="AL115" s="979">
        <f ca="1">INDIRECT("STUDENTS!AO"&amp;($R$1-1)*12+6)</f>
        <v>0</v>
      </c>
      <c r="AM115" s="980"/>
      <c r="AN115" s="981"/>
      <c r="AO115" s="979">
        <f ca="1">INDIRECT("STUDENTS!AP"&amp;($R$1-1)*12+6)</f>
        <v>0</v>
      </c>
      <c r="AP115" s="980"/>
      <c r="AQ115" s="981"/>
      <c r="AR115" s="968"/>
      <c r="AS115" s="968"/>
      <c r="AT115" s="1028"/>
      <c r="AU115" s="148"/>
      <c r="AV115" s="146"/>
    </row>
    <row r="116" spans="1:48" ht="18.95" customHeight="1">
      <c r="A116" s="142"/>
      <c r="B116" s="147"/>
      <c r="C116" s="926"/>
      <c r="D116" s="927"/>
      <c r="E116" s="928"/>
      <c r="F116" s="930"/>
      <c r="G116" s="934"/>
      <c r="H116" s="935"/>
      <c r="I116" s="935"/>
      <c r="J116" s="935"/>
      <c r="K116" s="935"/>
      <c r="L116" s="935"/>
      <c r="M116" s="935"/>
      <c r="N116" s="936"/>
      <c r="O116" s="1040"/>
      <c r="P116" s="1040"/>
      <c r="Q116" s="1040"/>
      <c r="R116" s="1040"/>
      <c r="S116" s="1040"/>
      <c r="T116" s="1040"/>
      <c r="U116" s="1040"/>
      <c r="V116" s="1041"/>
      <c r="W116" s="148"/>
      <c r="X116" s="146"/>
      <c r="Y116" s="142"/>
      <c r="Z116" s="147"/>
      <c r="AA116" s="946"/>
      <c r="AB116" s="948"/>
      <c r="AC116" s="982"/>
      <c r="AD116" s="983"/>
      <c r="AE116" s="984"/>
      <c r="AF116" s="1042"/>
      <c r="AG116" s="1043"/>
      <c r="AH116" s="1044"/>
      <c r="AI116" s="982"/>
      <c r="AJ116" s="983"/>
      <c r="AK116" s="984"/>
      <c r="AL116" s="982"/>
      <c r="AM116" s="983"/>
      <c r="AN116" s="984"/>
      <c r="AO116" s="982"/>
      <c r="AP116" s="983"/>
      <c r="AQ116" s="984"/>
      <c r="AR116" s="968"/>
      <c r="AS116" s="968"/>
      <c r="AT116" s="1028"/>
      <c r="AU116" s="148"/>
      <c r="AV116" s="146"/>
    </row>
    <row r="117" spans="1:48" ht="18.95" customHeight="1">
      <c r="A117" s="142"/>
      <c r="B117" s="147"/>
      <c r="C117" s="946"/>
      <c r="D117" s="947"/>
      <c r="E117" s="948"/>
      <c r="F117" s="949"/>
      <c r="G117" s="952"/>
      <c r="H117" s="953"/>
      <c r="I117" s="953"/>
      <c r="J117" s="953"/>
      <c r="K117" s="953"/>
      <c r="L117" s="953"/>
      <c r="M117" s="953"/>
      <c r="N117" s="960"/>
      <c r="O117" s="1040"/>
      <c r="P117" s="1040"/>
      <c r="Q117" s="1040"/>
      <c r="R117" s="1040"/>
      <c r="S117" s="1040"/>
      <c r="T117" s="1040"/>
      <c r="U117" s="1040"/>
      <c r="V117" s="1041"/>
      <c r="W117" s="148"/>
      <c r="X117" s="146"/>
      <c r="Y117" s="142"/>
      <c r="Z117" s="147"/>
      <c r="AA117" s="923">
        <f ca="1">INDIRECT("STUDENTS!AK"&amp;($R$1-1)*12+8)</f>
        <v>0</v>
      </c>
      <c r="AB117" s="925"/>
      <c r="AC117" s="979">
        <f ca="1">INDIRECT("STUDENTS!AL"&amp;($R$1-1)*12+8)</f>
        <v>0</v>
      </c>
      <c r="AD117" s="980"/>
      <c r="AE117" s="981"/>
      <c r="AF117" s="1032">
        <f ca="1">INDIRECT("STUDENTS!AM"&amp;($R$1-1)*12+8)</f>
        <v>0</v>
      </c>
      <c r="AG117" s="1033"/>
      <c r="AH117" s="1034"/>
      <c r="AI117" s="979">
        <f ca="1">INDIRECT("STUDENTS!AN"&amp;($R$1-1)*12+8)</f>
        <v>0</v>
      </c>
      <c r="AJ117" s="980"/>
      <c r="AK117" s="981"/>
      <c r="AL117" s="979">
        <f ca="1">INDIRECT("STUDENTS!AO"&amp;($R$1-1)*12+8)</f>
        <v>0</v>
      </c>
      <c r="AM117" s="980"/>
      <c r="AN117" s="981"/>
      <c r="AO117" s="979">
        <f ca="1">INDIRECT("STUDENTS!AP"&amp;($R$1-1)*12+8)</f>
        <v>0</v>
      </c>
      <c r="AP117" s="980"/>
      <c r="AQ117" s="981"/>
      <c r="AR117" s="968"/>
      <c r="AS117" s="968"/>
      <c r="AT117" s="1028"/>
      <c r="AU117" s="148"/>
      <c r="AV117" s="146"/>
    </row>
    <row r="118" spans="1:48" ht="18.95" customHeight="1">
      <c r="A118" s="142"/>
      <c r="B118" s="147"/>
      <c r="C118" s="923" t="str">
        <f>STUDENTS!AA9</f>
        <v>વિ. અને ટેક્.</v>
      </c>
      <c r="D118" s="924"/>
      <c r="E118" s="925"/>
      <c r="F118" s="929" t="str">
        <f ca="1">INDIRECT("STUDENTS!AB"&amp;($R$1-1)*12+9)</f>
        <v>A</v>
      </c>
      <c r="G118" s="931" t="str">
        <f ca="1">INDIRECT("STUDENTS!AC"&amp;($R$1-1)*12+9)</f>
        <v>sfgsgsfg</v>
      </c>
      <c r="H118" s="932" t="str">
        <f t="shared" ref="H118:V118" ca="1" si="12">INDIRECT("STUDENTS!AB"&amp;($R$1-1)*12+9)</f>
        <v>A</v>
      </c>
      <c r="I118" s="932" t="str">
        <f t="shared" ca="1" si="12"/>
        <v>A</v>
      </c>
      <c r="J118" s="932" t="str">
        <f t="shared" ca="1" si="12"/>
        <v>A</v>
      </c>
      <c r="K118" s="932" t="str">
        <f t="shared" ca="1" si="12"/>
        <v>A</v>
      </c>
      <c r="L118" s="932" t="str">
        <f t="shared" ca="1" si="12"/>
        <v>A</v>
      </c>
      <c r="M118" s="932" t="str">
        <f t="shared" ca="1" si="12"/>
        <v>A</v>
      </c>
      <c r="N118" s="933" t="str">
        <f t="shared" ca="1" si="12"/>
        <v>A</v>
      </c>
      <c r="O118" s="1040" t="str">
        <f ca="1">INDIRECT("STUDENTS!AD"&amp;($R$1-1)*12+9)</f>
        <v>dhjkghk</v>
      </c>
      <c r="P118" s="1040" t="str">
        <f t="shared" ca="1" si="12"/>
        <v>A</v>
      </c>
      <c r="Q118" s="1040" t="str">
        <f t="shared" ca="1" si="12"/>
        <v>A</v>
      </c>
      <c r="R118" s="1040" t="str">
        <f t="shared" ca="1" si="12"/>
        <v>A</v>
      </c>
      <c r="S118" s="1040" t="str">
        <f t="shared" ca="1" si="12"/>
        <v>A</v>
      </c>
      <c r="T118" s="1040" t="str">
        <f t="shared" ca="1" si="12"/>
        <v>A</v>
      </c>
      <c r="U118" s="1040" t="str">
        <f t="shared" ca="1" si="12"/>
        <v>A</v>
      </c>
      <c r="V118" s="1041" t="str">
        <f t="shared" ca="1" si="12"/>
        <v>A</v>
      </c>
      <c r="W118" s="148"/>
      <c r="X118" s="146"/>
      <c r="Y118" s="142"/>
      <c r="Z118" s="147"/>
      <c r="AA118" s="946"/>
      <c r="AB118" s="948"/>
      <c r="AC118" s="982"/>
      <c r="AD118" s="983"/>
      <c r="AE118" s="984"/>
      <c r="AF118" s="1042"/>
      <c r="AG118" s="1043"/>
      <c r="AH118" s="1044"/>
      <c r="AI118" s="982"/>
      <c r="AJ118" s="983"/>
      <c r="AK118" s="984"/>
      <c r="AL118" s="982"/>
      <c r="AM118" s="983"/>
      <c r="AN118" s="984"/>
      <c r="AO118" s="982"/>
      <c r="AP118" s="983"/>
      <c r="AQ118" s="984"/>
      <c r="AR118" s="968"/>
      <c r="AS118" s="968"/>
      <c r="AT118" s="1028"/>
      <c r="AU118" s="148"/>
      <c r="AV118" s="146"/>
    </row>
    <row r="119" spans="1:48" ht="18.95" customHeight="1">
      <c r="A119" s="142"/>
      <c r="B119" s="147"/>
      <c r="C119" s="926"/>
      <c r="D119" s="927"/>
      <c r="E119" s="928"/>
      <c r="F119" s="930"/>
      <c r="G119" s="934"/>
      <c r="H119" s="935"/>
      <c r="I119" s="935"/>
      <c r="J119" s="935"/>
      <c r="K119" s="935"/>
      <c r="L119" s="935"/>
      <c r="M119" s="935"/>
      <c r="N119" s="936"/>
      <c r="O119" s="1040"/>
      <c r="P119" s="1040"/>
      <c r="Q119" s="1040"/>
      <c r="R119" s="1040"/>
      <c r="S119" s="1040"/>
      <c r="T119" s="1040"/>
      <c r="U119" s="1040"/>
      <c r="V119" s="1041"/>
      <c r="W119" s="148"/>
      <c r="X119" s="146"/>
      <c r="Y119" s="142"/>
      <c r="Z119" s="147"/>
      <c r="AA119" s="923">
        <f ca="1">INDIRECT("STUDENTS!AK"&amp;($R$1-1)*12+10)</f>
        <v>0</v>
      </c>
      <c r="AB119" s="925"/>
      <c r="AC119" s="979">
        <f ca="1">INDIRECT("STUDENTS!AL"&amp;($R$1-1)*12+10)</f>
        <v>0</v>
      </c>
      <c r="AD119" s="980"/>
      <c r="AE119" s="981"/>
      <c r="AF119" s="1032">
        <f ca="1">INDIRECT("STUDENTS!AM"&amp;($R$1-1)*12+10)</f>
        <v>0</v>
      </c>
      <c r="AG119" s="1033"/>
      <c r="AH119" s="1034"/>
      <c r="AI119" s="979">
        <f ca="1">INDIRECT("STUDENTS!AN"&amp;($R$1-1)*12+10)</f>
        <v>0</v>
      </c>
      <c r="AJ119" s="980"/>
      <c r="AK119" s="981"/>
      <c r="AL119" s="979">
        <f ca="1">INDIRECT("STUDENTS!AO"&amp;($R$1-1)*12+10)</f>
        <v>0</v>
      </c>
      <c r="AM119" s="980"/>
      <c r="AN119" s="981"/>
      <c r="AO119" s="979">
        <f ca="1">INDIRECT("STUDENTS!AP"&amp;($R$1-1)*12+10)</f>
        <v>0</v>
      </c>
      <c r="AP119" s="980"/>
      <c r="AQ119" s="981"/>
      <c r="AR119" s="968"/>
      <c r="AS119" s="968"/>
      <c r="AT119" s="1028"/>
      <c r="AU119" s="148"/>
      <c r="AV119" s="146"/>
    </row>
    <row r="120" spans="1:48" ht="18.95" customHeight="1">
      <c r="A120" s="142"/>
      <c r="B120" s="147"/>
      <c r="C120" s="926"/>
      <c r="D120" s="927"/>
      <c r="E120" s="928"/>
      <c r="F120" s="930"/>
      <c r="G120" s="934"/>
      <c r="H120" s="935"/>
      <c r="I120" s="935"/>
      <c r="J120" s="935"/>
      <c r="K120" s="935"/>
      <c r="L120" s="935"/>
      <c r="M120" s="935"/>
      <c r="N120" s="936"/>
      <c r="O120" s="1040"/>
      <c r="P120" s="1040"/>
      <c r="Q120" s="1040"/>
      <c r="R120" s="1040"/>
      <c r="S120" s="1040"/>
      <c r="T120" s="1040"/>
      <c r="U120" s="1040"/>
      <c r="V120" s="1041"/>
      <c r="W120" s="148"/>
      <c r="X120" s="146"/>
      <c r="Y120" s="142"/>
      <c r="Z120" s="147"/>
      <c r="AA120" s="946"/>
      <c r="AB120" s="948"/>
      <c r="AC120" s="982"/>
      <c r="AD120" s="983"/>
      <c r="AE120" s="984"/>
      <c r="AF120" s="1042"/>
      <c r="AG120" s="1043"/>
      <c r="AH120" s="1044"/>
      <c r="AI120" s="982"/>
      <c r="AJ120" s="983"/>
      <c r="AK120" s="984"/>
      <c r="AL120" s="982"/>
      <c r="AM120" s="983"/>
      <c r="AN120" s="984"/>
      <c r="AO120" s="982"/>
      <c r="AP120" s="983"/>
      <c r="AQ120" s="984"/>
      <c r="AR120" s="968"/>
      <c r="AS120" s="968"/>
      <c r="AT120" s="1028"/>
      <c r="AU120" s="148"/>
      <c r="AV120" s="146"/>
    </row>
    <row r="121" spans="1:48" ht="18.95" customHeight="1">
      <c r="A121" s="142"/>
      <c r="B121" s="147"/>
      <c r="C121" s="946"/>
      <c r="D121" s="947"/>
      <c r="E121" s="948"/>
      <c r="F121" s="949"/>
      <c r="G121" s="952"/>
      <c r="H121" s="953"/>
      <c r="I121" s="953"/>
      <c r="J121" s="953"/>
      <c r="K121" s="953"/>
      <c r="L121" s="953"/>
      <c r="M121" s="953"/>
      <c r="N121" s="960"/>
      <c r="O121" s="1040"/>
      <c r="P121" s="1040"/>
      <c r="Q121" s="1040"/>
      <c r="R121" s="1040"/>
      <c r="S121" s="1040"/>
      <c r="T121" s="1040"/>
      <c r="U121" s="1040"/>
      <c r="V121" s="1041"/>
      <c r="W121" s="148"/>
      <c r="X121" s="146"/>
      <c r="Y121" s="142"/>
      <c r="Z121" s="147"/>
      <c r="AA121" s="923">
        <f ca="1">INDIRECT("STUDENTS!AK"&amp;($R$1-1)*12+12)</f>
        <v>0</v>
      </c>
      <c r="AB121" s="925"/>
      <c r="AC121" s="979">
        <f ca="1">INDIRECT("STUDENTS!AL"&amp;($R$1-1)*12+12)</f>
        <v>0</v>
      </c>
      <c r="AD121" s="980"/>
      <c r="AE121" s="981"/>
      <c r="AF121" s="1032">
        <f ca="1">INDIRECT("STUDENTS!AM"&amp;($R$1-1)*12+12)</f>
        <v>0</v>
      </c>
      <c r="AG121" s="1033"/>
      <c r="AH121" s="1034"/>
      <c r="AI121" s="979">
        <f ca="1">INDIRECT("STUDENTS!AN"&amp;($R$1-1)*12+12)</f>
        <v>0</v>
      </c>
      <c r="AJ121" s="980"/>
      <c r="AK121" s="981"/>
      <c r="AL121" s="979">
        <f ca="1">INDIRECT("STUDENTS!AO"&amp;($R$1-1)*12+12)</f>
        <v>0</v>
      </c>
      <c r="AM121" s="980"/>
      <c r="AN121" s="981"/>
      <c r="AO121" s="979">
        <f ca="1">INDIRECT("STUDENTS!AP"&amp;($R$1-1)*12+12)</f>
        <v>0</v>
      </c>
      <c r="AP121" s="980"/>
      <c r="AQ121" s="981"/>
      <c r="AR121" s="968"/>
      <c r="AS121" s="968"/>
      <c r="AT121" s="1028"/>
      <c r="AU121" s="148"/>
      <c r="AV121" s="146"/>
    </row>
    <row r="122" spans="1:48" ht="18.95" customHeight="1">
      <c r="A122" s="142"/>
      <c r="B122" s="147"/>
      <c r="C122" s="966" t="str">
        <f>STUDENTS!AA11</f>
        <v>ચિત્ર</v>
      </c>
      <c r="D122" s="967"/>
      <c r="E122" s="967"/>
      <c r="F122" s="1077" t="str">
        <f ca="1">INDIRECT("STUDENTS!AB"&amp;($R$1-1)*12+11)</f>
        <v>A</v>
      </c>
      <c r="G122" s="1040" t="str">
        <f ca="1">INDIRECT("STUDENTS!AC"&amp;($R$1-1)*12+11)</f>
        <v>sfgsgsfg</v>
      </c>
      <c r="H122" s="1040" t="str">
        <f t="shared" ref="H122:V122" ca="1" si="13">INDIRECT("STUDENTS!AB"&amp;($R$1-1)*12+11)</f>
        <v>A</v>
      </c>
      <c r="I122" s="1040" t="str">
        <f t="shared" ca="1" si="13"/>
        <v>A</v>
      </c>
      <c r="J122" s="1040" t="str">
        <f t="shared" ca="1" si="13"/>
        <v>A</v>
      </c>
      <c r="K122" s="1040" t="str">
        <f t="shared" ca="1" si="13"/>
        <v>A</v>
      </c>
      <c r="L122" s="1040" t="str">
        <f t="shared" ca="1" si="13"/>
        <v>A</v>
      </c>
      <c r="M122" s="1040" t="str">
        <f t="shared" ca="1" si="13"/>
        <v>A</v>
      </c>
      <c r="N122" s="1040" t="str">
        <f t="shared" ca="1" si="13"/>
        <v>A</v>
      </c>
      <c r="O122" s="1040" t="str">
        <f ca="1">INDIRECT("STUDENTS!AD"&amp;($R$1-1)*12+11)</f>
        <v>dhjkghk</v>
      </c>
      <c r="P122" s="1040" t="str">
        <f t="shared" ca="1" si="13"/>
        <v>A</v>
      </c>
      <c r="Q122" s="1040" t="str">
        <f t="shared" ca="1" si="13"/>
        <v>A</v>
      </c>
      <c r="R122" s="1040" t="str">
        <f t="shared" ca="1" si="13"/>
        <v>A</v>
      </c>
      <c r="S122" s="1040" t="str">
        <f t="shared" ca="1" si="13"/>
        <v>A</v>
      </c>
      <c r="T122" s="1040" t="str">
        <f t="shared" ca="1" si="13"/>
        <v>A</v>
      </c>
      <c r="U122" s="1040" t="str">
        <f t="shared" ca="1" si="13"/>
        <v>A</v>
      </c>
      <c r="V122" s="1041" t="str">
        <f t="shared" ca="1" si="13"/>
        <v>A</v>
      </c>
      <c r="W122" s="148"/>
      <c r="X122" s="146"/>
      <c r="Y122" s="142"/>
      <c r="Z122" s="147"/>
      <c r="AA122" s="1022"/>
      <c r="AB122" s="1024"/>
      <c r="AC122" s="1025"/>
      <c r="AD122" s="1026"/>
      <c r="AE122" s="1027"/>
      <c r="AF122" s="1035"/>
      <c r="AG122" s="1036"/>
      <c r="AH122" s="1037"/>
      <c r="AI122" s="1025"/>
      <c r="AJ122" s="1026"/>
      <c r="AK122" s="1027"/>
      <c r="AL122" s="1025"/>
      <c r="AM122" s="1026"/>
      <c r="AN122" s="1027"/>
      <c r="AO122" s="1025"/>
      <c r="AP122" s="1026"/>
      <c r="AQ122" s="1027"/>
      <c r="AR122" s="1029"/>
      <c r="AS122" s="1029"/>
      <c r="AT122" s="1030"/>
      <c r="AU122" s="148"/>
      <c r="AV122" s="146"/>
    </row>
    <row r="123" spans="1:48" ht="18.95" customHeight="1">
      <c r="A123" s="142"/>
      <c r="B123" s="147"/>
      <c r="C123" s="966"/>
      <c r="D123" s="967"/>
      <c r="E123" s="967"/>
      <c r="F123" s="1077"/>
      <c r="G123" s="1040"/>
      <c r="H123" s="1040"/>
      <c r="I123" s="1040"/>
      <c r="J123" s="1040"/>
      <c r="K123" s="1040"/>
      <c r="L123" s="1040"/>
      <c r="M123" s="1040"/>
      <c r="N123" s="1040"/>
      <c r="O123" s="1040"/>
      <c r="P123" s="1040"/>
      <c r="Q123" s="1040"/>
      <c r="R123" s="1040"/>
      <c r="S123" s="1040"/>
      <c r="T123" s="1040"/>
      <c r="U123" s="1040"/>
      <c r="V123" s="1041"/>
      <c r="W123" s="148"/>
      <c r="X123" s="146"/>
      <c r="Y123" s="142"/>
      <c r="Z123" s="147"/>
      <c r="AA123" s="916" t="s">
        <v>30</v>
      </c>
      <c r="AB123" s="916"/>
      <c r="AC123" s="916"/>
      <c r="AD123" s="916"/>
      <c r="AE123" s="916"/>
      <c r="AF123" s="916"/>
      <c r="AG123" s="916"/>
      <c r="AH123" s="916"/>
      <c r="AI123" s="916"/>
      <c r="AJ123" s="916"/>
      <c r="AK123" s="916"/>
      <c r="AL123" s="916"/>
      <c r="AM123" s="916"/>
      <c r="AN123" s="916"/>
      <c r="AO123" s="916"/>
      <c r="AP123" s="916"/>
      <c r="AQ123" s="916"/>
      <c r="AR123" s="916"/>
      <c r="AS123" s="916"/>
      <c r="AT123" s="916"/>
      <c r="AU123" s="148"/>
      <c r="AV123" s="146"/>
    </row>
    <row r="124" spans="1:48" ht="18.95" customHeight="1">
      <c r="A124" s="142"/>
      <c r="B124" s="147"/>
      <c r="C124" s="966"/>
      <c r="D124" s="967"/>
      <c r="E124" s="967"/>
      <c r="F124" s="1077"/>
      <c r="G124" s="1040"/>
      <c r="H124" s="1040"/>
      <c r="I124" s="1040"/>
      <c r="J124" s="1040"/>
      <c r="K124" s="1040"/>
      <c r="L124" s="1040"/>
      <c r="M124" s="1040"/>
      <c r="N124" s="1040"/>
      <c r="O124" s="1040"/>
      <c r="P124" s="1040"/>
      <c r="Q124" s="1040"/>
      <c r="R124" s="1040"/>
      <c r="S124" s="1040"/>
      <c r="T124" s="1040"/>
      <c r="U124" s="1040"/>
      <c r="V124" s="1041"/>
      <c r="W124" s="148"/>
      <c r="X124" s="146"/>
      <c r="Y124" s="142"/>
      <c r="Z124" s="147"/>
      <c r="AA124" s="917" t="s">
        <v>12</v>
      </c>
      <c r="AB124" s="918"/>
      <c r="AC124" s="918" t="s">
        <v>218</v>
      </c>
      <c r="AD124" s="918"/>
      <c r="AE124" s="918"/>
      <c r="AF124" s="918"/>
      <c r="AG124" s="918"/>
      <c r="AH124" s="918"/>
      <c r="AI124" s="918" t="s">
        <v>219</v>
      </c>
      <c r="AJ124" s="918"/>
      <c r="AK124" s="918"/>
      <c r="AL124" s="918"/>
      <c r="AM124" s="918"/>
      <c r="AN124" s="918"/>
      <c r="AO124" s="918" t="s">
        <v>220</v>
      </c>
      <c r="AP124" s="918"/>
      <c r="AQ124" s="918"/>
      <c r="AR124" s="918" t="s">
        <v>221</v>
      </c>
      <c r="AS124" s="918"/>
      <c r="AT124" s="921"/>
      <c r="AU124" s="148"/>
      <c r="AV124" s="146"/>
    </row>
    <row r="125" spans="1:48" ht="18.95" customHeight="1">
      <c r="A125" s="142"/>
      <c r="B125" s="147"/>
      <c r="C125" s="923" t="str">
        <f>STUDENTS!AA12</f>
        <v>સંગીત</v>
      </c>
      <c r="D125" s="924"/>
      <c r="E125" s="925"/>
      <c r="F125" s="929" t="str">
        <f ca="1">INDIRECT("STUDENTS!AB"&amp;($R$1-1)*12+12)</f>
        <v>A</v>
      </c>
      <c r="G125" s="931" t="str">
        <f ca="1">INDIRECT("STUDENTS!AC"&amp;($R$1-1)*12+12)</f>
        <v>sfgsgsfg</v>
      </c>
      <c r="H125" s="932" t="str">
        <f t="shared" ref="H125:V125" ca="1" si="14">INDIRECT("STUDENTS!AB"&amp;($R$1-1)*12+12)</f>
        <v>A</v>
      </c>
      <c r="I125" s="932" t="str">
        <f t="shared" ca="1" si="14"/>
        <v>A</v>
      </c>
      <c r="J125" s="932" t="str">
        <f t="shared" ca="1" si="14"/>
        <v>A</v>
      </c>
      <c r="K125" s="932" t="str">
        <f t="shared" ca="1" si="14"/>
        <v>A</v>
      </c>
      <c r="L125" s="932" t="str">
        <f t="shared" ca="1" si="14"/>
        <v>A</v>
      </c>
      <c r="M125" s="932" t="str">
        <f t="shared" ca="1" si="14"/>
        <v>A</v>
      </c>
      <c r="N125" s="933" t="str">
        <f t="shared" ca="1" si="14"/>
        <v>A</v>
      </c>
      <c r="O125" s="1040" t="str">
        <f ca="1">INDIRECT("STUDENTS!AD"&amp;($R$1-1)*12+12)</f>
        <v>dhjkghk</v>
      </c>
      <c r="P125" s="1040" t="str">
        <f t="shared" ca="1" si="14"/>
        <v>A</v>
      </c>
      <c r="Q125" s="1040" t="str">
        <f t="shared" ca="1" si="14"/>
        <v>A</v>
      </c>
      <c r="R125" s="1040" t="str">
        <f t="shared" ca="1" si="14"/>
        <v>A</v>
      </c>
      <c r="S125" s="1040" t="str">
        <f t="shared" ca="1" si="14"/>
        <v>A</v>
      </c>
      <c r="T125" s="1040" t="str">
        <f t="shared" ca="1" si="14"/>
        <v>A</v>
      </c>
      <c r="U125" s="1040" t="str">
        <f t="shared" ca="1" si="14"/>
        <v>A</v>
      </c>
      <c r="V125" s="1041" t="str">
        <f t="shared" ca="1" si="14"/>
        <v>A</v>
      </c>
      <c r="W125" s="148"/>
      <c r="X125" s="146"/>
      <c r="Y125" s="142"/>
      <c r="Z125" s="147"/>
      <c r="AA125" s="919"/>
      <c r="AB125" s="920"/>
      <c r="AC125" s="920"/>
      <c r="AD125" s="920"/>
      <c r="AE125" s="920"/>
      <c r="AF125" s="920"/>
      <c r="AG125" s="920"/>
      <c r="AH125" s="920"/>
      <c r="AI125" s="920"/>
      <c r="AJ125" s="920"/>
      <c r="AK125" s="920"/>
      <c r="AL125" s="920"/>
      <c r="AM125" s="920"/>
      <c r="AN125" s="920"/>
      <c r="AO125" s="920"/>
      <c r="AP125" s="920"/>
      <c r="AQ125" s="920"/>
      <c r="AR125" s="920"/>
      <c r="AS125" s="920"/>
      <c r="AT125" s="922"/>
      <c r="AU125" s="148"/>
      <c r="AV125" s="146"/>
    </row>
    <row r="126" spans="1:48" ht="18.95" customHeight="1">
      <c r="A126" s="142"/>
      <c r="B126" s="147"/>
      <c r="C126" s="926"/>
      <c r="D126" s="927"/>
      <c r="E126" s="928"/>
      <c r="F126" s="930"/>
      <c r="G126" s="934"/>
      <c r="H126" s="935"/>
      <c r="I126" s="935"/>
      <c r="J126" s="935"/>
      <c r="K126" s="935"/>
      <c r="L126" s="935"/>
      <c r="M126" s="935"/>
      <c r="N126" s="936"/>
      <c r="O126" s="1040"/>
      <c r="P126" s="1040"/>
      <c r="Q126" s="1040"/>
      <c r="R126" s="1040"/>
      <c r="S126" s="1040"/>
      <c r="T126" s="1040"/>
      <c r="U126" s="1040"/>
      <c r="V126" s="1041"/>
      <c r="W126" s="148"/>
      <c r="X126" s="146"/>
      <c r="Y126" s="142"/>
      <c r="Z126" s="147"/>
      <c r="AA126" s="905">
        <v>1</v>
      </c>
      <c r="AB126" s="906"/>
      <c r="AC126" s="909" t="str">
        <f ca="1">INDIRECT("STUDENTS!AR"&amp;($R$1-1)*12+4)</f>
        <v>વાંચન સારુ</v>
      </c>
      <c r="AD126" s="909"/>
      <c r="AE126" s="909"/>
      <c r="AF126" s="909"/>
      <c r="AG126" s="909"/>
      <c r="AH126" s="909"/>
      <c r="AI126" s="897" t="str">
        <f ca="1">INDIRECT("STUDENTS!AS"&amp;($R$1-1)*12+4)</f>
        <v>વાંચન સારુ</v>
      </c>
      <c r="AJ126" s="898"/>
      <c r="AK126" s="898"/>
      <c r="AL126" s="898"/>
      <c r="AM126" s="898"/>
      <c r="AN126" s="899"/>
      <c r="AO126" s="903"/>
      <c r="AP126" s="903"/>
      <c r="AQ126" s="903"/>
      <c r="AR126" s="903"/>
      <c r="AS126" s="903"/>
      <c r="AT126" s="904"/>
      <c r="AU126" s="148"/>
      <c r="AV126" s="146"/>
    </row>
    <row r="127" spans="1:48" ht="18.95" customHeight="1">
      <c r="A127" s="142"/>
      <c r="B127" s="147"/>
      <c r="C127" s="946"/>
      <c r="D127" s="947"/>
      <c r="E127" s="948"/>
      <c r="F127" s="949"/>
      <c r="G127" s="952"/>
      <c r="H127" s="953"/>
      <c r="I127" s="953"/>
      <c r="J127" s="953"/>
      <c r="K127" s="953"/>
      <c r="L127" s="953"/>
      <c r="M127" s="953"/>
      <c r="N127" s="960"/>
      <c r="O127" s="1040"/>
      <c r="P127" s="1040"/>
      <c r="Q127" s="1040"/>
      <c r="R127" s="1040"/>
      <c r="S127" s="1040"/>
      <c r="T127" s="1040"/>
      <c r="U127" s="1040"/>
      <c r="V127" s="1041"/>
      <c r="W127" s="148"/>
      <c r="X127" s="146"/>
      <c r="Y127" s="142"/>
      <c r="Z127" s="147"/>
      <c r="AA127" s="905"/>
      <c r="AB127" s="906"/>
      <c r="AC127" s="909"/>
      <c r="AD127" s="909"/>
      <c r="AE127" s="909"/>
      <c r="AF127" s="909"/>
      <c r="AG127" s="909"/>
      <c r="AH127" s="909"/>
      <c r="AI127" s="900"/>
      <c r="AJ127" s="901"/>
      <c r="AK127" s="901"/>
      <c r="AL127" s="901"/>
      <c r="AM127" s="901"/>
      <c r="AN127" s="902"/>
      <c r="AO127" s="903"/>
      <c r="AP127" s="903"/>
      <c r="AQ127" s="903"/>
      <c r="AR127" s="903"/>
      <c r="AS127" s="903"/>
      <c r="AT127" s="904"/>
      <c r="AU127" s="148"/>
      <c r="AV127" s="146"/>
    </row>
    <row r="128" spans="1:48" ht="18.95" customHeight="1">
      <c r="A128" s="142"/>
      <c r="B128" s="147"/>
      <c r="C128" s="923" t="str">
        <f>STUDENTS!AA13</f>
        <v>શા.શિ.</v>
      </c>
      <c r="D128" s="924"/>
      <c r="E128" s="925"/>
      <c r="F128" s="929" t="str">
        <f ca="1">INDIRECT("STUDENTS!AB"&amp;($R$1-1)*12+13)</f>
        <v>A</v>
      </c>
      <c r="G128" s="931" t="str">
        <f ca="1">INDIRECT("STUDENTS!AC"&amp;($R$1-1)*12+13)</f>
        <v>sfgsgsfg</v>
      </c>
      <c r="H128" s="932" t="str">
        <f t="shared" ref="H128:V128" ca="1" si="15">INDIRECT("STUDENTS!AB"&amp;($R$1-1)*12+13)</f>
        <v>A</v>
      </c>
      <c r="I128" s="932" t="str">
        <f t="shared" ca="1" si="15"/>
        <v>A</v>
      </c>
      <c r="J128" s="932" t="str">
        <f t="shared" ca="1" si="15"/>
        <v>A</v>
      </c>
      <c r="K128" s="932" t="str">
        <f t="shared" ca="1" si="15"/>
        <v>A</v>
      </c>
      <c r="L128" s="932" t="str">
        <f t="shared" ca="1" si="15"/>
        <v>A</v>
      </c>
      <c r="M128" s="932" t="str">
        <f t="shared" ca="1" si="15"/>
        <v>A</v>
      </c>
      <c r="N128" s="933" t="str">
        <f t="shared" ca="1" si="15"/>
        <v>A</v>
      </c>
      <c r="O128" s="1040" t="str">
        <f ca="1">INDIRECT("STUDENTS!AD"&amp;($R$1-1)*12+13)</f>
        <v>dhjkghk</v>
      </c>
      <c r="P128" s="1040" t="str">
        <f t="shared" ca="1" si="15"/>
        <v>A</v>
      </c>
      <c r="Q128" s="1040" t="str">
        <f t="shared" ca="1" si="15"/>
        <v>A</v>
      </c>
      <c r="R128" s="1040" t="str">
        <f t="shared" ca="1" si="15"/>
        <v>A</v>
      </c>
      <c r="S128" s="1040" t="str">
        <f t="shared" ca="1" si="15"/>
        <v>A</v>
      </c>
      <c r="T128" s="1040" t="str">
        <f t="shared" ca="1" si="15"/>
        <v>A</v>
      </c>
      <c r="U128" s="1040" t="str">
        <f t="shared" ca="1" si="15"/>
        <v>A</v>
      </c>
      <c r="V128" s="1041" t="str">
        <f t="shared" ca="1" si="15"/>
        <v>A</v>
      </c>
      <c r="W128" s="148"/>
      <c r="X128" s="146"/>
      <c r="Y128" s="142"/>
      <c r="Z128" s="147"/>
      <c r="AA128" s="905">
        <v>2</v>
      </c>
      <c r="AB128" s="906"/>
      <c r="AC128" s="909" t="str">
        <f ca="1">INDIRECT("STUDENTS!AR"&amp;($R$1-1)*12+6)</f>
        <v>વાંચન સારુ</v>
      </c>
      <c r="AD128" s="909"/>
      <c r="AE128" s="909"/>
      <c r="AF128" s="909"/>
      <c r="AG128" s="909"/>
      <c r="AH128" s="909"/>
      <c r="AI128" s="897" t="str">
        <f ca="1">INDIRECT("STUDENTS!AS"&amp;($R$1-1)*12+6)</f>
        <v>વાંચન સારુ</v>
      </c>
      <c r="AJ128" s="898"/>
      <c r="AK128" s="898"/>
      <c r="AL128" s="898"/>
      <c r="AM128" s="898"/>
      <c r="AN128" s="899"/>
      <c r="AO128" s="903"/>
      <c r="AP128" s="903"/>
      <c r="AQ128" s="903"/>
      <c r="AR128" s="903"/>
      <c r="AS128" s="903"/>
      <c r="AT128" s="904"/>
      <c r="AU128" s="148"/>
      <c r="AV128" s="146"/>
    </row>
    <row r="129" spans="1:48" ht="18.95" customHeight="1">
      <c r="A129" s="142"/>
      <c r="B129" s="147"/>
      <c r="C129" s="926"/>
      <c r="D129" s="927"/>
      <c r="E129" s="928"/>
      <c r="F129" s="930"/>
      <c r="G129" s="934"/>
      <c r="H129" s="935"/>
      <c r="I129" s="935"/>
      <c r="J129" s="935"/>
      <c r="K129" s="935"/>
      <c r="L129" s="935"/>
      <c r="M129" s="935"/>
      <c r="N129" s="936"/>
      <c r="O129" s="1040"/>
      <c r="P129" s="1040"/>
      <c r="Q129" s="1040"/>
      <c r="R129" s="1040"/>
      <c r="S129" s="1040"/>
      <c r="T129" s="1040"/>
      <c r="U129" s="1040"/>
      <c r="V129" s="1041"/>
      <c r="W129" s="148"/>
      <c r="X129" s="146"/>
      <c r="Y129" s="142"/>
      <c r="Z129" s="147"/>
      <c r="AA129" s="905"/>
      <c r="AB129" s="906"/>
      <c r="AC129" s="909"/>
      <c r="AD129" s="909"/>
      <c r="AE129" s="909"/>
      <c r="AF129" s="909"/>
      <c r="AG129" s="909"/>
      <c r="AH129" s="909"/>
      <c r="AI129" s="900"/>
      <c r="AJ129" s="901"/>
      <c r="AK129" s="901"/>
      <c r="AL129" s="901"/>
      <c r="AM129" s="901"/>
      <c r="AN129" s="902"/>
      <c r="AO129" s="903"/>
      <c r="AP129" s="903"/>
      <c r="AQ129" s="903"/>
      <c r="AR129" s="903"/>
      <c r="AS129" s="903"/>
      <c r="AT129" s="904"/>
      <c r="AU129" s="148"/>
      <c r="AV129" s="146"/>
    </row>
    <row r="130" spans="1:48" ht="18.95" customHeight="1">
      <c r="A130" s="142"/>
      <c r="B130" s="147"/>
      <c r="C130" s="946"/>
      <c r="D130" s="947"/>
      <c r="E130" s="948"/>
      <c r="F130" s="949"/>
      <c r="G130" s="952"/>
      <c r="H130" s="953"/>
      <c r="I130" s="953"/>
      <c r="J130" s="953"/>
      <c r="K130" s="953"/>
      <c r="L130" s="953"/>
      <c r="M130" s="953"/>
      <c r="N130" s="960"/>
      <c r="O130" s="1040"/>
      <c r="P130" s="1040"/>
      <c r="Q130" s="1040"/>
      <c r="R130" s="1040"/>
      <c r="S130" s="1040"/>
      <c r="T130" s="1040"/>
      <c r="U130" s="1040"/>
      <c r="V130" s="1041"/>
      <c r="W130" s="148"/>
      <c r="X130" s="146"/>
      <c r="Y130" s="142"/>
      <c r="Z130" s="147"/>
      <c r="AA130" s="905">
        <v>3</v>
      </c>
      <c r="AB130" s="906"/>
      <c r="AC130" s="909" t="str">
        <f ca="1">INDIRECT("STUDENTS!AR"&amp;($R$1-1)*12+8)</f>
        <v>વાંચન સારુ</v>
      </c>
      <c r="AD130" s="909"/>
      <c r="AE130" s="909"/>
      <c r="AF130" s="909"/>
      <c r="AG130" s="909"/>
      <c r="AH130" s="909"/>
      <c r="AI130" s="897" t="str">
        <f ca="1">INDIRECT("STUDENTS!AS"&amp;($R$1-1)*12+8)</f>
        <v>વાંચન સારુ</v>
      </c>
      <c r="AJ130" s="898"/>
      <c r="AK130" s="898"/>
      <c r="AL130" s="898"/>
      <c r="AM130" s="898"/>
      <c r="AN130" s="899"/>
      <c r="AO130" s="903"/>
      <c r="AP130" s="903"/>
      <c r="AQ130" s="903"/>
      <c r="AR130" s="903"/>
      <c r="AS130" s="903"/>
      <c r="AT130" s="904"/>
      <c r="AU130" s="148"/>
      <c r="AV130" s="146"/>
    </row>
    <row r="131" spans="1:48" ht="18.95" customHeight="1">
      <c r="A131" s="142"/>
      <c r="B131" s="147"/>
      <c r="C131" s="923" t="str">
        <f>STUDENTS!AA14</f>
        <v>કાર્યાનુભવ</v>
      </c>
      <c r="D131" s="924"/>
      <c r="E131" s="925"/>
      <c r="F131" s="929" t="str">
        <f ca="1">INDIRECT("STUDENTS!AB"&amp;($R$1-1)*12+14)</f>
        <v>A</v>
      </c>
      <c r="G131" s="931" t="str">
        <f ca="1">INDIRECT("STUDENTS!AC"&amp;($R$1-1)*12+14)</f>
        <v>sfgsgsfg</v>
      </c>
      <c r="H131" s="932" t="str">
        <f t="shared" ref="H131:V131" ca="1" si="16">INDIRECT("STUDENTS!AB"&amp;($R$1-1)*12+14)</f>
        <v>A</v>
      </c>
      <c r="I131" s="932" t="str">
        <f t="shared" ca="1" si="16"/>
        <v>A</v>
      </c>
      <c r="J131" s="932" t="str">
        <f t="shared" ca="1" si="16"/>
        <v>A</v>
      </c>
      <c r="K131" s="932" t="str">
        <f t="shared" ca="1" si="16"/>
        <v>A</v>
      </c>
      <c r="L131" s="932" t="str">
        <f t="shared" ca="1" si="16"/>
        <v>A</v>
      </c>
      <c r="M131" s="932" t="str">
        <f t="shared" ca="1" si="16"/>
        <v>A</v>
      </c>
      <c r="N131" s="933" t="str">
        <f t="shared" ca="1" si="16"/>
        <v>A</v>
      </c>
      <c r="O131" s="1040" t="str">
        <f ca="1">INDIRECT("STUDENTS!AD"&amp;($R$1-1)*12+14)</f>
        <v>dhjkghk</v>
      </c>
      <c r="P131" s="1040" t="str">
        <f t="shared" ca="1" si="16"/>
        <v>A</v>
      </c>
      <c r="Q131" s="1040" t="str">
        <f t="shared" ca="1" si="16"/>
        <v>A</v>
      </c>
      <c r="R131" s="1040" t="str">
        <f t="shared" ca="1" si="16"/>
        <v>A</v>
      </c>
      <c r="S131" s="1040" t="str">
        <f t="shared" ca="1" si="16"/>
        <v>A</v>
      </c>
      <c r="T131" s="1040" t="str">
        <f t="shared" ca="1" si="16"/>
        <v>A</v>
      </c>
      <c r="U131" s="1040" t="str">
        <f t="shared" ca="1" si="16"/>
        <v>A</v>
      </c>
      <c r="V131" s="1041" t="str">
        <f t="shared" ca="1" si="16"/>
        <v>A</v>
      </c>
      <c r="W131" s="148"/>
      <c r="X131" s="146"/>
      <c r="Y131" s="142"/>
      <c r="Z131" s="147"/>
      <c r="AA131" s="905"/>
      <c r="AB131" s="906"/>
      <c r="AC131" s="909"/>
      <c r="AD131" s="909"/>
      <c r="AE131" s="909"/>
      <c r="AF131" s="909"/>
      <c r="AG131" s="909"/>
      <c r="AH131" s="909"/>
      <c r="AI131" s="900"/>
      <c r="AJ131" s="901"/>
      <c r="AK131" s="901"/>
      <c r="AL131" s="901"/>
      <c r="AM131" s="901"/>
      <c r="AN131" s="902"/>
      <c r="AO131" s="903"/>
      <c r="AP131" s="903"/>
      <c r="AQ131" s="903"/>
      <c r="AR131" s="903"/>
      <c r="AS131" s="903"/>
      <c r="AT131" s="904"/>
      <c r="AU131" s="148"/>
      <c r="AV131" s="146"/>
    </row>
    <row r="132" spans="1:48" ht="18.95" customHeight="1">
      <c r="A132" s="142"/>
      <c r="B132" s="147"/>
      <c r="C132" s="926"/>
      <c r="D132" s="927"/>
      <c r="E132" s="928"/>
      <c r="F132" s="930"/>
      <c r="G132" s="934"/>
      <c r="H132" s="935"/>
      <c r="I132" s="935"/>
      <c r="J132" s="935"/>
      <c r="K132" s="935"/>
      <c r="L132" s="935"/>
      <c r="M132" s="935"/>
      <c r="N132" s="936"/>
      <c r="O132" s="1040"/>
      <c r="P132" s="1040"/>
      <c r="Q132" s="1040"/>
      <c r="R132" s="1040"/>
      <c r="S132" s="1040"/>
      <c r="T132" s="1040"/>
      <c r="U132" s="1040"/>
      <c r="V132" s="1041"/>
      <c r="W132" s="148"/>
      <c r="X132" s="146"/>
      <c r="Y132" s="142"/>
      <c r="Z132" s="147"/>
      <c r="AA132" s="905">
        <v>4</v>
      </c>
      <c r="AB132" s="906"/>
      <c r="AC132" s="909" t="str">
        <f ca="1">INDIRECT("STUDENTS!AR"&amp;($R$1-1)*12+10)</f>
        <v>વાંચન સારુ</v>
      </c>
      <c r="AD132" s="909"/>
      <c r="AE132" s="909"/>
      <c r="AF132" s="909"/>
      <c r="AG132" s="909"/>
      <c r="AH132" s="909"/>
      <c r="AI132" s="897" t="str">
        <f ca="1">INDIRECT("STUDENTS!AS"&amp;($R$1-1)*12+10)</f>
        <v>વાંચન સારુ</v>
      </c>
      <c r="AJ132" s="898"/>
      <c r="AK132" s="898"/>
      <c r="AL132" s="898"/>
      <c r="AM132" s="898"/>
      <c r="AN132" s="899"/>
      <c r="AO132" s="903"/>
      <c r="AP132" s="903"/>
      <c r="AQ132" s="903"/>
      <c r="AR132" s="903"/>
      <c r="AS132" s="903"/>
      <c r="AT132" s="904"/>
      <c r="AU132" s="148"/>
      <c r="AV132" s="146"/>
    </row>
    <row r="133" spans="1:48" ht="18.95" customHeight="1">
      <c r="A133" s="142"/>
      <c r="B133" s="147"/>
      <c r="C133" s="946"/>
      <c r="D133" s="947"/>
      <c r="E133" s="948"/>
      <c r="F133" s="949"/>
      <c r="G133" s="952"/>
      <c r="H133" s="953"/>
      <c r="I133" s="953"/>
      <c r="J133" s="953"/>
      <c r="K133" s="953"/>
      <c r="L133" s="953"/>
      <c r="M133" s="953"/>
      <c r="N133" s="960"/>
      <c r="O133" s="1040"/>
      <c r="P133" s="1040"/>
      <c r="Q133" s="1040"/>
      <c r="R133" s="1040"/>
      <c r="S133" s="1040"/>
      <c r="T133" s="1040"/>
      <c r="U133" s="1040"/>
      <c r="V133" s="1041"/>
      <c r="W133" s="148"/>
      <c r="X133" s="146"/>
      <c r="Y133" s="142"/>
      <c r="Z133" s="147"/>
      <c r="AA133" s="905"/>
      <c r="AB133" s="906"/>
      <c r="AC133" s="909"/>
      <c r="AD133" s="909"/>
      <c r="AE133" s="909"/>
      <c r="AF133" s="909"/>
      <c r="AG133" s="909"/>
      <c r="AH133" s="909"/>
      <c r="AI133" s="900"/>
      <c r="AJ133" s="901"/>
      <c r="AK133" s="901"/>
      <c r="AL133" s="901"/>
      <c r="AM133" s="901"/>
      <c r="AN133" s="902"/>
      <c r="AO133" s="903"/>
      <c r="AP133" s="903"/>
      <c r="AQ133" s="903"/>
      <c r="AR133" s="903"/>
      <c r="AS133" s="903"/>
      <c r="AT133" s="904"/>
      <c r="AU133" s="148"/>
      <c r="AV133" s="146"/>
    </row>
    <row r="134" spans="1:48" ht="18.95" customHeight="1">
      <c r="A134" s="142"/>
      <c r="B134" s="147"/>
      <c r="C134" s="923"/>
      <c r="D134" s="924"/>
      <c r="E134" s="925"/>
      <c r="F134" s="929">
        <f ca="1">INDIRECT("STUDENTS!T"&amp;($R$1-1)*12+14)</f>
        <v>0</v>
      </c>
      <c r="G134" s="931"/>
      <c r="H134" s="932"/>
      <c r="I134" s="932"/>
      <c r="J134" s="932"/>
      <c r="K134" s="932"/>
      <c r="L134" s="932"/>
      <c r="M134" s="932"/>
      <c r="N134" s="933"/>
      <c r="O134" s="1040">
        <f ca="1">INDIRECT("STUDENTS!V"&amp;($R$1-1)*12+14)</f>
        <v>0</v>
      </c>
      <c r="P134" s="1040"/>
      <c r="Q134" s="1040"/>
      <c r="R134" s="1040"/>
      <c r="S134" s="1040"/>
      <c r="T134" s="1040"/>
      <c r="U134" s="1040"/>
      <c r="V134" s="1041"/>
      <c r="W134" s="148"/>
      <c r="X134" s="146"/>
      <c r="Y134" s="142"/>
      <c r="Z134" s="147"/>
      <c r="AA134" s="905">
        <v>5</v>
      </c>
      <c r="AB134" s="906"/>
      <c r="AC134" s="909" t="str">
        <f ca="1">INDIRECT("STUDENTS!AR"&amp;($R$1-1)*12+12)</f>
        <v>વાંચન સારુ</v>
      </c>
      <c r="AD134" s="909"/>
      <c r="AE134" s="909"/>
      <c r="AF134" s="909"/>
      <c r="AG134" s="909"/>
      <c r="AH134" s="909"/>
      <c r="AI134" s="897" t="str">
        <f ca="1">INDIRECT("STUDENTS!AS"&amp;($R$1-1)*12+12)</f>
        <v>વાંચન સારુ</v>
      </c>
      <c r="AJ134" s="898"/>
      <c r="AK134" s="898"/>
      <c r="AL134" s="898"/>
      <c r="AM134" s="898"/>
      <c r="AN134" s="899"/>
      <c r="AO134" s="903"/>
      <c r="AP134" s="903"/>
      <c r="AQ134" s="903"/>
      <c r="AR134" s="903"/>
      <c r="AS134" s="903"/>
      <c r="AT134" s="904"/>
      <c r="AU134" s="148"/>
      <c r="AV134" s="146"/>
    </row>
    <row r="135" spans="1:48" ht="18.95" customHeight="1">
      <c r="A135" s="142"/>
      <c r="B135" s="147"/>
      <c r="C135" s="926"/>
      <c r="D135" s="927"/>
      <c r="E135" s="928"/>
      <c r="F135" s="930"/>
      <c r="G135" s="934"/>
      <c r="H135" s="935"/>
      <c r="I135" s="935"/>
      <c r="J135" s="935"/>
      <c r="K135" s="935"/>
      <c r="L135" s="935"/>
      <c r="M135" s="935"/>
      <c r="N135" s="936"/>
      <c r="O135" s="1040"/>
      <c r="P135" s="1040"/>
      <c r="Q135" s="1040"/>
      <c r="R135" s="1040"/>
      <c r="S135" s="1040"/>
      <c r="T135" s="1040"/>
      <c r="U135" s="1040"/>
      <c r="V135" s="1041"/>
      <c r="W135" s="148"/>
      <c r="X135" s="146"/>
      <c r="Y135" s="142"/>
      <c r="Z135" s="147"/>
      <c r="AA135" s="907"/>
      <c r="AB135" s="908"/>
      <c r="AC135" s="910"/>
      <c r="AD135" s="910"/>
      <c r="AE135" s="910"/>
      <c r="AF135" s="910"/>
      <c r="AG135" s="910"/>
      <c r="AH135" s="910"/>
      <c r="AI135" s="911"/>
      <c r="AJ135" s="912"/>
      <c r="AK135" s="912"/>
      <c r="AL135" s="912"/>
      <c r="AM135" s="912"/>
      <c r="AN135" s="913"/>
      <c r="AO135" s="914"/>
      <c r="AP135" s="914"/>
      <c r="AQ135" s="914"/>
      <c r="AR135" s="914"/>
      <c r="AS135" s="914"/>
      <c r="AT135" s="915"/>
      <c r="AU135" s="148"/>
      <c r="AV135" s="146"/>
    </row>
    <row r="136" spans="1:48" ht="18.95" customHeight="1">
      <c r="A136" s="142"/>
      <c r="B136" s="147"/>
      <c r="C136" s="1022"/>
      <c r="D136" s="1023"/>
      <c r="E136" s="1024"/>
      <c r="F136" s="1070"/>
      <c r="G136" s="1071"/>
      <c r="H136" s="1072"/>
      <c r="I136" s="1072"/>
      <c r="J136" s="1072"/>
      <c r="K136" s="1072"/>
      <c r="L136" s="1072"/>
      <c r="M136" s="1072"/>
      <c r="N136" s="1073"/>
      <c r="O136" s="1078"/>
      <c r="P136" s="1078"/>
      <c r="Q136" s="1078"/>
      <c r="R136" s="1078"/>
      <c r="S136" s="1078"/>
      <c r="T136" s="1078"/>
      <c r="U136" s="1078"/>
      <c r="V136" s="1079"/>
      <c r="W136" s="148"/>
      <c r="X136" s="146"/>
      <c r="Y136" s="142"/>
      <c r="Z136" s="147"/>
      <c r="AA136" s="158"/>
      <c r="AB136" s="158"/>
      <c r="AC136" s="158"/>
      <c r="AD136" s="158"/>
      <c r="AE136" s="158"/>
      <c r="AF136" s="158"/>
      <c r="AG136" s="158"/>
      <c r="AH136" s="158"/>
      <c r="AI136" s="158"/>
      <c r="AJ136" s="158"/>
      <c r="AK136" s="158"/>
      <c r="AL136" s="158"/>
      <c r="AM136" s="158"/>
      <c r="AN136" s="158"/>
      <c r="AO136" s="158"/>
      <c r="AP136" s="158"/>
      <c r="AQ136" s="158"/>
      <c r="AR136" s="158"/>
      <c r="AS136" s="158"/>
      <c r="AT136" s="158"/>
      <c r="AU136" s="148"/>
      <c r="AV136" s="146"/>
    </row>
    <row r="137" spans="1:48" ht="21.75" customHeight="1" thickBot="1">
      <c r="A137" s="142"/>
      <c r="B137" s="151"/>
      <c r="C137" s="152"/>
      <c r="D137" s="152"/>
      <c r="E137" s="152"/>
      <c r="F137" s="152"/>
      <c r="G137" s="152"/>
      <c r="H137" s="152"/>
      <c r="I137" s="152"/>
      <c r="J137" s="152"/>
      <c r="K137" s="152"/>
      <c r="L137" s="152"/>
      <c r="M137" s="152"/>
      <c r="N137" s="152"/>
      <c r="O137" s="152"/>
      <c r="P137" s="152"/>
      <c r="Q137" s="152"/>
      <c r="R137" s="152"/>
      <c r="S137" s="152"/>
      <c r="T137" s="152"/>
      <c r="U137" s="152"/>
      <c r="V137" s="152"/>
      <c r="W137" s="153"/>
      <c r="X137" s="146"/>
      <c r="Y137" s="142"/>
      <c r="Z137" s="151"/>
      <c r="AA137" s="152"/>
      <c r="AB137" s="152"/>
      <c r="AC137" s="152"/>
      <c r="AD137" s="152"/>
      <c r="AE137" s="152"/>
      <c r="AF137" s="152"/>
      <c r="AG137" s="152"/>
      <c r="AH137" s="152"/>
      <c r="AI137" s="152"/>
      <c r="AJ137" s="152"/>
      <c r="AK137" s="152"/>
      <c r="AL137" s="152"/>
      <c r="AM137" s="152"/>
      <c r="AN137" s="152"/>
      <c r="AO137" s="152"/>
      <c r="AP137" s="152"/>
      <c r="AQ137" s="152"/>
      <c r="AR137" s="152"/>
      <c r="AS137" s="152"/>
      <c r="AT137" s="152"/>
      <c r="AU137" s="153"/>
      <c r="AV137" s="146"/>
    </row>
    <row r="138" spans="1:48" ht="15.75" customHeight="1">
      <c r="A138" s="154"/>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6"/>
      <c r="Y138" s="154"/>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6"/>
    </row>
    <row r="139" spans="1:48"/>
    <row r="140" spans="1:48" ht="15.75" thickBot="1">
      <c r="A140" s="139"/>
      <c r="B140" s="140"/>
      <c r="C140" s="140"/>
      <c r="D140" s="140"/>
      <c r="E140" s="140"/>
      <c r="F140" s="140"/>
      <c r="G140" s="140"/>
      <c r="H140" s="140"/>
      <c r="I140" s="140"/>
      <c r="J140" s="140"/>
      <c r="K140" s="140"/>
      <c r="L140" s="140"/>
      <c r="M140" s="140"/>
      <c r="N140" s="140"/>
      <c r="O140" s="140"/>
      <c r="P140" s="140"/>
      <c r="Q140" s="140"/>
      <c r="R140" s="140"/>
      <c r="S140" s="140"/>
      <c r="T140" s="140"/>
      <c r="U140" s="140"/>
      <c r="V140" s="140"/>
      <c r="W140" s="140"/>
      <c r="X140" s="141"/>
    </row>
    <row r="141" spans="1:48">
      <c r="A141" s="142"/>
      <c r="B141" s="143"/>
      <c r="C141" s="144"/>
      <c r="D141" s="144"/>
      <c r="E141" s="144"/>
      <c r="F141" s="144"/>
      <c r="G141" s="144"/>
      <c r="H141" s="144"/>
      <c r="I141" s="144"/>
      <c r="J141" s="144"/>
      <c r="K141" s="144"/>
      <c r="L141" s="144"/>
      <c r="M141" s="144"/>
      <c r="N141" s="144"/>
      <c r="O141" s="144"/>
      <c r="P141" s="144"/>
      <c r="Q141" s="144"/>
      <c r="R141" s="144"/>
      <c r="S141" s="144"/>
      <c r="T141" s="144"/>
      <c r="U141" s="144"/>
      <c r="V141" s="144"/>
      <c r="W141" s="145"/>
      <c r="X141" s="146"/>
    </row>
    <row r="142" spans="1:48" ht="21.75" customHeight="1">
      <c r="A142" s="142"/>
      <c r="B142" s="147"/>
      <c r="C142" s="1101" t="s">
        <v>223</v>
      </c>
      <c r="D142" s="1101"/>
      <c r="E142" s="1101"/>
      <c r="F142" s="1101"/>
      <c r="G142" s="1101"/>
      <c r="H142" s="1101"/>
      <c r="I142" s="1101"/>
      <c r="J142" s="1101"/>
      <c r="K142" s="1101"/>
      <c r="L142" s="1101"/>
      <c r="M142" s="1101"/>
      <c r="N142" s="1101"/>
      <c r="O142" s="1101"/>
      <c r="P142" s="1101"/>
      <c r="Q142" s="1101"/>
      <c r="R142" s="1101"/>
      <c r="S142" s="1101"/>
      <c r="T142" s="1101"/>
      <c r="U142" s="1101"/>
      <c r="V142" s="1101"/>
      <c r="W142" s="148"/>
      <c r="X142" s="146"/>
    </row>
    <row r="143" spans="1:48" ht="20.100000000000001" customHeight="1">
      <c r="A143" s="142"/>
      <c r="B143" s="147"/>
      <c r="C143" s="1046">
        <v>1</v>
      </c>
      <c r="D143" s="1087" t="str">
        <f>STUDENTS!AU4</f>
        <v>શાળાનું નામ</v>
      </c>
      <c r="E143" s="1087"/>
      <c r="F143" s="1087"/>
      <c r="G143" s="1087"/>
      <c r="H143" s="1095">
        <f ca="1">INDIRECT("STUDENTS!AV"&amp;($R$1-1)*12+4)</f>
        <v>0</v>
      </c>
      <c r="I143" s="1096"/>
      <c r="J143" s="1096"/>
      <c r="K143" s="1096"/>
      <c r="L143" s="1096"/>
      <c r="M143" s="1096"/>
      <c r="N143" s="1096"/>
      <c r="O143" s="1096"/>
      <c r="P143" s="1096"/>
      <c r="Q143" s="1096"/>
      <c r="R143" s="1096"/>
      <c r="S143" s="1096"/>
      <c r="T143" s="1096"/>
      <c r="U143" s="1096"/>
      <c r="V143" s="1097"/>
      <c r="W143" s="148"/>
      <c r="X143" s="146"/>
    </row>
    <row r="144" spans="1:48" ht="20.100000000000001" customHeight="1">
      <c r="A144" s="142"/>
      <c r="B144" s="147"/>
      <c r="C144" s="1047"/>
      <c r="D144" s="1088"/>
      <c r="E144" s="1088"/>
      <c r="F144" s="1088"/>
      <c r="G144" s="1088"/>
      <c r="H144" s="1098"/>
      <c r="I144" s="1099"/>
      <c r="J144" s="1099"/>
      <c r="K144" s="1099"/>
      <c r="L144" s="1099"/>
      <c r="M144" s="1099"/>
      <c r="N144" s="1099"/>
      <c r="O144" s="1099"/>
      <c r="P144" s="1099"/>
      <c r="Q144" s="1099"/>
      <c r="R144" s="1099"/>
      <c r="S144" s="1099"/>
      <c r="T144" s="1099"/>
      <c r="U144" s="1099"/>
      <c r="V144" s="1100"/>
      <c r="W144" s="148"/>
      <c r="X144" s="146"/>
    </row>
    <row r="145" spans="1:24" ht="20.100000000000001" customHeight="1">
      <c r="A145" s="142"/>
      <c r="B145" s="147"/>
      <c r="C145" s="1047"/>
      <c r="D145" s="1080" t="str">
        <f>STUDENTS!AU5</f>
        <v>સરનામું</v>
      </c>
      <c r="E145" s="1080"/>
      <c r="F145" s="1080"/>
      <c r="G145" s="1080"/>
      <c r="H145" s="1085">
        <f ca="1">INDIRECT("STUDENTS!AV"&amp;($R$1-1)*12+5)</f>
        <v>0</v>
      </c>
      <c r="I145" s="1085"/>
      <c r="J145" s="1085"/>
      <c r="K145" s="1085"/>
      <c r="L145" s="1085"/>
      <c r="M145" s="1085"/>
      <c r="N145" s="1085"/>
      <c r="O145" s="1085"/>
      <c r="P145" s="1085"/>
      <c r="Q145" s="1085"/>
      <c r="R145" s="1085"/>
      <c r="S145" s="1085"/>
      <c r="T145" s="1085"/>
      <c r="U145" s="1085"/>
      <c r="V145" s="1086"/>
      <c r="W145" s="148"/>
      <c r="X145" s="146"/>
    </row>
    <row r="146" spans="1:24" ht="20.100000000000001" customHeight="1">
      <c r="A146" s="142"/>
      <c r="B146" s="147"/>
      <c r="C146" s="1047"/>
      <c r="D146" s="1080"/>
      <c r="E146" s="1080"/>
      <c r="F146" s="1080"/>
      <c r="G146" s="1080"/>
      <c r="H146" s="1085"/>
      <c r="I146" s="1085"/>
      <c r="J146" s="1085"/>
      <c r="K146" s="1085"/>
      <c r="L146" s="1085"/>
      <c r="M146" s="1085"/>
      <c r="N146" s="1085"/>
      <c r="O146" s="1085"/>
      <c r="P146" s="1085"/>
      <c r="Q146" s="1085"/>
      <c r="R146" s="1085"/>
      <c r="S146" s="1085"/>
      <c r="T146" s="1085"/>
      <c r="U146" s="1085"/>
      <c r="V146" s="1086"/>
      <c r="W146" s="148"/>
      <c r="X146" s="146"/>
    </row>
    <row r="147" spans="1:24" ht="23.1" customHeight="1">
      <c r="A147" s="142"/>
      <c r="B147" s="147"/>
      <c r="C147" s="1047"/>
      <c r="D147" s="1080" t="str">
        <f>STUDENTS!AU6</f>
        <v>પ્રવેશ તારીખ</v>
      </c>
      <c r="E147" s="1080"/>
      <c r="F147" s="1080"/>
      <c r="G147" s="1080"/>
      <c r="H147" s="1081">
        <f ca="1">INDIRECT("STUDENTS!AV"&amp;($R$1-1)*12+6)</f>
        <v>0</v>
      </c>
      <c r="I147" s="1081"/>
      <c r="J147" s="1081"/>
      <c r="K147" s="1081"/>
      <c r="L147" s="1080" t="s">
        <v>12</v>
      </c>
      <c r="M147" s="1080"/>
      <c r="N147" s="1080"/>
      <c r="O147" s="1082">
        <f ca="1">INDIRECT("STUDENTS!AX"&amp;($R$1-1)*12+6)</f>
        <v>0</v>
      </c>
      <c r="P147" s="1082"/>
      <c r="Q147" s="1083" t="s">
        <v>192</v>
      </c>
      <c r="R147" s="1083"/>
      <c r="S147" s="1083"/>
      <c r="T147" s="1082">
        <f ca="1">INDIRECT("STUDENTS!AX"&amp;($R$1-1)*12+5)</f>
        <v>0</v>
      </c>
      <c r="U147" s="1082"/>
      <c r="V147" s="1084"/>
      <c r="W147" s="148"/>
      <c r="X147" s="146"/>
    </row>
    <row r="148" spans="1:24" ht="23.1" customHeight="1">
      <c r="A148" s="142"/>
      <c r="B148" s="147"/>
      <c r="C148" s="1047"/>
      <c r="D148" s="1080" t="str">
        <f>STUDENTS!AU7</f>
        <v>શા. છો.તારીખ</v>
      </c>
      <c r="E148" s="1080"/>
      <c r="F148" s="1080"/>
      <c r="G148" s="1080"/>
      <c r="H148" s="1081">
        <f ca="1">INDIRECT("STUDENTS!AV"&amp;($R$1-1)*12+7)</f>
        <v>0</v>
      </c>
      <c r="I148" s="1081"/>
      <c r="J148" s="1081"/>
      <c r="K148" s="1081"/>
      <c r="L148" s="1080" t="s">
        <v>12</v>
      </c>
      <c r="M148" s="1080"/>
      <c r="N148" s="1080"/>
      <c r="O148" s="1082">
        <f ca="1">INDIRECT("STUDENTS!AX"&amp;($R$1-1)*12+7)</f>
        <v>0</v>
      </c>
      <c r="P148" s="1082"/>
      <c r="Q148" s="1083" t="s">
        <v>224</v>
      </c>
      <c r="R148" s="1083"/>
      <c r="S148" s="1083"/>
      <c r="T148" s="1082">
        <f ca="1">INDIRECT("STUDENTS!AX"&amp;($R$1-1)*12+8)</f>
        <v>0</v>
      </c>
      <c r="U148" s="1082"/>
      <c r="V148" s="1084"/>
      <c r="W148" s="148"/>
      <c r="X148" s="146"/>
    </row>
    <row r="149" spans="1:24" ht="20.100000000000001" customHeight="1">
      <c r="A149" s="142"/>
      <c r="B149" s="147"/>
      <c r="C149" s="1047"/>
      <c r="D149" s="1080" t="str">
        <f>STUDENTS!AU13</f>
        <v>શા. છો. કારણ</v>
      </c>
      <c r="E149" s="1080"/>
      <c r="F149" s="1080"/>
      <c r="G149" s="1080"/>
      <c r="H149" s="1082">
        <f ca="1">INDIRECT("STUDENTS!AV"&amp;($R$1-1)*12+8)</f>
        <v>0</v>
      </c>
      <c r="I149" s="1082"/>
      <c r="J149" s="1082"/>
      <c r="K149" s="1082"/>
      <c r="L149" s="1082"/>
      <c r="M149" s="1082"/>
      <c r="N149" s="1082"/>
      <c r="O149" s="1082"/>
      <c r="P149" s="1082"/>
      <c r="Q149" s="1082"/>
      <c r="R149" s="1082"/>
      <c r="S149" s="1082"/>
      <c r="T149" s="1082"/>
      <c r="U149" s="1082"/>
      <c r="V149" s="1084"/>
      <c r="W149" s="148"/>
      <c r="X149" s="146"/>
    </row>
    <row r="150" spans="1:24" ht="20.100000000000001" customHeight="1">
      <c r="A150" s="142"/>
      <c r="B150" s="147"/>
      <c r="C150" s="1091"/>
      <c r="D150" s="1092"/>
      <c r="E150" s="1092"/>
      <c r="F150" s="1092"/>
      <c r="G150" s="1092"/>
      <c r="H150" s="1093"/>
      <c r="I150" s="1093"/>
      <c r="J150" s="1093"/>
      <c r="K150" s="1093"/>
      <c r="L150" s="1093"/>
      <c r="M150" s="1093"/>
      <c r="N150" s="1093"/>
      <c r="O150" s="1093"/>
      <c r="P150" s="1093"/>
      <c r="Q150" s="1093"/>
      <c r="R150" s="1093"/>
      <c r="S150" s="1093"/>
      <c r="T150" s="1093"/>
      <c r="U150" s="1093"/>
      <c r="V150" s="1094"/>
      <c r="W150" s="148"/>
      <c r="X150" s="146"/>
    </row>
    <row r="151" spans="1:24" ht="20.100000000000001" customHeight="1">
      <c r="A151" s="142"/>
      <c r="B151" s="147"/>
      <c r="C151" s="158"/>
      <c r="D151" s="460"/>
      <c r="E151" s="460"/>
      <c r="F151" s="460"/>
      <c r="G151" s="460"/>
      <c r="H151" s="460"/>
      <c r="I151" s="460"/>
      <c r="J151" s="460"/>
      <c r="K151" s="460"/>
      <c r="L151" s="460"/>
      <c r="M151" s="460"/>
      <c r="N151" s="460"/>
      <c r="O151" s="460"/>
      <c r="P151" s="460"/>
      <c r="Q151" s="460"/>
      <c r="R151" s="460"/>
      <c r="S151" s="460"/>
      <c r="T151" s="460"/>
      <c r="U151" s="460"/>
      <c r="V151" s="460"/>
      <c r="W151" s="148"/>
      <c r="X151" s="146"/>
    </row>
    <row r="152" spans="1:24" ht="20.100000000000001" customHeight="1">
      <c r="A152" s="142"/>
      <c r="B152" s="147"/>
      <c r="C152" s="1046">
        <v>2</v>
      </c>
      <c r="D152" s="1087" t="str">
        <f>STUDENTS!AU13</f>
        <v>શા. છો. કારણ</v>
      </c>
      <c r="E152" s="1087"/>
      <c r="F152" s="1087"/>
      <c r="G152" s="1087"/>
      <c r="H152" s="1089">
        <f ca="1">INDIRECT("STUDENTS!AV"&amp;($R$1-1)*12+9)</f>
        <v>0</v>
      </c>
      <c r="I152" s="1089"/>
      <c r="J152" s="1089"/>
      <c r="K152" s="1089"/>
      <c r="L152" s="1089"/>
      <c r="M152" s="1089"/>
      <c r="N152" s="1089"/>
      <c r="O152" s="1089"/>
      <c r="P152" s="1089"/>
      <c r="Q152" s="1089"/>
      <c r="R152" s="1089"/>
      <c r="S152" s="1089"/>
      <c r="T152" s="1089"/>
      <c r="U152" s="1089"/>
      <c r="V152" s="1090"/>
      <c r="W152" s="148"/>
      <c r="X152" s="146"/>
    </row>
    <row r="153" spans="1:24" ht="20.100000000000001" customHeight="1">
      <c r="A153" s="142"/>
      <c r="B153" s="147"/>
      <c r="C153" s="1047"/>
      <c r="D153" s="1088"/>
      <c r="E153" s="1088"/>
      <c r="F153" s="1088"/>
      <c r="G153" s="1088"/>
      <c r="H153" s="1085"/>
      <c r="I153" s="1085"/>
      <c r="J153" s="1085"/>
      <c r="K153" s="1085"/>
      <c r="L153" s="1085"/>
      <c r="M153" s="1085"/>
      <c r="N153" s="1085"/>
      <c r="O153" s="1085"/>
      <c r="P153" s="1085"/>
      <c r="Q153" s="1085"/>
      <c r="R153" s="1085"/>
      <c r="S153" s="1085"/>
      <c r="T153" s="1085"/>
      <c r="U153" s="1085"/>
      <c r="V153" s="1086"/>
      <c r="W153" s="148"/>
      <c r="X153" s="146"/>
    </row>
    <row r="154" spans="1:24" ht="20.100000000000001" customHeight="1">
      <c r="A154" s="142"/>
      <c r="B154" s="147"/>
      <c r="C154" s="1047"/>
      <c r="D154" s="1080">
        <f>STUDENTS!AU14</f>
        <v>0</v>
      </c>
      <c r="E154" s="1080"/>
      <c r="F154" s="1080"/>
      <c r="G154" s="1080"/>
      <c r="H154" s="1085">
        <f ca="1">INDIRECT("STUDENTS!AV"&amp;($R$1-1)*12+10)</f>
        <v>0</v>
      </c>
      <c r="I154" s="1085"/>
      <c r="J154" s="1085"/>
      <c r="K154" s="1085"/>
      <c r="L154" s="1085"/>
      <c r="M154" s="1085"/>
      <c r="N154" s="1085"/>
      <c r="O154" s="1085"/>
      <c r="P154" s="1085"/>
      <c r="Q154" s="1085"/>
      <c r="R154" s="1085"/>
      <c r="S154" s="1085"/>
      <c r="T154" s="1085"/>
      <c r="U154" s="1085"/>
      <c r="V154" s="1086"/>
      <c r="W154" s="148"/>
      <c r="X154" s="146"/>
    </row>
    <row r="155" spans="1:24" ht="20.100000000000001" customHeight="1">
      <c r="A155" s="142"/>
      <c r="B155" s="147"/>
      <c r="C155" s="1047"/>
      <c r="D155" s="1080"/>
      <c r="E155" s="1080"/>
      <c r="F155" s="1080"/>
      <c r="G155" s="1080"/>
      <c r="H155" s="1085"/>
      <c r="I155" s="1085"/>
      <c r="J155" s="1085"/>
      <c r="K155" s="1085"/>
      <c r="L155" s="1085"/>
      <c r="M155" s="1085"/>
      <c r="N155" s="1085"/>
      <c r="O155" s="1085"/>
      <c r="P155" s="1085"/>
      <c r="Q155" s="1085"/>
      <c r="R155" s="1085"/>
      <c r="S155" s="1085"/>
      <c r="T155" s="1085"/>
      <c r="U155" s="1085"/>
      <c r="V155" s="1086"/>
      <c r="W155" s="148"/>
      <c r="X155" s="146"/>
    </row>
    <row r="156" spans="1:24" ht="23.1" customHeight="1">
      <c r="A156" s="142"/>
      <c r="B156" s="147"/>
      <c r="C156" s="1047"/>
      <c r="D156" s="1080">
        <f>STUDENTS!AU15</f>
        <v>0</v>
      </c>
      <c r="E156" s="1080"/>
      <c r="F156" s="1080"/>
      <c r="G156" s="1080"/>
      <c r="H156" s="1081">
        <f ca="1">INDIRECT("STUDENTS!AV"&amp;($R$1-1)*12+11)</f>
        <v>0</v>
      </c>
      <c r="I156" s="1081"/>
      <c r="J156" s="1081"/>
      <c r="K156" s="1081"/>
      <c r="L156" s="1080" t="s">
        <v>12</v>
      </c>
      <c r="M156" s="1080"/>
      <c r="N156" s="1080"/>
      <c r="O156" s="1082">
        <f ca="1">INDIRECT("STUDENTS!AX"&amp;($R$1-1)*12+11)</f>
        <v>0</v>
      </c>
      <c r="P156" s="1082"/>
      <c r="Q156" s="1083" t="s">
        <v>192</v>
      </c>
      <c r="R156" s="1083"/>
      <c r="S156" s="1083"/>
      <c r="T156" s="1082">
        <f ca="1">INDIRECT("STUDENTS!AX"&amp;($R$1-1)*12+10)</f>
        <v>0</v>
      </c>
      <c r="U156" s="1082"/>
      <c r="V156" s="1084"/>
      <c r="W156" s="148"/>
      <c r="X156" s="146"/>
    </row>
    <row r="157" spans="1:24" ht="23.1" customHeight="1">
      <c r="A157" s="142"/>
      <c r="B157" s="147"/>
      <c r="C157" s="1047"/>
      <c r="D157" s="1080" t="str">
        <f>STUDENTS!AU16</f>
        <v>શાળાનું નામ</v>
      </c>
      <c r="E157" s="1080"/>
      <c r="F157" s="1080"/>
      <c r="G157" s="1080"/>
      <c r="H157" s="1081">
        <f ca="1">INDIRECT("STUDENTS!AV"&amp;($R$1-1)*12+12)</f>
        <v>0</v>
      </c>
      <c r="I157" s="1081"/>
      <c r="J157" s="1081"/>
      <c r="K157" s="1081"/>
      <c r="L157" s="1080" t="s">
        <v>12</v>
      </c>
      <c r="M157" s="1080"/>
      <c r="N157" s="1080"/>
      <c r="O157" s="1082">
        <f ca="1">INDIRECT("STUDENTS!AX"&amp;($R$1-1)*12+12)</f>
        <v>0</v>
      </c>
      <c r="P157" s="1082"/>
      <c r="Q157" s="1083" t="s">
        <v>224</v>
      </c>
      <c r="R157" s="1083"/>
      <c r="S157" s="1083"/>
      <c r="T157" s="1082">
        <f ca="1">INDIRECT("STUDENTS!AX"&amp;($R$1-1)*12+13)</f>
        <v>0</v>
      </c>
      <c r="U157" s="1082"/>
      <c r="V157" s="1084"/>
      <c r="W157" s="148"/>
      <c r="X157" s="146"/>
    </row>
    <row r="158" spans="1:24" ht="20.100000000000001" customHeight="1">
      <c r="A158" s="142"/>
      <c r="B158" s="147"/>
      <c r="C158" s="1047"/>
      <c r="D158" s="1080" t="str">
        <f>STUDENTS!AU22</f>
        <v>સરનામું</v>
      </c>
      <c r="E158" s="1080"/>
      <c r="F158" s="1080"/>
      <c r="G158" s="1080"/>
      <c r="H158" s="1082">
        <f ca="1">INDIRECT("STUDENTS!AV"&amp;($R$1-1)*12+13)</f>
        <v>0</v>
      </c>
      <c r="I158" s="1082"/>
      <c r="J158" s="1082"/>
      <c r="K158" s="1082"/>
      <c r="L158" s="1082"/>
      <c r="M158" s="1082"/>
      <c r="N158" s="1082"/>
      <c r="O158" s="1082"/>
      <c r="P158" s="1082"/>
      <c r="Q158" s="1082"/>
      <c r="R158" s="1082"/>
      <c r="S158" s="1082"/>
      <c r="T158" s="1082"/>
      <c r="U158" s="1082"/>
      <c r="V158" s="1084"/>
      <c r="W158" s="148"/>
      <c r="X158" s="146"/>
    </row>
    <row r="159" spans="1:24" ht="20.100000000000001" customHeight="1">
      <c r="A159" s="142"/>
      <c r="B159" s="147"/>
      <c r="C159" s="1091"/>
      <c r="D159" s="1092"/>
      <c r="E159" s="1092"/>
      <c r="F159" s="1092"/>
      <c r="G159" s="1092"/>
      <c r="H159" s="1093"/>
      <c r="I159" s="1093"/>
      <c r="J159" s="1093"/>
      <c r="K159" s="1093"/>
      <c r="L159" s="1093"/>
      <c r="M159" s="1093"/>
      <c r="N159" s="1093"/>
      <c r="O159" s="1093"/>
      <c r="P159" s="1093"/>
      <c r="Q159" s="1093"/>
      <c r="R159" s="1093"/>
      <c r="S159" s="1093"/>
      <c r="T159" s="1093"/>
      <c r="U159" s="1093"/>
      <c r="V159" s="1094"/>
      <c r="W159" s="148"/>
      <c r="X159" s="146"/>
    </row>
    <row r="160" spans="1:24" ht="20.100000000000001" customHeight="1">
      <c r="A160" s="142"/>
      <c r="B160" s="147"/>
      <c r="C160" s="158"/>
      <c r="D160" s="460"/>
      <c r="E160" s="460"/>
      <c r="F160" s="460"/>
      <c r="G160" s="460"/>
      <c r="H160" s="460"/>
      <c r="I160" s="460"/>
      <c r="J160" s="460"/>
      <c r="K160" s="460"/>
      <c r="L160" s="460"/>
      <c r="M160" s="460"/>
      <c r="N160" s="460"/>
      <c r="O160" s="460"/>
      <c r="P160" s="460"/>
      <c r="Q160" s="460"/>
      <c r="R160" s="460"/>
      <c r="S160" s="460"/>
      <c r="T160" s="460"/>
      <c r="U160" s="460"/>
      <c r="V160" s="460"/>
      <c r="W160" s="148"/>
      <c r="X160" s="146"/>
    </row>
    <row r="161" spans="1:24" ht="20.100000000000001" customHeight="1">
      <c r="A161" s="142"/>
      <c r="B161" s="147"/>
      <c r="C161" s="1046">
        <v>3</v>
      </c>
      <c r="D161" s="1087" t="str">
        <f>STUDENTS!AU22</f>
        <v>સરનામું</v>
      </c>
      <c r="E161" s="1087"/>
      <c r="F161" s="1087"/>
      <c r="G161" s="1087"/>
      <c r="H161" s="1089">
        <f ca="1">INDIRECT("STUDENTS!BA"&amp;($R$1-1)*12+4)</f>
        <v>0</v>
      </c>
      <c r="I161" s="1089"/>
      <c r="J161" s="1089"/>
      <c r="K161" s="1089"/>
      <c r="L161" s="1089"/>
      <c r="M161" s="1089"/>
      <c r="N161" s="1089"/>
      <c r="O161" s="1089"/>
      <c r="P161" s="1089"/>
      <c r="Q161" s="1089"/>
      <c r="R161" s="1089"/>
      <c r="S161" s="1089"/>
      <c r="T161" s="1089"/>
      <c r="U161" s="1089"/>
      <c r="V161" s="1090"/>
      <c r="W161" s="148"/>
      <c r="X161" s="146"/>
    </row>
    <row r="162" spans="1:24" ht="20.100000000000001" customHeight="1">
      <c r="A162" s="142"/>
      <c r="B162" s="147"/>
      <c r="C162" s="1047"/>
      <c r="D162" s="1088"/>
      <c r="E162" s="1088"/>
      <c r="F162" s="1088"/>
      <c r="G162" s="1088"/>
      <c r="H162" s="1085"/>
      <c r="I162" s="1085"/>
      <c r="J162" s="1085"/>
      <c r="K162" s="1085"/>
      <c r="L162" s="1085"/>
      <c r="M162" s="1085"/>
      <c r="N162" s="1085"/>
      <c r="O162" s="1085"/>
      <c r="P162" s="1085"/>
      <c r="Q162" s="1085"/>
      <c r="R162" s="1085"/>
      <c r="S162" s="1085"/>
      <c r="T162" s="1085"/>
      <c r="U162" s="1085"/>
      <c r="V162" s="1086"/>
      <c r="W162" s="148"/>
      <c r="X162" s="146"/>
    </row>
    <row r="163" spans="1:24" ht="20.100000000000001" customHeight="1">
      <c r="A163" s="142"/>
      <c r="B163" s="147"/>
      <c r="C163" s="1047"/>
      <c r="D163" s="1080" t="str">
        <f>STUDENTS!AU23</f>
        <v>પ્રવેશ તારીખ</v>
      </c>
      <c r="E163" s="1080"/>
      <c r="F163" s="1080"/>
      <c r="G163" s="1080"/>
      <c r="H163" s="1085">
        <f ca="1">INDIRECT("STUDENTS!BA"&amp;($R$1-1)*12+5)</f>
        <v>0</v>
      </c>
      <c r="I163" s="1085"/>
      <c r="J163" s="1085"/>
      <c r="K163" s="1085"/>
      <c r="L163" s="1085"/>
      <c r="M163" s="1085"/>
      <c r="N163" s="1085"/>
      <c r="O163" s="1085"/>
      <c r="P163" s="1085"/>
      <c r="Q163" s="1085"/>
      <c r="R163" s="1085"/>
      <c r="S163" s="1085"/>
      <c r="T163" s="1085"/>
      <c r="U163" s="1085"/>
      <c r="V163" s="1086"/>
      <c r="W163" s="148"/>
      <c r="X163" s="146"/>
    </row>
    <row r="164" spans="1:24" ht="20.100000000000001" customHeight="1">
      <c r="A164" s="142"/>
      <c r="B164" s="147"/>
      <c r="C164" s="1047"/>
      <c r="D164" s="1080"/>
      <c r="E164" s="1080"/>
      <c r="F164" s="1080"/>
      <c r="G164" s="1080"/>
      <c r="H164" s="1085"/>
      <c r="I164" s="1085"/>
      <c r="J164" s="1085"/>
      <c r="K164" s="1085"/>
      <c r="L164" s="1085"/>
      <c r="M164" s="1085"/>
      <c r="N164" s="1085"/>
      <c r="O164" s="1085"/>
      <c r="P164" s="1085"/>
      <c r="Q164" s="1085"/>
      <c r="R164" s="1085"/>
      <c r="S164" s="1085"/>
      <c r="T164" s="1085"/>
      <c r="U164" s="1085"/>
      <c r="V164" s="1086"/>
      <c r="W164" s="148"/>
      <c r="X164" s="146"/>
    </row>
    <row r="165" spans="1:24" ht="23.1" customHeight="1">
      <c r="A165" s="142"/>
      <c r="B165" s="147"/>
      <c r="C165" s="1047"/>
      <c r="D165" s="1080" t="str">
        <f>STUDENTS!AU24</f>
        <v>શા. છો.તારીખ</v>
      </c>
      <c r="E165" s="1080"/>
      <c r="F165" s="1080"/>
      <c r="G165" s="1080"/>
      <c r="H165" s="1081">
        <f ca="1">INDIRECT("STUDENTS!BA"&amp;($R$1-1)*12+6)</f>
        <v>0</v>
      </c>
      <c r="I165" s="1081"/>
      <c r="J165" s="1081"/>
      <c r="K165" s="1081"/>
      <c r="L165" s="1080" t="s">
        <v>12</v>
      </c>
      <c r="M165" s="1080"/>
      <c r="N165" s="1080"/>
      <c r="O165" s="1082">
        <f ca="1">INDIRECT("STUDENTS!BC"&amp;($R$1-1)*12+6)</f>
        <v>0</v>
      </c>
      <c r="P165" s="1082"/>
      <c r="Q165" s="1083" t="s">
        <v>192</v>
      </c>
      <c r="R165" s="1083"/>
      <c r="S165" s="1083"/>
      <c r="T165" s="1082">
        <f ca="1">INDIRECT("STUDENTS!BC"&amp;($R$1-1)*12+5)</f>
        <v>0</v>
      </c>
      <c r="U165" s="1082"/>
      <c r="V165" s="1084"/>
      <c r="W165" s="148"/>
      <c r="X165" s="146"/>
    </row>
    <row r="166" spans="1:24" ht="23.1" customHeight="1">
      <c r="A166" s="142"/>
      <c r="B166" s="147"/>
      <c r="C166" s="1047"/>
      <c r="D166" s="1080" t="str">
        <f>STUDENTS!AU25</f>
        <v>શા. છો. કારણ</v>
      </c>
      <c r="E166" s="1080"/>
      <c r="F166" s="1080"/>
      <c r="G166" s="1080"/>
      <c r="H166" s="1081">
        <f ca="1">INDIRECT("STUDENTS!BA"&amp;($R$1-1)*12+7)</f>
        <v>0</v>
      </c>
      <c r="I166" s="1081"/>
      <c r="J166" s="1081"/>
      <c r="K166" s="1081"/>
      <c r="L166" s="1080" t="s">
        <v>12</v>
      </c>
      <c r="M166" s="1080"/>
      <c r="N166" s="1080"/>
      <c r="O166" s="1082">
        <f ca="1">INDIRECT("STUDENTS!BC"&amp;($R$1-1)*12+7)</f>
        <v>0</v>
      </c>
      <c r="P166" s="1082"/>
      <c r="Q166" s="1083" t="s">
        <v>224</v>
      </c>
      <c r="R166" s="1083"/>
      <c r="S166" s="1083"/>
      <c r="T166" s="1082">
        <f ca="1">INDIRECT("STUDENTS!BC"&amp;($R$1-1)*12+8)</f>
        <v>0</v>
      </c>
      <c r="U166" s="1082"/>
      <c r="V166" s="1084"/>
      <c r="W166" s="148"/>
      <c r="X166" s="146"/>
    </row>
    <row r="167" spans="1:24" ht="20.100000000000001" customHeight="1">
      <c r="A167" s="142"/>
      <c r="B167" s="147"/>
      <c r="C167" s="1047"/>
      <c r="D167" s="1080" t="str">
        <f>STUDENTS!AU31</f>
        <v>શા. છો.તારીખ</v>
      </c>
      <c r="E167" s="1080"/>
      <c r="F167" s="1080"/>
      <c r="G167" s="1080"/>
      <c r="H167" s="1082">
        <f ca="1">INDIRECT("STUDENTS!BA"&amp;($R$1-1)*12+8)</f>
        <v>0</v>
      </c>
      <c r="I167" s="1082"/>
      <c r="J167" s="1082"/>
      <c r="K167" s="1082"/>
      <c r="L167" s="1082"/>
      <c r="M167" s="1082"/>
      <c r="N167" s="1082"/>
      <c r="O167" s="1082"/>
      <c r="P167" s="1082"/>
      <c r="Q167" s="1082"/>
      <c r="R167" s="1082"/>
      <c r="S167" s="1082"/>
      <c r="T167" s="1082"/>
      <c r="U167" s="1082"/>
      <c r="V167" s="1084"/>
      <c r="W167" s="148"/>
      <c r="X167" s="146"/>
    </row>
    <row r="168" spans="1:24" ht="20.100000000000001" customHeight="1">
      <c r="A168" s="142"/>
      <c r="B168" s="147"/>
      <c r="C168" s="1091"/>
      <c r="D168" s="1092"/>
      <c r="E168" s="1092"/>
      <c r="F168" s="1092"/>
      <c r="G168" s="1092"/>
      <c r="H168" s="1093"/>
      <c r="I168" s="1093"/>
      <c r="J168" s="1093"/>
      <c r="K168" s="1093"/>
      <c r="L168" s="1093"/>
      <c r="M168" s="1093"/>
      <c r="N168" s="1093"/>
      <c r="O168" s="1093"/>
      <c r="P168" s="1093"/>
      <c r="Q168" s="1093"/>
      <c r="R168" s="1093"/>
      <c r="S168" s="1093"/>
      <c r="T168" s="1093"/>
      <c r="U168" s="1093"/>
      <c r="V168" s="1094"/>
      <c r="W168" s="148"/>
      <c r="X168" s="146"/>
    </row>
    <row r="169" spans="1:24" ht="20.100000000000001" customHeight="1">
      <c r="A169" s="142"/>
      <c r="B169" s="147"/>
      <c r="C169" s="158"/>
      <c r="D169" s="460"/>
      <c r="E169" s="460"/>
      <c r="F169" s="460"/>
      <c r="G169" s="460"/>
      <c r="H169" s="460"/>
      <c r="I169" s="460"/>
      <c r="J169" s="460"/>
      <c r="K169" s="460"/>
      <c r="L169" s="460"/>
      <c r="M169" s="460"/>
      <c r="N169" s="460"/>
      <c r="O169" s="460"/>
      <c r="P169" s="460"/>
      <c r="Q169" s="460"/>
      <c r="R169" s="460"/>
      <c r="S169" s="460"/>
      <c r="T169" s="460"/>
      <c r="U169" s="460"/>
      <c r="V169" s="460"/>
      <c r="W169" s="148"/>
      <c r="X169" s="146"/>
    </row>
    <row r="170" spans="1:24" ht="20.100000000000001" customHeight="1">
      <c r="A170" s="142"/>
      <c r="B170" s="147"/>
      <c r="C170" s="1046">
        <v>4</v>
      </c>
      <c r="D170" s="1087" t="str">
        <f>STUDENTS!AU31</f>
        <v>શા. છો.તારીખ</v>
      </c>
      <c r="E170" s="1087"/>
      <c r="F170" s="1087"/>
      <c r="G170" s="1087"/>
      <c r="H170" s="1089">
        <f ca="1">INDIRECT("STUDENTS!BA"&amp;($R$1-1)*12+9)</f>
        <v>0</v>
      </c>
      <c r="I170" s="1089"/>
      <c r="J170" s="1089"/>
      <c r="K170" s="1089"/>
      <c r="L170" s="1089"/>
      <c r="M170" s="1089"/>
      <c r="N170" s="1089"/>
      <c r="O170" s="1089"/>
      <c r="P170" s="1089"/>
      <c r="Q170" s="1089"/>
      <c r="R170" s="1089"/>
      <c r="S170" s="1089"/>
      <c r="T170" s="1089"/>
      <c r="U170" s="1089"/>
      <c r="V170" s="1090"/>
      <c r="W170" s="148"/>
      <c r="X170" s="146"/>
    </row>
    <row r="171" spans="1:24" ht="20.100000000000001" customHeight="1">
      <c r="A171" s="142"/>
      <c r="B171" s="147"/>
      <c r="C171" s="1047"/>
      <c r="D171" s="1088"/>
      <c r="E171" s="1088"/>
      <c r="F171" s="1088"/>
      <c r="G171" s="1088"/>
      <c r="H171" s="1085"/>
      <c r="I171" s="1085"/>
      <c r="J171" s="1085"/>
      <c r="K171" s="1085"/>
      <c r="L171" s="1085"/>
      <c r="M171" s="1085"/>
      <c r="N171" s="1085"/>
      <c r="O171" s="1085"/>
      <c r="P171" s="1085"/>
      <c r="Q171" s="1085"/>
      <c r="R171" s="1085"/>
      <c r="S171" s="1085"/>
      <c r="T171" s="1085"/>
      <c r="U171" s="1085"/>
      <c r="V171" s="1086"/>
      <c r="W171" s="148"/>
      <c r="X171" s="146"/>
    </row>
    <row r="172" spans="1:24" ht="20.100000000000001" customHeight="1">
      <c r="A172" s="142"/>
      <c r="B172" s="147"/>
      <c r="C172" s="1047"/>
      <c r="D172" s="1080" t="str">
        <f>STUDENTS!AU32</f>
        <v>શા. છો. કારણ</v>
      </c>
      <c r="E172" s="1080"/>
      <c r="F172" s="1080"/>
      <c r="G172" s="1080"/>
      <c r="H172" s="1085">
        <f ca="1">INDIRECT("STUDENTS!BA"&amp;($R$1-1)*12+10)</f>
        <v>0</v>
      </c>
      <c r="I172" s="1085"/>
      <c r="J172" s="1085"/>
      <c r="K172" s="1085"/>
      <c r="L172" s="1085"/>
      <c r="M172" s="1085"/>
      <c r="N172" s="1085"/>
      <c r="O172" s="1085"/>
      <c r="P172" s="1085"/>
      <c r="Q172" s="1085"/>
      <c r="R172" s="1085"/>
      <c r="S172" s="1085"/>
      <c r="T172" s="1085"/>
      <c r="U172" s="1085"/>
      <c r="V172" s="1086"/>
      <c r="W172" s="148"/>
      <c r="X172" s="146"/>
    </row>
    <row r="173" spans="1:24" ht="20.100000000000001" customHeight="1">
      <c r="A173" s="142"/>
      <c r="B173" s="147"/>
      <c r="C173" s="1047"/>
      <c r="D173" s="1080"/>
      <c r="E173" s="1080"/>
      <c r="F173" s="1080"/>
      <c r="G173" s="1080"/>
      <c r="H173" s="1085"/>
      <c r="I173" s="1085"/>
      <c r="J173" s="1085"/>
      <c r="K173" s="1085"/>
      <c r="L173" s="1085"/>
      <c r="M173" s="1085"/>
      <c r="N173" s="1085"/>
      <c r="O173" s="1085"/>
      <c r="P173" s="1085"/>
      <c r="Q173" s="1085"/>
      <c r="R173" s="1085"/>
      <c r="S173" s="1085"/>
      <c r="T173" s="1085"/>
      <c r="U173" s="1085"/>
      <c r="V173" s="1086"/>
      <c r="W173" s="148"/>
      <c r="X173" s="146"/>
    </row>
    <row r="174" spans="1:24" ht="23.1" customHeight="1">
      <c r="A174" s="142"/>
      <c r="B174" s="147"/>
      <c r="C174" s="1047"/>
      <c r="D174" s="1080" t="str">
        <f>STUDENTS!AU33</f>
        <v>શાળાનું નામ</v>
      </c>
      <c r="E174" s="1080"/>
      <c r="F174" s="1080"/>
      <c r="G174" s="1080"/>
      <c r="H174" s="1081">
        <f ca="1">INDIRECT("STUDENTS!BA"&amp;($R$1-1)*12+11)</f>
        <v>0</v>
      </c>
      <c r="I174" s="1081"/>
      <c r="J174" s="1081"/>
      <c r="K174" s="1081"/>
      <c r="L174" s="1080" t="s">
        <v>12</v>
      </c>
      <c r="M174" s="1080"/>
      <c r="N174" s="1080"/>
      <c r="O174" s="1082">
        <f ca="1">INDIRECT("STUDENTS!BC"&amp;($R$1-1)*12+11)</f>
        <v>0</v>
      </c>
      <c r="P174" s="1082"/>
      <c r="Q174" s="1083" t="s">
        <v>192</v>
      </c>
      <c r="R174" s="1083"/>
      <c r="S174" s="1083"/>
      <c r="T174" s="1082">
        <f ca="1">INDIRECT("STUDENTS!BC"&amp;($R$1-1)*12+10)</f>
        <v>0</v>
      </c>
      <c r="U174" s="1082"/>
      <c r="V174" s="1084"/>
      <c r="W174" s="148"/>
      <c r="X174" s="146"/>
    </row>
    <row r="175" spans="1:24" ht="23.1" customHeight="1">
      <c r="A175" s="142"/>
      <c r="B175" s="147"/>
      <c r="C175" s="1047"/>
      <c r="D175" s="1080" t="str">
        <f>STUDENTS!AU34</f>
        <v>સરનામું</v>
      </c>
      <c r="E175" s="1080"/>
      <c r="F175" s="1080"/>
      <c r="G175" s="1080"/>
      <c r="H175" s="1081">
        <f ca="1">INDIRECT("STUDENTS!BA"&amp;($R$1-1)*12+12)</f>
        <v>0</v>
      </c>
      <c r="I175" s="1081"/>
      <c r="J175" s="1081"/>
      <c r="K175" s="1081"/>
      <c r="L175" s="1080" t="s">
        <v>12</v>
      </c>
      <c r="M175" s="1080"/>
      <c r="N175" s="1080"/>
      <c r="O175" s="1082">
        <f ca="1">INDIRECT("STUDENTS!BC"&amp;($R$1-1)*12+12)</f>
        <v>0</v>
      </c>
      <c r="P175" s="1082"/>
      <c r="Q175" s="1083" t="s">
        <v>224</v>
      </c>
      <c r="R175" s="1083"/>
      <c r="S175" s="1083"/>
      <c r="T175" s="1082">
        <f ca="1">INDIRECT("STUDENTS!BC"&amp;($R$1-1)*12+13)</f>
        <v>0</v>
      </c>
      <c r="U175" s="1082"/>
      <c r="V175" s="1084"/>
      <c r="W175" s="148"/>
      <c r="X175" s="146"/>
    </row>
    <row r="176" spans="1:24" ht="20.100000000000001" customHeight="1">
      <c r="A176" s="142"/>
      <c r="B176" s="147"/>
      <c r="C176" s="1047"/>
      <c r="D176" s="1080" t="str">
        <f>STUDENTS!AU40</f>
        <v>શાળાનું નામ</v>
      </c>
      <c r="E176" s="1080"/>
      <c r="F176" s="1080"/>
      <c r="G176" s="1080"/>
      <c r="H176" s="1082">
        <f ca="1">INDIRECT("STUDENTS!BA"&amp;($R$1-1)*12+13)</f>
        <v>0</v>
      </c>
      <c r="I176" s="1082"/>
      <c r="J176" s="1082"/>
      <c r="K176" s="1082"/>
      <c r="L176" s="1082"/>
      <c r="M176" s="1082"/>
      <c r="N176" s="1082"/>
      <c r="O176" s="1082"/>
      <c r="P176" s="1082"/>
      <c r="Q176" s="1082"/>
      <c r="R176" s="1082"/>
      <c r="S176" s="1082"/>
      <c r="T176" s="1082"/>
      <c r="U176" s="1082"/>
      <c r="V176" s="1084"/>
      <c r="W176" s="148"/>
      <c r="X176" s="146"/>
    </row>
    <row r="177" spans="1:24" ht="20.100000000000001" customHeight="1">
      <c r="A177" s="142"/>
      <c r="B177" s="147"/>
      <c r="C177" s="1091"/>
      <c r="D177" s="1092"/>
      <c r="E177" s="1092"/>
      <c r="F177" s="1092"/>
      <c r="G177" s="1092"/>
      <c r="H177" s="1093"/>
      <c r="I177" s="1093"/>
      <c r="J177" s="1093"/>
      <c r="K177" s="1093"/>
      <c r="L177" s="1093"/>
      <c r="M177" s="1093"/>
      <c r="N177" s="1093"/>
      <c r="O177" s="1093"/>
      <c r="P177" s="1093"/>
      <c r="Q177" s="1093"/>
      <c r="R177" s="1093"/>
      <c r="S177" s="1093"/>
      <c r="T177" s="1093"/>
      <c r="U177" s="1093"/>
      <c r="V177" s="1094"/>
      <c r="W177" s="148"/>
      <c r="X177" s="146"/>
    </row>
    <row r="178" spans="1:24" ht="6.75" customHeight="1">
      <c r="A178" s="142"/>
      <c r="B178" s="147"/>
      <c r="C178" s="158"/>
      <c r="D178" s="158"/>
      <c r="E178" s="158"/>
      <c r="F178" s="158"/>
      <c r="G178" s="158"/>
      <c r="H178" s="158"/>
      <c r="I178" s="158"/>
      <c r="J178" s="158"/>
      <c r="K178" s="158"/>
      <c r="L178" s="158"/>
      <c r="M178" s="158"/>
      <c r="N178" s="158"/>
      <c r="O178" s="158"/>
      <c r="P178" s="158"/>
      <c r="Q178" s="158"/>
      <c r="R178" s="158"/>
      <c r="S178" s="158"/>
      <c r="T178" s="158"/>
      <c r="U178" s="158"/>
      <c r="V178" s="158"/>
      <c r="W178" s="148"/>
      <c r="X178" s="146"/>
    </row>
    <row r="179" spans="1:24" ht="0.2" customHeight="1">
      <c r="A179" s="142"/>
      <c r="B179" s="147"/>
      <c r="C179" s="158"/>
      <c r="D179" s="158"/>
      <c r="E179" s="161"/>
      <c r="F179" s="161"/>
      <c r="G179" s="161"/>
      <c r="H179" s="161"/>
      <c r="I179" s="161"/>
      <c r="J179" s="161"/>
      <c r="K179" s="161"/>
      <c r="L179" s="161"/>
      <c r="M179" s="161"/>
      <c r="N179" s="161"/>
      <c r="O179" s="161"/>
      <c r="P179" s="161"/>
      <c r="Q179" s="162"/>
      <c r="R179" s="162"/>
      <c r="S179" s="162"/>
      <c r="T179" s="158"/>
      <c r="U179" s="158"/>
      <c r="V179" s="158"/>
      <c r="W179" s="148"/>
      <c r="X179" s="146"/>
    </row>
    <row r="180" spans="1:24" ht="0.2" customHeight="1">
      <c r="A180" s="142"/>
      <c r="B180" s="147"/>
      <c r="C180" s="158"/>
      <c r="D180" s="158"/>
      <c r="E180" s="161"/>
      <c r="F180" s="161"/>
      <c r="G180" s="161"/>
      <c r="H180" s="161"/>
      <c r="I180" s="161"/>
      <c r="J180" s="161"/>
      <c r="K180" s="161"/>
      <c r="L180" s="161"/>
      <c r="M180" s="161"/>
      <c r="N180" s="161"/>
      <c r="O180" s="161"/>
      <c r="P180" s="161"/>
      <c r="Q180" s="162"/>
      <c r="R180" s="162"/>
      <c r="S180" s="162"/>
      <c r="T180" s="158"/>
      <c r="U180" s="158"/>
      <c r="V180" s="158"/>
      <c r="W180" s="148"/>
      <c r="X180" s="146"/>
    </row>
    <row r="181" spans="1:24" ht="0.2" customHeight="1">
      <c r="A181" s="142"/>
      <c r="B181" s="147"/>
      <c r="C181" s="158"/>
      <c r="D181" s="158"/>
      <c r="E181" s="161"/>
      <c r="F181" s="161"/>
      <c r="G181" s="161"/>
      <c r="H181" s="161"/>
      <c r="I181" s="161"/>
      <c r="J181" s="161"/>
      <c r="K181" s="161"/>
      <c r="L181" s="161"/>
      <c r="M181" s="161"/>
      <c r="N181" s="161"/>
      <c r="O181" s="161"/>
      <c r="P181" s="161"/>
      <c r="Q181" s="162"/>
      <c r="R181" s="162"/>
      <c r="S181" s="162"/>
      <c r="T181" s="158"/>
      <c r="U181" s="158"/>
      <c r="V181" s="158"/>
      <c r="W181" s="148"/>
      <c r="X181" s="146"/>
    </row>
    <row r="182" spans="1:24" ht="0.2" customHeight="1">
      <c r="A182" s="142"/>
      <c r="B182" s="147"/>
      <c r="C182" s="158"/>
      <c r="D182" s="158"/>
      <c r="E182" s="158"/>
      <c r="F182" s="158"/>
      <c r="G182" s="158"/>
      <c r="H182" s="158"/>
      <c r="I182" s="158"/>
      <c r="J182" s="158"/>
      <c r="K182" s="158"/>
      <c r="L182" s="158"/>
      <c r="M182" s="158"/>
      <c r="N182" s="158"/>
      <c r="O182" s="158"/>
      <c r="P182" s="158"/>
      <c r="Q182" s="158"/>
      <c r="R182" s="158"/>
      <c r="S182" s="158"/>
      <c r="T182" s="158"/>
      <c r="U182" s="158"/>
      <c r="V182" s="158"/>
      <c r="W182" s="148"/>
      <c r="X182" s="146"/>
    </row>
    <row r="183" spans="1:24" ht="27.75" customHeight="1" thickBot="1">
      <c r="A183" s="142"/>
      <c r="B183" s="151"/>
      <c r="C183" s="152"/>
      <c r="D183" s="152"/>
      <c r="E183" s="152"/>
      <c r="F183" s="152"/>
      <c r="G183" s="152"/>
      <c r="H183" s="152"/>
      <c r="I183" s="152"/>
      <c r="J183" s="152"/>
      <c r="K183" s="152"/>
      <c r="L183" s="152"/>
      <c r="M183" s="152"/>
      <c r="N183" s="152"/>
      <c r="O183" s="152"/>
      <c r="P183" s="152"/>
      <c r="Q183" s="152"/>
      <c r="R183" s="152"/>
      <c r="S183" s="152"/>
      <c r="T183" s="152"/>
      <c r="U183" s="152"/>
      <c r="V183" s="152"/>
      <c r="W183" s="153"/>
      <c r="X183" s="146"/>
    </row>
    <row r="184" spans="1:24" ht="15" customHeight="1">
      <c r="A184" s="154"/>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6"/>
    </row>
  </sheetData>
  <mergeCells count="480">
    <mergeCell ref="AA1:AT1"/>
    <mergeCell ref="D143:G144"/>
    <mergeCell ref="D145:G146"/>
    <mergeCell ref="D147:G147"/>
    <mergeCell ref="D148:G148"/>
    <mergeCell ref="D149:G150"/>
    <mergeCell ref="C143:C150"/>
    <mergeCell ref="H143:V144"/>
    <mergeCell ref="H145:V146"/>
    <mergeCell ref="L147:N147"/>
    <mergeCell ref="L148:N148"/>
    <mergeCell ref="O147:P147"/>
    <mergeCell ref="O148:P148"/>
    <mergeCell ref="H149:V150"/>
    <mergeCell ref="Q147:S147"/>
    <mergeCell ref="Q148:S148"/>
    <mergeCell ref="T147:V147"/>
    <mergeCell ref="T148:V148"/>
    <mergeCell ref="H147:K147"/>
    <mergeCell ref="H148:K148"/>
    <mergeCell ref="C142:V142"/>
    <mergeCell ref="AA132:AB133"/>
    <mergeCell ref="AC132:AH133"/>
    <mergeCell ref="C134:E136"/>
    <mergeCell ref="D167:G168"/>
    <mergeCell ref="H167:V168"/>
    <mergeCell ref="D158:G159"/>
    <mergeCell ref="H158:V159"/>
    <mergeCell ref="L166:N166"/>
    <mergeCell ref="D170:G171"/>
    <mergeCell ref="C152:C159"/>
    <mergeCell ref="D152:G153"/>
    <mergeCell ref="H152:V153"/>
    <mergeCell ref="D157:G157"/>
    <mergeCell ref="H157:K157"/>
    <mergeCell ref="L157:N157"/>
    <mergeCell ref="O157:P157"/>
    <mergeCell ref="Q157:S157"/>
    <mergeCell ref="T157:V157"/>
    <mergeCell ref="C161:C168"/>
    <mergeCell ref="H163:V164"/>
    <mergeCell ref="D165:G165"/>
    <mergeCell ref="H165:K165"/>
    <mergeCell ref="L165:N165"/>
    <mergeCell ref="O165:P165"/>
    <mergeCell ref="Q165:S165"/>
    <mergeCell ref="T165:V165"/>
    <mergeCell ref="D156:G156"/>
    <mergeCell ref="C170:C177"/>
    <mergeCell ref="H170:V171"/>
    <mergeCell ref="D172:G173"/>
    <mergeCell ref="H172:V173"/>
    <mergeCell ref="D174:G174"/>
    <mergeCell ref="H174:K174"/>
    <mergeCell ref="L174:N174"/>
    <mergeCell ref="O174:P174"/>
    <mergeCell ref="Q174:S174"/>
    <mergeCell ref="T174:V174"/>
    <mergeCell ref="D175:G175"/>
    <mergeCell ref="H175:K175"/>
    <mergeCell ref="L175:N175"/>
    <mergeCell ref="O175:P175"/>
    <mergeCell ref="Q175:S175"/>
    <mergeCell ref="T175:V175"/>
    <mergeCell ref="D176:G177"/>
    <mergeCell ref="H176:V177"/>
    <mergeCell ref="F134:F136"/>
    <mergeCell ref="G134:N136"/>
    <mergeCell ref="O134:V136"/>
    <mergeCell ref="D166:G166"/>
    <mergeCell ref="H166:K166"/>
    <mergeCell ref="O166:P166"/>
    <mergeCell ref="Q166:S166"/>
    <mergeCell ref="T166:V166"/>
    <mergeCell ref="D163:G164"/>
    <mergeCell ref="H156:K156"/>
    <mergeCell ref="L156:N156"/>
    <mergeCell ref="O156:P156"/>
    <mergeCell ref="Q156:S156"/>
    <mergeCell ref="T156:V156"/>
    <mergeCell ref="D154:G155"/>
    <mergeCell ref="H154:V155"/>
    <mergeCell ref="D161:G162"/>
    <mergeCell ref="H161:V162"/>
    <mergeCell ref="AL121:AN122"/>
    <mergeCell ref="AA128:AB129"/>
    <mergeCell ref="AC128:AH129"/>
    <mergeCell ref="AI128:AN129"/>
    <mergeCell ref="AO128:AQ129"/>
    <mergeCell ref="AR128:AT129"/>
    <mergeCell ref="AA130:AB131"/>
    <mergeCell ref="AC130:AH131"/>
    <mergeCell ref="AI130:AN131"/>
    <mergeCell ref="AO130:AQ131"/>
    <mergeCell ref="AR130:AT131"/>
    <mergeCell ref="C125:E127"/>
    <mergeCell ref="F125:F127"/>
    <mergeCell ref="G125:N127"/>
    <mergeCell ref="O125:V127"/>
    <mergeCell ref="C118:E121"/>
    <mergeCell ref="F118:F121"/>
    <mergeCell ref="G118:N121"/>
    <mergeCell ref="O118:V121"/>
    <mergeCell ref="AA117:AB118"/>
    <mergeCell ref="AA97:AB98"/>
    <mergeCell ref="AC97:AE98"/>
    <mergeCell ref="AF97:AH98"/>
    <mergeCell ref="AO107:AQ108"/>
    <mergeCell ref="AF121:AH122"/>
    <mergeCell ref="C114:E117"/>
    <mergeCell ref="F114:F117"/>
    <mergeCell ref="G114:N117"/>
    <mergeCell ref="O114:V117"/>
    <mergeCell ref="C122:E124"/>
    <mergeCell ref="F122:F124"/>
    <mergeCell ref="G122:N124"/>
    <mergeCell ref="O122:V124"/>
    <mergeCell ref="AO117:AQ118"/>
    <mergeCell ref="AA121:AB122"/>
    <mergeCell ref="AI121:AK122"/>
    <mergeCell ref="AC117:AE118"/>
    <mergeCell ref="AF117:AH118"/>
    <mergeCell ref="AI117:AK118"/>
    <mergeCell ref="AL117:AN118"/>
    <mergeCell ref="AC121:AE122"/>
    <mergeCell ref="AA119:AB120"/>
    <mergeCell ref="AC119:AE120"/>
    <mergeCell ref="AF119:AH120"/>
    <mergeCell ref="AO101:AQ102"/>
    <mergeCell ref="AF103:AH104"/>
    <mergeCell ref="AC103:AE104"/>
    <mergeCell ref="AL97:AN98"/>
    <mergeCell ref="AI99:AK100"/>
    <mergeCell ref="AL99:AN100"/>
    <mergeCell ref="AO99:AQ100"/>
    <mergeCell ref="AI103:AK104"/>
    <mergeCell ref="AL103:AN104"/>
    <mergeCell ref="AO103:AQ104"/>
    <mergeCell ref="AI101:AK102"/>
    <mergeCell ref="AL101:AN102"/>
    <mergeCell ref="C65:E66"/>
    <mergeCell ref="F65:F66"/>
    <mergeCell ref="G65:N66"/>
    <mergeCell ref="O65:V66"/>
    <mergeCell ref="C67:E68"/>
    <mergeCell ref="F67:F68"/>
    <mergeCell ref="G67:N68"/>
    <mergeCell ref="O67:V68"/>
    <mergeCell ref="C69:E70"/>
    <mergeCell ref="F69:F70"/>
    <mergeCell ref="G69:N70"/>
    <mergeCell ref="O69:V70"/>
    <mergeCell ref="C98:E101"/>
    <mergeCell ref="F98:F101"/>
    <mergeCell ref="G98:N101"/>
    <mergeCell ref="O98:V101"/>
    <mergeCell ref="C102:E105"/>
    <mergeCell ref="F102:F105"/>
    <mergeCell ref="G102:N105"/>
    <mergeCell ref="O102:V105"/>
    <mergeCell ref="C96:V96"/>
    <mergeCell ref="C97:E97"/>
    <mergeCell ref="G97:N97"/>
    <mergeCell ref="O97:V97"/>
    <mergeCell ref="C85:E86"/>
    <mergeCell ref="F85:F86"/>
    <mergeCell ref="G85:N86"/>
    <mergeCell ref="J19:P20"/>
    <mergeCell ref="C27:V28"/>
    <mergeCell ref="C29:D30"/>
    <mergeCell ref="E29:H30"/>
    <mergeCell ref="I29:J30"/>
    <mergeCell ref="K29:O30"/>
    <mergeCell ref="P29:Q30"/>
    <mergeCell ref="R29:V30"/>
    <mergeCell ref="C52:E52"/>
    <mergeCell ref="G52:N52"/>
    <mergeCell ref="O52:V52"/>
    <mergeCell ref="C53:E54"/>
    <mergeCell ref="F61:F62"/>
    <mergeCell ref="G61:N62"/>
    <mergeCell ref="O61:V62"/>
    <mergeCell ref="C63:E64"/>
    <mergeCell ref="F63:F64"/>
    <mergeCell ref="G63:N64"/>
    <mergeCell ref="O63:V64"/>
    <mergeCell ref="F53:F54"/>
    <mergeCell ref="C59:E60"/>
    <mergeCell ref="AA85:AC89"/>
    <mergeCell ref="AA51:AT51"/>
    <mergeCell ref="AA52:AC52"/>
    <mergeCell ref="AE52:AL52"/>
    <mergeCell ref="AM52:AT52"/>
    <mergeCell ref="AA68:AT68"/>
    <mergeCell ref="AA69:AC69"/>
    <mergeCell ref="AE69:AL69"/>
    <mergeCell ref="AM69:AT69"/>
    <mergeCell ref="AA70:AC74"/>
    <mergeCell ref="AD70:AD74"/>
    <mergeCell ref="AE70:AL74"/>
    <mergeCell ref="AD63:AD67"/>
    <mergeCell ref="AE63:AL67"/>
    <mergeCell ref="AM63:AT67"/>
    <mergeCell ref="AE53:AL57"/>
    <mergeCell ref="AM53:AT57"/>
    <mergeCell ref="AA58:AC62"/>
    <mergeCell ref="AD58:AD62"/>
    <mergeCell ref="AE58:AL62"/>
    <mergeCell ref="AM58:AT62"/>
    <mergeCell ref="AR99:AT100"/>
    <mergeCell ref="AA101:AB102"/>
    <mergeCell ref="AC101:AE102"/>
    <mergeCell ref="AF101:AH102"/>
    <mergeCell ref="AR101:AT102"/>
    <mergeCell ref="AF113:AH114"/>
    <mergeCell ref="C51:V51"/>
    <mergeCell ref="C22:V23"/>
    <mergeCell ref="C77:E78"/>
    <mergeCell ref="F77:F78"/>
    <mergeCell ref="G77:N78"/>
    <mergeCell ref="O77:V78"/>
    <mergeCell ref="C79:E80"/>
    <mergeCell ref="F79:F80"/>
    <mergeCell ref="G79:N80"/>
    <mergeCell ref="M34:P35"/>
    <mergeCell ref="I34:L35"/>
    <mergeCell ref="Q34:T35"/>
    <mergeCell ref="E32:H33"/>
    <mergeCell ref="E34:H35"/>
    <mergeCell ref="C24:V25"/>
    <mergeCell ref="AD85:AD89"/>
    <mergeCell ref="AE85:AL89"/>
    <mergeCell ref="AR113:AT114"/>
    <mergeCell ref="AR103:AT104"/>
    <mergeCell ref="AF105:AH106"/>
    <mergeCell ref="AI105:AK106"/>
    <mergeCell ref="AL105:AN106"/>
    <mergeCell ref="AO105:AQ106"/>
    <mergeCell ref="AI113:AK114"/>
    <mergeCell ref="AL113:AN114"/>
    <mergeCell ref="AO113:AQ114"/>
    <mergeCell ref="AR107:AT108"/>
    <mergeCell ref="AA110:AT110"/>
    <mergeCell ref="AA111:AB112"/>
    <mergeCell ref="AC111:AE112"/>
    <mergeCell ref="AF111:AH112"/>
    <mergeCell ref="AI111:AK112"/>
    <mergeCell ref="AL111:AN112"/>
    <mergeCell ref="AO111:AQ112"/>
    <mergeCell ref="AR111:AT112"/>
    <mergeCell ref="AA107:AB108"/>
    <mergeCell ref="AR119:AT120"/>
    <mergeCell ref="AA105:AB106"/>
    <mergeCell ref="AC105:AE106"/>
    <mergeCell ref="AA115:AB116"/>
    <mergeCell ref="AC115:AE116"/>
    <mergeCell ref="AF115:AH116"/>
    <mergeCell ref="AI115:AK116"/>
    <mergeCell ref="AL115:AN116"/>
    <mergeCell ref="AR117:AT118"/>
    <mergeCell ref="AO115:AQ116"/>
    <mergeCell ref="AR115:AT116"/>
    <mergeCell ref="AA113:AB114"/>
    <mergeCell ref="AC113:AE114"/>
    <mergeCell ref="AI119:AK120"/>
    <mergeCell ref="AL119:AN120"/>
    <mergeCell ref="AF107:AH108"/>
    <mergeCell ref="AI107:AK108"/>
    <mergeCell ref="AL107:AN108"/>
    <mergeCell ref="AR105:AT106"/>
    <mergeCell ref="AB30:AH30"/>
    <mergeCell ref="C131:E133"/>
    <mergeCell ref="F131:F133"/>
    <mergeCell ref="G131:N133"/>
    <mergeCell ref="O131:V133"/>
    <mergeCell ref="C106:E109"/>
    <mergeCell ref="F106:F109"/>
    <mergeCell ref="G106:N109"/>
    <mergeCell ref="O106:V109"/>
    <mergeCell ref="C110:E113"/>
    <mergeCell ref="F110:F113"/>
    <mergeCell ref="G110:N113"/>
    <mergeCell ref="O110:V113"/>
    <mergeCell ref="C128:E130"/>
    <mergeCell ref="F128:F130"/>
    <mergeCell ref="G128:N130"/>
    <mergeCell ref="O128:V130"/>
    <mergeCell ref="AA103:AB104"/>
    <mergeCell ref="AI97:AK98"/>
    <mergeCell ref="AO119:AQ120"/>
    <mergeCell ref="AO44:AT44"/>
    <mergeCell ref="AO45:AT45"/>
    <mergeCell ref="AA53:AC57"/>
    <mergeCell ref="AD53:AD57"/>
    <mergeCell ref="AA63:AC67"/>
    <mergeCell ref="AO121:AQ122"/>
    <mergeCell ref="AB14:AH14"/>
    <mergeCell ref="AI13:AT13"/>
    <mergeCell ref="AI14:AT14"/>
    <mergeCell ref="AR121:AT122"/>
    <mergeCell ref="AA20:AT20"/>
    <mergeCell ref="AB15:AH15"/>
    <mergeCell ref="AB16:AH16"/>
    <mergeCell ref="AB18:AH18"/>
    <mergeCell ref="AB27:AH27"/>
    <mergeCell ref="AI27:AT27"/>
    <mergeCell ref="AB28:AH28"/>
    <mergeCell ref="AI28:AT28"/>
    <mergeCell ref="AB29:AH29"/>
    <mergeCell ref="AI29:AT29"/>
    <mergeCell ref="AC34:AH34"/>
    <mergeCell ref="AI34:AN34"/>
    <mergeCell ref="AO34:AT34"/>
    <mergeCell ref="AC107:AE108"/>
    <mergeCell ref="AA39:AT39"/>
    <mergeCell ref="AC41:AH41"/>
    <mergeCell ref="AC42:AH42"/>
    <mergeCell ref="AC43:AH43"/>
    <mergeCell ref="AC44:AH44"/>
    <mergeCell ref="AI30:AT30"/>
    <mergeCell ref="AM70:AT74"/>
    <mergeCell ref="AI35:AN35"/>
    <mergeCell ref="AI38:AN38"/>
    <mergeCell ref="AO38:AT38"/>
    <mergeCell ref="AA42:AB42"/>
    <mergeCell ref="AO40:AT40"/>
    <mergeCell ref="AA41:AB41"/>
    <mergeCell ref="AA35:AB35"/>
    <mergeCell ref="AC35:AH35"/>
    <mergeCell ref="AC45:AH45"/>
    <mergeCell ref="AI41:AN41"/>
    <mergeCell ref="AI42:AN42"/>
    <mergeCell ref="AI43:AN43"/>
    <mergeCell ref="AI44:AN44"/>
    <mergeCell ref="AI45:AN45"/>
    <mergeCell ref="AO41:AT41"/>
    <mergeCell ref="AO42:AT42"/>
    <mergeCell ref="AO43:AT43"/>
    <mergeCell ref="AB8:AH8"/>
    <mergeCell ref="AB9:AH9"/>
    <mergeCell ref="C7:V8"/>
    <mergeCell ref="C5:V6"/>
    <mergeCell ref="C9:V10"/>
    <mergeCell ref="AA96:AT96"/>
    <mergeCell ref="AO35:AT35"/>
    <mergeCell ref="AA36:AB36"/>
    <mergeCell ref="AC36:AH36"/>
    <mergeCell ref="AI36:AN36"/>
    <mergeCell ref="AO36:AT36"/>
    <mergeCell ref="AA32:AT32"/>
    <mergeCell ref="AA33:AB33"/>
    <mergeCell ref="AC33:AH33"/>
    <mergeCell ref="AI33:AN33"/>
    <mergeCell ref="AO33:AT33"/>
    <mergeCell ref="AA34:AB34"/>
    <mergeCell ref="AC40:AH40"/>
    <mergeCell ref="AI40:AN40"/>
    <mergeCell ref="AM85:AT89"/>
    <mergeCell ref="AA43:AB43"/>
    <mergeCell ref="AA44:AB44"/>
    <mergeCell ref="AA45:AB45"/>
    <mergeCell ref="AA40:AB40"/>
    <mergeCell ref="AA99:AB100"/>
    <mergeCell ref="AC99:AE100"/>
    <mergeCell ref="AI12:AT12"/>
    <mergeCell ref="I32:T33"/>
    <mergeCell ref="AO97:AQ98"/>
    <mergeCell ref="AR97:AT98"/>
    <mergeCell ref="AF99:AH100"/>
    <mergeCell ref="AI6:AT6"/>
    <mergeCell ref="AI7:AT7"/>
    <mergeCell ref="AI8:AT8"/>
    <mergeCell ref="AI9:AT9"/>
    <mergeCell ref="AI10:AT10"/>
    <mergeCell ref="AI11:AT11"/>
    <mergeCell ref="AI15:AT15"/>
    <mergeCell ref="AB21:AH21"/>
    <mergeCell ref="AI21:AT21"/>
    <mergeCell ref="AA37:AB37"/>
    <mergeCell ref="AC37:AH37"/>
    <mergeCell ref="AI37:AN37"/>
    <mergeCell ref="AO37:AT37"/>
    <mergeCell ref="AA38:AB38"/>
    <mergeCell ref="AC38:AH38"/>
    <mergeCell ref="AI23:AT23"/>
    <mergeCell ref="AB24:AH24"/>
    <mergeCell ref="G53:N54"/>
    <mergeCell ref="O53:V54"/>
    <mergeCell ref="R1:S1"/>
    <mergeCell ref="I1:Q1"/>
    <mergeCell ref="AI24:AT24"/>
    <mergeCell ref="AI25:AT25"/>
    <mergeCell ref="AB26:AH26"/>
    <mergeCell ref="AI26:AT26"/>
    <mergeCell ref="AI16:AT16"/>
    <mergeCell ref="AI18:AT18"/>
    <mergeCell ref="AB17:AH17"/>
    <mergeCell ref="AI17:AT17"/>
    <mergeCell ref="AB25:AH25"/>
    <mergeCell ref="AB22:AH22"/>
    <mergeCell ref="AI22:AT22"/>
    <mergeCell ref="AB23:AH23"/>
    <mergeCell ref="AB10:AH10"/>
    <mergeCell ref="C4:V4"/>
    <mergeCell ref="AB11:AH11"/>
    <mergeCell ref="AB12:AH12"/>
    <mergeCell ref="AB13:AH13"/>
    <mergeCell ref="AA5:AT5"/>
    <mergeCell ref="AB6:AH6"/>
    <mergeCell ref="AB7:AH7"/>
    <mergeCell ref="C55:E56"/>
    <mergeCell ref="F55:F56"/>
    <mergeCell ref="G55:N56"/>
    <mergeCell ref="O55:V56"/>
    <mergeCell ref="C57:E58"/>
    <mergeCell ref="F57:F58"/>
    <mergeCell ref="G57:N58"/>
    <mergeCell ref="O57:V58"/>
    <mergeCell ref="C61:E62"/>
    <mergeCell ref="F59:F60"/>
    <mergeCell ref="G59:N60"/>
    <mergeCell ref="O59:V60"/>
    <mergeCell ref="O85:V86"/>
    <mergeCell ref="C87:E88"/>
    <mergeCell ref="F87:F88"/>
    <mergeCell ref="G87:N88"/>
    <mergeCell ref="O87:V88"/>
    <mergeCell ref="C71:V71"/>
    <mergeCell ref="C72:E72"/>
    <mergeCell ref="G72:N72"/>
    <mergeCell ref="O72:V72"/>
    <mergeCell ref="C73:E74"/>
    <mergeCell ref="F73:F74"/>
    <mergeCell ref="G73:N74"/>
    <mergeCell ref="O73:V74"/>
    <mergeCell ref="C75:E76"/>
    <mergeCell ref="F75:F76"/>
    <mergeCell ref="G75:N76"/>
    <mergeCell ref="O75:V76"/>
    <mergeCell ref="O79:V80"/>
    <mergeCell ref="C81:E82"/>
    <mergeCell ref="F81:F82"/>
    <mergeCell ref="G81:N82"/>
    <mergeCell ref="C83:E84"/>
    <mergeCell ref="F83:F84"/>
    <mergeCell ref="G83:N84"/>
    <mergeCell ref="O83:V84"/>
    <mergeCell ref="AA75:AC79"/>
    <mergeCell ref="AD75:AD79"/>
    <mergeCell ref="AE75:AL79"/>
    <mergeCell ref="AM75:AT79"/>
    <mergeCell ref="AA80:AC84"/>
    <mergeCell ref="AD80:AD84"/>
    <mergeCell ref="AE80:AL84"/>
    <mergeCell ref="AM80:AT84"/>
    <mergeCell ref="O81:V82"/>
    <mergeCell ref="AI132:AN133"/>
    <mergeCell ref="AO132:AQ133"/>
    <mergeCell ref="AR132:AT133"/>
    <mergeCell ref="AA134:AB135"/>
    <mergeCell ref="AC134:AH135"/>
    <mergeCell ref="AI134:AN135"/>
    <mergeCell ref="AO134:AQ135"/>
    <mergeCell ref="AR134:AT135"/>
    <mergeCell ref="A1:D1"/>
    <mergeCell ref="AA123:AT123"/>
    <mergeCell ref="AA124:AB125"/>
    <mergeCell ref="AC124:AH125"/>
    <mergeCell ref="AI124:AN125"/>
    <mergeCell ref="AO124:AQ125"/>
    <mergeCell ref="AR124:AT125"/>
    <mergeCell ref="AA126:AB127"/>
    <mergeCell ref="AC126:AH127"/>
    <mergeCell ref="AI126:AN127"/>
    <mergeCell ref="AO126:AQ127"/>
    <mergeCell ref="AR126:AT127"/>
    <mergeCell ref="C89:E90"/>
    <mergeCell ref="F89:F90"/>
    <mergeCell ref="G89:N90"/>
    <mergeCell ref="O89:V90"/>
  </mergeCells>
  <dataValidations count="1">
    <dataValidation type="list" allowBlank="1" showInputMessage="1" showErrorMessage="1" sqref="R1">
      <formula1>ROLLNO</formula1>
    </dataValidation>
  </dataValidations>
  <hyperlinks>
    <hyperlink ref="A1:D1" location="INDEX!A1" display="INDEX"/>
  </hyperlinks>
  <pageMargins left="0.25" right="0.25" top="0.2" bottom="0.2" header="0" footer="0"/>
  <pageSetup paperSize="9" scale="99" pageOrder="overThenDown" orientation="portrait" horizontalDpi="4294967292" verticalDpi="300" r:id="rId1"/>
  <rowBreaks count="2" manualBreakCount="2">
    <brk id="48" max="47" man="1"/>
    <brk id="93" max="16383" man="1"/>
  </rowBreaks>
  <colBreaks count="1" manualBreakCount="1">
    <brk id="24" min="2" max="138" man="1"/>
  </col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2060"/>
    <pageSetUpPr fitToPage="1"/>
  </sheetPr>
  <dimension ref="A1:S46"/>
  <sheetViews>
    <sheetView showGridLines="0" workbookViewId="0">
      <selection activeCell="C7" sqref="C7:H7"/>
    </sheetView>
  </sheetViews>
  <sheetFormatPr defaultRowHeight="12.75"/>
  <cols>
    <col min="1" max="1" width="2" style="267" customWidth="1"/>
    <col min="2" max="2" width="23.28515625" style="267" customWidth="1"/>
    <col min="3" max="5" width="9.7109375" style="267" customWidth="1"/>
    <col min="6" max="6" width="13.140625" style="267" customWidth="1"/>
    <col min="7" max="7" width="12.5703125" style="267" customWidth="1"/>
    <col min="8" max="8" width="9.5703125" style="267" customWidth="1"/>
    <col min="9" max="9" width="1.85546875" style="267" customWidth="1"/>
    <col min="10" max="10" width="3.140625" style="267" customWidth="1"/>
    <col min="11" max="11" width="2" style="267" customWidth="1"/>
    <col min="12" max="12" width="23.28515625" style="267" customWidth="1"/>
    <col min="13" max="15" width="9.7109375" style="267" customWidth="1"/>
    <col min="16" max="16" width="13.28515625" style="267" customWidth="1"/>
    <col min="17" max="18" width="9.5703125" style="267" customWidth="1"/>
    <col min="19" max="19" width="2" style="267" customWidth="1"/>
    <col min="20" max="256" width="9.140625" style="267"/>
    <col min="257" max="257" width="2" style="267" customWidth="1"/>
    <col min="258" max="258" width="23.28515625" style="267" customWidth="1"/>
    <col min="259" max="261" width="9.7109375" style="267" customWidth="1"/>
    <col min="262" max="262" width="13.140625" style="267" customWidth="1"/>
    <col min="263" max="263" width="12.5703125" style="267" customWidth="1"/>
    <col min="264" max="264" width="9.5703125" style="267" customWidth="1"/>
    <col min="265" max="265" width="1.85546875" style="267" customWidth="1"/>
    <col min="266" max="266" width="3.140625" style="267" customWidth="1"/>
    <col min="267" max="267" width="2" style="267" customWidth="1"/>
    <col min="268" max="268" width="23.28515625" style="267" customWidth="1"/>
    <col min="269" max="271" width="9.7109375" style="267" customWidth="1"/>
    <col min="272" max="272" width="13.28515625" style="267" customWidth="1"/>
    <col min="273" max="274" width="9.5703125" style="267" customWidth="1"/>
    <col min="275" max="275" width="2" style="267" customWidth="1"/>
    <col min="276" max="512" width="9.140625" style="267"/>
    <col min="513" max="513" width="2" style="267" customWidth="1"/>
    <col min="514" max="514" width="23.28515625" style="267" customWidth="1"/>
    <col min="515" max="517" width="9.7109375" style="267" customWidth="1"/>
    <col min="518" max="518" width="13.140625" style="267" customWidth="1"/>
    <col min="519" max="519" width="12.5703125" style="267" customWidth="1"/>
    <col min="520" max="520" width="9.5703125" style="267" customWidth="1"/>
    <col min="521" max="521" width="1.85546875" style="267" customWidth="1"/>
    <col min="522" max="522" width="3.140625" style="267" customWidth="1"/>
    <col min="523" max="523" width="2" style="267" customWidth="1"/>
    <col min="524" max="524" width="23.28515625" style="267" customWidth="1"/>
    <col min="525" max="527" width="9.7109375" style="267" customWidth="1"/>
    <col min="528" max="528" width="13.28515625" style="267" customWidth="1"/>
    <col min="529" max="530" width="9.5703125" style="267" customWidth="1"/>
    <col min="531" max="531" width="2" style="267" customWidth="1"/>
    <col min="532" max="768" width="9.140625" style="267"/>
    <col min="769" max="769" width="2" style="267" customWidth="1"/>
    <col min="770" max="770" width="23.28515625" style="267" customWidth="1"/>
    <col min="771" max="773" width="9.7109375" style="267" customWidth="1"/>
    <col min="774" max="774" width="13.140625" style="267" customWidth="1"/>
    <col min="775" max="775" width="12.5703125" style="267" customWidth="1"/>
    <col min="776" max="776" width="9.5703125" style="267" customWidth="1"/>
    <col min="777" max="777" width="1.85546875" style="267" customWidth="1"/>
    <col min="778" max="778" width="3.140625" style="267" customWidth="1"/>
    <col min="779" max="779" width="2" style="267" customWidth="1"/>
    <col min="780" max="780" width="23.28515625" style="267" customWidth="1"/>
    <col min="781" max="783" width="9.7109375" style="267" customWidth="1"/>
    <col min="784" max="784" width="13.28515625" style="267" customWidth="1"/>
    <col min="785" max="786" width="9.5703125" style="267" customWidth="1"/>
    <col min="787" max="787" width="2" style="267" customWidth="1"/>
    <col min="788" max="1024" width="9.140625" style="267"/>
    <col min="1025" max="1025" width="2" style="267" customWidth="1"/>
    <col min="1026" max="1026" width="23.28515625" style="267" customWidth="1"/>
    <col min="1027" max="1029" width="9.7109375" style="267" customWidth="1"/>
    <col min="1030" max="1030" width="13.140625" style="267" customWidth="1"/>
    <col min="1031" max="1031" width="12.5703125" style="267" customWidth="1"/>
    <col min="1032" max="1032" width="9.5703125" style="267" customWidth="1"/>
    <col min="1033" max="1033" width="1.85546875" style="267" customWidth="1"/>
    <col min="1034" max="1034" width="3.140625" style="267" customWidth="1"/>
    <col min="1035" max="1035" width="2" style="267" customWidth="1"/>
    <col min="1036" max="1036" width="23.28515625" style="267" customWidth="1"/>
    <col min="1037" max="1039" width="9.7109375" style="267" customWidth="1"/>
    <col min="1040" max="1040" width="13.28515625" style="267" customWidth="1"/>
    <col min="1041" max="1042" width="9.5703125" style="267" customWidth="1"/>
    <col min="1043" max="1043" width="2" style="267" customWidth="1"/>
    <col min="1044" max="1280" width="9.140625" style="267"/>
    <col min="1281" max="1281" width="2" style="267" customWidth="1"/>
    <col min="1282" max="1282" width="23.28515625" style="267" customWidth="1"/>
    <col min="1283" max="1285" width="9.7109375" style="267" customWidth="1"/>
    <col min="1286" max="1286" width="13.140625" style="267" customWidth="1"/>
    <col min="1287" max="1287" width="12.5703125" style="267" customWidth="1"/>
    <col min="1288" max="1288" width="9.5703125" style="267" customWidth="1"/>
    <col min="1289" max="1289" width="1.85546875" style="267" customWidth="1"/>
    <col min="1290" max="1290" width="3.140625" style="267" customWidth="1"/>
    <col min="1291" max="1291" width="2" style="267" customWidth="1"/>
    <col min="1292" max="1292" width="23.28515625" style="267" customWidth="1"/>
    <col min="1293" max="1295" width="9.7109375" style="267" customWidth="1"/>
    <col min="1296" max="1296" width="13.28515625" style="267" customWidth="1"/>
    <col min="1297" max="1298" width="9.5703125" style="267" customWidth="1"/>
    <col min="1299" max="1299" width="2" style="267" customWidth="1"/>
    <col min="1300" max="1536" width="9.140625" style="267"/>
    <col min="1537" max="1537" width="2" style="267" customWidth="1"/>
    <col min="1538" max="1538" width="23.28515625" style="267" customWidth="1"/>
    <col min="1539" max="1541" width="9.7109375" style="267" customWidth="1"/>
    <col min="1542" max="1542" width="13.140625" style="267" customWidth="1"/>
    <col min="1543" max="1543" width="12.5703125" style="267" customWidth="1"/>
    <col min="1544" max="1544" width="9.5703125" style="267" customWidth="1"/>
    <col min="1545" max="1545" width="1.85546875" style="267" customWidth="1"/>
    <col min="1546" max="1546" width="3.140625" style="267" customWidth="1"/>
    <col min="1547" max="1547" width="2" style="267" customWidth="1"/>
    <col min="1548" max="1548" width="23.28515625" style="267" customWidth="1"/>
    <col min="1549" max="1551" width="9.7109375" style="267" customWidth="1"/>
    <col min="1552" max="1552" width="13.28515625" style="267" customWidth="1"/>
    <col min="1553" max="1554" width="9.5703125" style="267" customWidth="1"/>
    <col min="1555" max="1555" width="2" style="267" customWidth="1"/>
    <col min="1556" max="1792" width="9.140625" style="267"/>
    <col min="1793" max="1793" width="2" style="267" customWidth="1"/>
    <col min="1794" max="1794" width="23.28515625" style="267" customWidth="1"/>
    <col min="1795" max="1797" width="9.7109375" style="267" customWidth="1"/>
    <col min="1798" max="1798" width="13.140625" style="267" customWidth="1"/>
    <col min="1799" max="1799" width="12.5703125" style="267" customWidth="1"/>
    <col min="1800" max="1800" width="9.5703125" style="267" customWidth="1"/>
    <col min="1801" max="1801" width="1.85546875" style="267" customWidth="1"/>
    <col min="1802" max="1802" width="3.140625" style="267" customWidth="1"/>
    <col min="1803" max="1803" width="2" style="267" customWidth="1"/>
    <col min="1804" max="1804" width="23.28515625" style="267" customWidth="1"/>
    <col min="1805" max="1807" width="9.7109375" style="267" customWidth="1"/>
    <col min="1808" max="1808" width="13.28515625" style="267" customWidth="1"/>
    <col min="1809" max="1810" width="9.5703125" style="267" customWidth="1"/>
    <col min="1811" max="1811" width="2" style="267" customWidth="1"/>
    <col min="1812" max="2048" width="9.140625" style="267"/>
    <col min="2049" max="2049" width="2" style="267" customWidth="1"/>
    <col min="2050" max="2050" width="23.28515625" style="267" customWidth="1"/>
    <col min="2051" max="2053" width="9.7109375" style="267" customWidth="1"/>
    <col min="2054" max="2054" width="13.140625" style="267" customWidth="1"/>
    <col min="2055" max="2055" width="12.5703125" style="267" customWidth="1"/>
    <col min="2056" max="2056" width="9.5703125" style="267" customWidth="1"/>
    <col min="2057" max="2057" width="1.85546875" style="267" customWidth="1"/>
    <col min="2058" max="2058" width="3.140625" style="267" customWidth="1"/>
    <col min="2059" max="2059" width="2" style="267" customWidth="1"/>
    <col min="2060" max="2060" width="23.28515625" style="267" customWidth="1"/>
    <col min="2061" max="2063" width="9.7109375" style="267" customWidth="1"/>
    <col min="2064" max="2064" width="13.28515625" style="267" customWidth="1"/>
    <col min="2065" max="2066" width="9.5703125" style="267" customWidth="1"/>
    <col min="2067" max="2067" width="2" style="267" customWidth="1"/>
    <col min="2068" max="2304" width="9.140625" style="267"/>
    <col min="2305" max="2305" width="2" style="267" customWidth="1"/>
    <col min="2306" max="2306" width="23.28515625" style="267" customWidth="1"/>
    <col min="2307" max="2309" width="9.7109375" style="267" customWidth="1"/>
    <col min="2310" max="2310" width="13.140625" style="267" customWidth="1"/>
    <col min="2311" max="2311" width="12.5703125" style="267" customWidth="1"/>
    <col min="2312" max="2312" width="9.5703125" style="267" customWidth="1"/>
    <col min="2313" max="2313" width="1.85546875" style="267" customWidth="1"/>
    <col min="2314" max="2314" width="3.140625" style="267" customWidth="1"/>
    <col min="2315" max="2315" width="2" style="267" customWidth="1"/>
    <col min="2316" max="2316" width="23.28515625" style="267" customWidth="1"/>
    <col min="2317" max="2319" width="9.7109375" style="267" customWidth="1"/>
    <col min="2320" max="2320" width="13.28515625" style="267" customWidth="1"/>
    <col min="2321" max="2322" width="9.5703125" style="267" customWidth="1"/>
    <col min="2323" max="2323" width="2" style="267" customWidth="1"/>
    <col min="2324" max="2560" width="9.140625" style="267"/>
    <col min="2561" max="2561" width="2" style="267" customWidth="1"/>
    <col min="2562" max="2562" width="23.28515625" style="267" customWidth="1"/>
    <col min="2563" max="2565" width="9.7109375" style="267" customWidth="1"/>
    <col min="2566" max="2566" width="13.140625" style="267" customWidth="1"/>
    <col min="2567" max="2567" width="12.5703125" style="267" customWidth="1"/>
    <col min="2568" max="2568" width="9.5703125" style="267" customWidth="1"/>
    <col min="2569" max="2569" width="1.85546875" style="267" customWidth="1"/>
    <col min="2570" max="2570" width="3.140625" style="267" customWidth="1"/>
    <col min="2571" max="2571" width="2" style="267" customWidth="1"/>
    <col min="2572" max="2572" width="23.28515625" style="267" customWidth="1"/>
    <col min="2573" max="2575" width="9.7109375" style="267" customWidth="1"/>
    <col min="2576" max="2576" width="13.28515625" style="267" customWidth="1"/>
    <col min="2577" max="2578" width="9.5703125" style="267" customWidth="1"/>
    <col min="2579" max="2579" width="2" style="267" customWidth="1"/>
    <col min="2580" max="2816" width="9.140625" style="267"/>
    <col min="2817" max="2817" width="2" style="267" customWidth="1"/>
    <col min="2818" max="2818" width="23.28515625" style="267" customWidth="1"/>
    <col min="2819" max="2821" width="9.7109375" style="267" customWidth="1"/>
    <col min="2822" max="2822" width="13.140625" style="267" customWidth="1"/>
    <col min="2823" max="2823" width="12.5703125" style="267" customWidth="1"/>
    <col min="2824" max="2824" width="9.5703125" style="267" customWidth="1"/>
    <col min="2825" max="2825" width="1.85546875" style="267" customWidth="1"/>
    <col min="2826" max="2826" width="3.140625" style="267" customWidth="1"/>
    <col min="2827" max="2827" width="2" style="267" customWidth="1"/>
    <col min="2828" max="2828" width="23.28515625" style="267" customWidth="1"/>
    <col min="2829" max="2831" width="9.7109375" style="267" customWidth="1"/>
    <col min="2832" max="2832" width="13.28515625" style="267" customWidth="1"/>
    <col min="2833" max="2834" width="9.5703125" style="267" customWidth="1"/>
    <col min="2835" max="2835" width="2" style="267" customWidth="1"/>
    <col min="2836" max="3072" width="9.140625" style="267"/>
    <col min="3073" max="3073" width="2" style="267" customWidth="1"/>
    <col min="3074" max="3074" width="23.28515625" style="267" customWidth="1"/>
    <col min="3075" max="3077" width="9.7109375" style="267" customWidth="1"/>
    <col min="3078" max="3078" width="13.140625" style="267" customWidth="1"/>
    <col min="3079" max="3079" width="12.5703125" style="267" customWidth="1"/>
    <col min="3080" max="3080" width="9.5703125" style="267" customWidth="1"/>
    <col min="3081" max="3081" width="1.85546875" style="267" customWidth="1"/>
    <col min="3082" max="3082" width="3.140625" style="267" customWidth="1"/>
    <col min="3083" max="3083" width="2" style="267" customWidth="1"/>
    <col min="3084" max="3084" width="23.28515625" style="267" customWidth="1"/>
    <col min="3085" max="3087" width="9.7109375" style="267" customWidth="1"/>
    <col min="3088" max="3088" width="13.28515625" style="267" customWidth="1"/>
    <col min="3089" max="3090" width="9.5703125" style="267" customWidth="1"/>
    <col min="3091" max="3091" width="2" style="267" customWidth="1"/>
    <col min="3092" max="3328" width="9.140625" style="267"/>
    <col min="3329" max="3329" width="2" style="267" customWidth="1"/>
    <col min="3330" max="3330" width="23.28515625" style="267" customWidth="1"/>
    <col min="3331" max="3333" width="9.7109375" style="267" customWidth="1"/>
    <col min="3334" max="3334" width="13.140625" style="267" customWidth="1"/>
    <col min="3335" max="3335" width="12.5703125" style="267" customWidth="1"/>
    <col min="3336" max="3336" width="9.5703125" style="267" customWidth="1"/>
    <col min="3337" max="3337" width="1.85546875" style="267" customWidth="1"/>
    <col min="3338" max="3338" width="3.140625" style="267" customWidth="1"/>
    <col min="3339" max="3339" width="2" style="267" customWidth="1"/>
    <col min="3340" max="3340" width="23.28515625" style="267" customWidth="1"/>
    <col min="3341" max="3343" width="9.7109375" style="267" customWidth="1"/>
    <col min="3344" max="3344" width="13.28515625" style="267" customWidth="1"/>
    <col min="3345" max="3346" width="9.5703125" style="267" customWidth="1"/>
    <col min="3347" max="3347" width="2" style="267" customWidth="1"/>
    <col min="3348" max="3584" width="9.140625" style="267"/>
    <col min="3585" max="3585" width="2" style="267" customWidth="1"/>
    <col min="3586" max="3586" width="23.28515625" style="267" customWidth="1"/>
    <col min="3587" max="3589" width="9.7109375" style="267" customWidth="1"/>
    <col min="3590" max="3590" width="13.140625" style="267" customWidth="1"/>
    <col min="3591" max="3591" width="12.5703125" style="267" customWidth="1"/>
    <col min="3592" max="3592" width="9.5703125" style="267" customWidth="1"/>
    <col min="3593" max="3593" width="1.85546875" style="267" customWidth="1"/>
    <col min="3594" max="3594" width="3.140625" style="267" customWidth="1"/>
    <col min="3595" max="3595" width="2" style="267" customWidth="1"/>
    <col min="3596" max="3596" width="23.28515625" style="267" customWidth="1"/>
    <col min="3597" max="3599" width="9.7109375" style="267" customWidth="1"/>
    <col min="3600" max="3600" width="13.28515625" style="267" customWidth="1"/>
    <col min="3601" max="3602" width="9.5703125" style="267" customWidth="1"/>
    <col min="3603" max="3603" width="2" style="267" customWidth="1"/>
    <col min="3604" max="3840" width="9.140625" style="267"/>
    <col min="3841" max="3841" width="2" style="267" customWidth="1"/>
    <col min="3842" max="3842" width="23.28515625" style="267" customWidth="1"/>
    <col min="3843" max="3845" width="9.7109375" style="267" customWidth="1"/>
    <col min="3846" max="3846" width="13.140625" style="267" customWidth="1"/>
    <col min="3847" max="3847" width="12.5703125" style="267" customWidth="1"/>
    <col min="3848" max="3848" width="9.5703125" style="267" customWidth="1"/>
    <col min="3849" max="3849" width="1.85546875" style="267" customWidth="1"/>
    <col min="3850" max="3850" width="3.140625" style="267" customWidth="1"/>
    <col min="3851" max="3851" width="2" style="267" customWidth="1"/>
    <col min="3852" max="3852" width="23.28515625" style="267" customWidth="1"/>
    <col min="3853" max="3855" width="9.7109375" style="267" customWidth="1"/>
    <col min="3856" max="3856" width="13.28515625" style="267" customWidth="1"/>
    <col min="3857" max="3858" width="9.5703125" style="267" customWidth="1"/>
    <col min="3859" max="3859" width="2" style="267" customWidth="1"/>
    <col min="3860" max="4096" width="9.140625" style="267"/>
    <col min="4097" max="4097" width="2" style="267" customWidth="1"/>
    <col min="4098" max="4098" width="23.28515625" style="267" customWidth="1"/>
    <col min="4099" max="4101" width="9.7109375" style="267" customWidth="1"/>
    <col min="4102" max="4102" width="13.140625" style="267" customWidth="1"/>
    <col min="4103" max="4103" width="12.5703125" style="267" customWidth="1"/>
    <col min="4104" max="4104" width="9.5703125" style="267" customWidth="1"/>
    <col min="4105" max="4105" width="1.85546875" style="267" customWidth="1"/>
    <col min="4106" max="4106" width="3.140625" style="267" customWidth="1"/>
    <col min="4107" max="4107" width="2" style="267" customWidth="1"/>
    <col min="4108" max="4108" width="23.28515625" style="267" customWidth="1"/>
    <col min="4109" max="4111" width="9.7109375" style="267" customWidth="1"/>
    <col min="4112" max="4112" width="13.28515625" style="267" customWidth="1"/>
    <col min="4113" max="4114" width="9.5703125" style="267" customWidth="1"/>
    <col min="4115" max="4115" width="2" style="267" customWidth="1"/>
    <col min="4116" max="4352" width="9.140625" style="267"/>
    <col min="4353" max="4353" width="2" style="267" customWidth="1"/>
    <col min="4354" max="4354" width="23.28515625" style="267" customWidth="1"/>
    <col min="4355" max="4357" width="9.7109375" style="267" customWidth="1"/>
    <col min="4358" max="4358" width="13.140625" style="267" customWidth="1"/>
    <col min="4359" max="4359" width="12.5703125" style="267" customWidth="1"/>
    <col min="4360" max="4360" width="9.5703125" style="267" customWidth="1"/>
    <col min="4361" max="4361" width="1.85546875" style="267" customWidth="1"/>
    <col min="4362" max="4362" width="3.140625" style="267" customWidth="1"/>
    <col min="4363" max="4363" width="2" style="267" customWidth="1"/>
    <col min="4364" max="4364" width="23.28515625" style="267" customWidth="1"/>
    <col min="4365" max="4367" width="9.7109375" style="267" customWidth="1"/>
    <col min="4368" max="4368" width="13.28515625" style="267" customWidth="1"/>
    <col min="4369" max="4370" width="9.5703125" style="267" customWidth="1"/>
    <col min="4371" max="4371" width="2" style="267" customWidth="1"/>
    <col min="4372" max="4608" width="9.140625" style="267"/>
    <col min="4609" max="4609" width="2" style="267" customWidth="1"/>
    <col min="4610" max="4610" width="23.28515625" style="267" customWidth="1"/>
    <col min="4611" max="4613" width="9.7109375" style="267" customWidth="1"/>
    <col min="4614" max="4614" width="13.140625" style="267" customWidth="1"/>
    <col min="4615" max="4615" width="12.5703125" style="267" customWidth="1"/>
    <col min="4616" max="4616" width="9.5703125" style="267" customWidth="1"/>
    <col min="4617" max="4617" width="1.85546875" style="267" customWidth="1"/>
    <col min="4618" max="4618" width="3.140625" style="267" customWidth="1"/>
    <col min="4619" max="4619" width="2" style="267" customWidth="1"/>
    <col min="4620" max="4620" width="23.28515625" style="267" customWidth="1"/>
    <col min="4621" max="4623" width="9.7109375" style="267" customWidth="1"/>
    <col min="4624" max="4624" width="13.28515625" style="267" customWidth="1"/>
    <col min="4625" max="4626" width="9.5703125" style="267" customWidth="1"/>
    <col min="4627" max="4627" width="2" style="267" customWidth="1"/>
    <col min="4628" max="4864" width="9.140625" style="267"/>
    <col min="4865" max="4865" width="2" style="267" customWidth="1"/>
    <col min="4866" max="4866" width="23.28515625" style="267" customWidth="1"/>
    <col min="4867" max="4869" width="9.7109375" style="267" customWidth="1"/>
    <col min="4870" max="4870" width="13.140625" style="267" customWidth="1"/>
    <col min="4871" max="4871" width="12.5703125" style="267" customWidth="1"/>
    <col min="4872" max="4872" width="9.5703125" style="267" customWidth="1"/>
    <col min="4873" max="4873" width="1.85546875" style="267" customWidth="1"/>
    <col min="4874" max="4874" width="3.140625" style="267" customWidth="1"/>
    <col min="4875" max="4875" width="2" style="267" customWidth="1"/>
    <col min="4876" max="4876" width="23.28515625" style="267" customWidth="1"/>
    <col min="4877" max="4879" width="9.7109375" style="267" customWidth="1"/>
    <col min="4880" max="4880" width="13.28515625" style="267" customWidth="1"/>
    <col min="4881" max="4882" width="9.5703125" style="267" customWidth="1"/>
    <col min="4883" max="4883" width="2" style="267" customWidth="1"/>
    <col min="4884" max="5120" width="9.140625" style="267"/>
    <col min="5121" max="5121" width="2" style="267" customWidth="1"/>
    <col min="5122" max="5122" width="23.28515625" style="267" customWidth="1"/>
    <col min="5123" max="5125" width="9.7109375" style="267" customWidth="1"/>
    <col min="5126" max="5126" width="13.140625" style="267" customWidth="1"/>
    <col min="5127" max="5127" width="12.5703125" style="267" customWidth="1"/>
    <col min="5128" max="5128" width="9.5703125" style="267" customWidth="1"/>
    <col min="5129" max="5129" width="1.85546875" style="267" customWidth="1"/>
    <col min="5130" max="5130" width="3.140625" style="267" customWidth="1"/>
    <col min="5131" max="5131" width="2" style="267" customWidth="1"/>
    <col min="5132" max="5132" width="23.28515625" style="267" customWidth="1"/>
    <col min="5133" max="5135" width="9.7109375" style="267" customWidth="1"/>
    <col min="5136" max="5136" width="13.28515625" style="267" customWidth="1"/>
    <col min="5137" max="5138" width="9.5703125" style="267" customWidth="1"/>
    <col min="5139" max="5139" width="2" style="267" customWidth="1"/>
    <col min="5140" max="5376" width="9.140625" style="267"/>
    <col min="5377" max="5377" width="2" style="267" customWidth="1"/>
    <col min="5378" max="5378" width="23.28515625" style="267" customWidth="1"/>
    <col min="5379" max="5381" width="9.7109375" style="267" customWidth="1"/>
    <col min="5382" max="5382" width="13.140625" style="267" customWidth="1"/>
    <col min="5383" max="5383" width="12.5703125" style="267" customWidth="1"/>
    <col min="5384" max="5384" width="9.5703125" style="267" customWidth="1"/>
    <col min="5385" max="5385" width="1.85546875" style="267" customWidth="1"/>
    <col min="5386" max="5386" width="3.140625" style="267" customWidth="1"/>
    <col min="5387" max="5387" width="2" style="267" customWidth="1"/>
    <col min="5388" max="5388" width="23.28515625" style="267" customWidth="1"/>
    <col min="5389" max="5391" width="9.7109375" style="267" customWidth="1"/>
    <col min="5392" max="5392" width="13.28515625" style="267" customWidth="1"/>
    <col min="5393" max="5394" width="9.5703125" style="267" customWidth="1"/>
    <col min="5395" max="5395" width="2" style="267" customWidth="1"/>
    <col min="5396" max="5632" width="9.140625" style="267"/>
    <col min="5633" max="5633" width="2" style="267" customWidth="1"/>
    <col min="5634" max="5634" width="23.28515625" style="267" customWidth="1"/>
    <col min="5635" max="5637" width="9.7109375" style="267" customWidth="1"/>
    <col min="5638" max="5638" width="13.140625" style="267" customWidth="1"/>
    <col min="5639" max="5639" width="12.5703125" style="267" customWidth="1"/>
    <col min="5640" max="5640" width="9.5703125" style="267" customWidth="1"/>
    <col min="5641" max="5641" width="1.85546875" style="267" customWidth="1"/>
    <col min="5642" max="5642" width="3.140625" style="267" customWidth="1"/>
    <col min="5643" max="5643" width="2" style="267" customWidth="1"/>
    <col min="5644" max="5644" width="23.28515625" style="267" customWidth="1"/>
    <col min="5645" max="5647" width="9.7109375" style="267" customWidth="1"/>
    <col min="5648" max="5648" width="13.28515625" style="267" customWidth="1"/>
    <col min="5649" max="5650" width="9.5703125" style="267" customWidth="1"/>
    <col min="5651" max="5651" width="2" style="267" customWidth="1"/>
    <col min="5652" max="5888" width="9.140625" style="267"/>
    <col min="5889" max="5889" width="2" style="267" customWidth="1"/>
    <col min="5890" max="5890" width="23.28515625" style="267" customWidth="1"/>
    <col min="5891" max="5893" width="9.7109375" style="267" customWidth="1"/>
    <col min="5894" max="5894" width="13.140625" style="267" customWidth="1"/>
    <col min="5895" max="5895" width="12.5703125" style="267" customWidth="1"/>
    <col min="5896" max="5896" width="9.5703125" style="267" customWidth="1"/>
    <col min="5897" max="5897" width="1.85546875" style="267" customWidth="1"/>
    <col min="5898" max="5898" width="3.140625" style="267" customWidth="1"/>
    <col min="5899" max="5899" width="2" style="267" customWidth="1"/>
    <col min="5900" max="5900" width="23.28515625" style="267" customWidth="1"/>
    <col min="5901" max="5903" width="9.7109375" style="267" customWidth="1"/>
    <col min="5904" max="5904" width="13.28515625" style="267" customWidth="1"/>
    <col min="5905" max="5906" width="9.5703125" style="267" customWidth="1"/>
    <col min="5907" max="5907" width="2" style="267" customWidth="1"/>
    <col min="5908" max="6144" width="9.140625" style="267"/>
    <col min="6145" max="6145" width="2" style="267" customWidth="1"/>
    <col min="6146" max="6146" width="23.28515625" style="267" customWidth="1"/>
    <col min="6147" max="6149" width="9.7109375" style="267" customWidth="1"/>
    <col min="6150" max="6150" width="13.140625" style="267" customWidth="1"/>
    <col min="6151" max="6151" width="12.5703125" style="267" customWidth="1"/>
    <col min="6152" max="6152" width="9.5703125" style="267" customWidth="1"/>
    <col min="6153" max="6153" width="1.85546875" style="267" customWidth="1"/>
    <col min="6154" max="6154" width="3.140625" style="267" customWidth="1"/>
    <col min="6155" max="6155" width="2" style="267" customWidth="1"/>
    <col min="6156" max="6156" width="23.28515625" style="267" customWidth="1"/>
    <col min="6157" max="6159" width="9.7109375" style="267" customWidth="1"/>
    <col min="6160" max="6160" width="13.28515625" style="267" customWidth="1"/>
    <col min="6161" max="6162" width="9.5703125" style="267" customWidth="1"/>
    <col min="6163" max="6163" width="2" style="267" customWidth="1"/>
    <col min="6164" max="6400" width="9.140625" style="267"/>
    <col min="6401" max="6401" width="2" style="267" customWidth="1"/>
    <col min="6402" max="6402" width="23.28515625" style="267" customWidth="1"/>
    <col min="6403" max="6405" width="9.7109375" style="267" customWidth="1"/>
    <col min="6406" max="6406" width="13.140625" style="267" customWidth="1"/>
    <col min="6407" max="6407" width="12.5703125" style="267" customWidth="1"/>
    <col min="6408" max="6408" width="9.5703125" style="267" customWidth="1"/>
    <col min="6409" max="6409" width="1.85546875" style="267" customWidth="1"/>
    <col min="6410" max="6410" width="3.140625" style="267" customWidth="1"/>
    <col min="6411" max="6411" width="2" style="267" customWidth="1"/>
    <col min="6412" max="6412" width="23.28515625" style="267" customWidth="1"/>
    <col min="6413" max="6415" width="9.7109375" style="267" customWidth="1"/>
    <col min="6416" max="6416" width="13.28515625" style="267" customWidth="1"/>
    <col min="6417" max="6418" width="9.5703125" style="267" customWidth="1"/>
    <col min="6419" max="6419" width="2" style="267" customWidth="1"/>
    <col min="6420" max="6656" width="9.140625" style="267"/>
    <col min="6657" max="6657" width="2" style="267" customWidth="1"/>
    <col min="6658" max="6658" width="23.28515625" style="267" customWidth="1"/>
    <col min="6659" max="6661" width="9.7109375" style="267" customWidth="1"/>
    <col min="6662" max="6662" width="13.140625" style="267" customWidth="1"/>
    <col min="6663" max="6663" width="12.5703125" style="267" customWidth="1"/>
    <col min="6664" max="6664" width="9.5703125" style="267" customWidth="1"/>
    <col min="6665" max="6665" width="1.85546875" style="267" customWidth="1"/>
    <col min="6666" max="6666" width="3.140625" style="267" customWidth="1"/>
    <col min="6667" max="6667" width="2" style="267" customWidth="1"/>
    <col min="6668" max="6668" width="23.28515625" style="267" customWidth="1"/>
    <col min="6669" max="6671" width="9.7109375" style="267" customWidth="1"/>
    <col min="6672" max="6672" width="13.28515625" style="267" customWidth="1"/>
    <col min="6673" max="6674" width="9.5703125" style="267" customWidth="1"/>
    <col min="6675" max="6675" width="2" style="267" customWidth="1"/>
    <col min="6676" max="6912" width="9.140625" style="267"/>
    <col min="6913" max="6913" width="2" style="267" customWidth="1"/>
    <col min="6914" max="6914" width="23.28515625" style="267" customWidth="1"/>
    <col min="6915" max="6917" width="9.7109375" style="267" customWidth="1"/>
    <col min="6918" max="6918" width="13.140625" style="267" customWidth="1"/>
    <col min="6919" max="6919" width="12.5703125" style="267" customWidth="1"/>
    <col min="6920" max="6920" width="9.5703125" style="267" customWidth="1"/>
    <col min="6921" max="6921" width="1.85546875" style="267" customWidth="1"/>
    <col min="6922" max="6922" width="3.140625" style="267" customWidth="1"/>
    <col min="6923" max="6923" width="2" style="267" customWidth="1"/>
    <col min="6924" max="6924" width="23.28515625" style="267" customWidth="1"/>
    <col min="6925" max="6927" width="9.7109375" style="267" customWidth="1"/>
    <col min="6928" max="6928" width="13.28515625" style="267" customWidth="1"/>
    <col min="6929" max="6930" width="9.5703125" style="267" customWidth="1"/>
    <col min="6931" max="6931" width="2" style="267" customWidth="1"/>
    <col min="6932" max="7168" width="9.140625" style="267"/>
    <col min="7169" max="7169" width="2" style="267" customWidth="1"/>
    <col min="7170" max="7170" width="23.28515625" style="267" customWidth="1"/>
    <col min="7171" max="7173" width="9.7109375" style="267" customWidth="1"/>
    <col min="7174" max="7174" width="13.140625" style="267" customWidth="1"/>
    <col min="7175" max="7175" width="12.5703125" style="267" customWidth="1"/>
    <col min="7176" max="7176" width="9.5703125" style="267" customWidth="1"/>
    <col min="7177" max="7177" width="1.85546875" style="267" customWidth="1"/>
    <col min="7178" max="7178" width="3.140625" style="267" customWidth="1"/>
    <col min="7179" max="7179" width="2" style="267" customWidth="1"/>
    <col min="7180" max="7180" width="23.28515625" style="267" customWidth="1"/>
    <col min="7181" max="7183" width="9.7109375" style="267" customWidth="1"/>
    <col min="7184" max="7184" width="13.28515625" style="267" customWidth="1"/>
    <col min="7185" max="7186" width="9.5703125" style="267" customWidth="1"/>
    <col min="7187" max="7187" width="2" style="267" customWidth="1"/>
    <col min="7188" max="7424" width="9.140625" style="267"/>
    <col min="7425" max="7425" width="2" style="267" customWidth="1"/>
    <col min="7426" max="7426" width="23.28515625" style="267" customWidth="1"/>
    <col min="7427" max="7429" width="9.7109375" style="267" customWidth="1"/>
    <col min="7430" max="7430" width="13.140625" style="267" customWidth="1"/>
    <col min="7431" max="7431" width="12.5703125" style="267" customWidth="1"/>
    <col min="7432" max="7432" width="9.5703125" style="267" customWidth="1"/>
    <col min="7433" max="7433" width="1.85546875" style="267" customWidth="1"/>
    <col min="7434" max="7434" width="3.140625" style="267" customWidth="1"/>
    <col min="7435" max="7435" width="2" style="267" customWidth="1"/>
    <col min="7436" max="7436" width="23.28515625" style="267" customWidth="1"/>
    <col min="7437" max="7439" width="9.7109375" style="267" customWidth="1"/>
    <col min="7440" max="7440" width="13.28515625" style="267" customWidth="1"/>
    <col min="7441" max="7442" width="9.5703125" style="267" customWidth="1"/>
    <col min="7443" max="7443" width="2" style="267" customWidth="1"/>
    <col min="7444" max="7680" width="9.140625" style="267"/>
    <col min="7681" max="7681" width="2" style="267" customWidth="1"/>
    <col min="7682" max="7682" width="23.28515625" style="267" customWidth="1"/>
    <col min="7683" max="7685" width="9.7109375" style="267" customWidth="1"/>
    <col min="7686" max="7686" width="13.140625" style="267" customWidth="1"/>
    <col min="7687" max="7687" width="12.5703125" style="267" customWidth="1"/>
    <col min="7688" max="7688" width="9.5703125" style="267" customWidth="1"/>
    <col min="7689" max="7689" width="1.85546875" style="267" customWidth="1"/>
    <col min="7690" max="7690" width="3.140625" style="267" customWidth="1"/>
    <col min="7691" max="7691" width="2" style="267" customWidth="1"/>
    <col min="7692" max="7692" width="23.28515625" style="267" customWidth="1"/>
    <col min="7693" max="7695" width="9.7109375" style="267" customWidth="1"/>
    <col min="7696" max="7696" width="13.28515625" style="267" customWidth="1"/>
    <col min="7697" max="7698" width="9.5703125" style="267" customWidth="1"/>
    <col min="7699" max="7699" width="2" style="267" customWidth="1"/>
    <col min="7700" max="7936" width="9.140625" style="267"/>
    <col min="7937" max="7937" width="2" style="267" customWidth="1"/>
    <col min="7938" max="7938" width="23.28515625" style="267" customWidth="1"/>
    <col min="7939" max="7941" width="9.7109375" style="267" customWidth="1"/>
    <col min="7942" max="7942" width="13.140625" style="267" customWidth="1"/>
    <col min="7943" max="7943" width="12.5703125" style="267" customWidth="1"/>
    <col min="7944" max="7944" width="9.5703125" style="267" customWidth="1"/>
    <col min="7945" max="7945" width="1.85546875" style="267" customWidth="1"/>
    <col min="7946" max="7946" width="3.140625" style="267" customWidth="1"/>
    <col min="7947" max="7947" width="2" style="267" customWidth="1"/>
    <col min="7948" max="7948" width="23.28515625" style="267" customWidth="1"/>
    <col min="7949" max="7951" width="9.7109375" style="267" customWidth="1"/>
    <col min="7952" max="7952" width="13.28515625" style="267" customWidth="1"/>
    <col min="7953" max="7954" width="9.5703125" style="267" customWidth="1"/>
    <col min="7955" max="7955" width="2" style="267" customWidth="1"/>
    <col min="7956" max="8192" width="9.140625" style="267"/>
    <col min="8193" max="8193" width="2" style="267" customWidth="1"/>
    <col min="8194" max="8194" width="23.28515625" style="267" customWidth="1"/>
    <col min="8195" max="8197" width="9.7109375" style="267" customWidth="1"/>
    <col min="8198" max="8198" width="13.140625" style="267" customWidth="1"/>
    <col min="8199" max="8199" width="12.5703125" style="267" customWidth="1"/>
    <col min="8200" max="8200" width="9.5703125" style="267" customWidth="1"/>
    <col min="8201" max="8201" width="1.85546875" style="267" customWidth="1"/>
    <col min="8202" max="8202" width="3.140625" style="267" customWidth="1"/>
    <col min="8203" max="8203" width="2" style="267" customWidth="1"/>
    <col min="8204" max="8204" width="23.28515625" style="267" customWidth="1"/>
    <col min="8205" max="8207" width="9.7109375" style="267" customWidth="1"/>
    <col min="8208" max="8208" width="13.28515625" style="267" customWidth="1"/>
    <col min="8209" max="8210" width="9.5703125" style="267" customWidth="1"/>
    <col min="8211" max="8211" width="2" style="267" customWidth="1"/>
    <col min="8212" max="8448" width="9.140625" style="267"/>
    <col min="8449" max="8449" width="2" style="267" customWidth="1"/>
    <col min="8450" max="8450" width="23.28515625" style="267" customWidth="1"/>
    <col min="8451" max="8453" width="9.7109375" style="267" customWidth="1"/>
    <col min="8454" max="8454" width="13.140625" style="267" customWidth="1"/>
    <col min="8455" max="8455" width="12.5703125" style="267" customWidth="1"/>
    <col min="8456" max="8456" width="9.5703125" style="267" customWidth="1"/>
    <col min="8457" max="8457" width="1.85546875" style="267" customWidth="1"/>
    <col min="8458" max="8458" width="3.140625" style="267" customWidth="1"/>
    <col min="8459" max="8459" width="2" style="267" customWidth="1"/>
    <col min="8460" max="8460" width="23.28515625" style="267" customWidth="1"/>
    <col min="8461" max="8463" width="9.7109375" style="267" customWidth="1"/>
    <col min="8464" max="8464" width="13.28515625" style="267" customWidth="1"/>
    <col min="8465" max="8466" width="9.5703125" style="267" customWidth="1"/>
    <col min="8467" max="8467" width="2" style="267" customWidth="1"/>
    <col min="8468" max="8704" width="9.140625" style="267"/>
    <col min="8705" max="8705" width="2" style="267" customWidth="1"/>
    <col min="8706" max="8706" width="23.28515625" style="267" customWidth="1"/>
    <col min="8707" max="8709" width="9.7109375" style="267" customWidth="1"/>
    <col min="8710" max="8710" width="13.140625" style="267" customWidth="1"/>
    <col min="8711" max="8711" width="12.5703125" style="267" customWidth="1"/>
    <col min="8712" max="8712" width="9.5703125" style="267" customWidth="1"/>
    <col min="8713" max="8713" width="1.85546875" style="267" customWidth="1"/>
    <col min="8714" max="8714" width="3.140625" style="267" customWidth="1"/>
    <col min="8715" max="8715" width="2" style="267" customWidth="1"/>
    <col min="8716" max="8716" width="23.28515625" style="267" customWidth="1"/>
    <col min="8717" max="8719" width="9.7109375" style="267" customWidth="1"/>
    <col min="8720" max="8720" width="13.28515625" style="267" customWidth="1"/>
    <col min="8721" max="8722" width="9.5703125" style="267" customWidth="1"/>
    <col min="8723" max="8723" width="2" style="267" customWidth="1"/>
    <col min="8724" max="8960" width="9.140625" style="267"/>
    <col min="8961" max="8961" width="2" style="267" customWidth="1"/>
    <col min="8962" max="8962" width="23.28515625" style="267" customWidth="1"/>
    <col min="8963" max="8965" width="9.7109375" style="267" customWidth="1"/>
    <col min="8966" max="8966" width="13.140625" style="267" customWidth="1"/>
    <col min="8967" max="8967" width="12.5703125" style="267" customWidth="1"/>
    <col min="8968" max="8968" width="9.5703125" style="267" customWidth="1"/>
    <col min="8969" max="8969" width="1.85546875" style="267" customWidth="1"/>
    <col min="8970" max="8970" width="3.140625" style="267" customWidth="1"/>
    <col min="8971" max="8971" width="2" style="267" customWidth="1"/>
    <col min="8972" max="8972" width="23.28515625" style="267" customWidth="1"/>
    <col min="8973" max="8975" width="9.7109375" style="267" customWidth="1"/>
    <col min="8976" max="8976" width="13.28515625" style="267" customWidth="1"/>
    <col min="8977" max="8978" width="9.5703125" style="267" customWidth="1"/>
    <col min="8979" max="8979" width="2" style="267" customWidth="1"/>
    <col min="8980" max="9216" width="9.140625" style="267"/>
    <col min="9217" max="9217" width="2" style="267" customWidth="1"/>
    <col min="9218" max="9218" width="23.28515625" style="267" customWidth="1"/>
    <col min="9219" max="9221" width="9.7109375" style="267" customWidth="1"/>
    <col min="9222" max="9222" width="13.140625" style="267" customWidth="1"/>
    <col min="9223" max="9223" width="12.5703125" style="267" customWidth="1"/>
    <col min="9224" max="9224" width="9.5703125" style="267" customWidth="1"/>
    <col min="9225" max="9225" width="1.85546875" style="267" customWidth="1"/>
    <col min="9226" max="9226" width="3.140625" style="267" customWidth="1"/>
    <col min="9227" max="9227" width="2" style="267" customWidth="1"/>
    <col min="9228" max="9228" width="23.28515625" style="267" customWidth="1"/>
    <col min="9229" max="9231" width="9.7109375" style="267" customWidth="1"/>
    <col min="9232" max="9232" width="13.28515625" style="267" customWidth="1"/>
    <col min="9233" max="9234" width="9.5703125" style="267" customWidth="1"/>
    <col min="9235" max="9235" width="2" style="267" customWidth="1"/>
    <col min="9236" max="9472" width="9.140625" style="267"/>
    <col min="9473" max="9473" width="2" style="267" customWidth="1"/>
    <col min="9474" max="9474" width="23.28515625" style="267" customWidth="1"/>
    <col min="9475" max="9477" width="9.7109375" style="267" customWidth="1"/>
    <col min="9478" max="9478" width="13.140625" style="267" customWidth="1"/>
    <col min="9479" max="9479" width="12.5703125" style="267" customWidth="1"/>
    <col min="9480" max="9480" width="9.5703125" style="267" customWidth="1"/>
    <col min="9481" max="9481" width="1.85546875" style="267" customWidth="1"/>
    <col min="9482" max="9482" width="3.140625" style="267" customWidth="1"/>
    <col min="9483" max="9483" width="2" style="267" customWidth="1"/>
    <col min="9484" max="9484" width="23.28515625" style="267" customWidth="1"/>
    <col min="9485" max="9487" width="9.7109375" style="267" customWidth="1"/>
    <col min="9488" max="9488" width="13.28515625" style="267" customWidth="1"/>
    <col min="9489" max="9490" width="9.5703125" style="267" customWidth="1"/>
    <col min="9491" max="9491" width="2" style="267" customWidth="1"/>
    <col min="9492" max="9728" width="9.140625" style="267"/>
    <col min="9729" max="9729" width="2" style="267" customWidth="1"/>
    <col min="9730" max="9730" width="23.28515625" style="267" customWidth="1"/>
    <col min="9731" max="9733" width="9.7109375" style="267" customWidth="1"/>
    <col min="9734" max="9734" width="13.140625" style="267" customWidth="1"/>
    <col min="9735" max="9735" width="12.5703125" style="267" customWidth="1"/>
    <col min="9736" max="9736" width="9.5703125" style="267" customWidth="1"/>
    <col min="9737" max="9737" width="1.85546875" style="267" customWidth="1"/>
    <col min="9738" max="9738" width="3.140625" style="267" customWidth="1"/>
    <col min="9739" max="9739" width="2" style="267" customWidth="1"/>
    <col min="9740" max="9740" width="23.28515625" style="267" customWidth="1"/>
    <col min="9741" max="9743" width="9.7109375" style="267" customWidth="1"/>
    <col min="9744" max="9744" width="13.28515625" style="267" customWidth="1"/>
    <col min="9745" max="9746" width="9.5703125" style="267" customWidth="1"/>
    <col min="9747" max="9747" width="2" style="267" customWidth="1"/>
    <col min="9748" max="9984" width="9.140625" style="267"/>
    <col min="9985" max="9985" width="2" style="267" customWidth="1"/>
    <col min="9986" max="9986" width="23.28515625" style="267" customWidth="1"/>
    <col min="9987" max="9989" width="9.7109375" style="267" customWidth="1"/>
    <col min="9990" max="9990" width="13.140625" style="267" customWidth="1"/>
    <col min="9991" max="9991" width="12.5703125" style="267" customWidth="1"/>
    <col min="9992" max="9992" width="9.5703125" style="267" customWidth="1"/>
    <col min="9993" max="9993" width="1.85546875" style="267" customWidth="1"/>
    <col min="9994" max="9994" width="3.140625" style="267" customWidth="1"/>
    <col min="9995" max="9995" width="2" style="267" customWidth="1"/>
    <col min="9996" max="9996" width="23.28515625" style="267" customWidth="1"/>
    <col min="9997" max="9999" width="9.7109375" style="267" customWidth="1"/>
    <col min="10000" max="10000" width="13.28515625" style="267" customWidth="1"/>
    <col min="10001" max="10002" width="9.5703125" style="267" customWidth="1"/>
    <col min="10003" max="10003" width="2" style="267" customWidth="1"/>
    <col min="10004" max="10240" width="9.140625" style="267"/>
    <col min="10241" max="10241" width="2" style="267" customWidth="1"/>
    <col min="10242" max="10242" width="23.28515625" style="267" customWidth="1"/>
    <col min="10243" max="10245" width="9.7109375" style="267" customWidth="1"/>
    <col min="10246" max="10246" width="13.140625" style="267" customWidth="1"/>
    <col min="10247" max="10247" width="12.5703125" style="267" customWidth="1"/>
    <col min="10248" max="10248" width="9.5703125" style="267" customWidth="1"/>
    <col min="10249" max="10249" width="1.85546875" style="267" customWidth="1"/>
    <col min="10250" max="10250" width="3.140625" style="267" customWidth="1"/>
    <col min="10251" max="10251" width="2" style="267" customWidth="1"/>
    <col min="10252" max="10252" width="23.28515625" style="267" customWidth="1"/>
    <col min="10253" max="10255" width="9.7109375" style="267" customWidth="1"/>
    <col min="10256" max="10256" width="13.28515625" style="267" customWidth="1"/>
    <col min="10257" max="10258" width="9.5703125" style="267" customWidth="1"/>
    <col min="10259" max="10259" width="2" style="267" customWidth="1"/>
    <col min="10260" max="10496" width="9.140625" style="267"/>
    <col min="10497" max="10497" width="2" style="267" customWidth="1"/>
    <col min="10498" max="10498" width="23.28515625" style="267" customWidth="1"/>
    <col min="10499" max="10501" width="9.7109375" style="267" customWidth="1"/>
    <col min="10502" max="10502" width="13.140625" style="267" customWidth="1"/>
    <col min="10503" max="10503" width="12.5703125" style="267" customWidth="1"/>
    <col min="10504" max="10504" width="9.5703125" style="267" customWidth="1"/>
    <col min="10505" max="10505" width="1.85546875" style="267" customWidth="1"/>
    <col min="10506" max="10506" width="3.140625" style="267" customWidth="1"/>
    <col min="10507" max="10507" width="2" style="267" customWidth="1"/>
    <col min="10508" max="10508" width="23.28515625" style="267" customWidth="1"/>
    <col min="10509" max="10511" width="9.7109375" style="267" customWidth="1"/>
    <col min="10512" max="10512" width="13.28515625" style="267" customWidth="1"/>
    <col min="10513" max="10514" width="9.5703125" style="267" customWidth="1"/>
    <col min="10515" max="10515" width="2" style="267" customWidth="1"/>
    <col min="10516" max="10752" width="9.140625" style="267"/>
    <col min="10753" max="10753" width="2" style="267" customWidth="1"/>
    <col min="10754" max="10754" width="23.28515625" style="267" customWidth="1"/>
    <col min="10755" max="10757" width="9.7109375" style="267" customWidth="1"/>
    <col min="10758" max="10758" width="13.140625" style="267" customWidth="1"/>
    <col min="10759" max="10759" width="12.5703125" style="267" customWidth="1"/>
    <col min="10760" max="10760" width="9.5703125" style="267" customWidth="1"/>
    <col min="10761" max="10761" width="1.85546875" style="267" customWidth="1"/>
    <col min="10762" max="10762" width="3.140625" style="267" customWidth="1"/>
    <col min="10763" max="10763" width="2" style="267" customWidth="1"/>
    <col min="10764" max="10764" width="23.28515625" style="267" customWidth="1"/>
    <col min="10765" max="10767" width="9.7109375" style="267" customWidth="1"/>
    <col min="10768" max="10768" width="13.28515625" style="267" customWidth="1"/>
    <col min="10769" max="10770" width="9.5703125" style="267" customWidth="1"/>
    <col min="10771" max="10771" width="2" style="267" customWidth="1"/>
    <col min="10772" max="11008" width="9.140625" style="267"/>
    <col min="11009" max="11009" width="2" style="267" customWidth="1"/>
    <col min="11010" max="11010" width="23.28515625" style="267" customWidth="1"/>
    <col min="11011" max="11013" width="9.7109375" style="267" customWidth="1"/>
    <col min="11014" max="11014" width="13.140625" style="267" customWidth="1"/>
    <col min="11015" max="11015" width="12.5703125" style="267" customWidth="1"/>
    <col min="11016" max="11016" width="9.5703125" style="267" customWidth="1"/>
    <col min="11017" max="11017" width="1.85546875" style="267" customWidth="1"/>
    <col min="11018" max="11018" width="3.140625" style="267" customWidth="1"/>
    <col min="11019" max="11019" width="2" style="267" customWidth="1"/>
    <col min="11020" max="11020" width="23.28515625" style="267" customWidth="1"/>
    <col min="11021" max="11023" width="9.7109375" style="267" customWidth="1"/>
    <col min="11024" max="11024" width="13.28515625" style="267" customWidth="1"/>
    <col min="11025" max="11026" width="9.5703125" style="267" customWidth="1"/>
    <col min="11027" max="11027" width="2" style="267" customWidth="1"/>
    <col min="11028" max="11264" width="9.140625" style="267"/>
    <col min="11265" max="11265" width="2" style="267" customWidth="1"/>
    <col min="11266" max="11266" width="23.28515625" style="267" customWidth="1"/>
    <col min="11267" max="11269" width="9.7109375" style="267" customWidth="1"/>
    <col min="11270" max="11270" width="13.140625" style="267" customWidth="1"/>
    <col min="11271" max="11271" width="12.5703125" style="267" customWidth="1"/>
    <col min="11272" max="11272" width="9.5703125" style="267" customWidth="1"/>
    <col min="11273" max="11273" width="1.85546875" style="267" customWidth="1"/>
    <col min="11274" max="11274" width="3.140625" style="267" customWidth="1"/>
    <col min="11275" max="11275" width="2" style="267" customWidth="1"/>
    <col min="11276" max="11276" width="23.28515625" style="267" customWidth="1"/>
    <col min="11277" max="11279" width="9.7109375" style="267" customWidth="1"/>
    <col min="11280" max="11280" width="13.28515625" style="267" customWidth="1"/>
    <col min="11281" max="11282" width="9.5703125" style="267" customWidth="1"/>
    <col min="11283" max="11283" width="2" style="267" customWidth="1"/>
    <col min="11284" max="11520" width="9.140625" style="267"/>
    <col min="11521" max="11521" width="2" style="267" customWidth="1"/>
    <col min="11522" max="11522" width="23.28515625" style="267" customWidth="1"/>
    <col min="11523" max="11525" width="9.7109375" style="267" customWidth="1"/>
    <col min="11526" max="11526" width="13.140625" style="267" customWidth="1"/>
    <col min="11527" max="11527" width="12.5703125" style="267" customWidth="1"/>
    <col min="11528" max="11528" width="9.5703125" style="267" customWidth="1"/>
    <col min="11529" max="11529" width="1.85546875" style="267" customWidth="1"/>
    <col min="11530" max="11530" width="3.140625" style="267" customWidth="1"/>
    <col min="11531" max="11531" width="2" style="267" customWidth="1"/>
    <col min="11532" max="11532" width="23.28515625" style="267" customWidth="1"/>
    <col min="11533" max="11535" width="9.7109375" style="267" customWidth="1"/>
    <col min="11536" max="11536" width="13.28515625" style="267" customWidth="1"/>
    <col min="11537" max="11538" width="9.5703125" style="267" customWidth="1"/>
    <col min="11539" max="11539" width="2" style="267" customWidth="1"/>
    <col min="11540" max="11776" width="9.140625" style="267"/>
    <col min="11777" max="11777" width="2" style="267" customWidth="1"/>
    <col min="11778" max="11778" width="23.28515625" style="267" customWidth="1"/>
    <col min="11779" max="11781" width="9.7109375" style="267" customWidth="1"/>
    <col min="11782" max="11782" width="13.140625" style="267" customWidth="1"/>
    <col min="11783" max="11783" width="12.5703125" style="267" customWidth="1"/>
    <col min="11784" max="11784" width="9.5703125" style="267" customWidth="1"/>
    <col min="11785" max="11785" width="1.85546875" style="267" customWidth="1"/>
    <col min="11786" max="11786" width="3.140625" style="267" customWidth="1"/>
    <col min="11787" max="11787" width="2" style="267" customWidth="1"/>
    <col min="11788" max="11788" width="23.28515625" style="267" customWidth="1"/>
    <col min="11789" max="11791" width="9.7109375" style="267" customWidth="1"/>
    <col min="11792" max="11792" width="13.28515625" style="267" customWidth="1"/>
    <col min="11793" max="11794" width="9.5703125" style="267" customWidth="1"/>
    <col min="11795" max="11795" width="2" style="267" customWidth="1"/>
    <col min="11796" max="12032" width="9.140625" style="267"/>
    <col min="12033" max="12033" width="2" style="267" customWidth="1"/>
    <col min="12034" max="12034" width="23.28515625" style="267" customWidth="1"/>
    <col min="12035" max="12037" width="9.7109375" style="267" customWidth="1"/>
    <col min="12038" max="12038" width="13.140625" style="267" customWidth="1"/>
    <col min="12039" max="12039" width="12.5703125" style="267" customWidth="1"/>
    <col min="12040" max="12040" width="9.5703125" style="267" customWidth="1"/>
    <col min="12041" max="12041" width="1.85546875" style="267" customWidth="1"/>
    <col min="12042" max="12042" width="3.140625" style="267" customWidth="1"/>
    <col min="12043" max="12043" width="2" style="267" customWidth="1"/>
    <col min="12044" max="12044" width="23.28515625" style="267" customWidth="1"/>
    <col min="12045" max="12047" width="9.7109375" style="267" customWidth="1"/>
    <col min="12048" max="12048" width="13.28515625" style="267" customWidth="1"/>
    <col min="12049" max="12050" width="9.5703125" style="267" customWidth="1"/>
    <col min="12051" max="12051" width="2" style="267" customWidth="1"/>
    <col min="12052" max="12288" width="9.140625" style="267"/>
    <col min="12289" max="12289" width="2" style="267" customWidth="1"/>
    <col min="12290" max="12290" width="23.28515625" style="267" customWidth="1"/>
    <col min="12291" max="12293" width="9.7109375" style="267" customWidth="1"/>
    <col min="12294" max="12294" width="13.140625" style="267" customWidth="1"/>
    <col min="12295" max="12295" width="12.5703125" style="267" customWidth="1"/>
    <col min="12296" max="12296" width="9.5703125" style="267" customWidth="1"/>
    <col min="12297" max="12297" width="1.85546875" style="267" customWidth="1"/>
    <col min="12298" max="12298" width="3.140625" style="267" customWidth="1"/>
    <col min="12299" max="12299" width="2" style="267" customWidth="1"/>
    <col min="12300" max="12300" width="23.28515625" style="267" customWidth="1"/>
    <col min="12301" max="12303" width="9.7109375" style="267" customWidth="1"/>
    <col min="12304" max="12304" width="13.28515625" style="267" customWidth="1"/>
    <col min="12305" max="12306" width="9.5703125" style="267" customWidth="1"/>
    <col min="12307" max="12307" width="2" style="267" customWidth="1"/>
    <col min="12308" max="12544" width="9.140625" style="267"/>
    <col min="12545" max="12545" width="2" style="267" customWidth="1"/>
    <col min="12546" max="12546" width="23.28515625" style="267" customWidth="1"/>
    <col min="12547" max="12549" width="9.7109375" style="267" customWidth="1"/>
    <col min="12550" max="12550" width="13.140625" style="267" customWidth="1"/>
    <col min="12551" max="12551" width="12.5703125" style="267" customWidth="1"/>
    <col min="12552" max="12552" width="9.5703125" style="267" customWidth="1"/>
    <col min="12553" max="12553" width="1.85546875" style="267" customWidth="1"/>
    <col min="12554" max="12554" width="3.140625" style="267" customWidth="1"/>
    <col min="12555" max="12555" width="2" style="267" customWidth="1"/>
    <col min="12556" max="12556" width="23.28515625" style="267" customWidth="1"/>
    <col min="12557" max="12559" width="9.7109375" style="267" customWidth="1"/>
    <col min="12560" max="12560" width="13.28515625" style="267" customWidth="1"/>
    <col min="12561" max="12562" width="9.5703125" style="267" customWidth="1"/>
    <col min="12563" max="12563" width="2" style="267" customWidth="1"/>
    <col min="12564" max="12800" width="9.140625" style="267"/>
    <col min="12801" max="12801" width="2" style="267" customWidth="1"/>
    <col min="12802" max="12802" width="23.28515625" style="267" customWidth="1"/>
    <col min="12803" max="12805" width="9.7109375" style="267" customWidth="1"/>
    <col min="12806" max="12806" width="13.140625" style="267" customWidth="1"/>
    <col min="12807" max="12807" width="12.5703125" style="267" customWidth="1"/>
    <col min="12808" max="12808" width="9.5703125" style="267" customWidth="1"/>
    <col min="12809" max="12809" width="1.85546875" style="267" customWidth="1"/>
    <col min="12810" max="12810" width="3.140625" style="267" customWidth="1"/>
    <col min="12811" max="12811" width="2" style="267" customWidth="1"/>
    <col min="12812" max="12812" width="23.28515625" style="267" customWidth="1"/>
    <col min="12813" max="12815" width="9.7109375" style="267" customWidth="1"/>
    <col min="12816" max="12816" width="13.28515625" style="267" customWidth="1"/>
    <col min="12817" max="12818" width="9.5703125" style="267" customWidth="1"/>
    <col min="12819" max="12819" width="2" style="267" customWidth="1"/>
    <col min="12820" max="13056" width="9.140625" style="267"/>
    <col min="13057" max="13057" width="2" style="267" customWidth="1"/>
    <col min="13058" max="13058" width="23.28515625" style="267" customWidth="1"/>
    <col min="13059" max="13061" width="9.7109375" style="267" customWidth="1"/>
    <col min="13062" max="13062" width="13.140625" style="267" customWidth="1"/>
    <col min="13063" max="13063" width="12.5703125" style="267" customWidth="1"/>
    <col min="13064" max="13064" width="9.5703125" style="267" customWidth="1"/>
    <col min="13065" max="13065" width="1.85546875" style="267" customWidth="1"/>
    <col min="13066" max="13066" width="3.140625" style="267" customWidth="1"/>
    <col min="13067" max="13067" width="2" style="267" customWidth="1"/>
    <col min="13068" max="13068" width="23.28515625" style="267" customWidth="1"/>
    <col min="13069" max="13071" width="9.7109375" style="267" customWidth="1"/>
    <col min="13072" max="13072" width="13.28515625" style="267" customWidth="1"/>
    <col min="13073" max="13074" width="9.5703125" style="267" customWidth="1"/>
    <col min="13075" max="13075" width="2" style="267" customWidth="1"/>
    <col min="13076" max="13312" width="9.140625" style="267"/>
    <col min="13313" max="13313" width="2" style="267" customWidth="1"/>
    <col min="13314" max="13314" width="23.28515625" style="267" customWidth="1"/>
    <col min="13315" max="13317" width="9.7109375" style="267" customWidth="1"/>
    <col min="13318" max="13318" width="13.140625" style="267" customWidth="1"/>
    <col min="13319" max="13319" width="12.5703125" style="267" customWidth="1"/>
    <col min="13320" max="13320" width="9.5703125" style="267" customWidth="1"/>
    <col min="13321" max="13321" width="1.85546875" style="267" customWidth="1"/>
    <col min="13322" max="13322" width="3.140625" style="267" customWidth="1"/>
    <col min="13323" max="13323" width="2" style="267" customWidth="1"/>
    <col min="13324" max="13324" width="23.28515625" style="267" customWidth="1"/>
    <col min="13325" max="13327" width="9.7109375" style="267" customWidth="1"/>
    <col min="13328" max="13328" width="13.28515625" style="267" customWidth="1"/>
    <col min="13329" max="13330" width="9.5703125" style="267" customWidth="1"/>
    <col min="13331" max="13331" width="2" style="267" customWidth="1"/>
    <col min="13332" max="13568" width="9.140625" style="267"/>
    <col min="13569" max="13569" width="2" style="267" customWidth="1"/>
    <col min="13570" max="13570" width="23.28515625" style="267" customWidth="1"/>
    <col min="13571" max="13573" width="9.7109375" style="267" customWidth="1"/>
    <col min="13574" max="13574" width="13.140625" style="267" customWidth="1"/>
    <col min="13575" max="13575" width="12.5703125" style="267" customWidth="1"/>
    <col min="13576" max="13576" width="9.5703125" style="267" customWidth="1"/>
    <col min="13577" max="13577" width="1.85546875" style="267" customWidth="1"/>
    <col min="13578" max="13578" width="3.140625" style="267" customWidth="1"/>
    <col min="13579" max="13579" width="2" style="267" customWidth="1"/>
    <col min="13580" max="13580" width="23.28515625" style="267" customWidth="1"/>
    <col min="13581" max="13583" width="9.7109375" style="267" customWidth="1"/>
    <col min="13584" max="13584" width="13.28515625" style="267" customWidth="1"/>
    <col min="13585" max="13586" width="9.5703125" style="267" customWidth="1"/>
    <col min="13587" max="13587" width="2" style="267" customWidth="1"/>
    <col min="13588" max="13824" width="9.140625" style="267"/>
    <col min="13825" max="13825" width="2" style="267" customWidth="1"/>
    <col min="13826" max="13826" width="23.28515625" style="267" customWidth="1"/>
    <col min="13827" max="13829" width="9.7109375" style="267" customWidth="1"/>
    <col min="13830" max="13830" width="13.140625" style="267" customWidth="1"/>
    <col min="13831" max="13831" width="12.5703125" style="267" customWidth="1"/>
    <col min="13832" max="13832" width="9.5703125" style="267" customWidth="1"/>
    <col min="13833" max="13833" width="1.85546875" style="267" customWidth="1"/>
    <col min="13834" max="13834" width="3.140625" style="267" customWidth="1"/>
    <col min="13835" max="13835" width="2" style="267" customWidth="1"/>
    <col min="13836" max="13836" width="23.28515625" style="267" customWidth="1"/>
    <col min="13837" max="13839" width="9.7109375" style="267" customWidth="1"/>
    <col min="13840" max="13840" width="13.28515625" style="267" customWidth="1"/>
    <col min="13841" max="13842" width="9.5703125" style="267" customWidth="1"/>
    <col min="13843" max="13843" width="2" style="267" customWidth="1"/>
    <col min="13844" max="14080" width="9.140625" style="267"/>
    <col min="14081" max="14081" width="2" style="267" customWidth="1"/>
    <col min="14082" max="14082" width="23.28515625" style="267" customWidth="1"/>
    <col min="14083" max="14085" width="9.7109375" style="267" customWidth="1"/>
    <col min="14086" max="14086" width="13.140625" style="267" customWidth="1"/>
    <col min="14087" max="14087" width="12.5703125" style="267" customWidth="1"/>
    <col min="14088" max="14088" width="9.5703125" style="267" customWidth="1"/>
    <col min="14089" max="14089" width="1.85546875" style="267" customWidth="1"/>
    <col min="14090" max="14090" width="3.140625" style="267" customWidth="1"/>
    <col min="14091" max="14091" width="2" style="267" customWidth="1"/>
    <col min="14092" max="14092" width="23.28515625" style="267" customWidth="1"/>
    <col min="14093" max="14095" width="9.7109375" style="267" customWidth="1"/>
    <col min="14096" max="14096" width="13.28515625" style="267" customWidth="1"/>
    <col min="14097" max="14098" width="9.5703125" style="267" customWidth="1"/>
    <col min="14099" max="14099" width="2" style="267" customWidth="1"/>
    <col min="14100" max="14336" width="9.140625" style="267"/>
    <col min="14337" max="14337" width="2" style="267" customWidth="1"/>
    <col min="14338" max="14338" width="23.28515625" style="267" customWidth="1"/>
    <col min="14339" max="14341" width="9.7109375" style="267" customWidth="1"/>
    <col min="14342" max="14342" width="13.140625" style="267" customWidth="1"/>
    <col min="14343" max="14343" width="12.5703125" style="267" customWidth="1"/>
    <col min="14344" max="14344" width="9.5703125" style="267" customWidth="1"/>
    <col min="14345" max="14345" width="1.85546875" style="267" customWidth="1"/>
    <col min="14346" max="14346" width="3.140625" style="267" customWidth="1"/>
    <col min="14347" max="14347" width="2" style="267" customWidth="1"/>
    <col min="14348" max="14348" width="23.28515625" style="267" customWidth="1"/>
    <col min="14349" max="14351" width="9.7109375" style="267" customWidth="1"/>
    <col min="14352" max="14352" width="13.28515625" style="267" customWidth="1"/>
    <col min="14353" max="14354" width="9.5703125" style="267" customWidth="1"/>
    <col min="14355" max="14355" width="2" style="267" customWidth="1"/>
    <col min="14356" max="14592" width="9.140625" style="267"/>
    <col min="14593" max="14593" width="2" style="267" customWidth="1"/>
    <col min="14594" max="14594" width="23.28515625" style="267" customWidth="1"/>
    <col min="14595" max="14597" width="9.7109375" style="267" customWidth="1"/>
    <col min="14598" max="14598" width="13.140625" style="267" customWidth="1"/>
    <col min="14599" max="14599" width="12.5703125" style="267" customWidth="1"/>
    <col min="14600" max="14600" width="9.5703125" style="267" customWidth="1"/>
    <col min="14601" max="14601" width="1.85546875" style="267" customWidth="1"/>
    <col min="14602" max="14602" width="3.140625" style="267" customWidth="1"/>
    <col min="14603" max="14603" width="2" style="267" customWidth="1"/>
    <col min="14604" max="14604" width="23.28515625" style="267" customWidth="1"/>
    <col min="14605" max="14607" width="9.7109375" style="267" customWidth="1"/>
    <col min="14608" max="14608" width="13.28515625" style="267" customWidth="1"/>
    <col min="14609" max="14610" width="9.5703125" style="267" customWidth="1"/>
    <col min="14611" max="14611" width="2" style="267" customWidth="1"/>
    <col min="14612" max="14848" width="9.140625" style="267"/>
    <col min="14849" max="14849" width="2" style="267" customWidth="1"/>
    <col min="14850" max="14850" width="23.28515625" style="267" customWidth="1"/>
    <col min="14851" max="14853" width="9.7109375" style="267" customWidth="1"/>
    <col min="14854" max="14854" width="13.140625" style="267" customWidth="1"/>
    <col min="14855" max="14855" width="12.5703125" style="267" customWidth="1"/>
    <col min="14856" max="14856" width="9.5703125" style="267" customWidth="1"/>
    <col min="14857" max="14857" width="1.85546875" style="267" customWidth="1"/>
    <col min="14858" max="14858" width="3.140625" style="267" customWidth="1"/>
    <col min="14859" max="14859" width="2" style="267" customWidth="1"/>
    <col min="14860" max="14860" width="23.28515625" style="267" customWidth="1"/>
    <col min="14861" max="14863" width="9.7109375" style="267" customWidth="1"/>
    <col min="14864" max="14864" width="13.28515625" style="267" customWidth="1"/>
    <col min="14865" max="14866" width="9.5703125" style="267" customWidth="1"/>
    <col min="14867" max="14867" width="2" style="267" customWidth="1"/>
    <col min="14868" max="15104" width="9.140625" style="267"/>
    <col min="15105" max="15105" width="2" style="267" customWidth="1"/>
    <col min="15106" max="15106" width="23.28515625" style="267" customWidth="1"/>
    <col min="15107" max="15109" width="9.7109375" style="267" customWidth="1"/>
    <col min="15110" max="15110" width="13.140625" style="267" customWidth="1"/>
    <col min="15111" max="15111" width="12.5703125" style="267" customWidth="1"/>
    <col min="15112" max="15112" width="9.5703125" style="267" customWidth="1"/>
    <col min="15113" max="15113" width="1.85546875" style="267" customWidth="1"/>
    <col min="15114" max="15114" width="3.140625" style="267" customWidth="1"/>
    <col min="15115" max="15115" width="2" style="267" customWidth="1"/>
    <col min="15116" max="15116" width="23.28515625" style="267" customWidth="1"/>
    <col min="15117" max="15119" width="9.7109375" style="267" customWidth="1"/>
    <col min="15120" max="15120" width="13.28515625" style="267" customWidth="1"/>
    <col min="15121" max="15122" width="9.5703125" style="267" customWidth="1"/>
    <col min="15123" max="15123" width="2" style="267" customWidth="1"/>
    <col min="15124" max="15360" width="9.140625" style="267"/>
    <col min="15361" max="15361" width="2" style="267" customWidth="1"/>
    <col min="15362" max="15362" width="23.28515625" style="267" customWidth="1"/>
    <col min="15363" max="15365" width="9.7109375" style="267" customWidth="1"/>
    <col min="15366" max="15366" width="13.140625" style="267" customWidth="1"/>
    <col min="15367" max="15367" width="12.5703125" style="267" customWidth="1"/>
    <col min="15368" max="15368" width="9.5703125" style="267" customWidth="1"/>
    <col min="15369" max="15369" width="1.85546875" style="267" customWidth="1"/>
    <col min="15370" max="15370" width="3.140625" style="267" customWidth="1"/>
    <col min="15371" max="15371" width="2" style="267" customWidth="1"/>
    <col min="15372" max="15372" width="23.28515625" style="267" customWidth="1"/>
    <col min="15373" max="15375" width="9.7109375" style="267" customWidth="1"/>
    <col min="15376" max="15376" width="13.28515625" style="267" customWidth="1"/>
    <col min="15377" max="15378" width="9.5703125" style="267" customWidth="1"/>
    <col min="15379" max="15379" width="2" style="267" customWidth="1"/>
    <col min="15380" max="15616" width="9.140625" style="267"/>
    <col min="15617" max="15617" width="2" style="267" customWidth="1"/>
    <col min="15618" max="15618" width="23.28515625" style="267" customWidth="1"/>
    <col min="15619" max="15621" width="9.7109375" style="267" customWidth="1"/>
    <col min="15622" max="15622" width="13.140625" style="267" customWidth="1"/>
    <col min="15623" max="15623" width="12.5703125" style="267" customWidth="1"/>
    <col min="15624" max="15624" width="9.5703125" style="267" customWidth="1"/>
    <col min="15625" max="15625" width="1.85546875" style="267" customWidth="1"/>
    <col min="15626" max="15626" width="3.140625" style="267" customWidth="1"/>
    <col min="15627" max="15627" width="2" style="267" customWidth="1"/>
    <col min="15628" max="15628" width="23.28515625" style="267" customWidth="1"/>
    <col min="15629" max="15631" width="9.7109375" style="267" customWidth="1"/>
    <col min="15632" max="15632" width="13.28515625" style="267" customWidth="1"/>
    <col min="15633" max="15634" width="9.5703125" style="267" customWidth="1"/>
    <col min="15635" max="15635" width="2" style="267" customWidth="1"/>
    <col min="15636" max="15872" width="9.140625" style="267"/>
    <col min="15873" max="15873" width="2" style="267" customWidth="1"/>
    <col min="15874" max="15874" width="23.28515625" style="267" customWidth="1"/>
    <col min="15875" max="15877" width="9.7109375" style="267" customWidth="1"/>
    <col min="15878" max="15878" width="13.140625" style="267" customWidth="1"/>
    <col min="15879" max="15879" width="12.5703125" style="267" customWidth="1"/>
    <col min="15880" max="15880" width="9.5703125" style="267" customWidth="1"/>
    <col min="15881" max="15881" width="1.85546875" style="267" customWidth="1"/>
    <col min="15882" max="15882" width="3.140625" style="267" customWidth="1"/>
    <col min="15883" max="15883" width="2" style="267" customWidth="1"/>
    <col min="15884" max="15884" width="23.28515625" style="267" customWidth="1"/>
    <col min="15885" max="15887" width="9.7109375" style="267" customWidth="1"/>
    <col min="15888" max="15888" width="13.28515625" style="267" customWidth="1"/>
    <col min="15889" max="15890" width="9.5703125" style="267" customWidth="1"/>
    <col min="15891" max="15891" width="2" style="267" customWidth="1"/>
    <col min="15892" max="16128" width="9.140625" style="267"/>
    <col min="16129" max="16129" width="2" style="267" customWidth="1"/>
    <col min="16130" max="16130" width="23.28515625" style="267" customWidth="1"/>
    <col min="16131" max="16133" width="9.7109375" style="267" customWidth="1"/>
    <col min="16134" max="16134" width="13.140625" style="267" customWidth="1"/>
    <col min="16135" max="16135" width="12.5703125" style="267" customWidth="1"/>
    <col min="16136" max="16136" width="9.5703125" style="267" customWidth="1"/>
    <col min="16137" max="16137" width="1.85546875" style="267" customWidth="1"/>
    <col min="16138" max="16138" width="3.140625" style="267" customWidth="1"/>
    <col min="16139" max="16139" width="2" style="267" customWidth="1"/>
    <col min="16140" max="16140" width="23.28515625" style="267" customWidth="1"/>
    <col min="16141" max="16143" width="9.7109375" style="267" customWidth="1"/>
    <col min="16144" max="16144" width="13.28515625" style="267" customWidth="1"/>
    <col min="16145" max="16146" width="9.5703125" style="267" customWidth="1"/>
    <col min="16147" max="16147" width="2" style="267" customWidth="1"/>
    <col min="16148" max="16384" width="9.140625" style="267"/>
  </cols>
  <sheetData>
    <row r="1" spans="1:19" ht="9" customHeight="1">
      <c r="A1" s="264"/>
      <c r="B1" s="265"/>
      <c r="C1" s="265"/>
      <c r="D1" s="265"/>
      <c r="E1" s="265"/>
      <c r="F1" s="265"/>
      <c r="G1" s="265"/>
      <c r="H1" s="265"/>
      <c r="I1" s="266"/>
      <c r="K1" s="264"/>
      <c r="L1" s="265"/>
      <c r="M1" s="265"/>
      <c r="N1" s="265"/>
      <c r="O1" s="265"/>
      <c r="P1" s="265"/>
      <c r="Q1" s="265"/>
      <c r="R1" s="265"/>
      <c r="S1" s="266"/>
    </row>
    <row r="2" spans="1:19" ht="23.25" customHeight="1">
      <c r="A2" s="268"/>
      <c r="B2" s="1121" t="str">
        <f>SCHOOL!B8</f>
        <v>જિલ્લા પંચાયત શિક્ષણ સમિતિ, અમરેલી</v>
      </c>
      <c r="C2" s="1121"/>
      <c r="D2" s="1121"/>
      <c r="E2" s="1121"/>
      <c r="F2" s="1121"/>
      <c r="G2" s="1121"/>
      <c r="H2" s="1121"/>
      <c r="I2" s="269"/>
      <c r="K2" s="268"/>
      <c r="L2" s="1121" t="str">
        <f>SCHOOL!B8</f>
        <v>જિલ્લા પંચાયત શિક્ષણ સમિતિ, અમરેલી</v>
      </c>
      <c r="M2" s="1121"/>
      <c r="N2" s="1121"/>
      <c r="O2" s="1121"/>
      <c r="P2" s="1121"/>
      <c r="Q2" s="1121"/>
      <c r="R2" s="1121"/>
      <c r="S2" s="269"/>
    </row>
    <row r="3" spans="1:19" ht="23.25" customHeight="1">
      <c r="A3" s="268"/>
      <c r="B3" s="1105" t="str">
        <f>SCHOOL!B3</f>
        <v>શ્રી ખારા પ્રાથમિક શાળા</v>
      </c>
      <c r="C3" s="1105"/>
      <c r="D3" s="1105"/>
      <c r="E3" s="1105"/>
      <c r="F3" s="1105"/>
      <c r="G3" s="1105"/>
      <c r="H3" s="1105"/>
      <c r="I3" s="269"/>
      <c r="K3" s="268"/>
      <c r="L3" s="1105" t="str">
        <f>SCHOOL!B3</f>
        <v>શ્રી ખારા પ્રાથમિક શાળા</v>
      </c>
      <c r="M3" s="1105"/>
      <c r="N3" s="1105"/>
      <c r="O3" s="1105"/>
      <c r="P3" s="1105"/>
      <c r="Q3" s="1105"/>
      <c r="R3" s="1105"/>
      <c r="S3" s="269"/>
    </row>
    <row r="4" spans="1:19" ht="26.25" customHeight="1">
      <c r="A4" s="268"/>
      <c r="B4" s="270"/>
      <c r="C4" s="1113" t="str">
        <f>CONCATENATE(SCHOOL!B4," તા.",SCHOOL!B5," જિ.",SCHOOL!B6)</f>
        <v>ખારા તા.લીલીયા જિ.અમરેલી</v>
      </c>
      <c r="D4" s="1113"/>
      <c r="E4" s="1113"/>
      <c r="F4" s="1113"/>
      <c r="G4" s="270"/>
      <c r="H4" s="270"/>
      <c r="I4" s="269"/>
      <c r="K4" s="268"/>
      <c r="L4" s="271"/>
      <c r="M4" s="1113" t="str">
        <f>CONCATENATE(SCHOOL!B4," તા.",SCHOOL!B5," જિ.",SCHOOL!B6)</f>
        <v>ખારા તા.લીલીયા જિ.અમરેલી</v>
      </c>
      <c r="N4" s="1113"/>
      <c r="O4" s="1113"/>
      <c r="P4" s="1113"/>
      <c r="Q4" s="272"/>
      <c r="R4" s="272"/>
      <c r="S4" s="269"/>
    </row>
    <row r="5" spans="1:19" ht="30" customHeight="1">
      <c r="A5" s="268"/>
      <c r="B5" s="271"/>
      <c r="C5" s="1122" t="s">
        <v>269</v>
      </c>
      <c r="D5" s="1122"/>
      <c r="E5" s="1122"/>
      <c r="F5" s="1122"/>
      <c r="G5" s="272"/>
      <c r="H5" s="272"/>
      <c r="I5" s="269"/>
      <c r="K5" s="268"/>
      <c r="L5" s="271"/>
      <c r="M5" s="1122" t="s">
        <v>269</v>
      </c>
      <c r="N5" s="1122"/>
      <c r="O5" s="1122"/>
      <c r="P5" s="1122"/>
      <c r="Q5" s="272"/>
      <c r="R5" s="272"/>
      <c r="S5" s="269"/>
    </row>
    <row r="6" spans="1:19" ht="4.5" customHeight="1">
      <c r="A6" s="268"/>
      <c r="B6" s="271"/>
      <c r="C6" s="272"/>
      <c r="D6" s="272"/>
      <c r="E6" s="272"/>
      <c r="F6" s="272"/>
      <c r="G6" s="272"/>
      <c r="H6" s="272"/>
      <c r="I6" s="269"/>
      <c r="K6" s="268"/>
      <c r="L6" s="271"/>
      <c r="M6" s="272"/>
      <c r="N6" s="272"/>
      <c r="O6" s="272"/>
      <c r="P6" s="272"/>
      <c r="Q6" s="272"/>
      <c r="R6" s="272"/>
      <c r="S6" s="269"/>
    </row>
    <row r="7" spans="1:19" ht="29.25" customHeight="1">
      <c r="A7" s="268"/>
      <c r="B7" s="273" t="s">
        <v>272</v>
      </c>
      <c r="C7" s="1123" t="e">
        <f ca="1">INDIRECT("'C-PARINAM'!B"&amp;($G$8+5))</f>
        <v>#REF!</v>
      </c>
      <c r="D7" s="1123"/>
      <c r="E7" s="1123"/>
      <c r="F7" s="1123"/>
      <c r="G7" s="1123"/>
      <c r="H7" s="1123"/>
      <c r="I7" s="269"/>
      <c r="K7" s="268"/>
      <c r="L7" s="273" t="s">
        <v>272</v>
      </c>
      <c r="M7" s="1123" t="e">
        <f ca="1">INDIRECT("'C-PARINAM'!B"&amp;($Q$8+5))</f>
        <v>#REF!</v>
      </c>
      <c r="N7" s="1123"/>
      <c r="O7" s="1123"/>
      <c r="P7" s="1123"/>
      <c r="Q7" s="1123"/>
      <c r="R7" s="1123"/>
      <c r="S7" s="269"/>
    </row>
    <row r="8" spans="1:19" ht="29.25" customHeight="1">
      <c r="A8" s="268"/>
      <c r="B8" s="274" t="s">
        <v>271</v>
      </c>
      <c r="C8" s="1102" t="e">
        <f ca="1">INDIRECT("'C-PARINAM'!c"&amp;($G$8+5))</f>
        <v>#REF!</v>
      </c>
      <c r="D8" s="1102"/>
      <c r="E8" s="1106" t="s">
        <v>273</v>
      </c>
      <c r="F8" s="1106"/>
      <c r="G8" s="1124">
        <v>1</v>
      </c>
      <c r="H8" s="1124"/>
      <c r="I8" s="269"/>
      <c r="K8" s="268"/>
      <c r="L8" s="274" t="s">
        <v>271</v>
      </c>
      <c r="M8" s="1102" t="e">
        <f ca="1">INDIRECT("'C-PARINAM'!c"&amp;($Q$8+5))</f>
        <v>#REF!</v>
      </c>
      <c r="N8" s="1102"/>
      <c r="O8" s="1106" t="s">
        <v>273</v>
      </c>
      <c r="P8" s="1106"/>
      <c r="Q8" s="1124">
        <v>2</v>
      </c>
      <c r="R8" s="1124"/>
      <c r="S8" s="269"/>
    </row>
    <row r="9" spans="1:19" ht="29.25" customHeight="1">
      <c r="A9" s="268"/>
      <c r="B9" s="274" t="s">
        <v>270</v>
      </c>
      <c r="C9" s="1102">
        <f>SCHOOL!D3</f>
        <v>1</v>
      </c>
      <c r="D9" s="1102"/>
      <c r="E9" s="1114" t="s">
        <v>274</v>
      </c>
      <c r="F9" s="1114"/>
      <c r="G9" s="1103" t="e">
        <f ca="1">INDIRECT("'C-PARINAM'!d"&amp;($G$8+5))</f>
        <v>#REF!</v>
      </c>
      <c r="H9" s="1103"/>
      <c r="I9" s="269"/>
      <c r="K9" s="268"/>
      <c r="L9" s="274" t="s">
        <v>270</v>
      </c>
      <c r="M9" s="1102">
        <f>SCHOOL!N3</f>
        <v>0</v>
      </c>
      <c r="N9" s="1102"/>
      <c r="O9" s="1114" t="s">
        <v>274</v>
      </c>
      <c r="P9" s="1114"/>
      <c r="Q9" s="1103" t="e">
        <f ca="1">INDIRECT("'C-PARINAM'!d"&amp;($Q$8+5))</f>
        <v>#REF!</v>
      </c>
      <c r="R9" s="1103"/>
      <c r="S9" s="269"/>
    </row>
    <row r="10" spans="1:19" ht="9" customHeight="1">
      <c r="A10" s="268"/>
      <c r="B10" s="271"/>
      <c r="C10" s="272"/>
      <c r="D10" s="272"/>
      <c r="E10" s="272"/>
      <c r="F10" s="272"/>
      <c r="G10" s="272"/>
      <c r="H10" s="271"/>
      <c r="I10" s="269"/>
      <c r="K10" s="268"/>
      <c r="L10" s="271"/>
      <c r="M10" s="272"/>
      <c r="N10" s="272"/>
      <c r="O10" s="272"/>
      <c r="P10" s="272"/>
      <c r="Q10" s="272"/>
      <c r="R10" s="271"/>
      <c r="S10" s="269"/>
    </row>
    <row r="11" spans="1:19" ht="48" customHeight="1">
      <c r="A11" s="268"/>
      <c r="B11" s="1118" t="s">
        <v>16</v>
      </c>
      <c r="C11" s="1119"/>
      <c r="D11" s="1120"/>
      <c r="E11" s="1115" t="s">
        <v>17</v>
      </c>
      <c r="F11" s="1116"/>
      <c r="G11" s="1116"/>
      <c r="H11" s="1117"/>
      <c r="I11" s="269"/>
      <c r="K11" s="268"/>
      <c r="L11" s="1118" t="s">
        <v>16</v>
      </c>
      <c r="M11" s="1119"/>
      <c r="N11" s="1120"/>
      <c r="O11" s="1115" t="s">
        <v>17</v>
      </c>
      <c r="P11" s="1116"/>
      <c r="Q11" s="1116"/>
      <c r="R11" s="1117"/>
      <c r="S11" s="269"/>
    </row>
    <row r="12" spans="1:19" s="279" customFormat="1" ht="33.75" customHeight="1">
      <c r="A12" s="276"/>
      <c r="B12" s="1125" t="s">
        <v>51</v>
      </c>
      <c r="C12" s="1126"/>
      <c r="D12" s="1127"/>
      <c r="E12" s="1128" t="e">
        <f ca="1">INDIRECT("'C-PARINAM'!l"&amp;($G$8+5))</f>
        <v>#REF!</v>
      </c>
      <c r="F12" s="1129"/>
      <c r="G12" s="1129"/>
      <c r="H12" s="1130"/>
      <c r="I12" s="278"/>
      <c r="K12" s="276"/>
      <c r="L12" s="1125" t="s">
        <v>51</v>
      </c>
      <c r="M12" s="1126"/>
      <c r="N12" s="1127"/>
      <c r="O12" s="1128" t="e">
        <f ca="1">INDIRECT("'C-PARINAM'!l"&amp;($Q$8+5))</f>
        <v>#REF!</v>
      </c>
      <c r="P12" s="1129"/>
      <c r="Q12" s="1129"/>
      <c r="R12" s="1130"/>
      <c r="S12" s="278"/>
    </row>
    <row r="13" spans="1:19" s="279" customFormat="1" ht="33.75" customHeight="1">
      <c r="A13" s="276"/>
      <c r="B13" s="1107" t="s">
        <v>52</v>
      </c>
      <c r="C13" s="1108"/>
      <c r="D13" s="1109"/>
      <c r="E13" s="1110" t="e">
        <f ca="1">INDIRECT("'C-PARINAM'!t"&amp;($G$8+5))</f>
        <v>#REF!</v>
      </c>
      <c r="F13" s="1111"/>
      <c r="G13" s="1111"/>
      <c r="H13" s="1112"/>
      <c r="I13" s="278"/>
      <c r="K13" s="276"/>
      <c r="L13" s="1107" t="s">
        <v>52</v>
      </c>
      <c r="M13" s="1108"/>
      <c r="N13" s="1109"/>
      <c r="O13" s="1110" t="e">
        <f ca="1">INDIRECT("'C-PARINAM'!t"&amp;($Q$8+5))</f>
        <v>#REF!</v>
      </c>
      <c r="P13" s="1111"/>
      <c r="Q13" s="1111"/>
      <c r="R13" s="1112"/>
      <c r="S13" s="278"/>
    </row>
    <row r="14" spans="1:19" s="279" customFormat="1" ht="33.75" customHeight="1">
      <c r="A14" s="276"/>
      <c r="B14" s="1107" t="s">
        <v>53</v>
      </c>
      <c r="C14" s="1108"/>
      <c r="D14" s="1109"/>
      <c r="E14" s="1110" t="e">
        <f ca="1">INDIRECT("'C-PARINAM'!AT"&amp;($G$8+5))</f>
        <v>#REF!</v>
      </c>
      <c r="F14" s="1111"/>
      <c r="G14" s="1111"/>
      <c r="H14" s="1112"/>
      <c r="I14" s="278"/>
      <c r="K14" s="276"/>
      <c r="L14" s="1107" t="s">
        <v>53</v>
      </c>
      <c r="M14" s="1108"/>
      <c r="N14" s="1109"/>
      <c r="O14" s="1110" t="e">
        <f ca="1">INDIRECT("'C-PARINAM'!AT"&amp;($Q$8+5))</f>
        <v>#REF!</v>
      </c>
      <c r="P14" s="1111"/>
      <c r="Q14" s="1111"/>
      <c r="R14" s="1112"/>
      <c r="S14" s="278"/>
    </row>
    <row r="15" spans="1:19" s="279" customFormat="1" ht="33.75" customHeight="1">
      <c r="A15" s="276"/>
      <c r="B15" s="1107" t="s">
        <v>54</v>
      </c>
      <c r="C15" s="1108"/>
      <c r="D15" s="1109"/>
      <c r="E15" s="1110" t="e">
        <f ca="1">INDIRECT("'C-PARINAM'!BB"&amp;($G$8+5))</f>
        <v>#REF!</v>
      </c>
      <c r="F15" s="1111"/>
      <c r="G15" s="1111"/>
      <c r="H15" s="1112"/>
      <c r="I15" s="278"/>
      <c r="K15" s="276"/>
      <c r="L15" s="1107" t="s">
        <v>54</v>
      </c>
      <c r="M15" s="1108"/>
      <c r="N15" s="1109"/>
      <c r="O15" s="1110" t="e">
        <f ca="1">INDIRECT("'C-PARINAM'!BB"&amp;($Q$8+5))</f>
        <v>#REF!</v>
      </c>
      <c r="P15" s="1111"/>
      <c r="Q15" s="1111"/>
      <c r="R15" s="1112"/>
      <c r="S15" s="278"/>
    </row>
    <row r="16" spans="1:19" s="279" customFormat="1" ht="33.75" customHeight="1">
      <c r="A16" s="276"/>
      <c r="B16" s="1107" t="s">
        <v>275</v>
      </c>
      <c r="C16" s="1108"/>
      <c r="D16" s="1109"/>
      <c r="E16" s="1110" t="e">
        <f ca="1">INDIRECT("'C-PARINAM'!AC"&amp;($G$8+5))</f>
        <v>#REF!</v>
      </c>
      <c r="F16" s="1111"/>
      <c r="G16" s="1111"/>
      <c r="H16" s="1112"/>
      <c r="I16" s="278"/>
      <c r="K16" s="276"/>
      <c r="L16" s="1107" t="s">
        <v>275</v>
      </c>
      <c r="M16" s="1108"/>
      <c r="N16" s="1109"/>
      <c r="O16" s="1110" t="e">
        <f ca="1">INDIRECT("'C-PARINAM'!AC"&amp;($Q$8+5))</f>
        <v>#REF!</v>
      </c>
      <c r="P16" s="1111"/>
      <c r="Q16" s="1111"/>
      <c r="R16" s="1112"/>
      <c r="S16" s="278"/>
    </row>
    <row r="17" spans="1:19" s="279" customFormat="1" ht="33.75" customHeight="1">
      <c r="A17" s="276"/>
      <c r="B17" s="1107" t="s">
        <v>159</v>
      </c>
      <c r="C17" s="1108"/>
      <c r="D17" s="1109"/>
      <c r="E17" s="1110" t="e">
        <f ca="1">INDIRECT("'C-PARINAM'!AK"&amp;($G$8+5))</f>
        <v>#REF!</v>
      </c>
      <c r="F17" s="1111"/>
      <c r="G17" s="1111"/>
      <c r="H17" s="1112"/>
      <c r="I17" s="278"/>
      <c r="K17" s="276"/>
      <c r="L17" s="1107" t="s">
        <v>159</v>
      </c>
      <c r="M17" s="1108"/>
      <c r="N17" s="1109"/>
      <c r="O17" s="1110" t="e">
        <f ca="1">INDIRECT("'C-PARINAM'!AK"&amp;($Q$8+5))</f>
        <v>#REF!</v>
      </c>
      <c r="P17" s="1111"/>
      <c r="Q17" s="1111"/>
      <c r="R17" s="1112"/>
      <c r="S17" s="278"/>
    </row>
    <row r="18" spans="1:19" s="279" customFormat="1" ht="33.75" customHeight="1">
      <c r="A18" s="276"/>
      <c r="B18" s="1107" t="s">
        <v>57</v>
      </c>
      <c r="C18" s="1108"/>
      <c r="D18" s="1109"/>
      <c r="E18" s="1110" t="e">
        <f ca="1">INDIRECT("'C-PARINAM'!BJ"&amp;($G$8+5))</f>
        <v>#REF!</v>
      </c>
      <c r="F18" s="1111"/>
      <c r="G18" s="1111"/>
      <c r="H18" s="1112"/>
      <c r="I18" s="278"/>
      <c r="K18" s="276"/>
      <c r="L18" s="1107" t="s">
        <v>57</v>
      </c>
      <c r="M18" s="1108"/>
      <c r="N18" s="1109"/>
      <c r="O18" s="1110" t="e">
        <f ca="1">INDIRECT("'C-PARINAM'!BJ"&amp;($Q$8+5))</f>
        <v>#REF!</v>
      </c>
      <c r="P18" s="1111"/>
      <c r="Q18" s="1111"/>
      <c r="R18" s="1112"/>
      <c r="S18" s="278"/>
    </row>
    <row r="19" spans="1:19" s="279" customFormat="1" ht="33.75" customHeight="1">
      <c r="A19" s="276"/>
      <c r="B19" s="1143" t="s">
        <v>276</v>
      </c>
      <c r="C19" s="1144"/>
      <c r="D19" s="1145"/>
      <c r="E19" s="1146" t="e">
        <f ca="1">INDIRECT("'C-PARINAM'!BL"&amp;($G$8+5))</f>
        <v>#REF!</v>
      </c>
      <c r="F19" s="1147"/>
      <c r="G19" s="1147"/>
      <c r="H19" s="1148"/>
      <c r="I19" s="278"/>
      <c r="K19" s="276"/>
      <c r="L19" s="1143" t="s">
        <v>276</v>
      </c>
      <c r="M19" s="1144"/>
      <c r="N19" s="1145"/>
      <c r="O19" s="1146" t="e">
        <f ca="1">INDIRECT("'C-PARINAM'!BL"&amp;($Q$8+5))</f>
        <v>#REF!</v>
      </c>
      <c r="P19" s="1147"/>
      <c r="Q19" s="1147"/>
      <c r="R19" s="1148"/>
      <c r="S19" s="278"/>
    </row>
    <row r="20" spans="1:19" s="279" customFormat="1" ht="24.75" customHeight="1">
      <c r="A20" s="276"/>
      <c r="B20" s="1131" t="s">
        <v>279</v>
      </c>
      <c r="C20" s="1132"/>
      <c r="D20" s="1133"/>
      <c r="E20" s="1137" t="e">
        <f ca="1">INDIRECT("'C-PARINAM'!BW"&amp;($G$8+5))</f>
        <v>#REF!</v>
      </c>
      <c r="F20" s="1138"/>
      <c r="G20" s="1138"/>
      <c r="H20" s="1139"/>
      <c r="I20" s="278"/>
      <c r="K20" s="276"/>
      <c r="L20" s="1131" t="s">
        <v>279</v>
      </c>
      <c r="M20" s="1132"/>
      <c r="N20" s="1133"/>
      <c r="O20" s="1137" t="e">
        <f ca="1">INDIRECT("'C-PARINAM'!BW"&amp;($Q$8+5))</f>
        <v>#REF!</v>
      </c>
      <c r="P20" s="1138"/>
      <c r="Q20" s="1138"/>
      <c r="R20" s="1139"/>
      <c r="S20" s="278"/>
    </row>
    <row r="21" spans="1:19" s="279" customFormat="1" ht="24.75" customHeight="1">
      <c r="A21" s="276"/>
      <c r="B21" s="1134"/>
      <c r="C21" s="1135"/>
      <c r="D21" s="1136"/>
      <c r="E21" s="1140"/>
      <c r="F21" s="1141"/>
      <c r="G21" s="1141"/>
      <c r="H21" s="1142"/>
      <c r="I21" s="278"/>
      <c r="K21" s="276"/>
      <c r="L21" s="1134"/>
      <c r="M21" s="1135"/>
      <c r="N21" s="1136"/>
      <c r="O21" s="1140"/>
      <c r="P21" s="1141"/>
      <c r="Q21" s="1141"/>
      <c r="R21" s="1142"/>
      <c r="S21" s="278"/>
    </row>
    <row r="22" spans="1:19" s="279" customFormat="1" ht="20.25" customHeight="1">
      <c r="A22" s="276"/>
      <c r="B22" s="282"/>
      <c r="C22" s="1104"/>
      <c r="D22" s="1104"/>
      <c r="E22" s="1104"/>
      <c r="F22" s="1104"/>
      <c r="G22" s="1104"/>
      <c r="H22" s="1104"/>
      <c r="I22" s="278"/>
      <c r="K22" s="276"/>
      <c r="L22" s="282"/>
      <c r="M22" s="1104"/>
      <c r="N22" s="1104"/>
      <c r="O22" s="1104"/>
      <c r="P22" s="1104"/>
      <c r="Q22" s="1104"/>
      <c r="R22" s="1104"/>
      <c r="S22" s="278"/>
    </row>
    <row r="23" spans="1:19" s="279" customFormat="1" ht="28.5" customHeight="1">
      <c r="A23" s="276"/>
      <c r="B23" s="283"/>
      <c r="C23" s="1151"/>
      <c r="D23" s="1151"/>
      <c r="E23" s="1152"/>
      <c r="F23" s="1152"/>
      <c r="G23" s="1151"/>
      <c r="H23" s="1153"/>
      <c r="I23" s="278"/>
      <c r="K23" s="276"/>
      <c r="L23" s="283"/>
      <c r="M23" s="1151"/>
      <c r="N23" s="1151"/>
      <c r="O23" s="1152"/>
      <c r="P23" s="1152"/>
      <c r="Q23" s="1151"/>
      <c r="R23" s="1153"/>
      <c r="S23" s="278"/>
    </row>
    <row r="24" spans="1:19" s="279" customFormat="1" ht="24" customHeight="1">
      <c r="A24" s="276"/>
      <c r="B24" s="1158" t="s">
        <v>277</v>
      </c>
      <c r="C24" s="1159"/>
      <c r="D24" s="1159"/>
      <c r="E24" s="1159"/>
      <c r="F24" s="1159"/>
      <c r="G24" s="1159"/>
      <c r="H24" s="1160"/>
      <c r="I24" s="278"/>
      <c r="K24" s="276"/>
      <c r="L24" s="1158" t="s">
        <v>277</v>
      </c>
      <c r="M24" s="1159"/>
      <c r="N24" s="1159"/>
      <c r="O24" s="1159"/>
      <c r="P24" s="1159"/>
      <c r="Q24" s="1159"/>
      <c r="R24" s="1160"/>
      <c r="S24" s="278"/>
    </row>
    <row r="25" spans="1:19" s="279" customFormat="1" ht="26.25" customHeight="1">
      <c r="A25" s="276"/>
      <c r="B25" s="1161" t="s">
        <v>278</v>
      </c>
      <c r="C25" s="1149"/>
      <c r="D25" s="1162" t="s">
        <v>264</v>
      </c>
      <c r="E25" s="1162"/>
      <c r="F25" s="1162"/>
      <c r="G25" s="1149" t="s">
        <v>221</v>
      </c>
      <c r="H25" s="1150"/>
      <c r="I25" s="278"/>
      <c r="K25" s="276"/>
      <c r="L25" s="1161" t="s">
        <v>278</v>
      </c>
      <c r="M25" s="1149"/>
      <c r="N25" s="1162" t="s">
        <v>264</v>
      </c>
      <c r="O25" s="1162"/>
      <c r="P25" s="1162"/>
      <c r="Q25" s="1149" t="s">
        <v>221</v>
      </c>
      <c r="R25" s="1150"/>
      <c r="S25" s="278"/>
    </row>
    <row r="26" spans="1:19" s="279" customFormat="1" ht="17.25" customHeight="1">
      <c r="A26" s="276"/>
      <c r="B26" s="1163"/>
      <c r="C26" s="1164"/>
      <c r="D26" s="1164"/>
      <c r="E26" s="1164"/>
      <c r="F26" s="1164"/>
      <c r="G26" s="1154"/>
      <c r="H26" s="1155"/>
      <c r="I26" s="278"/>
      <c r="K26" s="276"/>
      <c r="L26" s="1163"/>
      <c r="M26" s="1164"/>
      <c r="N26" s="1164"/>
      <c r="O26" s="1164"/>
      <c r="P26" s="1164"/>
      <c r="Q26" s="1154"/>
      <c r="R26" s="1155"/>
      <c r="S26" s="278"/>
    </row>
    <row r="27" spans="1:19" s="279" customFormat="1" ht="24.75" customHeight="1">
      <c r="A27" s="276"/>
      <c r="B27" s="1165"/>
      <c r="C27" s="1166"/>
      <c r="D27" s="1166"/>
      <c r="E27" s="1166"/>
      <c r="F27" s="1166"/>
      <c r="G27" s="1156"/>
      <c r="H27" s="1157"/>
      <c r="I27" s="278"/>
      <c r="K27" s="276"/>
      <c r="L27" s="1165"/>
      <c r="M27" s="1166"/>
      <c r="N27" s="1166"/>
      <c r="O27" s="1166"/>
      <c r="P27" s="1166"/>
      <c r="Q27" s="1156"/>
      <c r="R27" s="1157"/>
      <c r="S27" s="278"/>
    </row>
    <row r="28" spans="1:19" ht="7.5" customHeight="1" thickBot="1">
      <c r="A28" s="284"/>
      <c r="B28" s="285"/>
      <c r="C28" s="286"/>
      <c r="D28" s="286"/>
      <c r="E28" s="286"/>
      <c r="F28" s="286"/>
      <c r="G28" s="286"/>
      <c r="H28" s="286"/>
      <c r="I28" s="287"/>
      <c r="K28" s="284"/>
      <c r="L28" s="285"/>
      <c r="M28" s="286"/>
      <c r="N28" s="286"/>
      <c r="O28" s="286"/>
      <c r="P28" s="286"/>
      <c r="Q28" s="286"/>
      <c r="R28" s="286"/>
      <c r="S28" s="287"/>
    </row>
    <row r="29" spans="1:19" ht="20.25">
      <c r="B29" s="288"/>
      <c r="L29" s="288"/>
    </row>
    <row r="30" spans="1:19" ht="20.25">
      <c r="L30" s="288"/>
    </row>
    <row r="31" spans="1:19" ht="20.25">
      <c r="B31" s="288"/>
      <c r="L31" s="288"/>
    </row>
    <row r="32" spans="1:19" ht="20.25">
      <c r="B32" s="288"/>
      <c r="L32" s="288"/>
    </row>
    <row r="33" spans="2:12" ht="20.25">
      <c r="B33" s="289"/>
      <c r="C33" s="290"/>
      <c r="L33" s="288"/>
    </row>
    <row r="34" spans="2:12" ht="20.25">
      <c r="B34" s="289"/>
      <c r="C34" s="290"/>
      <c r="L34" s="288"/>
    </row>
    <row r="35" spans="2:12" ht="20.25">
      <c r="B35" s="289"/>
      <c r="C35" s="290"/>
      <c r="L35" s="288"/>
    </row>
    <row r="36" spans="2:12" ht="20.25">
      <c r="B36" s="289"/>
      <c r="C36" s="290"/>
      <c r="L36" s="288"/>
    </row>
    <row r="37" spans="2:12" ht="20.25">
      <c r="B37" s="289"/>
      <c r="C37" s="291"/>
      <c r="L37" s="288"/>
    </row>
    <row r="38" spans="2:12" ht="20.25">
      <c r="B38" s="289"/>
      <c r="C38" s="290"/>
      <c r="L38" s="288"/>
    </row>
    <row r="39" spans="2:12" ht="20.25">
      <c r="B39" s="289"/>
      <c r="C39" s="291"/>
      <c r="L39" s="288"/>
    </row>
    <row r="40" spans="2:12" ht="20.25">
      <c r="B40" s="289"/>
      <c r="C40" s="290"/>
      <c r="L40" s="288"/>
    </row>
    <row r="41" spans="2:12" ht="20.25">
      <c r="B41" s="292"/>
      <c r="C41" s="290"/>
      <c r="L41" s="288"/>
    </row>
    <row r="42" spans="2:12" ht="20.25">
      <c r="B42" s="292"/>
      <c r="C42" s="290"/>
      <c r="L42" s="288"/>
    </row>
    <row r="43" spans="2:12" ht="20.25">
      <c r="B43" s="293"/>
      <c r="C43" s="290"/>
      <c r="L43" s="288"/>
    </row>
    <row r="44" spans="2:12">
      <c r="B44" s="294"/>
      <c r="C44" s="294"/>
    </row>
    <row r="45" spans="2:12">
      <c r="B45" s="294"/>
      <c r="C45" s="294"/>
    </row>
    <row r="46" spans="2:12">
      <c r="B46" s="294"/>
      <c r="C46" s="294"/>
    </row>
  </sheetData>
  <sheetProtection password="DC6E" sheet="1" objects="1" scenarios="1"/>
  <mergeCells count="88">
    <mergeCell ref="L14:N14"/>
    <mergeCell ref="O14:R14"/>
    <mergeCell ref="L15:N15"/>
    <mergeCell ref="O15:R15"/>
    <mergeCell ref="L16:N16"/>
    <mergeCell ref="O16:R16"/>
    <mergeCell ref="L17:N17"/>
    <mergeCell ref="O17:R17"/>
    <mergeCell ref="L18:N18"/>
    <mergeCell ref="O18:R18"/>
    <mergeCell ref="B15:D15"/>
    <mergeCell ref="B16:D16"/>
    <mergeCell ref="B17:D17"/>
    <mergeCell ref="B18:D18"/>
    <mergeCell ref="Q26:R27"/>
    <mergeCell ref="B24:H24"/>
    <mergeCell ref="L24:R24"/>
    <mergeCell ref="B25:C25"/>
    <mergeCell ref="D25:F25"/>
    <mergeCell ref="G25:H25"/>
    <mergeCell ref="L25:M25"/>
    <mergeCell ref="N25:P25"/>
    <mergeCell ref="B26:C27"/>
    <mergeCell ref="D26:F27"/>
    <mergeCell ref="G26:H27"/>
    <mergeCell ref="L26:M27"/>
    <mergeCell ref="N26:P27"/>
    <mergeCell ref="C22:D22"/>
    <mergeCell ref="E22:F22"/>
    <mergeCell ref="G22:H22"/>
    <mergeCell ref="C23:D23"/>
    <mergeCell ref="E23:F23"/>
    <mergeCell ref="G23:H23"/>
    <mergeCell ref="L20:N21"/>
    <mergeCell ref="O20:R21"/>
    <mergeCell ref="L19:N19"/>
    <mergeCell ref="O19:R19"/>
    <mergeCell ref="Q25:R25"/>
    <mergeCell ref="O22:P22"/>
    <mergeCell ref="Q22:R22"/>
    <mergeCell ref="M23:N23"/>
    <mergeCell ref="O23:P23"/>
    <mergeCell ref="Q23:R23"/>
    <mergeCell ref="B14:D14"/>
    <mergeCell ref="E9:F9"/>
    <mergeCell ref="B20:D21"/>
    <mergeCell ref="E20:H21"/>
    <mergeCell ref="B19:D19"/>
    <mergeCell ref="E12:H12"/>
    <mergeCell ref="E13:H13"/>
    <mergeCell ref="E14:H14"/>
    <mergeCell ref="E15:H15"/>
    <mergeCell ref="E16:H16"/>
    <mergeCell ref="E17:H17"/>
    <mergeCell ref="E18:H18"/>
    <mergeCell ref="E19:H19"/>
    <mergeCell ref="L12:N12"/>
    <mergeCell ref="O12:R12"/>
    <mergeCell ref="B11:D11"/>
    <mergeCell ref="B12:D12"/>
    <mergeCell ref="B13:D13"/>
    <mergeCell ref="B2:H2"/>
    <mergeCell ref="C5:F5"/>
    <mergeCell ref="M5:P5"/>
    <mergeCell ref="C7:H7"/>
    <mergeCell ref="C8:D8"/>
    <mergeCell ref="G8:H8"/>
    <mergeCell ref="L2:R2"/>
    <mergeCell ref="L3:R3"/>
    <mergeCell ref="M7:R7"/>
    <mergeCell ref="M8:N8"/>
    <mergeCell ref="Q8:R8"/>
    <mergeCell ref="M9:N9"/>
    <mergeCell ref="Q9:R9"/>
    <mergeCell ref="M22:N22"/>
    <mergeCell ref="B3:H3"/>
    <mergeCell ref="E8:F8"/>
    <mergeCell ref="O8:P8"/>
    <mergeCell ref="L13:N13"/>
    <mergeCell ref="O13:R13"/>
    <mergeCell ref="C4:F4"/>
    <mergeCell ref="M4:P4"/>
    <mergeCell ref="C9:D9"/>
    <mergeCell ref="G9:H9"/>
    <mergeCell ref="O9:P9"/>
    <mergeCell ref="E11:H11"/>
    <mergeCell ref="L11:N11"/>
    <mergeCell ref="O11:R11"/>
  </mergeCells>
  <dataValidations count="1">
    <dataValidation type="list" allowBlank="1" showInputMessage="1" showErrorMessage="1" sqref="G8 Q8">
      <formula1>ROLLNO</formula1>
    </dataValidation>
  </dataValidations>
  <printOptions horizontalCentered="1"/>
  <pageMargins left="0.27559055118110237" right="0.27559055118110237" top="0.15748031496062992" bottom="0.11811023622047245" header="0.15748031496062992" footer="0.11811023622047245"/>
  <pageSetup paperSize="9" scale="77" fitToHeight="0" orientation="landscape" horizontalDpi="3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D10"/>
  <sheetViews>
    <sheetView showGridLines="0" view="pageBreakPreview" zoomScaleSheetLayoutView="100" workbookViewId="0">
      <pane ySplit="1" topLeftCell="A2" activePane="bottomLeft" state="frozen"/>
      <selection pane="bottomLeft"/>
    </sheetView>
  </sheetViews>
  <sheetFormatPr defaultColWidth="0" defaultRowHeight="15" zeroHeight="1"/>
  <cols>
    <col min="1" max="1" width="17.28515625" customWidth="1"/>
    <col min="2" max="2" width="47.7109375" customWidth="1"/>
    <col min="3" max="3" width="18.7109375" customWidth="1"/>
    <col min="4" max="4" width="33.140625" customWidth="1"/>
    <col min="5" max="16384" width="9.140625" hidden="1"/>
  </cols>
  <sheetData>
    <row r="1" spans="1:4" s="438" customFormat="1" ht="27.75" customHeight="1">
      <c r="A1" s="463" t="s">
        <v>492</v>
      </c>
    </row>
    <row r="2" spans="1:4" ht="31.5" customHeight="1">
      <c r="A2" s="512" t="s">
        <v>76</v>
      </c>
      <c r="B2" s="513"/>
      <c r="C2" s="512" t="s">
        <v>155</v>
      </c>
      <c r="D2" s="513"/>
    </row>
    <row r="3" spans="1:4" ht="30.75" customHeight="1">
      <c r="A3" s="233" t="s">
        <v>0</v>
      </c>
      <c r="B3" s="203" t="s">
        <v>77</v>
      </c>
      <c r="C3" s="233" t="s">
        <v>12</v>
      </c>
      <c r="D3" s="206">
        <v>1</v>
      </c>
    </row>
    <row r="4" spans="1:4" ht="30.75" customHeight="1">
      <c r="A4" s="234" t="s">
        <v>6</v>
      </c>
      <c r="B4" s="204" t="s">
        <v>67</v>
      </c>
      <c r="C4" s="234" t="s">
        <v>148</v>
      </c>
      <c r="D4" s="204" t="s">
        <v>152</v>
      </c>
    </row>
    <row r="5" spans="1:4" ht="30.75" customHeight="1">
      <c r="A5" s="234" t="s">
        <v>1</v>
      </c>
      <c r="B5" s="204" t="s">
        <v>78</v>
      </c>
      <c r="C5" s="234" t="s">
        <v>149</v>
      </c>
      <c r="D5" s="204" t="s">
        <v>153</v>
      </c>
    </row>
    <row r="6" spans="1:4" ht="30.75" customHeight="1">
      <c r="A6" s="234" t="s">
        <v>2</v>
      </c>
      <c r="B6" s="204" t="s">
        <v>79</v>
      </c>
      <c r="C6" s="234" t="s">
        <v>150</v>
      </c>
      <c r="D6" s="204" t="s">
        <v>154</v>
      </c>
    </row>
    <row r="7" spans="1:4" ht="30.75" customHeight="1">
      <c r="A7" s="234" t="s">
        <v>3</v>
      </c>
      <c r="B7" s="204"/>
      <c r="C7" s="234" t="s">
        <v>151</v>
      </c>
      <c r="D7" s="204"/>
    </row>
    <row r="8" spans="1:4" ht="30.75" customHeight="1">
      <c r="A8" s="234" t="s">
        <v>209</v>
      </c>
      <c r="B8" s="204" t="s">
        <v>183</v>
      </c>
      <c r="C8" s="234"/>
      <c r="D8" s="204"/>
    </row>
    <row r="9" spans="1:4" ht="30.75" customHeight="1">
      <c r="A9" s="234" t="s">
        <v>4</v>
      </c>
      <c r="B9" s="204" t="s">
        <v>80</v>
      </c>
      <c r="C9" s="234"/>
      <c r="D9" s="204"/>
    </row>
    <row r="10" spans="1:4" ht="30.75" customHeight="1">
      <c r="A10" s="235" t="s">
        <v>5</v>
      </c>
      <c r="B10" s="205" t="s">
        <v>80</v>
      </c>
      <c r="C10" s="235"/>
      <c r="D10" s="205"/>
    </row>
  </sheetData>
  <sheetProtection password="DC6E" sheet="1" objects="1" scenarios="1"/>
  <mergeCells count="2">
    <mergeCell ref="A2:B2"/>
    <mergeCell ref="C2:D2"/>
  </mergeCells>
  <hyperlinks>
    <hyperlink ref="A1" location="INDEX!A1" display="INDEX"/>
  </hyperlinks>
  <pageMargins left="0.7" right="0.7" top="0.75" bottom="0.75" header="0.3" footer="0.3"/>
  <pageSetup paperSize="9" scale="75" orientation="portrait" horizontalDpi="4294967292"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2060"/>
    <pageSetUpPr fitToPage="1"/>
  </sheetPr>
  <dimension ref="A1:S46"/>
  <sheetViews>
    <sheetView showGridLines="0" topLeftCell="A13" workbookViewId="0">
      <selection activeCell="C11" sqref="C11:D11"/>
    </sheetView>
  </sheetViews>
  <sheetFormatPr defaultRowHeight="12.75"/>
  <cols>
    <col min="1" max="1" width="2" style="267" customWidth="1"/>
    <col min="2" max="2" width="23.28515625" style="267" customWidth="1"/>
    <col min="3" max="5" width="9.7109375" style="267" customWidth="1"/>
    <col min="6" max="6" width="13.140625" style="267" customWidth="1"/>
    <col min="7" max="7" width="12.5703125" style="267" customWidth="1"/>
    <col min="8" max="8" width="9.5703125" style="267" customWidth="1"/>
    <col min="9" max="9" width="1.85546875" style="267" customWidth="1"/>
    <col min="10" max="10" width="3.140625" style="267" customWidth="1"/>
    <col min="11" max="11" width="2" style="267" customWidth="1"/>
    <col min="12" max="12" width="23.28515625" style="267" customWidth="1"/>
    <col min="13" max="15" width="9.7109375" style="267" customWidth="1"/>
    <col min="16" max="16" width="13.28515625" style="267" customWidth="1"/>
    <col min="17" max="18" width="9.5703125" style="267" customWidth="1"/>
    <col min="19" max="19" width="2" style="267" customWidth="1"/>
    <col min="20" max="256" width="9.140625" style="267"/>
    <col min="257" max="257" width="2" style="267" customWidth="1"/>
    <col min="258" max="258" width="23.28515625" style="267" customWidth="1"/>
    <col min="259" max="261" width="9.7109375" style="267" customWidth="1"/>
    <col min="262" max="262" width="13.140625" style="267" customWidth="1"/>
    <col min="263" max="263" width="12.5703125" style="267" customWidth="1"/>
    <col min="264" max="264" width="9.5703125" style="267" customWidth="1"/>
    <col min="265" max="265" width="1.85546875" style="267" customWidth="1"/>
    <col min="266" max="266" width="3.140625" style="267" customWidth="1"/>
    <col min="267" max="267" width="2" style="267" customWidth="1"/>
    <col min="268" max="268" width="23.28515625" style="267" customWidth="1"/>
    <col min="269" max="271" width="9.7109375" style="267" customWidth="1"/>
    <col min="272" max="272" width="13.28515625" style="267" customWidth="1"/>
    <col min="273" max="274" width="9.5703125" style="267" customWidth="1"/>
    <col min="275" max="275" width="2" style="267" customWidth="1"/>
    <col min="276" max="512" width="9.140625" style="267"/>
    <col min="513" max="513" width="2" style="267" customWidth="1"/>
    <col min="514" max="514" width="23.28515625" style="267" customWidth="1"/>
    <col min="515" max="517" width="9.7109375" style="267" customWidth="1"/>
    <col min="518" max="518" width="13.140625" style="267" customWidth="1"/>
    <col min="519" max="519" width="12.5703125" style="267" customWidth="1"/>
    <col min="520" max="520" width="9.5703125" style="267" customWidth="1"/>
    <col min="521" max="521" width="1.85546875" style="267" customWidth="1"/>
    <col min="522" max="522" width="3.140625" style="267" customWidth="1"/>
    <col min="523" max="523" width="2" style="267" customWidth="1"/>
    <col min="524" max="524" width="23.28515625" style="267" customWidth="1"/>
    <col min="525" max="527" width="9.7109375" style="267" customWidth="1"/>
    <col min="528" max="528" width="13.28515625" style="267" customWidth="1"/>
    <col min="529" max="530" width="9.5703125" style="267" customWidth="1"/>
    <col min="531" max="531" width="2" style="267" customWidth="1"/>
    <col min="532" max="768" width="9.140625" style="267"/>
    <col min="769" max="769" width="2" style="267" customWidth="1"/>
    <col min="770" max="770" width="23.28515625" style="267" customWidth="1"/>
    <col min="771" max="773" width="9.7109375" style="267" customWidth="1"/>
    <col min="774" max="774" width="13.140625" style="267" customWidth="1"/>
    <col min="775" max="775" width="12.5703125" style="267" customWidth="1"/>
    <col min="776" max="776" width="9.5703125" style="267" customWidth="1"/>
    <col min="777" max="777" width="1.85546875" style="267" customWidth="1"/>
    <col min="778" max="778" width="3.140625" style="267" customWidth="1"/>
    <col min="779" max="779" width="2" style="267" customWidth="1"/>
    <col min="780" max="780" width="23.28515625" style="267" customWidth="1"/>
    <col min="781" max="783" width="9.7109375" style="267" customWidth="1"/>
    <col min="784" max="784" width="13.28515625" style="267" customWidth="1"/>
    <col min="785" max="786" width="9.5703125" style="267" customWidth="1"/>
    <col min="787" max="787" width="2" style="267" customWidth="1"/>
    <col min="788" max="1024" width="9.140625" style="267"/>
    <col min="1025" max="1025" width="2" style="267" customWidth="1"/>
    <col min="1026" max="1026" width="23.28515625" style="267" customWidth="1"/>
    <col min="1027" max="1029" width="9.7109375" style="267" customWidth="1"/>
    <col min="1030" max="1030" width="13.140625" style="267" customWidth="1"/>
    <col min="1031" max="1031" width="12.5703125" style="267" customWidth="1"/>
    <col min="1032" max="1032" width="9.5703125" style="267" customWidth="1"/>
    <col min="1033" max="1033" width="1.85546875" style="267" customWidth="1"/>
    <col min="1034" max="1034" width="3.140625" style="267" customWidth="1"/>
    <col min="1035" max="1035" width="2" style="267" customWidth="1"/>
    <col min="1036" max="1036" width="23.28515625" style="267" customWidth="1"/>
    <col min="1037" max="1039" width="9.7109375" style="267" customWidth="1"/>
    <col min="1040" max="1040" width="13.28515625" style="267" customWidth="1"/>
    <col min="1041" max="1042" width="9.5703125" style="267" customWidth="1"/>
    <col min="1043" max="1043" width="2" style="267" customWidth="1"/>
    <col min="1044" max="1280" width="9.140625" style="267"/>
    <col min="1281" max="1281" width="2" style="267" customWidth="1"/>
    <col min="1282" max="1282" width="23.28515625" style="267" customWidth="1"/>
    <col min="1283" max="1285" width="9.7109375" style="267" customWidth="1"/>
    <col min="1286" max="1286" width="13.140625" style="267" customWidth="1"/>
    <col min="1287" max="1287" width="12.5703125" style="267" customWidth="1"/>
    <col min="1288" max="1288" width="9.5703125" style="267" customWidth="1"/>
    <col min="1289" max="1289" width="1.85546875" style="267" customWidth="1"/>
    <col min="1290" max="1290" width="3.140625" style="267" customWidth="1"/>
    <col min="1291" max="1291" width="2" style="267" customWidth="1"/>
    <col min="1292" max="1292" width="23.28515625" style="267" customWidth="1"/>
    <col min="1293" max="1295" width="9.7109375" style="267" customWidth="1"/>
    <col min="1296" max="1296" width="13.28515625" style="267" customWidth="1"/>
    <col min="1297" max="1298" width="9.5703125" style="267" customWidth="1"/>
    <col min="1299" max="1299" width="2" style="267" customWidth="1"/>
    <col min="1300" max="1536" width="9.140625" style="267"/>
    <col min="1537" max="1537" width="2" style="267" customWidth="1"/>
    <col min="1538" max="1538" width="23.28515625" style="267" customWidth="1"/>
    <col min="1539" max="1541" width="9.7109375" style="267" customWidth="1"/>
    <col min="1542" max="1542" width="13.140625" style="267" customWidth="1"/>
    <col min="1543" max="1543" width="12.5703125" style="267" customWidth="1"/>
    <col min="1544" max="1544" width="9.5703125" style="267" customWidth="1"/>
    <col min="1545" max="1545" width="1.85546875" style="267" customWidth="1"/>
    <col min="1546" max="1546" width="3.140625" style="267" customWidth="1"/>
    <col min="1547" max="1547" width="2" style="267" customWidth="1"/>
    <col min="1548" max="1548" width="23.28515625" style="267" customWidth="1"/>
    <col min="1549" max="1551" width="9.7109375" style="267" customWidth="1"/>
    <col min="1552" max="1552" width="13.28515625" style="267" customWidth="1"/>
    <col min="1553" max="1554" width="9.5703125" style="267" customWidth="1"/>
    <col min="1555" max="1555" width="2" style="267" customWidth="1"/>
    <col min="1556" max="1792" width="9.140625" style="267"/>
    <col min="1793" max="1793" width="2" style="267" customWidth="1"/>
    <col min="1794" max="1794" width="23.28515625" style="267" customWidth="1"/>
    <col min="1795" max="1797" width="9.7109375" style="267" customWidth="1"/>
    <col min="1798" max="1798" width="13.140625" style="267" customWidth="1"/>
    <col min="1799" max="1799" width="12.5703125" style="267" customWidth="1"/>
    <col min="1800" max="1800" width="9.5703125" style="267" customWidth="1"/>
    <col min="1801" max="1801" width="1.85546875" style="267" customWidth="1"/>
    <col min="1802" max="1802" width="3.140625" style="267" customWidth="1"/>
    <col min="1803" max="1803" width="2" style="267" customWidth="1"/>
    <col min="1804" max="1804" width="23.28515625" style="267" customWidth="1"/>
    <col min="1805" max="1807" width="9.7109375" style="267" customWidth="1"/>
    <col min="1808" max="1808" width="13.28515625" style="267" customWidth="1"/>
    <col min="1809" max="1810" width="9.5703125" style="267" customWidth="1"/>
    <col min="1811" max="1811" width="2" style="267" customWidth="1"/>
    <col min="1812" max="2048" width="9.140625" style="267"/>
    <col min="2049" max="2049" width="2" style="267" customWidth="1"/>
    <col min="2050" max="2050" width="23.28515625" style="267" customWidth="1"/>
    <col min="2051" max="2053" width="9.7109375" style="267" customWidth="1"/>
    <col min="2054" max="2054" width="13.140625" style="267" customWidth="1"/>
    <col min="2055" max="2055" width="12.5703125" style="267" customWidth="1"/>
    <col min="2056" max="2056" width="9.5703125" style="267" customWidth="1"/>
    <col min="2057" max="2057" width="1.85546875" style="267" customWidth="1"/>
    <col min="2058" max="2058" width="3.140625" style="267" customWidth="1"/>
    <col min="2059" max="2059" width="2" style="267" customWidth="1"/>
    <col min="2060" max="2060" width="23.28515625" style="267" customWidth="1"/>
    <col min="2061" max="2063" width="9.7109375" style="267" customWidth="1"/>
    <col min="2064" max="2064" width="13.28515625" style="267" customWidth="1"/>
    <col min="2065" max="2066" width="9.5703125" style="267" customWidth="1"/>
    <col min="2067" max="2067" width="2" style="267" customWidth="1"/>
    <col min="2068" max="2304" width="9.140625" style="267"/>
    <col min="2305" max="2305" width="2" style="267" customWidth="1"/>
    <col min="2306" max="2306" width="23.28515625" style="267" customWidth="1"/>
    <col min="2307" max="2309" width="9.7109375" style="267" customWidth="1"/>
    <col min="2310" max="2310" width="13.140625" style="267" customWidth="1"/>
    <col min="2311" max="2311" width="12.5703125" style="267" customWidth="1"/>
    <col min="2312" max="2312" width="9.5703125" style="267" customWidth="1"/>
    <col min="2313" max="2313" width="1.85546875" style="267" customWidth="1"/>
    <col min="2314" max="2314" width="3.140625" style="267" customWidth="1"/>
    <col min="2315" max="2315" width="2" style="267" customWidth="1"/>
    <col min="2316" max="2316" width="23.28515625" style="267" customWidth="1"/>
    <col min="2317" max="2319" width="9.7109375" style="267" customWidth="1"/>
    <col min="2320" max="2320" width="13.28515625" style="267" customWidth="1"/>
    <col min="2321" max="2322" width="9.5703125" style="267" customWidth="1"/>
    <col min="2323" max="2323" width="2" style="267" customWidth="1"/>
    <col min="2324" max="2560" width="9.140625" style="267"/>
    <col min="2561" max="2561" width="2" style="267" customWidth="1"/>
    <col min="2562" max="2562" width="23.28515625" style="267" customWidth="1"/>
    <col min="2563" max="2565" width="9.7109375" style="267" customWidth="1"/>
    <col min="2566" max="2566" width="13.140625" style="267" customWidth="1"/>
    <col min="2567" max="2567" width="12.5703125" style="267" customWidth="1"/>
    <col min="2568" max="2568" width="9.5703125" style="267" customWidth="1"/>
    <col min="2569" max="2569" width="1.85546875" style="267" customWidth="1"/>
    <col min="2570" max="2570" width="3.140625" style="267" customWidth="1"/>
    <col min="2571" max="2571" width="2" style="267" customWidth="1"/>
    <col min="2572" max="2572" width="23.28515625" style="267" customWidth="1"/>
    <col min="2573" max="2575" width="9.7109375" style="267" customWidth="1"/>
    <col min="2576" max="2576" width="13.28515625" style="267" customWidth="1"/>
    <col min="2577" max="2578" width="9.5703125" style="267" customWidth="1"/>
    <col min="2579" max="2579" width="2" style="267" customWidth="1"/>
    <col min="2580" max="2816" width="9.140625" style="267"/>
    <col min="2817" max="2817" width="2" style="267" customWidth="1"/>
    <col min="2818" max="2818" width="23.28515625" style="267" customWidth="1"/>
    <col min="2819" max="2821" width="9.7109375" style="267" customWidth="1"/>
    <col min="2822" max="2822" width="13.140625" style="267" customWidth="1"/>
    <col min="2823" max="2823" width="12.5703125" style="267" customWidth="1"/>
    <col min="2824" max="2824" width="9.5703125" style="267" customWidth="1"/>
    <col min="2825" max="2825" width="1.85546875" style="267" customWidth="1"/>
    <col min="2826" max="2826" width="3.140625" style="267" customWidth="1"/>
    <col min="2827" max="2827" width="2" style="267" customWidth="1"/>
    <col min="2828" max="2828" width="23.28515625" style="267" customWidth="1"/>
    <col min="2829" max="2831" width="9.7109375" style="267" customWidth="1"/>
    <col min="2832" max="2832" width="13.28515625" style="267" customWidth="1"/>
    <col min="2833" max="2834" width="9.5703125" style="267" customWidth="1"/>
    <col min="2835" max="2835" width="2" style="267" customWidth="1"/>
    <col min="2836" max="3072" width="9.140625" style="267"/>
    <col min="3073" max="3073" width="2" style="267" customWidth="1"/>
    <col min="3074" max="3074" width="23.28515625" style="267" customWidth="1"/>
    <col min="3075" max="3077" width="9.7109375" style="267" customWidth="1"/>
    <col min="3078" max="3078" width="13.140625" style="267" customWidth="1"/>
    <col min="3079" max="3079" width="12.5703125" style="267" customWidth="1"/>
    <col min="3080" max="3080" width="9.5703125" style="267" customWidth="1"/>
    <col min="3081" max="3081" width="1.85546875" style="267" customWidth="1"/>
    <col min="3082" max="3082" width="3.140625" style="267" customWidth="1"/>
    <col min="3083" max="3083" width="2" style="267" customWidth="1"/>
    <col min="3084" max="3084" width="23.28515625" style="267" customWidth="1"/>
    <col min="3085" max="3087" width="9.7109375" style="267" customWidth="1"/>
    <col min="3088" max="3088" width="13.28515625" style="267" customWidth="1"/>
    <col min="3089" max="3090" width="9.5703125" style="267" customWidth="1"/>
    <col min="3091" max="3091" width="2" style="267" customWidth="1"/>
    <col min="3092" max="3328" width="9.140625" style="267"/>
    <col min="3329" max="3329" width="2" style="267" customWidth="1"/>
    <col min="3330" max="3330" width="23.28515625" style="267" customWidth="1"/>
    <col min="3331" max="3333" width="9.7109375" style="267" customWidth="1"/>
    <col min="3334" max="3334" width="13.140625" style="267" customWidth="1"/>
    <col min="3335" max="3335" width="12.5703125" style="267" customWidth="1"/>
    <col min="3336" max="3336" width="9.5703125" style="267" customWidth="1"/>
    <col min="3337" max="3337" width="1.85546875" style="267" customWidth="1"/>
    <col min="3338" max="3338" width="3.140625" style="267" customWidth="1"/>
    <col min="3339" max="3339" width="2" style="267" customWidth="1"/>
    <col min="3340" max="3340" width="23.28515625" style="267" customWidth="1"/>
    <col min="3341" max="3343" width="9.7109375" style="267" customWidth="1"/>
    <col min="3344" max="3344" width="13.28515625" style="267" customWidth="1"/>
    <col min="3345" max="3346" width="9.5703125" style="267" customWidth="1"/>
    <col min="3347" max="3347" width="2" style="267" customWidth="1"/>
    <col min="3348" max="3584" width="9.140625" style="267"/>
    <col min="3585" max="3585" width="2" style="267" customWidth="1"/>
    <col min="3586" max="3586" width="23.28515625" style="267" customWidth="1"/>
    <col min="3587" max="3589" width="9.7109375" style="267" customWidth="1"/>
    <col min="3590" max="3590" width="13.140625" style="267" customWidth="1"/>
    <col min="3591" max="3591" width="12.5703125" style="267" customWidth="1"/>
    <col min="3592" max="3592" width="9.5703125" style="267" customWidth="1"/>
    <col min="3593" max="3593" width="1.85546875" style="267" customWidth="1"/>
    <col min="3594" max="3594" width="3.140625" style="267" customWidth="1"/>
    <col min="3595" max="3595" width="2" style="267" customWidth="1"/>
    <col min="3596" max="3596" width="23.28515625" style="267" customWidth="1"/>
    <col min="3597" max="3599" width="9.7109375" style="267" customWidth="1"/>
    <col min="3600" max="3600" width="13.28515625" style="267" customWidth="1"/>
    <col min="3601" max="3602" width="9.5703125" style="267" customWidth="1"/>
    <col min="3603" max="3603" width="2" style="267" customWidth="1"/>
    <col min="3604" max="3840" width="9.140625" style="267"/>
    <col min="3841" max="3841" width="2" style="267" customWidth="1"/>
    <col min="3842" max="3842" width="23.28515625" style="267" customWidth="1"/>
    <col min="3843" max="3845" width="9.7109375" style="267" customWidth="1"/>
    <col min="3846" max="3846" width="13.140625" style="267" customWidth="1"/>
    <col min="3847" max="3847" width="12.5703125" style="267" customWidth="1"/>
    <col min="3848" max="3848" width="9.5703125" style="267" customWidth="1"/>
    <col min="3849" max="3849" width="1.85546875" style="267" customWidth="1"/>
    <col min="3850" max="3850" width="3.140625" style="267" customWidth="1"/>
    <col min="3851" max="3851" width="2" style="267" customWidth="1"/>
    <col min="3852" max="3852" width="23.28515625" style="267" customWidth="1"/>
    <col min="3853" max="3855" width="9.7109375" style="267" customWidth="1"/>
    <col min="3856" max="3856" width="13.28515625" style="267" customWidth="1"/>
    <col min="3857" max="3858" width="9.5703125" style="267" customWidth="1"/>
    <col min="3859" max="3859" width="2" style="267" customWidth="1"/>
    <col min="3860" max="4096" width="9.140625" style="267"/>
    <col min="4097" max="4097" width="2" style="267" customWidth="1"/>
    <col min="4098" max="4098" width="23.28515625" style="267" customWidth="1"/>
    <col min="4099" max="4101" width="9.7109375" style="267" customWidth="1"/>
    <col min="4102" max="4102" width="13.140625" style="267" customWidth="1"/>
    <col min="4103" max="4103" width="12.5703125" style="267" customWidth="1"/>
    <col min="4104" max="4104" width="9.5703125" style="267" customWidth="1"/>
    <col min="4105" max="4105" width="1.85546875" style="267" customWidth="1"/>
    <col min="4106" max="4106" width="3.140625" style="267" customWidth="1"/>
    <col min="4107" max="4107" width="2" style="267" customWidth="1"/>
    <col min="4108" max="4108" width="23.28515625" style="267" customWidth="1"/>
    <col min="4109" max="4111" width="9.7109375" style="267" customWidth="1"/>
    <col min="4112" max="4112" width="13.28515625" style="267" customWidth="1"/>
    <col min="4113" max="4114" width="9.5703125" style="267" customWidth="1"/>
    <col min="4115" max="4115" width="2" style="267" customWidth="1"/>
    <col min="4116" max="4352" width="9.140625" style="267"/>
    <col min="4353" max="4353" width="2" style="267" customWidth="1"/>
    <col min="4354" max="4354" width="23.28515625" style="267" customWidth="1"/>
    <col min="4355" max="4357" width="9.7109375" style="267" customWidth="1"/>
    <col min="4358" max="4358" width="13.140625" style="267" customWidth="1"/>
    <col min="4359" max="4359" width="12.5703125" style="267" customWidth="1"/>
    <col min="4360" max="4360" width="9.5703125" style="267" customWidth="1"/>
    <col min="4361" max="4361" width="1.85546875" style="267" customWidth="1"/>
    <col min="4362" max="4362" width="3.140625" style="267" customWidth="1"/>
    <col min="4363" max="4363" width="2" style="267" customWidth="1"/>
    <col min="4364" max="4364" width="23.28515625" style="267" customWidth="1"/>
    <col min="4365" max="4367" width="9.7109375" style="267" customWidth="1"/>
    <col min="4368" max="4368" width="13.28515625" style="267" customWidth="1"/>
    <col min="4369" max="4370" width="9.5703125" style="267" customWidth="1"/>
    <col min="4371" max="4371" width="2" style="267" customWidth="1"/>
    <col min="4372" max="4608" width="9.140625" style="267"/>
    <col min="4609" max="4609" width="2" style="267" customWidth="1"/>
    <col min="4610" max="4610" width="23.28515625" style="267" customWidth="1"/>
    <col min="4611" max="4613" width="9.7109375" style="267" customWidth="1"/>
    <col min="4614" max="4614" width="13.140625" style="267" customWidth="1"/>
    <col min="4615" max="4615" width="12.5703125" style="267" customWidth="1"/>
    <col min="4616" max="4616" width="9.5703125" style="267" customWidth="1"/>
    <col min="4617" max="4617" width="1.85546875" style="267" customWidth="1"/>
    <col min="4618" max="4618" width="3.140625" style="267" customWidth="1"/>
    <col min="4619" max="4619" width="2" style="267" customWidth="1"/>
    <col min="4620" max="4620" width="23.28515625" style="267" customWidth="1"/>
    <col min="4621" max="4623" width="9.7109375" style="267" customWidth="1"/>
    <col min="4624" max="4624" width="13.28515625" style="267" customWidth="1"/>
    <col min="4625" max="4626" width="9.5703125" style="267" customWidth="1"/>
    <col min="4627" max="4627" width="2" style="267" customWidth="1"/>
    <col min="4628" max="4864" width="9.140625" style="267"/>
    <col min="4865" max="4865" width="2" style="267" customWidth="1"/>
    <col min="4866" max="4866" width="23.28515625" style="267" customWidth="1"/>
    <col min="4867" max="4869" width="9.7109375" style="267" customWidth="1"/>
    <col min="4870" max="4870" width="13.140625" style="267" customWidth="1"/>
    <col min="4871" max="4871" width="12.5703125" style="267" customWidth="1"/>
    <col min="4872" max="4872" width="9.5703125" style="267" customWidth="1"/>
    <col min="4873" max="4873" width="1.85546875" style="267" customWidth="1"/>
    <col min="4874" max="4874" width="3.140625" style="267" customWidth="1"/>
    <col min="4875" max="4875" width="2" style="267" customWidth="1"/>
    <col min="4876" max="4876" width="23.28515625" style="267" customWidth="1"/>
    <col min="4877" max="4879" width="9.7109375" style="267" customWidth="1"/>
    <col min="4880" max="4880" width="13.28515625" style="267" customWidth="1"/>
    <col min="4881" max="4882" width="9.5703125" style="267" customWidth="1"/>
    <col min="4883" max="4883" width="2" style="267" customWidth="1"/>
    <col min="4884" max="5120" width="9.140625" style="267"/>
    <col min="5121" max="5121" width="2" style="267" customWidth="1"/>
    <col min="5122" max="5122" width="23.28515625" style="267" customWidth="1"/>
    <col min="5123" max="5125" width="9.7109375" style="267" customWidth="1"/>
    <col min="5126" max="5126" width="13.140625" style="267" customWidth="1"/>
    <col min="5127" max="5127" width="12.5703125" style="267" customWidth="1"/>
    <col min="5128" max="5128" width="9.5703125" style="267" customWidth="1"/>
    <col min="5129" max="5129" width="1.85546875" style="267" customWidth="1"/>
    <col min="5130" max="5130" width="3.140625" style="267" customWidth="1"/>
    <col min="5131" max="5131" width="2" style="267" customWidth="1"/>
    <col min="5132" max="5132" width="23.28515625" style="267" customWidth="1"/>
    <col min="5133" max="5135" width="9.7109375" style="267" customWidth="1"/>
    <col min="5136" max="5136" width="13.28515625" style="267" customWidth="1"/>
    <col min="5137" max="5138" width="9.5703125" style="267" customWidth="1"/>
    <col min="5139" max="5139" width="2" style="267" customWidth="1"/>
    <col min="5140" max="5376" width="9.140625" style="267"/>
    <col min="5377" max="5377" width="2" style="267" customWidth="1"/>
    <col min="5378" max="5378" width="23.28515625" style="267" customWidth="1"/>
    <col min="5379" max="5381" width="9.7109375" style="267" customWidth="1"/>
    <col min="5382" max="5382" width="13.140625" style="267" customWidth="1"/>
    <col min="5383" max="5383" width="12.5703125" style="267" customWidth="1"/>
    <col min="5384" max="5384" width="9.5703125" style="267" customWidth="1"/>
    <col min="5385" max="5385" width="1.85546875" style="267" customWidth="1"/>
    <col min="5386" max="5386" width="3.140625" style="267" customWidth="1"/>
    <col min="5387" max="5387" width="2" style="267" customWidth="1"/>
    <col min="5388" max="5388" width="23.28515625" style="267" customWidth="1"/>
    <col min="5389" max="5391" width="9.7109375" style="267" customWidth="1"/>
    <col min="5392" max="5392" width="13.28515625" style="267" customWidth="1"/>
    <col min="5393" max="5394" width="9.5703125" style="267" customWidth="1"/>
    <col min="5395" max="5395" width="2" style="267" customWidth="1"/>
    <col min="5396" max="5632" width="9.140625" style="267"/>
    <col min="5633" max="5633" width="2" style="267" customWidth="1"/>
    <col min="5634" max="5634" width="23.28515625" style="267" customWidth="1"/>
    <col min="5635" max="5637" width="9.7109375" style="267" customWidth="1"/>
    <col min="5638" max="5638" width="13.140625" style="267" customWidth="1"/>
    <col min="5639" max="5639" width="12.5703125" style="267" customWidth="1"/>
    <col min="5640" max="5640" width="9.5703125" style="267" customWidth="1"/>
    <col min="5641" max="5641" width="1.85546875" style="267" customWidth="1"/>
    <col min="5642" max="5642" width="3.140625" style="267" customWidth="1"/>
    <col min="5643" max="5643" width="2" style="267" customWidth="1"/>
    <col min="5644" max="5644" width="23.28515625" style="267" customWidth="1"/>
    <col min="5645" max="5647" width="9.7109375" style="267" customWidth="1"/>
    <col min="5648" max="5648" width="13.28515625" style="267" customWidth="1"/>
    <col min="5649" max="5650" width="9.5703125" style="267" customWidth="1"/>
    <col min="5651" max="5651" width="2" style="267" customWidth="1"/>
    <col min="5652" max="5888" width="9.140625" style="267"/>
    <col min="5889" max="5889" width="2" style="267" customWidth="1"/>
    <col min="5890" max="5890" width="23.28515625" style="267" customWidth="1"/>
    <col min="5891" max="5893" width="9.7109375" style="267" customWidth="1"/>
    <col min="5894" max="5894" width="13.140625" style="267" customWidth="1"/>
    <col min="5895" max="5895" width="12.5703125" style="267" customWidth="1"/>
    <col min="5896" max="5896" width="9.5703125" style="267" customWidth="1"/>
    <col min="5897" max="5897" width="1.85546875" style="267" customWidth="1"/>
    <col min="5898" max="5898" width="3.140625" style="267" customWidth="1"/>
    <col min="5899" max="5899" width="2" style="267" customWidth="1"/>
    <col min="5900" max="5900" width="23.28515625" style="267" customWidth="1"/>
    <col min="5901" max="5903" width="9.7109375" style="267" customWidth="1"/>
    <col min="5904" max="5904" width="13.28515625" style="267" customWidth="1"/>
    <col min="5905" max="5906" width="9.5703125" style="267" customWidth="1"/>
    <col min="5907" max="5907" width="2" style="267" customWidth="1"/>
    <col min="5908" max="6144" width="9.140625" style="267"/>
    <col min="6145" max="6145" width="2" style="267" customWidth="1"/>
    <col min="6146" max="6146" width="23.28515625" style="267" customWidth="1"/>
    <col min="6147" max="6149" width="9.7109375" style="267" customWidth="1"/>
    <col min="6150" max="6150" width="13.140625" style="267" customWidth="1"/>
    <col min="6151" max="6151" width="12.5703125" style="267" customWidth="1"/>
    <col min="6152" max="6152" width="9.5703125" style="267" customWidth="1"/>
    <col min="6153" max="6153" width="1.85546875" style="267" customWidth="1"/>
    <col min="6154" max="6154" width="3.140625" style="267" customWidth="1"/>
    <col min="6155" max="6155" width="2" style="267" customWidth="1"/>
    <col min="6156" max="6156" width="23.28515625" style="267" customWidth="1"/>
    <col min="6157" max="6159" width="9.7109375" style="267" customWidth="1"/>
    <col min="6160" max="6160" width="13.28515625" style="267" customWidth="1"/>
    <col min="6161" max="6162" width="9.5703125" style="267" customWidth="1"/>
    <col min="6163" max="6163" width="2" style="267" customWidth="1"/>
    <col min="6164" max="6400" width="9.140625" style="267"/>
    <col min="6401" max="6401" width="2" style="267" customWidth="1"/>
    <col min="6402" max="6402" width="23.28515625" style="267" customWidth="1"/>
    <col min="6403" max="6405" width="9.7109375" style="267" customWidth="1"/>
    <col min="6406" max="6406" width="13.140625" style="267" customWidth="1"/>
    <col min="6407" max="6407" width="12.5703125" style="267" customWidth="1"/>
    <col min="6408" max="6408" width="9.5703125" style="267" customWidth="1"/>
    <col min="6409" max="6409" width="1.85546875" style="267" customWidth="1"/>
    <col min="6410" max="6410" width="3.140625" style="267" customWidth="1"/>
    <col min="6411" max="6411" width="2" style="267" customWidth="1"/>
    <col min="6412" max="6412" width="23.28515625" style="267" customWidth="1"/>
    <col min="6413" max="6415" width="9.7109375" style="267" customWidth="1"/>
    <col min="6416" max="6416" width="13.28515625" style="267" customWidth="1"/>
    <col min="6417" max="6418" width="9.5703125" style="267" customWidth="1"/>
    <col min="6419" max="6419" width="2" style="267" customWidth="1"/>
    <col min="6420" max="6656" width="9.140625" style="267"/>
    <col min="6657" max="6657" width="2" style="267" customWidth="1"/>
    <col min="6658" max="6658" width="23.28515625" style="267" customWidth="1"/>
    <col min="6659" max="6661" width="9.7109375" style="267" customWidth="1"/>
    <col min="6662" max="6662" width="13.140625" style="267" customWidth="1"/>
    <col min="6663" max="6663" width="12.5703125" style="267" customWidth="1"/>
    <col min="6664" max="6664" width="9.5703125" style="267" customWidth="1"/>
    <col min="6665" max="6665" width="1.85546875" style="267" customWidth="1"/>
    <col min="6666" max="6666" width="3.140625" style="267" customWidth="1"/>
    <col min="6667" max="6667" width="2" style="267" customWidth="1"/>
    <col min="6668" max="6668" width="23.28515625" style="267" customWidth="1"/>
    <col min="6669" max="6671" width="9.7109375" style="267" customWidth="1"/>
    <col min="6672" max="6672" width="13.28515625" style="267" customWidth="1"/>
    <col min="6673" max="6674" width="9.5703125" style="267" customWidth="1"/>
    <col min="6675" max="6675" width="2" style="267" customWidth="1"/>
    <col min="6676" max="6912" width="9.140625" style="267"/>
    <col min="6913" max="6913" width="2" style="267" customWidth="1"/>
    <col min="6914" max="6914" width="23.28515625" style="267" customWidth="1"/>
    <col min="6915" max="6917" width="9.7109375" style="267" customWidth="1"/>
    <col min="6918" max="6918" width="13.140625" style="267" customWidth="1"/>
    <col min="6919" max="6919" width="12.5703125" style="267" customWidth="1"/>
    <col min="6920" max="6920" width="9.5703125" style="267" customWidth="1"/>
    <col min="6921" max="6921" width="1.85546875" style="267" customWidth="1"/>
    <col min="6922" max="6922" width="3.140625" style="267" customWidth="1"/>
    <col min="6923" max="6923" width="2" style="267" customWidth="1"/>
    <col min="6924" max="6924" width="23.28515625" style="267" customWidth="1"/>
    <col min="6925" max="6927" width="9.7109375" style="267" customWidth="1"/>
    <col min="6928" max="6928" width="13.28515625" style="267" customWidth="1"/>
    <col min="6929" max="6930" width="9.5703125" style="267" customWidth="1"/>
    <col min="6931" max="6931" width="2" style="267" customWidth="1"/>
    <col min="6932" max="7168" width="9.140625" style="267"/>
    <col min="7169" max="7169" width="2" style="267" customWidth="1"/>
    <col min="7170" max="7170" width="23.28515625" style="267" customWidth="1"/>
    <col min="7171" max="7173" width="9.7109375" style="267" customWidth="1"/>
    <col min="7174" max="7174" width="13.140625" style="267" customWidth="1"/>
    <col min="7175" max="7175" width="12.5703125" style="267" customWidth="1"/>
    <col min="7176" max="7176" width="9.5703125" style="267" customWidth="1"/>
    <col min="7177" max="7177" width="1.85546875" style="267" customWidth="1"/>
    <col min="7178" max="7178" width="3.140625" style="267" customWidth="1"/>
    <col min="7179" max="7179" width="2" style="267" customWidth="1"/>
    <col min="7180" max="7180" width="23.28515625" style="267" customWidth="1"/>
    <col min="7181" max="7183" width="9.7109375" style="267" customWidth="1"/>
    <col min="7184" max="7184" width="13.28515625" style="267" customWidth="1"/>
    <col min="7185" max="7186" width="9.5703125" style="267" customWidth="1"/>
    <col min="7187" max="7187" width="2" style="267" customWidth="1"/>
    <col min="7188" max="7424" width="9.140625" style="267"/>
    <col min="7425" max="7425" width="2" style="267" customWidth="1"/>
    <col min="7426" max="7426" width="23.28515625" style="267" customWidth="1"/>
    <col min="7427" max="7429" width="9.7109375" style="267" customWidth="1"/>
    <col min="7430" max="7430" width="13.140625" style="267" customWidth="1"/>
    <col min="7431" max="7431" width="12.5703125" style="267" customWidth="1"/>
    <col min="7432" max="7432" width="9.5703125" style="267" customWidth="1"/>
    <col min="7433" max="7433" width="1.85546875" style="267" customWidth="1"/>
    <col min="7434" max="7434" width="3.140625" style="267" customWidth="1"/>
    <col min="7435" max="7435" width="2" style="267" customWidth="1"/>
    <col min="7436" max="7436" width="23.28515625" style="267" customWidth="1"/>
    <col min="7437" max="7439" width="9.7109375" style="267" customWidth="1"/>
    <col min="7440" max="7440" width="13.28515625" style="267" customWidth="1"/>
    <col min="7441" max="7442" width="9.5703125" style="267" customWidth="1"/>
    <col min="7443" max="7443" width="2" style="267" customWidth="1"/>
    <col min="7444" max="7680" width="9.140625" style="267"/>
    <col min="7681" max="7681" width="2" style="267" customWidth="1"/>
    <col min="7682" max="7682" width="23.28515625" style="267" customWidth="1"/>
    <col min="7683" max="7685" width="9.7109375" style="267" customWidth="1"/>
    <col min="7686" max="7686" width="13.140625" style="267" customWidth="1"/>
    <col min="7687" max="7687" width="12.5703125" style="267" customWidth="1"/>
    <col min="7688" max="7688" width="9.5703125" style="267" customWidth="1"/>
    <col min="7689" max="7689" width="1.85546875" style="267" customWidth="1"/>
    <col min="7690" max="7690" width="3.140625" style="267" customWidth="1"/>
    <col min="7691" max="7691" width="2" style="267" customWidth="1"/>
    <col min="7692" max="7692" width="23.28515625" style="267" customWidth="1"/>
    <col min="7693" max="7695" width="9.7109375" style="267" customWidth="1"/>
    <col min="7696" max="7696" width="13.28515625" style="267" customWidth="1"/>
    <col min="7697" max="7698" width="9.5703125" style="267" customWidth="1"/>
    <col min="7699" max="7699" width="2" style="267" customWidth="1"/>
    <col min="7700" max="7936" width="9.140625" style="267"/>
    <col min="7937" max="7937" width="2" style="267" customWidth="1"/>
    <col min="7938" max="7938" width="23.28515625" style="267" customWidth="1"/>
    <col min="7939" max="7941" width="9.7109375" style="267" customWidth="1"/>
    <col min="7942" max="7942" width="13.140625" style="267" customWidth="1"/>
    <col min="7943" max="7943" width="12.5703125" style="267" customWidth="1"/>
    <col min="7944" max="7944" width="9.5703125" style="267" customWidth="1"/>
    <col min="7945" max="7945" width="1.85546875" style="267" customWidth="1"/>
    <col min="7946" max="7946" width="3.140625" style="267" customWidth="1"/>
    <col min="7947" max="7947" width="2" style="267" customWidth="1"/>
    <col min="7948" max="7948" width="23.28515625" style="267" customWidth="1"/>
    <col min="7949" max="7951" width="9.7109375" style="267" customWidth="1"/>
    <col min="7952" max="7952" width="13.28515625" style="267" customWidth="1"/>
    <col min="7953" max="7954" width="9.5703125" style="267" customWidth="1"/>
    <col min="7955" max="7955" width="2" style="267" customWidth="1"/>
    <col min="7956" max="8192" width="9.140625" style="267"/>
    <col min="8193" max="8193" width="2" style="267" customWidth="1"/>
    <col min="8194" max="8194" width="23.28515625" style="267" customWidth="1"/>
    <col min="8195" max="8197" width="9.7109375" style="267" customWidth="1"/>
    <col min="8198" max="8198" width="13.140625" style="267" customWidth="1"/>
    <col min="8199" max="8199" width="12.5703125" style="267" customWidth="1"/>
    <col min="8200" max="8200" width="9.5703125" style="267" customWidth="1"/>
    <col min="8201" max="8201" width="1.85546875" style="267" customWidth="1"/>
    <col min="8202" max="8202" width="3.140625" style="267" customWidth="1"/>
    <col min="8203" max="8203" width="2" style="267" customWidth="1"/>
    <col min="8204" max="8204" width="23.28515625" style="267" customWidth="1"/>
    <col min="8205" max="8207" width="9.7109375" style="267" customWidth="1"/>
    <col min="8208" max="8208" width="13.28515625" style="267" customWidth="1"/>
    <col min="8209" max="8210" width="9.5703125" style="267" customWidth="1"/>
    <col min="8211" max="8211" width="2" style="267" customWidth="1"/>
    <col min="8212" max="8448" width="9.140625" style="267"/>
    <col min="8449" max="8449" width="2" style="267" customWidth="1"/>
    <col min="8450" max="8450" width="23.28515625" style="267" customWidth="1"/>
    <col min="8451" max="8453" width="9.7109375" style="267" customWidth="1"/>
    <col min="8454" max="8454" width="13.140625" style="267" customWidth="1"/>
    <col min="8455" max="8455" width="12.5703125" style="267" customWidth="1"/>
    <col min="8456" max="8456" width="9.5703125" style="267" customWidth="1"/>
    <col min="8457" max="8457" width="1.85546875" style="267" customWidth="1"/>
    <col min="8458" max="8458" width="3.140625" style="267" customWidth="1"/>
    <col min="8459" max="8459" width="2" style="267" customWidth="1"/>
    <col min="8460" max="8460" width="23.28515625" style="267" customWidth="1"/>
    <col min="8461" max="8463" width="9.7109375" style="267" customWidth="1"/>
    <col min="8464" max="8464" width="13.28515625" style="267" customWidth="1"/>
    <col min="8465" max="8466" width="9.5703125" style="267" customWidth="1"/>
    <col min="8467" max="8467" width="2" style="267" customWidth="1"/>
    <col min="8468" max="8704" width="9.140625" style="267"/>
    <col min="8705" max="8705" width="2" style="267" customWidth="1"/>
    <col min="8706" max="8706" width="23.28515625" style="267" customWidth="1"/>
    <col min="8707" max="8709" width="9.7109375" style="267" customWidth="1"/>
    <col min="8710" max="8710" width="13.140625" style="267" customWidth="1"/>
    <col min="8711" max="8711" width="12.5703125" style="267" customWidth="1"/>
    <col min="8712" max="8712" width="9.5703125" style="267" customWidth="1"/>
    <col min="8713" max="8713" width="1.85546875" style="267" customWidth="1"/>
    <col min="8714" max="8714" width="3.140625" style="267" customWidth="1"/>
    <col min="8715" max="8715" width="2" style="267" customWidth="1"/>
    <col min="8716" max="8716" width="23.28515625" style="267" customWidth="1"/>
    <col min="8717" max="8719" width="9.7109375" style="267" customWidth="1"/>
    <col min="8720" max="8720" width="13.28515625" style="267" customWidth="1"/>
    <col min="8721" max="8722" width="9.5703125" style="267" customWidth="1"/>
    <col min="8723" max="8723" width="2" style="267" customWidth="1"/>
    <col min="8724" max="8960" width="9.140625" style="267"/>
    <col min="8961" max="8961" width="2" style="267" customWidth="1"/>
    <col min="8962" max="8962" width="23.28515625" style="267" customWidth="1"/>
    <col min="8963" max="8965" width="9.7109375" style="267" customWidth="1"/>
    <col min="8966" max="8966" width="13.140625" style="267" customWidth="1"/>
    <col min="8967" max="8967" width="12.5703125" style="267" customWidth="1"/>
    <col min="8968" max="8968" width="9.5703125" style="267" customWidth="1"/>
    <col min="8969" max="8969" width="1.85546875" style="267" customWidth="1"/>
    <col min="8970" max="8970" width="3.140625" style="267" customWidth="1"/>
    <col min="8971" max="8971" width="2" style="267" customWidth="1"/>
    <col min="8972" max="8972" width="23.28515625" style="267" customWidth="1"/>
    <col min="8973" max="8975" width="9.7109375" style="267" customWidth="1"/>
    <col min="8976" max="8976" width="13.28515625" style="267" customWidth="1"/>
    <col min="8977" max="8978" width="9.5703125" style="267" customWidth="1"/>
    <col min="8979" max="8979" width="2" style="267" customWidth="1"/>
    <col min="8980" max="9216" width="9.140625" style="267"/>
    <col min="9217" max="9217" width="2" style="267" customWidth="1"/>
    <col min="9218" max="9218" width="23.28515625" style="267" customWidth="1"/>
    <col min="9219" max="9221" width="9.7109375" style="267" customWidth="1"/>
    <col min="9222" max="9222" width="13.140625" style="267" customWidth="1"/>
    <col min="9223" max="9223" width="12.5703125" style="267" customWidth="1"/>
    <col min="9224" max="9224" width="9.5703125" style="267" customWidth="1"/>
    <col min="9225" max="9225" width="1.85546875" style="267" customWidth="1"/>
    <col min="9226" max="9226" width="3.140625" style="267" customWidth="1"/>
    <col min="9227" max="9227" width="2" style="267" customWidth="1"/>
    <col min="9228" max="9228" width="23.28515625" style="267" customWidth="1"/>
    <col min="9229" max="9231" width="9.7109375" style="267" customWidth="1"/>
    <col min="9232" max="9232" width="13.28515625" style="267" customWidth="1"/>
    <col min="9233" max="9234" width="9.5703125" style="267" customWidth="1"/>
    <col min="9235" max="9235" width="2" style="267" customWidth="1"/>
    <col min="9236" max="9472" width="9.140625" style="267"/>
    <col min="9473" max="9473" width="2" style="267" customWidth="1"/>
    <col min="9474" max="9474" width="23.28515625" style="267" customWidth="1"/>
    <col min="9475" max="9477" width="9.7109375" style="267" customWidth="1"/>
    <col min="9478" max="9478" width="13.140625" style="267" customWidth="1"/>
    <col min="9479" max="9479" width="12.5703125" style="267" customWidth="1"/>
    <col min="9480" max="9480" width="9.5703125" style="267" customWidth="1"/>
    <col min="9481" max="9481" width="1.85546875" style="267" customWidth="1"/>
    <col min="9482" max="9482" width="3.140625" style="267" customWidth="1"/>
    <col min="9483" max="9483" width="2" style="267" customWidth="1"/>
    <col min="9484" max="9484" width="23.28515625" style="267" customWidth="1"/>
    <col min="9485" max="9487" width="9.7109375" style="267" customWidth="1"/>
    <col min="9488" max="9488" width="13.28515625" style="267" customWidth="1"/>
    <col min="9489" max="9490" width="9.5703125" style="267" customWidth="1"/>
    <col min="9491" max="9491" width="2" style="267" customWidth="1"/>
    <col min="9492" max="9728" width="9.140625" style="267"/>
    <col min="9729" max="9729" width="2" style="267" customWidth="1"/>
    <col min="9730" max="9730" width="23.28515625" style="267" customWidth="1"/>
    <col min="9731" max="9733" width="9.7109375" style="267" customWidth="1"/>
    <col min="9734" max="9734" width="13.140625" style="267" customWidth="1"/>
    <col min="9735" max="9735" width="12.5703125" style="267" customWidth="1"/>
    <col min="9736" max="9736" width="9.5703125" style="267" customWidth="1"/>
    <col min="9737" max="9737" width="1.85546875" style="267" customWidth="1"/>
    <col min="9738" max="9738" width="3.140625" style="267" customWidth="1"/>
    <col min="9739" max="9739" width="2" style="267" customWidth="1"/>
    <col min="9740" max="9740" width="23.28515625" style="267" customWidth="1"/>
    <col min="9741" max="9743" width="9.7109375" style="267" customWidth="1"/>
    <col min="9744" max="9744" width="13.28515625" style="267" customWidth="1"/>
    <col min="9745" max="9746" width="9.5703125" style="267" customWidth="1"/>
    <col min="9747" max="9747" width="2" style="267" customWidth="1"/>
    <col min="9748" max="9984" width="9.140625" style="267"/>
    <col min="9985" max="9985" width="2" style="267" customWidth="1"/>
    <col min="9986" max="9986" width="23.28515625" style="267" customWidth="1"/>
    <col min="9987" max="9989" width="9.7109375" style="267" customWidth="1"/>
    <col min="9990" max="9990" width="13.140625" style="267" customWidth="1"/>
    <col min="9991" max="9991" width="12.5703125" style="267" customWidth="1"/>
    <col min="9992" max="9992" width="9.5703125" style="267" customWidth="1"/>
    <col min="9993" max="9993" width="1.85546875" style="267" customWidth="1"/>
    <col min="9994" max="9994" width="3.140625" style="267" customWidth="1"/>
    <col min="9995" max="9995" width="2" style="267" customWidth="1"/>
    <col min="9996" max="9996" width="23.28515625" style="267" customWidth="1"/>
    <col min="9997" max="9999" width="9.7109375" style="267" customWidth="1"/>
    <col min="10000" max="10000" width="13.28515625" style="267" customWidth="1"/>
    <col min="10001" max="10002" width="9.5703125" style="267" customWidth="1"/>
    <col min="10003" max="10003" width="2" style="267" customWidth="1"/>
    <col min="10004" max="10240" width="9.140625" style="267"/>
    <col min="10241" max="10241" width="2" style="267" customWidth="1"/>
    <col min="10242" max="10242" width="23.28515625" style="267" customWidth="1"/>
    <col min="10243" max="10245" width="9.7109375" style="267" customWidth="1"/>
    <col min="10246" max="10246" width="13.140625" style="267" customWidth="1"/>
    <col min="10247" max="10247" width="12.5703125" style="267" customWidth="1"/>
    <col min="10248" max="10248" width="9.5703125" style="267" customWidth="1"/>
    <col min="10249" max="10249" width="1.85546875" style="267" customWidth="1"/>
    <col min="10250" max="10250" width="3.140625" style="267" customWidth="1"/>
    <col min="10251" max="10251" width="2" style="267" customWidth="1"/>
    <col min="10252" max="10252" width="23.28515625" style="267" customWidth="1"/>
    <col min="10253" max="10255" width="9.7109375" style="267" customWidth="1"/>
    <col min="10256" max="10256" width="13.28515625" style="267" customWidth="1"/>
    <col min="10257" max="10258" width="9.5703125" style="267" customWidth="1"/>
    <col min="10259" max="10259" width="2" style="267" customWidth="1"/>
    <col min="10260" max="10496" width="9.140625" style="267"/>
    <col min="10497" max="10497" width="2" style="267" customWidth="1"/>
    <col min="10498" max="10498" width="23.28515625" style="267" customWidth="1"/>
    <col min="10499" max="10501" width="9.7109375" style="267" customWidth="1"/>
    <col min="10502" max="10502" width="13.140625" style="267" customWidth="1"/>
    <col min="10503" max="10503" width="12.5703125" style="267" customWidth="1"/>
    <col min="10504" max="10504" width="9.5703125" style="267" customWidth="1"/>
    <col min="10505" max="10505" width="1.85546875" style="267" customWidth="1"/>
    <col min="10506" max="10506" width="3.140625" style="267" customWidth="1"/>
    <col min="10507" max="10507" width="2" style="267" customWidth="1"/>
    <col min="10508" max="10508" width="23.28515625" style="267" customWidth="1"/>
    <col min="10509" max="10511" width="9.7109375" style="267" customWidth="1"/>
    <col min="10512" max="10512" width="13.28515625" style="267" customWidth="1"/>
    <col min="10513" max="10514" width="9.5703125" style="267" customWidth="1"/>
    <col min="10515" max="10515" width="2" style="267" customWidth="1"/>
    <col min="10516" max="10752" width="9.140625" style="267"/>
    <col min="10753" max="10753" width="2" style="267" customWidth="1"/>
    <col min="10754" max="10754" width="23.28515625" style="267" customWidth="1"/>
    <col min="10755" max="10757" width="9.7109375" style="267" customWidth="1"/>
    <col min="10758" max="10758" width="13.140625" style="267" customWidth="1"/>
    <col min="10759" max="10759" width="12.5703125" style="267" customWidth="1"/>
    <col min="10760" max="10760" width="9.5703125" style="267" customWidth="1"/>
    <col min="10761" max="10761" width="1.85546875" style="267" customWidth="1"/>
    <col min="10762" max="10762" width="3.140625" style="267" customWidth="1"/>
    <col min="10763" max="10763" width="2" style="267" customWidth="1"/>
    <col min="10764" max="10764" width="23.28515625" style="267" customWidth="1"/>
    <col min="10765" max="10767" width="9.7109375" style="267" customWidth="1"/>
    <col min="10768" max="10768" width="13.28515625" style="267" customWidth="1"/>
    <col min="10769" max="10770" width="9.5703125" style="267" customWidth="1"/>
    <col min="10771" max="10771" width="2" style="267" customWidth="1"/>
    <col min="10772" max="11008" width="9.140625" style="267"/>
    <col min="11009" max="11009" width="2" style="267" customWidth="1"/>
    <col min="11010" max="11010" width="23.28515625" style="267" customWidth="1"/>
    <col min="11011" max="11013" width="9.7109375" style="267" customWidth="1"/>
    <col min="11014" max="11014" width="13.140625" style="267" customWidth="1"/>
    <col min="11015" max="11015" width="12.5703125" style="267" customWidth="1"/>
    <col min="11016" max="11016" width="9.5703125" style="267" customWidth="1"/>
    <col min="11017" max="11017" width="1.85546875" style="267" customWidth="1"/>
    <col min="11018" max="11018" width="3.140625" style="267" customWidth="1"/>
    <col min="11019" max="11019" width="2" style="267" customWidth="1"/>
    <col min="11020" max="11020" width="23.28515625" style="267" customWidth="1"/>
    <col min="11021" max="11023" width="9.7109375" style="267" customWidth="1"/>
    <col min="11024" max="11024" width="13.28515625" style="267" customWidth="1"/>
    <col min="11025" max="11026" width="9.5703125" style="267" customWidth="1"/>
    <col min="11027" max="11027" width="2" style="267" customWidth="1"/>
    <col min="11028" max="11264" width="9.140625" style="267"/>
    <col min="11265" max="11265" width="2" style="267" customWidth="1"/>
    <col min="11266" max="11266" width="23.28515625" style="267" customWidth="1"/>
    <col min="11267" max="11269" width="9.7109375" style="267" customWidth="1"/>
    <col min="11270" max="11270" width="13.140625" style="267" customWidth="1"/>
    <col min="11271" max="11271" width="12.5703125" style="267" customWidth="1"/>
    <col min="11272" max="11272" width="9.5703125" style="267" customWidth="1"/>
    <col min="11273" max="11273" width="1.85546875" style="267" customWidth="1"/>
    <col min="11274" max="11274" width="3.140625" style="267" customWidth="1"/>
    <col min="11275" max="11275" width="2" style="267" customWidth="1"/>
    <col min="11276" max="11276" width="23.28515625" style="267" customWidth="1"/>
    <col min="11277" max="11279" width="9.7109375" style="267" customWidth="1"/>
    <col min="11280" max="11280" width="13.28515625" style="267" customWidth="1"/>
    <col min="11281" max="11282" width="9.5703125" style="267" customWidth="1"/>
    <col min="11283" max="11283" width="2" style="267" customWidth="1"/>
    <col min="11284" max="11520" width="9.140625" style="267"/>
    <col min="11521" max="11521" width="2" style="267" customWidth="1"/>
    <col min="11522" max="11522" width="23.28515625" style="267" customWidth="1"/>
    <col min="11523" max="11525" width="9.7109375" style="267" customWidth="1"/>
    <col min="11526" max="11526" width="13.140625" style="267" customWidth="1"/>
    <col min="11527" max="11527" width="12.5703125" style="267" customWidth="1"/>
    <col min="11528" max="11528" width="9.5703125" style="267" customWidth="1"/>
    <col min="11529" max="11529" width="1.85546875" style="267" customWidth="1"/>
    <col min="11530" max="11530" width="3.140625" style="267" customWidth="1"/>
    <col min="11531" max="11531" width="2" style="267" customWidth="1"/>
    <col min="11532" max="11532" width="23.28515625" style="267" customWidth="1"/>
    <col min="11533" max="11535" width="9.7109375" style="267" customWidth="1"/>
    <col min="11536" max="11536" width="13.28515625" style="267" customWidth="1"/>
    <col min="11537" max="11538" width="9.5703125" style="267" customWidth="1"/>
    <col min="11539" max="11539" width="2" style="267" customWidth="1"/>
    <col min="11540" max="11776" width="9.140625" style="267"/>
    <col min="11777" max="11777" width="2" style="267" customWidth="1"/>
    <col min="11778" max="11778" width="23.28515625" style="267" customWidth="1"/>
    <col min="11779" max="11781" width="9.7109375" style="267" customWidth="1"/>
    <col min="11782" max="11782" width="13.140625" style="267" customWidth="1"/>
    <col min="11783" max="11783" width="12.5703125" style="267" customWidth="1"/>
    <col min="11784" max="11784" width="9.5703125" style="267" customWidth="1"/>
    <col min="11785" max="11785" width="1.85546875" style="267" customWidth="1"/>
    <col min="11786" max="11786" width="3.140625" style="267" customWidth="1"/>
    <col min="11787" max="11787" width="2" style="267" customWidth="1"/>
    <col min="11788" max="11788" width="23.28515625" style="267" customWidth="1"/>
    <col min="11789" max="11791" width="9.7109375" style="267" customWidth="1"/>
    <col min="11792" max="11792" width="13.28515625" style="267" customWidth="1"/>
    <col min="11793" max="11794" width="9.5703125" style="267" customWidth="1"/>
    <col min="11795" max="11795" width="2" style="267" customWidth="1"/>
    <col min="11796" max="12032" width="9.140625" style="267"/>
    <col min="12033" max="12033" width="2" style="267" customWidth="1"/>
    <col min="12034" max="12034" width="23.28515625" style="267" customWidth="1"/>
    <col min="12035" max="12037" width="9.7109375" style="267" customWidth="1"/>
    <col min="12038" max="12038" width="13.140625" style="267" customWidth="1"/>
    <col min="12039" max="12039" width="12.5703125" style="267" customWidth="1"/>
    <col min="12040" max="12040" width="9.5703125" style="267" customWidth="1"/>
    <col min="12041" max="12041" width="1.85546875" style="267" customWidth="1"/>
    <col min="12042" max="12042" width="3.140625" style="267" customWidth="1"/>
    <col min="12043" max="12043" width="2" style="267" customWidth="1"/>
    <col min="12044" max="12044" width="23.28515625" style="267" customWidth="1"/>
    <col min="12045" max="12047" width="9.7109375" style="267" customWidth="1"/>
    <col min="12048" max="12048" width="13.28515625" style="267" customWidth="1"/>
    <col min="12049" max="12050" width="9.5703125" style="267" customWidth="1"/>
    <col min="12051" max="12051" width="2" style="267" customWidth="1"/>
    <col min="12052" max="12288" width="9.140625" style="267"/>
    <col min="12289" max="12289" width="2" style="267" customWidth="1"/>
    <col min="12290" max="12290" width="23.28515625" style="267" customWidth="1"/>
    <col min="12291" max="12293" width="9.7109375" style="267" customWidth="1"/>
    <col min="12294" max="12294" width="13.140625" style="267" customWidth="1"/>
    <col min="12295" max="12295" width="12.5703125" style="267" customWidth="1"/>
    <col min="12296" max="12296" width="9.5703125" style="267" customWidth="1"/>
    <col min="12297" max="12297" width="1.85546875" style="267" customWidth="1"/>
    <col min="12298" max="12298" width="3.140625" style="267" customWidth="1"/>
    <col min="12299" max="12299" width="2" style="267" customWidth="1"/>
    <col min="12300" max="12300" width="23.28515625" style="267" customWidth="1"/>
    <col min="12301" max="12303" width="9.7109375" style="267" customWidth="1"/>
    <col min="12304" max="12304" width="13.28515625" style="267" customWidth="1"/>
    <col min="12305" max="12306" width="9.5703125" style="267" customWidth="1"/>
    <col min="12307" max="12307" width="2" style="267" customWidth="1"/>
    <col min="12308" max="12544" width="9.140625" style="267"/>
    <col min="12545" max="12545" width="2" style="267" customWidth="1"/>
    <col min="12546" max="12546" width="23.28515625" style="267" customWidth="1"/>
    <col min="12547" max="12549" width="9.7109375" style="267" customWidth="1"/>
    <col min="12550" max="12550" width="13.140625" style="267" customWidth="1"/>
    <col min="12551" max="12551" width="12.5703125" style="267" customWidth="1"/>
    <col min="12552" max="12552" width="9.5703125" style="267" customWidth="1"/>
    <col min="12553" max="12553" width="1.85546875" style="267" customWidth="1"/>
    <col min="12554" max="12554" width="3.140625" style="267" customWidth="1"/>
    <col min="12555" max="12555" width="2" style="267" customWidth="1"/>
    <col min="12556" max="12556" width="23.28515625" style="267" customWidth="1"/>
    <col min="12557" max="12559" width="9.7109375" style="267" customWidth="1"/>
    <col min="12560" max="12560" width="13.28515625" style="267" customWidth="1"/>
    <col min="12561" max="12562" width="9.5703125" style="267" customWidth="1"/>
    <col min="12563" max="12563" width="2" style="267" customWidth="1"/>
    <col min="12564" max="12800" width="9.140625" style="267"/>
    <col min="12801" max="12801" width="2" style="267" customWidth="1"/>
    <col min="12802" max="12802" width="23.28515625" style="267" customWidth="1"/>
    <col min="12803" max="12805" width="9.7109375" style="267" customWidth="1"/>
    <col min="12806" max="12806" width="13.140625" style="267" customWidth="1"/>
    <col min="12807" max="12807" width="12.5703125" style="267" customWidth="1"/>
    <col min="12808" max="12808" width="9.5703125" style="267" customWidth="1"/>
    <col min="12809" max="12809" width="1.85546875" style="267" customWidth="1"/>
    <col min="12810" max="12810" width="3.140625" style="267" customWidth="1"/>
    <col min="12811" max="12811" width="2" style="267" customWidth="1"/>
    <col min="12812" max="12812" width="23.28515625" style="267" customWidth="1"/>
    <col min="12813" max="12815" width="9.7109375" style="267" customWidth="1"/>
    <col min="12816" max="12816" width="13.28515625" style="267" customWidth="1"/>
    <col min="12817" max="12818" width="9.5703125" style="267" customWidth="1"/>
    <col min="12819" max="12819" width="2" style="267" customWidth="1"/>
    <col min="12820" max="13056" width="9.140625" style="267"/>
    <col min="13057" max="13057" width="2" style="267" customWidth="1"/>
    <col min="13058" max="13058" width="23.28515625" style="267" customWidth="1"/>
    <col min="13059" max="13061" width="9.7109375" style="267" customWidth="1"/>
    <col min="13062" max="13062" width="13.140625" style="267" customWidth="1"/>
    <col min="13063" max="13063" width="12.5703125" style="267" customWidth="1"/>
    <col min="13064" max="13064" width="9.5703125" style="267" customWidth="1"/>
    <col min="13065" max="13065" width="1.85546875" style="267" customWidth="1"/>
    <col min="13066" max="13066" width="3.140625" style="267" customWidth="1"/>
    <col min="13067" max="13067" width="2" style="267" customWidth="1"/>
    <col min="13068" max="13068" width="23.28515625" style="267" customWidth="1"/>
    <col min="13069" max="13071" width="9.7109375" style="267" customWidth="1"/>
    <col min="13072" max="13072" width="13.28515625" style="267" customWidth="1"/>
    <col min="13073" max="13074" width="9.5703125" style="267" customWidth="1"/>
    <col min="13075" max="13075" width="2" style="267" customWidth="1"/>
    <col min="13076" max="13312" width="9.140625" style="267"/>
    <col min="13313" max="13313" width="2" style="267" customWidth="1"/>
    <col min="13314" max="13314" width="23.28515625" style="267" customWidth="1"/>
    <col min="13315" max="13317" width="9.7109375" style="267" customWidth="1"/>
    <col min="13318" max="13318" width="13.140625" style="267" customWidth="1"/>
    <col min="13319" max="13319" width="12.5703125" style="267" customWidth="1"/>
    <col min="13320" max="13320" width="9.5703125" style="267" customWidth="1"/>
    <col min="13321" max="13321" width="1.85546875" style="267" customWidth="1"/>
    <col min="13322" max="13322" width="3.140625" style="267" customWidth="1"/>
    <col min="13323" max="13323" width="2" style="267" customWidth="1"/>
    <col min="13324" max="13324" width="23.28515625" style="267" customWidth="1"/>
    <col min="13325" max="13327" width="9.7109375" style="267" customWidth="1"/>
    <col min="13328" max="13328" width="13.28515625" style="267" customWidth="1"/>
    <col min="13329" max="13330" width="9.5703125" style="267" customWidth="1"/>
    <col min="13331" max="13331" width="2" style="267" customWidth="1"/>
    <col min="13332" max="13568" width="9.140625" style="267"/>
    <col min="13569" max="13569" width="2" style="267" customWidth="1"/>
    <col min="13570" max="13570" width="23.28515625" style="267" customWidth="1"/>
    <col min="13571" max="13573" width="9.7109375" style="267" customWidth="1"/>
    <col min="13574" max="13574" width="13.140625" style="267" customWidth="1"/>
    <col min="13575" max="13575" width="12.5703125" style="267" customWidth="1"/>
    <col min="13576" max="13576" width="9.5703125" style="267" customWidth="1"/>
    <col min="13577" max="13577" width="1.85546875" style="267" customWidth="1"/>
    <col min="13578" max="13578" width="3.140625" style="267" customWidth="1"/>
    <col min="13579" max="13579" width="2" style="267" customWidth="1"/>
    <col min="13580" max="13580" width="23.28515625" style="267" customWidth="1"/>
    <col min="13581" max="13583" width="9.7109375" style="267" customWidth="1"/>
    <col min="13584" max="13584" width="13.28515625" style="267" customWidth="1"/>
    <col min="13585" max="13586" width="9.5703125" style="267" customWidth="1"/>
    <col min="13587" max="13587" width="2" style="267" customWidth="1"/>
    <col min="13588" max="13824" width="9.140625" style="267"/>
    <col min="13825" max="13825" width="2" style="267" customWidth="1"/>
    <col min="13826" max="13826" width="23.28515625" style="267" customWidth="1"/>
    <col min="13827" max="13829" width="9.7109375" style="267" customWidth="1"/>
    <col min="13830" max="13830" width="13.140625" style="267" customWidth="1"/>
    <col min="13831" max="13831" width="12.5703125" style="267" customWidth="1"/>
    <col min="13832" max="13832" width="9.5703125" style="267" customWidth="1"/>
    <col min="13833" max="13833" width="1.85546875" style="267" customWidth="1"/>
    <col min="13834" max="13834" width="3.140625" style="267" customWidth="1"/>
    <col min="13835" max="13835" width="2" style="267" customWidth="1"/>
    <col min="13836" max="13836" width="23.28515625" style="267" customWidth="1"/>
    <col min="13837" max="13839" width="9.7109375" style="267" customWidth="1"/>
    <col min="13840" max="13840" width="13.28515625" style="267" customWidth="1"/>
    <col min="13841" max="13842" width="9.5703125" style="267" customWidth="1"/>
    <col min="13843" max="13843" width="2" style="267" customWidth="1"/>
    <col min="13844" max="14080" width="9.140625" style="267"/>
    <col min="14081" max="14081" width="2" style="267" customWidth="1"/>
    <col min="14082" max="14082" width="23.28515625" style="267" customWidth="1"/>
    <col min="14083" max="14085" width="9.7109375" style="267" customWidth="1"/>
    <col min="14086" max="14086" width="13.140625" style="267" customWidth="1"/>
    <col min="14087" max="14087" width="12.5703125" style="267" customWidth="1"/>
    <col min="14088" max="14088" width="9.5703125" style="267" customWidth="1"/>
    <col min="14089" max="14089" width="1.85546875" style="267" customWidth="1"/>
    <col min="14090" max="14090" width="3.140625" style="267" customWidth="1"/>
    <col min="14091" max="14091" width="2" style="267" customWidth="1"/>
    <col min="14092" max="14092" width="23.28515625" style="267" customWidth="1"/>
    <col min="14093" max="14095" width="9.7109375" style="267" customWidth="1"/>
    <col min="14096" max="14096" width="13.28515625" style="267" customWidth="1"/>
    <col min="14097" max="14098" width="9.5703125" style="267" customWidth="1"/>
    <col min="14099" max="14099" width="2" style="267" customWidth="1"/>
    <col min="14100" max="14336" width="9.140625" style="267"/>
    <col min="14337" max="14337" width="2" style="267" customWidth="1"/>
    <col min="14338" max="14338" width="23.28515625" style="267" customWidth="1"/>
    <col min="14339" max="14341" width="9.7109375" style="267" customWidth="1"/>
    <col min="14342" max="14342" width="13.140625" style="267" customWidth="1"/>
    <col min="14343" max="14343" width="12.5703125" style="267" customWidth="1"/>
    <col min="14344" max="14344" width="9.5703125" style="267" customWidth="1"/>
    <col min="14345" max="14345" width="1.85546875" style="267" customWidth="1"/>
    <col min="14346" max="14346" width="3.140625" style="267" customWidth="1"/>
    <col min="14347" max="14347" width="2" style="267" customWidth="1"/>
    <col min="14348" max="14348" width="23.28515625" style="267" customWidth="1"/>
    <col min="14349" max="14351" width="9.7109375" style="267" customWidth="1"/>
    <col min="14352" max="14352" width="13.28515625" style="267" customWidth="1"/>
    <col min="14353" max="14354" width="9.5703125" style="267" customWidth="1"/>
    <col min="14355" max="14355" width="2" style="267" customWidth="1"/>
    <col min="14356" max="14592" width="9.140625" style="267"/>
    <col min="14593" max="14593" width="2" style="267" customWidth="1"/>
    <col min="14594" max="14594" width="23.28515625" style="267" customWidth="1"/>
    <col min="14595" max="14597" width="9.7109375" style="267" customWidth="1"/>
    <col min="14598" max="14598" width="13.140625" style="267" customWidth="1"/>
    <col min="14599" max="14599" width="12.5703125" style="267" customWidth="1"/>
    <col min="14600" max="14600" width="9.5703125" style="267" customWidth="1"/>
    <col min="14601" max="14601" width="1.85546875" style="267" customWidth="1"/>
    <col min="14602" max="14602" width="3.140625" style="267" customWidth="1"/>
    <col min="14603" max="14603" width="2" style="267" customWidth="1"/>
    <col min="14604" max="14604" width="23.28515625" style="267" customWidth="1"/>
    <col min="14605" max="14607" width="9.7109375" style="267" customWidth="1"/>
    <col min="14608" max="14608" width="13.28515625" style="267" customWidth="1"/>
    <col min="14609" max="14610" width="9.5703125" style="267" customWidth="1"/>
    <col min="14611" max="14611" width="2" style="267" customWidth="1"/>
    <col min="14612" max="14848" width="9.140625" style="267"/>
    <col min="14849" max="14849" width="2" style="267" customWidth="1"/>
    <col min="14850" max="14850" width="23.28515625" style="267" customWidth="1"/>
    <col min="14851" max="14853" width="9.7109375" style="267" customWidth="1"/>
    <col min="14854" max="14854" width="13.140625" style="267" customWidth="1"/>
    <col min="14855" max="14855" width="12.5703125" style="267" customWidth="1"/>
    <col min="14856" max="14856" width="9.5703125" style="267" customWidth="1"/>
    <col min="14857" max="14857" width="1.85546875" style="267" customWidth="1"/>
    <col min="14858" max="14858" width="3.140625" style="267" customWidth="1"/>
    <col min="14859" max="14859" width="2" style="267" customWidth="1"/>
    <col min="14860" max="14860" width="23.28515625" style="267" customWidth="1"/>
    <col min="14861" max="14863" width="9.7109375" style="267" customWidth="1"/>
    <col min="14864" max="14864" width="13.28515625" style="267" customWidth="1"/>
    <col min="14865" max="14866" width="9.5703125" style="267" customWidth="1"/>
    <col min="14867" max="14867" width="2" style="267" customWidth="1"/>
    <col min="14868" max="15104" width="9.140625" style="267"/>
    <col min="15105" max="15105" width="2" style="267" customWidth="1"/>
    <col min="15106" max="15106" width="23.28515625" style="267" customWidth="1"/>
    <col min="15107" max="15109" width="9.7109375" style="267" customWidth="1"/>
    <col min="15110" max="15110" width="13.140625" style="267" customWidth="1"/>
    <col min="15111" max="15111" width="12.5703125" style="267" customWidth="1"/>
    <col min="15112" max="15112" width="9.5703125" style="267" customWidth="1"/>
    <col min="15113" max="15113" width="1.85546875" style="267" customWidth="1"/>
    <col min="15114" max="15114" width="3.140625" style="267" customWidth="1"/>
    <col min="15115" max="15115" width="2" style="267" customWidth="1"/>
    <col min="15116" max="15116" width="23.28515625" style="267" customWidth="1"/>
    <col min="15117" max="15119" width="9.7109375" style="267" customWidth="1"/>
    <col min="15120" max="15120" width="13.28515625" style="267" customWidth="1"/>
    <col min="15121" max="15122" width="9.5703125" style="267" customWidth="1"/>
    <col min="15123" max="15123" width="2" style="267" customWidth="1"/>
    <col min="15124" max="15360" width="9.140625" style="267"/>
    <col min="15361" max="15361" width="2" style="267" customWidth="1"/>
    <col min="15362" max="15362" width="23.28515625" style="267" customWidth="1"/>
    <col min="15363" max="15365" width="9.7109375" style="267" customWidth="1"/>
    <col min="15366" max="15366" width="13.140625" style="267" customWidth="1"/>
    <col min="15367" max="15367" width="12.5703125" style="267" customWidth="1"/>
    <col min="15368" max="15368" width="9.5703125" style="267" customWidth="1"/>
    <col min="15369" max="15369" width="1.85546875" style="267" customWidth="1"/>
    <col min="15370" max="15370" width="3.140625" style="267" customWidth="1"/>
    <col min="15371" max="15371" width="2" style="267" customWidth="1"/>
    <col min="15372" max="15372" width="23.28515625" style="267" customWidth="1"/>
    <col min="15373" max="15375" width="9.7109375" style="267" customWidth="1"/>
    <col min="15376" max="15376" width="13.28515625" style="267" customWidth="1"/>
    <col min="15377" max="15378" width="9.5703125" style="267" customWidth="1"/>
    <col min="15379" max="15379" width="2" style="267" customWidth="1"/>
    <col min="15380" max="15616" width="9.140625" style="267"/>
    <col min="15617" max="15617" width="2" style="267" customWidth="1"/>
    <col min="15618" max="15618" width="23.28515625" style="267" customWidth="1"/>
    <col min="15619" max="15621" width="9.7109375" style="267" customWidth="1"/>
    <col min="15622" max="15622" width="13.140625" style="267" customWidth="1"/>
    <col min="15623" max="15623" width="12.5703125" style="267" customWidth="1"/>
    <col min="15624" max="15624" width="9.5703125" style="267" customWidth="1"/>
    <col min="15625" max="15625" width="1.85546875" style="267" customWidth="1"/>
    <col min="15626" max="15626" width="3.140625" style="267" customWidth="1"/>
    <col min="15627" max="15627" width="2" style="267" customWidth="1"/>
    <col min="15628" max="15628" width="23.28515625" style="267" customWidth="1"/>
    <col min="15629" max="15631" width="9.7109375" style="267" customWidth="1"/>
    <col min="15632" max="15632" width="13.28515625" style="267" customWidth="1"/>
    <col min="15633" max="15634" width="9.5703125" style="267" customWidth="1"/>
    <col min="15635" max="15635" width="2" style="267" customWidth="1"/>
    <col min="15636" max="15872" width="9.140625" style="267"/>
    <col min="15873" max="15873" width="2" style="267" customWidth="1"/>
    <col min="15874" max="15874" width="23.28515625" style="267" customWidth="1"/>
    <col min="15875" max="15877" width="9.7109375" style="267" customWidth="1"/>
    <col min="15878" max="15878" width="13.140625" style="267" customWidth="1"/>
    <col min="15879" max="15879" width="12.5703125" style="267" customWidth="1"/>
    <col min="15880" max="15880" width="9.5703125" style="267" customWidth="1"/>
    <col min="15881" max="15881" width="1.85546875" style="267" customWidth="1"/>
    <col min="15882" max="15882" width="3.140625" style="267" customWidth="1"/>
    <col min="15883" max="15883" width="2" style="267" customWidth="1"/>
    <col min="15884" max="15884" width="23.28515625" style="267" customWidth="1"/>
    <col min="15885" max="15887" width="9.7109375" style="267" customWidth="1"/>
    <col min="15888" max="15888" width="13.28515625" style="267" customWidth="1"/>
    <col min="15889" max="15890" width="9.5703125" style="267" customWidth="1"/>
    <col min="15891" max="15891" width="2" style="267" customWidth="1"/>
    <col min="15892" max="16128" width="9.140625" style="267"/>
    <col min="16129" max="16129" width="2" style="267" customWidth="1"/>
    <col min="16130" max="16130" width="23.28515625" style="267" customWidth="1"/>
    <col min="16131" max="16133" width="9.7109375" style="267" customWidth="1"/>
    <col min="16134" max="16134" width="13.140625" style="267" customWidth="1"/>
    <col min="16135" max="16135" width="12.5703125" style="267" customWidth="1"/>
    <col min="16136" max="16136" width="9.5703125" style="267" customWidth="1"/>
    <col min="16137" max="16137" width="1.85546875" style="267" customWidth="1"/>
    <col min="16138" max="16138" width="3.140625" style="267" customWidth="1"/>
    <col min="16139" max="16139" width="2" style="267" customWidth="1"/>
    <col min="16140" max="16140" width="23.28515625" style="267" customWidth="1"/>
    <col min="16141" max="16143" width="9.7109375" style="267" customWidth="1"/>
    <col min="16144" max="16144" width="13.28515625" style="267" customWidth="1"/>
    <col min="16145" max="16146" width="9.5703125" style="267" customWidth="1"/>
    <col min="16147" max="16147" width="2" style="267" customWidth="1"/>
    <col min="16148" max="16384" width="9.140625" style="267"/>
  </cols>
  <sheetData>
    <row r="1" spans="1:19" ht="9" customHeight="1">
      <c r="A1" s="264"/>
      <c r="B1" s="265"/>
      <c r="C1" s="265"/>
      <c r="D1" s="265"/>
      <c r="E1" s="265"/>
      <c r="F1" s="265"/>
      <c r="G1" s="265"/>
      <c r="H1" s="265"/>
      <c r="I1" s="266"/>
      <c r="K1" s="264"/>
      <c r="L1" s="265"/>
      <c r="M1" s="265"/>
      <c r="N1" s="265"/>
      <c r="O1" s="265"/>
      <c r="P1" s="265"/>
      <c r="Q1" s="265"/>
      <c r="R1" s="265"/>
      <c r="S1" s="266"/>
    </row>
    <row r="2" spans="1:19" ht="23.25" customHeight="1">
      <c r="A2" s="268"/>
      <c r="B2" s="1121" t="str">
        <f>SCHOOL!B8</f>
        <v>જિલ્લા પંચાયત શિક્ષણ સમિતિ, અમરેલી</v>
      </c>
      <c r="C2" s="1121"/>
      <c r="D2" s="1121"/>
      <c r="E2" s="1121"/>
      <c r="F2" s="1121"/>
      <c r="G2" s="1121"/>
      <c r="H2" s="1121"/>
      <c r="I2" s="269"/>
      <c r="K2" s="268"/>
      <c r="L2" s="1121" t="str">
        <f>SCHOOL!B8</f>
        <v>જિલ્લા પંચાયત શિક્ષણ સમિતિ, અમરેલી</v>
      </c>
      <c r="M2" s="1121"/>
      <c r="N2" s="1121"/>
      <c r="O2" s="1121"/>
      <c r="P2" s="1121"/>
      <c r="Q2" s="1121"/>
      <c r="R2" s="1121"/>
      <c r="S2" s="269"/>
    </row>
    <row r="3" spans="1:19" ht="23.25" customHeight="1">
      <c r="A3" s="268"/>
      <c r="B3" s="1105" t="str">
        <f>SCHOOL!B3</f>
        <v>શ્રી ખારા પ્રાથમિક શાળા</v>
      </c>
      <c r="C3" s="1105"/>
      <c r="D3" s="1105"/>
      <c r="E3" s="1105"/>
      <c r="F3" s="1105"/>
      <c r="G3" s="1105"/>
      <c r="H3" s="1105"/>
      <c r="I3" s="269"/>
      <c r="K3" s="268"/>
      <c r="L3" s="1105" t="str">
        <f>SCHOOL!B3</f>
        <v>શ્રી ખારા પ્રાથમિક શાળા</v>
      </c>
      <c r="M3" s="1105"/>
      <c r="N3" s="1105"/>
      <c r="O3" s="1105"/>
      <c r="P3" s="1105"/>
      <c r="Q3" s="1105"/>
      <c r="R3" s="1105"/>
      <c r="S3" s="269"/>
    </row>
    <row r="4" spans="1:19" ht="26.25" customHeight="1">
      <c r="A4" s="268"/>
      <c r="B4" s="270"/>
      <c r="C4" s="1113" t="str">
        <f>CONCATENATE(SCHOOL!B4," તા.",SCHOOL!B5," જિ.",SCHOOL!B6)</f>
        <v>ખારા તા.લીલીયા જિ.અમરેલી</v>
      </c>
      <c r="D4" s="1113"/>
      <c r="E4" s="1113"/>
      <c r="F4" s="1113"/>
      <c r="G4" s="270"/>
      <c r="H4" s="270"/>
      <c r="I4" s="269"/>
      <c r="K4" s="268"/>
      <c r="L4" s="271"/>
      <c r="M4" s="1113" t="str">
        <f>CONCATENATE(SCHOOL!B4," તા.",SCHOOL!B5," જિ.",SCHOOL!B6)</f>
        <v>ખારા તા.લીલીયા જિ.અમરેલી</v>
      </c>
      <c r="N4" s="1113"/>
      <c r="O4" s="1113"/>
      <c r="P4" s="1113"/>
      <c r="Q4" s="272"/>
      <c r="R4" s="272"/>
      <c r="S4" s="269"/>
    </row>
    <row r="5" spans="1:19" ht="30" customHeight="1">
      <c r="A5" s="268"/>
      <c r="B5" s="271"/>
      <c r="C5" s="1122" t="s">
        <v>269</v>
      </c>
      <c r="D5" s="1122"/>
      <c r="E5" s="1122"/>
      <c r="F5" s="1122"/>
      <c r="G5" s="272"/>
      <c r="H5" s="272"/>
      <c r="I5" s="269"/>
      <c r="K5" s="268"/>
      <c r="L5" s="271"/>
      <c r="M5" s="1122" t="s">
        <v>269</v>
      </c>
      <c r="N5" s="1122"/>
      <c r="O5" s="1122"/>
      <c r="P5" s="1122"/>
      <c r="Q5" s="272"/>
      <c r="R5" s="272"/>
      <c r="S5" s="269"/>
    </row>
    <row r="6" spans="1:19" ht="4.5" customHeight="1">
      <c r="A6" s="268"/>
      <c r="B6" s="271"/>
      <c r="C6" s="272"/>
      <c r="D6" s="272"/>
      <c r="E6" s="272"/>
      <c r="F6" s="272"/>
      <c r="G6" s="272"/>
      <c r="H6" s="272"/>
      <c r="I6" s="269"/>
      <c r="K6" s="268"/>
      <c r="L6" s="271"/>
      <c r="M6" s="272"/>
      <c r="N6" s="272"/>
      <c r="O6" s="272"/>
      <c r="P6" s="272"/>
      <c r="Q6" s="272"/>
      <c r="R6" s="272"/>
      <c r="S6" s="269"/>
    </row>
    <row r="7" spans="1:19" ht="29.25" customHeight="1">
      <c r="A7" s="268"/>
      <c r="B7" s="273" t="s">
        <v>272</v>
      </c>
      <c r="C7" s="1123" t="e">
        <f ca="1">INDIRECT("'C-PARINAM'!B"&amp;($G$8+5))</f>
        <v>#REF!</v>
      </c>
      <c r="D7" s="1123"/>
      <c r="E7" s="1123"/>
      <c r="F7" s="1123"/>
      <c r="G7" s="1123"/>
      <c r="H7" s="1123"/>
      <c r="I7" s="269"/>
      <c r="K7" s="268"/>
      <c r="L7" s="273" t="s">
        <v>272</v>
      </c>
      <c r="M7" s="1123" t="e">
        <f ca="1">INDIRECT("'C-PARINAM'!B"&amp;($Q$8+5))</f>
        <v>#REF!</v>
      </c>
      <c r="N7" s="1123"/>
      <c r="O7" s="1123"/>
      <c r="P7" s="1123"/>
      <c r="Q7" s="1123"/>
      <c r="R7" s="1123"/>
      <c r="S7" s="269"/>
    </row>
    <row r="8" spans="1:19" ht="29.25" customHeight="1">
      <c r="A8" s="268"/>
      <c r="B8" s="274" t="s">
        <v>271</v>
      </c>
      <c r="C8" s="1102" t="e">
        <f ca="1">INDIRECT("'C-PARINAM'!c"&amp;($G$8+5))</f>
        <v>#REF!</v>
      </c>
      <c r="D8" s="1102"/>
      <c r="E8" s="1106" t="s">
        <v>273</v>
      </c>
      <c r="F8" s="1106"/>
      <c r="G8" s="1124">
        <v>1</v>
      </c>
      <c r="H8" s="1124"/>
      <c r="I8" s="269"/>
      <c r="K8" s="268"/>
      <c r="L8" s="274" t="s">
        <v>271</v>
      </c>
      <c r="M8" s="1102" t="e">
        <f ca="1">INDIRECT("'C-PARINAM'!c"&amp;($Q$8+5))</f>
        <v>#REF!</v>
      </c>
      <c r="N8" s="1102"/>
      <c r="O8" s="1106" t="s">
        <v>273</v>
      </c>
      <c r="P8" s="1106"/>
      <c r="Q8" s="1124">
        <v>2</v>
      </c>
      <c r="R8" s="1124"/>
      <c r="S8" s="269"/>
    </row>
    <row r="9" spans="1:19" ht="29.25" customHeight="1">
      <c r="A9" s="268"/>
      <c r="B9" s="274" t="s">
        <v>270</v>
      </c>
      <c r="C9" s="1102">
        <f>SCHOOL!D3</f>
        <v>1</v>
      </c>
      <c r="D9" s="1102"/>
      <c r="E9" s="1114" t="s">
        <v>274</v>
      </c>
      <c r="F9" s="1114"/>
      <c r="G9" s="1103" t="e">
        <f ca="1">INDIRECT("'C-PARINAM'!d"&amp;($G$8+5))</f>
        <v>#REF!</v>
      </c>
      <c r="H9" s="1103"/>
      <c r="I9" s="269"/>
      <c r="K9" s="268"/>
      <c r="L9" s="274" t="s">
        <v>270</v>
      </c>
      <c r="M9" s="1102">
        <f>SCHOOL!N3</f>
        <v>0</v>
      </c>
      <c r="N9" s="1102"/>
      <c r="O9" s="1114" t="s">
        <v>274</v>
      </c>
      <c r="P9" s="1114"/>
      <c r="Q9" s="1103" t="e">
        <f ca="1">INDIRECT("'C-PARINAM'!d"&amp;($Q$8+5))</f>
        <v>#REF!</v>
      </c>
      <c r="R9" s="1103"/>
      <c r="S9" s="269"/>
    </row>
    <row r="10" spans="1:19" ht="9" customHeight="1">
      <c r="A10" s="268"/>
      <c r="B10" s="271"/>
      <c r="C10" s="272"/>
      <c r="D10" s="272"/>
      <c r="E10" s="272"/>
      <c r="F10" s="272"/>
      <c r="G10" s="272"/>
      <c r="H10" s="271"/>
      <c r="I10" s="269"/>
      <c r="K10" s="268"/>
      <c r="L10" s="271"/>
      <c r="M10" s="272"/>
      <c r="N10" s="272"/>
      <c r="O10" s="272"/>
      <c r="P10" s="272"/>
      <c r="Q10" s="272"/>
      <c r="R10" s="271"/>
      <c r="S10" s="269"/>
    </row>
    <row r="11" spans="1:19" ht="48" customHeight="1">
      <c r="A11" s="268"/>
      <c r="B11" s="275" t="s">
        <v>16</v>
      </c>
      <c r="C11" s="1169" t="s">
        <v>28</v>
      </c>
      <c r="D11" s="1169"/>
      <c r="E11" s="1115" t="s">
        <v>29</v>
      </c>
      <c r="F11" s="1117"/>
      <c r="G11" s="1115" t="s">
        <v>17</v>
      </c>
      <c r="H11" s="1117"/>
      <c r="I11" s="269"/>
      <c r="K11" s="268"/>
      <c r="L11" s="275" t="s">
        <v>16</v>
      </c>
      <c r="M11" s="1169" t="s">
        <v>28</v>
      </c>
      <c r="N11" s="1169"/>
      <c r="O11" s="1115" t="s">
        <v>29</v>
      </c>
      <c r="P11" s="1117"/>
      <c r="Q11" s="1115" t="s">
        <v>17</v>
      </c>
      <c r="R11" s="1117"/>
      <c r="S11" s="269"/>
    </row>
    <row r="12" spans="1:19" s="279" customFormat="1" ht="33.75" customHeight="1">
      <c r="A12" s="276"/>
      <c r="B12" s="277" t="s">
        <v>51</v>
      </c>
      <c r="C12" s="1167">
        <v>200</v>
      </c>
      <c r="D12" s="1167"/>
      <c r="E12" s="1167" t="e">
        <f ca="1">INDIRECT("'C-PARINAM'!k"&amp;($G$8+5))</f>
        <v>#REF!</v>
      </c>
      <c r="F12" s="1167"/>
      <c r="G12" s="1167" t="e">
        <f ca="1">INDIRECT("'C-PARINAM'!l"&amp;($G$8+5))</f>
        <v>#REF!</v>
      </c>
      <c r="H12" s="1168"/>
      <c r="I12" s="278"/>
      <c r="K12" s="276"/>
      <c r="L12" s="277" t="s">
        <v>51</v>
      </c>
      <c r="M12" s="1167">
        <v>200</v>
      </c>
      <c r="N12" s="1167"/>
      <c r="O12" s="1167" t="e">
        <f ca="1">INDIRECT("'C-PARINAM'!k"&amp;($Q$8+5))</f>
        <v>#REF!</v>
      </c>
      <c r="P12" s="1167"/>
      <c r="Q12" s="1167" t="e">
        <f ca="1">INDIRECT("'C-PARINAM'!l"&amp;($Q$8+5))</f>
        <v>#REF!</v>
      </c>
      <c r="R12" s="1168"/>
      <c r="S12" s="278"/>
    </row>
    <row r="13" spans="1:19" s="279" customFormat="1" ht="33.75" customHeight="1">
      <c r="A13" s="276"/>
      <c r="B13" s="280" t="s">
        <v>52</v>
      </c>
      <c r="C13" s="1170">
        <v>200</v>
      </c>
      <c r="D13" s="1170"/>
      <c r="E13" s="1110" t="e">
        <f ca="1">INDIRECT("'C-PARINAM'!s"&amp;($G$8+5))</f>
        <v>#REF!</v>
      </c>
      <c r="F13" s="1171"/>
      <c r="G13" s="1110" t="e">
        <f ca="1">INDIRECT("'C-PARINAM'!t"&amp;($G$8+5))</f>
        <v>#REF!</v>
      </c>
      <c r="H13" s="1112"/>
      <c r="I13" s="278"/>
      <c r="K13" s="276"/>
      <c r="L13" s="280" t="s">
        <v>52</v>
      </c>
      <c r="M13" s="1170">
        <v>200</v>
      </c>
      <c r="N13" s="1170"/>
      <c r="O13" s="1110" t="e">
        <f ca="1">INDIRECT("'C-PARINAM'!s"&amp;($Q$8+5))</f>
        <v>#REF!</v>
      </c>
      <c r="P13" s="1171"/>
      <c r="Q13" s="1110" t="e">
        <f ca="1">INDIRECT("'C-PARINAM'!t"&amp;($Q$8+5))</f>
        <v>#REF!</v>
      </c>
      <c r="R13" s="1112"/>
      <c r="S13" s="278"/>
    </row>
    <row r="14" spans="1:19" s="279" customFormat="1" ht="33.75" customHeight="1">
      <c r="A14" s="276"/>
      <c r="B14" s="280" t="s">
        <v>53</v>
      </c>
      <c r="C14" s="1170">
        <v>200</v>
      </c>
      <c r="D14" s="1170"/>
      <c r="E14" s="1110" t="e">
        <f ca="1">INDIRECT("'C-PARINAM'!AS"&amp;($G$8+5))</f>
        <v>#REF!</v>
      </c>
      <c r="F14" s="1171"/>
      <c r="G14" s="1110" t="e">
        <f ca="1">INDIRECT("'C-PARINAM'!AT"&amp;($G$8+5))</f>
        <v>#REF!</v>
      </c>
      <c r="H14" s="1112"/>
      <c r="I14" s="278"/>
      <c r="K14" s="276"/>
      <c r="L14" s="280" t="s">
        <v>53</v>
      </c>
      <c r="M14" s="1170">
        <v>200</v>
      </c>
      <c r="N14" s="1170"/>
      <c r="O14" s="1110" t="e">
        <f ca="1">INDIRECT("'C-PARINAM'!AS"&amp;($Q$8+5))</f>
        <v>#REF!</v>
      </c>
      <c r="P14" s="1171"/>
      <c r="Q14" s="1110" t="e">
        <f ca="1">INDIRECT("'C-PARINAM'!AT"&amp;($Q$8+5))</f>
        <v>#REF!</v>
      </c>
      <c r="R14" s="1112"/>
      <c r="S14" s="278"/>
    </row>
    <row r="15" spans="1:19" s="279" customFormat="1" ht="33.75" customHeight="1">
      <c r="A15" s="276"/>
      <c r="B15" s="280" t="s">
        <v>54</v>
      </c>
      <c r="C15" s="1170">
        <v>200</v>
      </c>
      <c r="D15" s="1170"/>
      <c r="E15" s="1110" t="e">
        <f ca="1">INDIRECT("'C-PARINAM'!BA"&amp;($G$8+5))</f>
        <v>#REF!</v>
      </c>
      <c r="F15" s="1171"/>
      <c r="G15" s="1110" t="e">
        <f ca="1">INDIRECT("'C-PARINAM'!BB"&amp;($G$8+5))</f>
        <v>#REF!</v>
      </c>
      <c r="H15" s="1112"/>
      <c r="I15" s="278"/>
      <c r="K15" s="276"/>
      <c r="L15" s="280" t="s">
        <v>54</v>
      </c>
      <c r="M15" s="1170">
        <v>200</v>
      </c>
      <c r="N15" s="1170"/>
      <c r="O15" s="1110" t="e">
        <f ca="1">INDIRECT("'C-PARINAM'!BA"&amp;($Q$8+5))</f>
        <v>#REF!</v>
      </c>
      <c r="P15" s="1171"/>
      <c r="Q15" s="1110" t="e">
        <f ca="1">INDIRECT("'C-PARINAM'!BB"&amp;($Q$8+5))</f>
        <v>#REF!</v>
      </c>
      <c r="R15" s="1112"/>
      <c r="S15" s="278"/>
    </row>
    <row r="16" spans="1:19" s="279" customFormat="1" ht="33.75" customHeight="1">
      <c r="A16" s="276"/>
      <c r="B16" s="280" t="s">
        <v>275</v>
      </c>
      <c r="C16" s="1170">
        <v>200</v>
      </c>
      <c r="D16" s="1170"/>
      <c r="E16" s="1110" t="e">
        <f ca="1">INDIRECT("'C-PARINAM'!AB"&amp;($G$8+5))</f>
        <v>#REF!</v>
      </c>
      <c r="F16" s="1171"/>
      <c r="G16" s="1110" t="e">
        <f ca="1">INDIRECT("'C-PARINAM'!AC"&amp;($G$8+5))</f>
        <v>#REF!</v>
      </c>
      <c r="H16" s="1112"/>
      <c r="I16" s="278"/>
      <c r="K16" s="276"/>
      <c r="L16" s="280" t="s">
        <v>275</v>
      </c>
      <c r="M16" s="1170">
        <v>200</v>
      </c>
      <c r="N16" s="1170"/>
      <c r="O16" s="1110" t="e">
        <f ca="1">INDIRECT("'C-PARINAM'!AB"&amp;($Q$8+5))</f>
        <v>#REF!</v>
      </c>
      <c r="P16" s="1171"/>
      <c r="Q16" s="1110" t="e">
        <f ca="1">INDIRECT("'C-PARINAM'!AC"&amp;($Q$8+5))</f>
        <v>#REF!</v>
      </c>
      <c r="R16" s="1112"/>
      <c r="S16" s="278"/>
    </row>
    <row r="17" spans="1:19" s="279" customFormat="1" ht="33.75" customHeight="1">
      <c r="A17" s="276"/>
      <c r="B17" s="280" t="s">
        <v>159</v>
      </c>
      <c r="C17" s="1170">
        <v>200</v>
      </c>
      <c r="D17" s="1170"/>
      <c r="E17" s="1110" t="e">
        <f ca="1">INDIRECT("'C-PARINAM'!AJ"&amp;($G$8+5))</f>
        <v>#REF!</v>
      </c>
      <c r="F17" s="1171"/>
      <c r="G17" s="1110" t="e">
        <f ca="1">INDIRECT("'C-PARINAM'!AK"&amp;($G$8+5))</f>
        <v>#REF!</v>
      </c>
      <c r="H17" s="1112"/>
      <c r="I17" s="278"/>
      <c r="K17" s="276"/>
      <c r="L17" s="280" t="s">
        <v>159</v>
      </c>
      <c r="M17" s="1170">
        <v>200</v>
      </c>
      <c r="N17" s="1170"/>
      <c r="O17" s="1110" t="e">
        <f ca="1">INDIRECT("'C-PARINAM'!AJ"&amp;($Q$8+5))</f>
        <v>#REF!</v>
      </c>
      <c r="P17" s="1171"/>
      <c r="Q17" s="1110" t="e">
        <f ca="1">INDIRECT("'C-PARINAM'!AK"&amp;($Q$8+5))</f>
        <v>#REF!</v>
      </c>
      <c r="R17" s="1112"/>
      <c r="S17" s="278"/>
    </row>
    <row r="18" spans="1:19" s="279" customFormat="1" ht="33.75" customHeight="1">
      <c r="A18" s="276"/>
      <c r="B18" s="280" t="s">
        <v>57</v>
      </c>
      <c r="C18" s="1170">
        <v>200</v>
      </c>
      <c r="D18" s="1170"/>
      <c r="E18" s="1110" t="e">
        <f ca="1">INDIRECT("'C-PARINAM'!BI"&amp;($G$8+5))</f>
        <v>#REF!</v>
      </c>
      <c r="F18" s="1171"/>
      <c r="G18" s="1110" t="e">
        <f ca="1">INDIRECT("'C-PARINAM'!BJ"&amp;($G$8+5))</f>
        <v>#REF!</v>
      </c>
      <c r="H18" s="1112"/>
      <c r="I18" s="278"/>
      <c r="K18" s="276"/>
      <c r="L18" s="280" t="s">
        <v>57</v>
      </c>
      <c r="M18" s="1170">
        <v>200</v>
      </c>
      <c r="N18" s="1170"/>
      <c r="O18" s="1110" t="e">
        <f ca="1">INDIRECT("'C-PARINAM'!BI"&amp;($Q$8+5))</f>
        <v>#REF!</v>
      </c>
      <c r="P18" s="1171"/>
      <c r="Q18" s="1110" t="e">
        <f ca="1">INDIRECT("'C-PARINAM'!BJ"&amp;($Q$8+5))</f>
        <v>#REF!</v>
      </c>
      <c r="R18" s="1112"/>
      <c r="S18" s="278"/>
    </row>
    <row r="19" spans="1:19" s="279" customFormat="1" ht="33.75" customHeight="1">
      <c r="A19" s="276"/>
      <c r="B19" s="281" t="s">
        <v>276</v>
      </c>
      <c r="C19" s="1175">
        <v>400</v>
      </c>
      <c r="D19" s="1175"/>
      <c r="E19" s="1146" t="e">
        <f ca="1">INDIRECT("'C-PARINAM'!BK"&amp;($G$8+5))</f>
        <v>#REF!</v>
      </c>
      <c r="F19" s="1172"/>
      <c r="G19" s="1146" t="e">
        <f ca="1">INDIRECT("'C-PARINAM'!BL"&amp;($G$8+5))</f>
        <v>#REF!</v>
      </c>
      <c r="H19" s="1148"/>
      <c r="I19" s="278"/>
      <c r="K19" s="276"/>
      <c r="L19" s="281" t="s">
        <v>276</v>
      </c>
      <c r="M19" s="1175">
        <v>400</v>
      </c>
      <c r="N19" s="1175"/>
      <c r="O19" s="1146" t="e">
        <f ca="1">INDIRECT("'C-PARINAM'!BK"&amp;($Q$8+5))</f>
        <v>#REF!</v>
      </c>
      <c r="P19" s="1172"/>
      <c r="Q19" s="1146" t="e">
        <f ca="1">INDIRECT("'C-PARINAM'!BL"&amp;($Q$8+5))</f>
        <v>#REF!</v>
      </c>
      <c r="R19" s="1148"/>
      <c r="S19" s="278"/>
    </row>
    <row r="20" spans="1:19" s="279" customFormat="1" ht="24.75" customHeight="1">
      <c r="A20" s="276"/>
      <c r="B20" s="1173" t="s">
        <v>28</v>
      </c>
      <c r="C20" s="1174">
        <f>SUM(C12:D19)</f>
        <v>1800</v>
      </c>
      <c r="D20" s="1174"/>
      <c r="E20" s="1137" t="e">
        <f ca="1">INDIRECT("'C-PARINAM'!BU"&amp;($G$8+5))</f>
        <v>#REF!</v>
      </c>
      <c r="F20" s="1139"/>
      <c r="G20" s="1137" t="e">
        <f ca="1">INDIRECT("'C-PARINAM'!BW"&amp;($G$8+5))</f>
        <v>#REF!</v>
      </c>
      <c r="H20" s="1139"/>
      <c r="I20" s="278"/>
      <c r="K20" s="276"/>
      <c r="L20" s="1173" t="s">
        <v>28</v>
      </c>
      <c r="M20" s="1174">
        <f>SUM(M12:N19)</f>
        <v>1800</v>
      </c>
      <c r="N20" s="1174"/>
      <c r="O20" s="1137" t="e">
        <f ca="1">INDIRECT("'C-PARINAM'!BU"&amp;($Q$8+5))</f>
        <v>#REF!</v>
      </c>
      <c r="P20" s="1139"/>
      <c r="Q20" s="1137" t="e">
        <f ca="1">INDIRECT("'C-PARINAM'!BW"&amp;($Q$8+5))</f>
        <v>#REF!</v>
      </c>
      <c r="R20" s="1139"/>
      <c r="S20" s="278"/>
    </row>
    <row r="21" spans="1:19" s="279" customFormat="1" ht="24.75" customHeight="1">
      <c r="A21" s="276"/>
      <c r="B21" s="1173"/>
      <c r="C21" s="1174"/>
      <c r="D21" s="1174"/>
      <c r="E21" s="1140"/>
      <c r="F21" s="1142"/>
      <c r="G21" s="1140"/>
      <c r="H21" s="1142"/>
      <c r="I21" s="278"/>
      <c r="K21" s="276"/>
      <c r="L21" s="1173"/>
      <c r="M21" s="1174"/>
      <c r="N21" s="1174"/>
      <c r="O21" s="1140"/>
      <c r="P21" s="1142"/>
      <c r="Q21" s="1140"/>
      <c r="R21" s="1142"/>
      <c r="S21" s="278"/>
    </row>
    <row r="22" spans="1:19" s="279" customFormat="1" ht="20.25" customHeight="1">
      <c r="A22" s="276"/>
      <c r="B22" s="282"/>
      <c r="C22" s="1104"/>
      <c r="D22" s="1104"/>
      <c r="E22" s="1104"/>
      <c r="F22" s="1104"/>
      <c r="G22" s="1104"/>
      <c r="H22" s="1104"/>
      <c r="I22" s="278"/>
      <c r="K22" s="276"/>
      <c r="L22" s="282"/>
      <c r="M22" s="1104"/>
      <c r="N22" s="1104"/>
      <c r="O22" s="1104"/>
      <c r="P22" s="1104"/>
      <c r="Q22" s="1104"/>
      <c r="R22" s="1104"/>
      <c r="S22" s="278"/>
    </row>
    <row r="23" spans="1:19" s="279" customFormat="1" ht="28.5" customHeight="1">
      <c r="A23" s="276"/>
      <c r="B23" s="283" t="s">
        <v>190</v>
      </c>
      <c r="C23" s="1151" t="e">
        <f ca="1">INDIRECT("'C-PARINAM'!BV"&amp;($G$8+5))</f>
        <v>#REF!</v>
      </c>
      <c r="D23" s="1151"/>
      <c r="E23" s="1152" t="s">
        <v>17</v>
      </c>
      <c r="F23" s="1152"/>
      <c r="G23" s="1151" t="e">
        <f ca="1">INDIRECT("'C-PARINAM'!BW"&amp;($G$8+5))</f>
        <v>#REF!</v>
      </c>
      <c r="H23" s="1153"/>
      <c r="I23" s="278"/>
      <c r="K23" s="276"/>
      <c r="L23" s="283" t="s">
        <v>190</v>
      </c>
      <c r="M23" s="1151" t="e">
        <f ca="1">INDIRECT("'C-PARINAM'!BV"&amp;($Q$8+5))</f>
        <v>#REF!</v>
      </c>
      <c r="N23" s="1151"/>
      <c r="O23" s="1152" t="s">
        <v>17</v>
      </c>
      <c r="P23" s="1152"/>
      <c r="Q23" s="1151" t="e">
        <f ca="1">INDIRECT("'C-PARINAM'!BW"&amp;($Q$8+5))</f>
        <v>#REF!</v>
      </c>
      <c r="R23" s="1153"/>
      <c r="S23" s="278"/>
    </row>
    <row r="24" spans="1:19" s="279" customFormat="1" ht="24" customHeight="1">
      <c r="A24" s="276"/>
      <c r="B24" s="1158" t="s">
        <v>277</v>
      </c>
      <c r="C24" s="1159"/>
      <c r="D24" s="1159"/>
      <c r="E24" s="1159"/>
      <c r="F24" s="1159"/>
      <c r="G24" s="1159"/>
      <c r="H24" s="1160"/>
      <c r="I24" s="278"/>
      <c r="K24" s="276"/>
      <c r="L24" s="1158" t="s">
        <v>277</v>
      </c>
      <c r="M24" s="1159"/>
      <c r="N24" s="1159"/>
      <c r="O24" s="1159"/>
      <c r="P24" s="1159"/>
      <c r="Q24" s="1159"/>
      <c r="R24" s="1160"/>
      <c r="S24" s="278"/>
    </row>
    <row r="25" spans="1:19" s="279" customFormat="1" ht="26.25" customHeight="1">
      <c r="A25" s="276"/>
      <c r="B25" s="1161" t="s">
        <v>278</v>
      </c>
      <c r="C25" s="1149"/>
      <c r="D25" s="1162" t="s">
        <v>264</v>
      </c>
      <c r="E25" s="1162"/>
      <c r="F25" s="1162"/>
      <c r="G25" s="1149" t="s">
        <v>221</v>
      </c>
      <c r="H25" s="1150"/>
      <c r="I25" s="278"/>
      <c r="K25" s="276"/>
      <c r="L25" s="1161" t="s">
        <v>278</v>
      </c>
      <c r="M25" s="1149"/>
      <c r="N25" s="1162" t="s">
        <v>264</v>
      </c>
      <c r="O25" s="1162"/>
      <c r="P25" s="1162"/>
      <c r="Q25" s="1149" t="s">
        <v>221</v>
      </c>
      <c r="R25" s="1150"/>
      <c r="S25" s="278"/>
    </row>
    <row r="26" spans="1:19" s="279" customFormat="1" ht="17.25" customHeight="1">
      <c r="A26" s="276"/>
      <c r="B26" s="1163"/>
      <c r="C26" s="1164"/>
      <c r="D26" s="1164"/>
      <c r="E26" s="1164"/>
      <c r="F26" s="1164"/>
      <c r="G26" s="1154"/>
      <c r="H26" s="1155"/>
      <c r="I26" s="278"/>
      <c r="K26" s="276"/>
      <c r="L26" s="1163"/>
      <c r="M26" s="1164"/>
      <c r="N26" s="1164"/>
      <c r="O26" s="1164"/>
      <c r="P26" s="1164"/>
      <c r="Q26" s="1154"/>
      <c r="R26" s="1155"/>
      <c r="S26" s="278"/>
    </row>
    <row r="27" spans="1:19" s="279" customFormat="1" ht="24.75" customHeight="1">
      <c r="A27" s="276"/>
      <c r="B27" s="1165"/>
      <c r="C27" s="1166"/>
      <c r="D27" s="1166"/>
      <c r="E27" s="1166"/>
      <c r="F27" s="1166"/>
      <c r="G27" s="1156"/>
      <c r="H27" s="1157"/>
      <c r="I27" s="278"/>
      <c r="K27" s="276"/>
      <c r="L27" s="1165"/>
      <c r="M27" s="1166"/>
      <c r="N27" s="1166"/>
      <c r="O27" s="1166"/>
      <c r="P27" s="1166"/>
      <c r="Q27" s="1156"/>
      <c r="R27" s="1157"/>
      <c r="S27" s="278"/>
    </row>
    <row r="28" spans="1:19" ht="7.5" customHeight="1" thickBot="1">
      <c r="A28" s="284"/>
      <c r="B28" s="285"/>
      <c r="C28" s="286"/>
      <c r="D28" s="286"/>
      <c r="E28" s="286"/>
      <c r="F28" s="286"/>
      <c r="G28" s="286"/>
      <c r="H28" s="286"/>
      <c r="I28" s="287"/>
      <c r="K28" s="284"/>
      <c r="L28" s="285"/>
      <c r="M28" s="286"/>
      <c r="N28" s="286"/>
      <c r="O28" s="286"/>
      <c r="P28" s="286"/>
      <c r="Q28" s="286"/>
      <c r="R28" s="286"/>
      <c r="S28" s="287"/>
    </row>
    <row r="29" spans="1:19" ht="20.25">
      <c r="B29" s="288"/>
      <c r="L29" s="288"/>
    </row>
    <row r="30" spans="1:19" ht="20.25">
      <c r="L30" s="288"/>
    </row>
    <row r="31" spans="1:19" ht="20.25">
      <c r="B31" s="288"/>
      <c r="L31" s="288"/>
    </row>
    <row r="32" spans="1:19" ht="20.25">
      <c r="B32" s="288"/>
      <c r="L32" s="288"/>
    </row>
    <row r="33" spans="2:12" ht="20.25">
      <c r="B33" s="289"/>
      <c r="C33" s="290"/>
      <c r="L33" s="288"/>
    </row>
    <row r="34" spans="2:12" ht="20.25">
      <c r="B34" s="289"/>
      <c r="C34" s="290"/>
      <c r="L34" s="288"/>
    </row>
    <row r="35" spans="2:12" ht="20.25">
      <c r="B35" s="289"/>
      <c r="C35" s="290"/>
      <c r="L35" s="288"/>
    </row>
    <row r="36" spans="2:12" ht="20.25">
      <c r="B36" s="289"/>
      <c r="C36" s="290"/>
      <c r="L36" s="288"/>
    </row>
    <row r="37" spans="2:12" ht="20.25">
      <c r="B37" s="289"/>
      <c r="C37" s="291"/>
      <c r="L37" s="288"/>
    </row>
    <row r="38" spans="2:12" ht="20.25">
      <c r="B38" s="289"/>
      <c r="C38" s="290"/>
      <c r="L38" s="288"/>
    </row>
    <row r="39" spans="2:12" ht="20.25">
      <c r="B39" s="289"/>
      <c r="C39" s="291"/>
      <c r="L39" s="288"/>
    </row>
    <row r="40" spans="2:12" ht="20.25">
      <c r="B40" s="289"/>
      <c r="C40" s="290"/>
      <c r="L40" s="288"/>
    </row>
    <row r="41" spans="2:12" ht="20.25">
      <c r="B41" s="292"/>
      <c r="C41" s="290"/>
      <c r="L41" s="288"/>
    </row>
    <row r="42" spans="2:12" ht="20.25">
      <c r="B42" s="292"/>
      <c r="C42" s="290"/>
      <c r="L42" s="288"/>
    </row>
    <row r="43" spans="2:12" ht="20.25">
      <c r="B43" s="293"/>
      <c r="C43" s="290"/>
      <c r="L43" s="288"/>
    </row>
    <row r="44" spans="2:12">
      <c r="B44" s="294"/>
      <c r="C44" s="294"/>
    </row>
    <row r="45" spans="2:12">
      <c r="B45" s="294"/>
      <c r="C45" s="294"/>
    </row>
    <row r="46" spans="2:12">
      <c r="B46" s="294"/>
      <c r="C46" s="294"/>
    </row>
  </sheetData>
  <sheetProtection password="DC6E" sheet="1" objects="1" scenarios="1"/>
  <mergeCells count="110">
    <mergeCell ref="B26:C27"/>
    <mergeCell ref="D26:F27"/>
    <mergeCell ref="G26:H27"/>
    <mergeCell ref="L26:M27"/>
    <mergeCell ref="N26:P27"/>
    <mergeCell ref="Q26:R27"/>
    <mergeCell ref="B24:H24"/>
    <mergeCell ref="L24:R24"/>
    <mergeCell ref="B25:C25"/>
    <mergeCell ref="D25:F25"/>
    <mergeCell ref="G25:H25"/>
    <mergeCell ref="L25:M25"/>
    <mergeCell ref="N25:P25"/>
    <mergeCell ref="Q25:R25"/>
    <mergeCell ref="C23:D23"/>
    <mergeCell ref="E23:F23"/>
    <mergeCell ref="G23:H23"/>
    <mergeCell ref="M23:N23"/>
    <mergeCell ref="O23:P23"/>
    <mergeCell ref="Q23:R23"/>
    <mergeCell ref="O20:P21"/>
    <mergeCell ref="Q20:R21"/>
    <mergeCell ref="C22:D22"/>
    <mergeCell ref="E22:F22"/>
    <mergeCell ref="G22:H22"/>
    <mergeCell ref="M22:N22"/>
    <mergeCell ref="O22:P22"/>
    <mergeCell ref="Q22:R22"/>
    <mergeCell ref="B20:B21"/>
    <mergeCell ref="C20:D21"/>
    <mergeCell ref="E20:F21"/>
    <mergeCell ref="G20:H21"/>
    <mergeCell ref="L20:L21"/>
    <mergeCell ref="M20:N21"/>
    <mergeCell ref="C19:D19"/>
    <mergeCell ref="E19:F19"/>
    <mergeCell ref="G19:H19"/>
    <mergeCell ref="M19:N19"/>
    <mergeCell ref="O19:P19"/>
    <mergeCell ref="Q19:R19"/>
    <mergeCell ref="C18:D18"/>
    <mergeCell ref="E18:F18"/>
    <mergeCell ref="G18:H18"/>
    <mergeCell ref="M18:N18"/>
    <mergeCell ref="O18:P18"/>
    <mergeCell ref="Q18:R18"/>
    <mergeCell ref="C17:D17"/>
    <mergeCell ref="E17:F17"/>
    <mergeCell ref="G17:H17"/>
    <mergeCell ref="M17:N17"/>
    <mergeCell ref="O17:P17"/>
    <mergeCell ref="Q17:R17"/>
    <mergeCell ref="C16:D16"/>
    <mergeCell ref="E16:F16"/>
    <mergeCell ref="G16:H16"/>
    <mergeCell ref="M16:N16"/>
    <mergeCell ref="O16:P16"/>
    <mergeCell ref="Q16:R16"/>
    <mergeCell ref="C15:D15"/>
    <mergeCell ref="E15:F15"/>
    <mergeCell ref="G15:H15"/>
    <mergeCell ref="M15:N15"/>
    <mergeCell ref="O15:P15"/>
    <mergeCell ref="Q15:R15"/>
    <mergeCell ref="C14:D14"/>
    <mergeCell ref="E14:F14"/>
    <mergeCell ref="G14:H14"/>
    <mergeCell ref="M14:N14"/>
    <mergeCell ref="O14:P14"/>
    <mergeCell ref="Q14:R14"/>
    <mergeCell ref="C13:D13"/>
    <mergeCell ref="E13:F13"/>
    <mergeCell ref="G13:H13"/>
    <mergeCell ref="M13:N13"/>
    <mergeCell ref="O13:P13"/>
    <mergeCell ref="Q13:R13"/>
    <mergeCell ref="C12:D12"/>
    <mergeCell ref="E12:F12"/>
    <mergeCell ref="G12:H12"/>
    <mergeCell ref="M12:N12"/>
    <mergeCell ref="O12:P12"/>
    <mergeCell ref="Q12:R12"/>
    <mergeCell ref="C11:D11"/>
    <mergeCell ref="E11:F11"/>
    <mergeCell ref="G11:H11"/>
    <mergeCell ref="M11:N11"/>
    <mergeCell ref="O11:P11"/>
    <mergeCell ref="Q11:R11"/>
    <mergeCell ref="B2:H2"/>
    <mergeCell ref="L2:R2"/>
    <mergeCell ref="B3:H3"/>
    <mergeCell ref="L3:R3"/>
    <mergeCell ref="C4:F4"/>
    <mergeCell ref="M4:P4"/>
    <mergeCell ref="C9:D9"/>
    <mergeCell ref="E9:F9"/>
    <mergeCell ref="G9:H9"/>
    <mergeCell ref="M9:N9"/>
    <mergeCell ref="O9:P9"/>
    <mergeCell ref="Q9:R9"/>
    <mergeCell ref="C5:F5"/>
    <mergeCell ref="M5:P5"/>
    <mergeCell ref="C7:H7"/>
    <mergeCell ref="M7:R7"/>
    <mergeCell ref="C8:D8"/>
    <mergeCell ref="E8:F8"/>
    <mergeCell ref="G8:H8"/>
    <mergeCell ref="M8:N8"/>
    <mergeCell ref="O8:P8"/>
    <mergeCell ref="Q8:R8"/>
  </mergeCells>
  <dataValidations count="1">
    <dataValidation type="list" allowBlank="1" showInputMessage="1" showErrorMessage="1" sqref="G8 Q8">
      <formula1>ROLLNO</formula1>
    </dataValidation>
  </dataValidations>
  <printOptions horizontalCentered="1"/>
  <pageMargins left="0.27559055118110237" right="0.27559055118110237" top="0.15748031496062992" bottom="0.11811023622047245" header="0.15748031496062992" footer="0.11811023622047245"/>
  <pageSetup paperSize="9" scale="77" fitToHeight="0" orientation="landscape" horizont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BN434"/>
  <sheetViews>
    <sheetView showGridLines="0" workbookViewId="0">
      <pane ySplit="1" topLeftCell="A2" activePane="bottomLeft" state="frozen"/>
      <selection pane="bottomLeft" activeCell="F14" sqref="F14"/>
    </sheetView>
  </sheetViews>
  <sheetFormatPr defaultColWidth="0" defaultRowHeight="12.75" zeroHeight="1"/>
  <cols>
    <col min="1" max="1" width="5.28515625" style="2" customWidth="1"/>
    <col min="2" max="2" width="14.28515625" style="2" customWidth="1"/>
    <col min="3" max="3" width="18.28515625" style="2" customWidth="1"/>
    <col min="4" max="4" width="22.42578125" style="2" customWidth="1"/>
    <col min="5" max="5" width="20.85546875" style="2" customWidth="1"/>
    <col min="6" max="6" width="25.140625" style="2" customWidth="1"/>
    <col min="7" max="7" width="6.5703125" style="108" customWidth="1"/>
    <col min="8" max="8" width="8.5703125" style="129" customWidth="1"/>
    <col min="9" max="10" width="9.140625" style="2" customWidth="1"/>
    <col min="11" max="11" width="11.140625" style="2" customWidth="1"/>
    <col min="12" max="12" width="5.42578125" style="2" customWidth="1"/>
    <col min="13" max="14" width="19.5703125" style="2" customWidth="1"/>
    <col min="15" max="15" width="11.140625" style="2" customWidth="1"/>
    <col min="16" max="16" width="5.42578125" style="2" customWidth="1"/>
    <col min="17" max="18" width="19.5703125" style="2" customWidth="1"/>
    <col min="19" max="19" width="10" style="2" customWidth="1"/>
    <col min="20" max="20" width="5.5703125" style="2" customWidth="1"/>
    <col min="21" max="22" width="19.5703125" style="2" customWidth="1"/>
    <col min="23" max="23" width="11" style="2" customWidth="1"/>
    <col min="24" max="24" width="6" style="2" customWidth="1"/>
    <col min="25" max="26" width="19.5703125" style="2" customWidth="1"/>
    <col min="27" max="27" width="11" style="2" customWidth="1"/>
    <col min="28" max="28" width="6" style="2" customWidth="1"/>
    <col min="29" max="30" width="19.5703125" style="2" customWidth="1"/>
    <col min="31" max="31" width="6.42578125" style="2" customWidth="1"/>
    <col min="32" max="32" width="14.28515625" style="2" customWidth="1"/>
    <col min="33" max="33" width="10.85546875" style="2" customWidth="1"/>
    <col min="34" max="34" width="9.140625" style="2" customWidth="1"/>
    <col min="35" max="35" width="9.42578125" style="2" customWidth="1"/>
    <col min="36" max="36" width="9.140625" style="2" customWidth="1"/>
    <col min="37" max="37" width="6.28515625" style="2" customWidth="1"/>
    <col min="38" max="39" width="9.140625" style="2" customWidth="1"/>
    <col min="40" max="40" width="7.28515625" style="2" customWidth="1"/>
    <col min="41" max="41" width="7" style="2" customWidth="1"/>
    <col min="42" max="42" width="9.140625" style="2" customWidth="1"/>
    <col min="43" max="43" width="7.5703125" style="2" customWidth="1"/>
    <col min="44" max="45" width="21.5703125" style="2" customWidth="1"/>
    <col min="46" max="46" width="7" style="2" customWidth="1"/>
    <col min="47" max="47" width="13.85546875" style="2" customWidth="1"/>
    <col min="48" max="48" width="21.140625" style="2" customWidth="1"/>
    <col min="49" max="51" width="9.140625" style="2" customWidth="1"/>
    <col min="52" max="52" width="13.42578125" style="2" customWidth="1"/>
    <col min="53" max="53" width="21.140625" style="2" customWidth="1"/>
    <col min="54" max="54" width="9.140625" style="2" customWidth="1"/>
    <col min="55" max="55" width="9.85546875" style="2" customWidth="1"/>
    <col min="56" max="66" width="0" style="2" hidden="1" customWidth="1"/>
    <col min="67" max="16384" width="9.140625" style="2" hidden="1"/>
  </cols>
  <sheetData>
    <row r="1" spans="1:66" s="236" customFormat="1" ht="38.25" customHeight="1">
      <c r="A1" s="562" t="s">
        <v>492</v>
      </c>
      <c r="B1" s="562"/>
      <c r="C1" s="462" t="s">
        <v>75</v>
      </c>
      <c r="D1" s="514" t="s">
        <v>202</v>
      </c>
      <c r="E1" s="514"/>
      <c r="F1" s="514"/>
      <c r="G1" s="514"/>
      <c r="H1" s="514"/>
      <c r="I1" s="514"/>
      <c r="J1" s="514"/>
      <c r="AY1" s="237"/>
    </row>
    <row r="2" spans="1:66" s="238" customFormat="1" ht="15" customHeight="1">
      <c r="A2" s="563" t="s">
        <v>63</v>
      </c>
      <c r="B2" s="563" t="s">
        <v>7</v>
      </c>
      <c r="C2" s="563" t="s">
        <v>8</v>
      </c>
      <c r="D2" s="563"/>
      <c r="E2" s="563" t="s">
        <v>9</v>
      </c>
      <c r="F2" s="565"/>
      <c r="G2" s="566" t="s">
        <v>10</v>
      </c>
      <c r="H2" s="567"/>
      <c r="I2" s="567"/>
      <c r="J2" s="567"/>
      <c r="K2" s="566" t="s">
        <v>332</v>
      </c>
      <c r="L2" s="567"/>
      <c r="M2" s="567"/>
      <c r="N2" s="574"/>
      <c r="O2" s="566" t="s">
        <v>342</v>
      </c>
      <c r="P2" s="567"/>
      <c r="Q2" s="567"/>
      <c r="R2" s="574"/>
      <c r="S2" s="574" t="s">
        <v>343</v>
      </c>
      <c r="T2" s="564"/>
      <c r="U2" s="564"/>
      <c r="V2" s="564"/>
      <c r="W2" s="564" t="s">
        <v>345</v>
      </c>
      <c r="X2" s="564"/>
      <c r="Y2" s="564"/>
      <c r="Z2" s="564"/>
      <c r="AA2" s="564" t="s">
        <v>346</v>
      </c>
      <c r="AB2" s="564"/>
      <c r="AC2" s="564"/>
      <c r="AD2" s="564"/>
      <c r="AE2" s="564" t="s">
        <v>21</v>
      </c>
      <c r="AF2" s="564"/>
      <c r="AG2" s="564"/>
      <c r="AH2" s="564"/>
      <c r="AI2" s="564"/>
      <c r="AJ2" s="564"/>
      <c r="AK2" s="564" t="s">
        <v>26</v>
      </c>
      <c r="AL2" s="564"/>
      <c r="AM2" s="564"/>
      <c r="AN2" s="564"/>
      <c r="AO2" s="564"/>
      <c r="AP2" s="564"/>
      <c r="AQ2" s="564" t="s">
        <v>30</v>
      </c>
      <c r="AR2" s="564"/>
      <c r="AS2" s="564"/>
      <c r="AT2" s="568" t="s">
        <v>86</v>
      </c>
      <c r="AU2" s="569"/>
      <c r="AV2" s="569"/>
      <c r="AW2" s="569"/>
      <c r="AX2" s="570"/>
      <c r="AY2" s="568" t="s">
        <v>86</v>
      </c>
      <c r="AZ2" s="569"/>
      <c r="BA2" s="569"/>
      <c r="BB2" s="569"/>
      <c r="BC2" s="570"/>
    </row>
    <row r="3" spans="1:66" s="238" customFormat="1" ht="25.5">
      <c r="A3" s="563"/>
      <c r="B3" s="563"/>
      <c r="C3" s="564"/>
      <c r="D3" s="563"/>
      <c r="E3" s="564"/>
      <c r="F3" s="565"/>
      <c r="G3" s="239" t="s">
        <v>11</v>
      </c>
      <c r="H3" s="240" t="s">
        <v>72</v>
      </c>
      <c r="I3" s="241" t="s">
        <v>73</v>
      </c>
      <c r="J3" s="241" t="s">
        <v>74</v>
      </c>
      <c r="K3" s="239" t="s">
        <v>16</v>
      </c>
      <c r="L3" s="241" t="s">
        <v>17</v>
      </c>
      <c r="M3" s="241" t="s">
        <v>18</v>
      </c>
      <c r="N3" s="242" t="s">
        <v>19</v>
      </c>
      <c r="O3" s="239" t="s">
        <v>16</v>
      </c>
      <c r="P3" s="241" t="s">
        <v>17</v>
      </c>
      <c r="Q3" s="241" t="s">
        <v>18</v>
      </c>
      <c r="R3" s="242" t="s">
        <v>19</v>
      </c>
      <c r="S3" s="243" t="s">
        <v>16</v>
      </c>
      <c r="T3" s="241" t="s">
        <v>17</v>
      </c>
      <c r="U3" s="241" t="s">
        <v>18</v>
      </c>
      <c r="V3" s="242" t="s">
        <v>19</v>
      </c>
      <c r="W3" s="243" t="s">
        <v>16</v>
      </c>
      <c r="X3" s="241" t="s">
        <v>17</v>
      </c>
      <c r="Y3" s="241" t="s">
        <v>18</v>
      </c>
      <c r="Z3" s="242" t="s">
        <v>19</v>
      </c>
      <c r="AA3" s="243" t="s">
        <v>16</v>
      </c>
      <c r="AB3" s="241" t="s">
        <v>17</v>
      </c>
      <c r="AC3" s="241" t="s">
        <v>18</v>
      </c>
      <c r="AD3" s="242" t="s">
        <v>19</v>
      </c>
      <c r="AE3" s="243" t="s">
        <v>12</v>
      </c>
      <c r="AF3" s="241" t="s">
        <v>22</v>
      </c>
      <c r="AG3" s="241" t="s">
        <v>23</v>
      </c>
      <c r="AH3" s="241" t="s">
        <v>24</v>
      </c>
      <c r="AI3" s="241" t="s">
        <v>25</v>
      </c>
      <c r="AJ3" s="242" t="s">
        <v>15</v>
      </c>
      <c r="AK3" s="243" t="s">
        <v>12</v>
      </c>
      <c r="AL3" s="241" t="s">
        <v>27</v>
      </c>
      <c r="AM3" s="241" t="s">
        <v>25</v>
      </c>
      <c r="AN3" s="241" t="s">
        <v>28</v>
      </c>
      <c r="AO3" s="241" t="s">
        <v>29</v>
      </c>
      <c r="AP3" s="242" t="s">
        <v>15</v>
      </c>
      <c r="AQ3" s="243" t="s">
        <v>12</v>
      </c>
      <c r="AR3" s="241" t="s">
        <v>31</v>
      </c>
      <c r="AS3" s="242" t="s">
        <v>32</v>
      </c>
      <c r="AT3" s="571"/>
      <c r="AU3" s="572"/>
      <c r="AV3" s="572"/>
      <c r="AW3" s="572"/>
      <c r="AX3" s="573"/>
      <c r="AY3" s="571"/>
      <c r="AZ3" s="572"/>
      <c r="BA3" s="572"/>
      <c r="BB3" s="572"/>
      <c r="BC3" s="573"/>
    </row>
    <row r="4" spans="1:66" s="1" customFormat="1" ht="16.5" customHeight="1">
      <c r="A4" s="560">
        <v>1</v>
      </c>
      <c r="B4" s="561" t="s">
        <v>225</v>
      </c>
      <c r="C4" s="8" t="s">
        <v>42</v>
      </c>
      <c r="D4" s="24">
        <v>1555</v>
      </c>
      <c r="E4" s="8" t="s">
        <v>43</v>
      </c>
      <c r="F4" s="11" t="s">
        <v>69</v>
      </c>
      <c r="G4" s="110">
        <v>1</v>
      </c>
      <c r="H4" s="335">
        <v>33</v>
      </c>
      <c r="I4" s="336">
        <v>133</v>
      </c>
      <c r="J4" s="337">
        <v>56</v>
      </c>
      <c r="K4" s="8" t="s">
        <v>333</v>
      </c>
      <c r="L4" s="6" t="s">
        <v>83</v>
      </c>
      <c r="M4" s="18" t="s">
        <v>84</v>
      </c>
      <c r="N4" s="19" t="s">
        <v>85</v>
      </c>
      <c r="O4" s="8" t="s">
        <v>333</v>
      </c>
      <c r="P4" s="6" t="s">
        <v>83</v>
      </c>
      <c r="Q4" s="18" t="s">
        <v>84</v>
      </c>
      <c r="R4" s="19" t="s">
        <v>85</v>
      </c>
      <c r="S4" s="532" t="s">
        <v>51</v>
      </c>
      <c r="T4" s="533" t="s">
        <v>83</v>
      </c>
      <c r="U4" s="535" t="s">
        <v>84</v>
      </c>
      <c r="V4" s="537" t="s">
        <v>85</v>
      </c>
      <c r="W4" s="532" t="s">
        <v>51</v>
      </c>
      <c r="X4" s="533" t="s">
        <v>83</v>
      </c>
      <c r="Y4" s="535" t="s">
        <v>84</v>
      </c>
      <c r="Z4" s="537" t="s">
        <v>85</v>
      </c>
      <c r="AA4" s="8" t="s">
        <v>51</v>
      </c>
      <c r="AB4" s="6" t="s">
        <v>83</v>
      </c>
      <c r="AC4" s="18" t="s">
        <v>84</v>
      </c>
      <c r="AD4" s="19" t="s">
        <v>85</v>
      </c>
      <c r="AE4" s="552">
        <v>1</v>
      </c>
      <c r="AF4" s="550" t="s">
        <v>488</v>
      </c>
      <c r="AG4" s="550"/>
      <c r="AH4" s="550"/>
      <c r="AI4" s="550"/>
      <c r="AJ4" s="551"/>
      <c r="AK4" s="552">
        <v>2</v>
      </c>
      <c r="AL4" s="550" t="s">
        <v>489</v>
      </c>
      <c r="AM4" s="575">
        <v>39519</v>
      </c>
      <c r="AN4" s="550"/>
      <c r="AO4" s="550"/>
      <c r="AP4" s="551"/>
      <c r="AQ4" s="542">
        <v>1</v>
      </c>
      <c r="AR4" s="543" t="s">
        <v>222</v>
      </c>
      <c r="AS4" s="544" t="s">
        <v>222</v>
      </c>
      <c r="AT4" s="554">
        <v>1</v>
      </c>
      <c r="AU4" s="25" t="s">
        <v>0</v>
      </c>
      <c r="AV4" s="557"/>
      <c r="AW4" s="558"/>
      <c r="AX4" s="559"/>
      <c r="AY4" s="554">
        <v>3</v>
      </c>
      <c r="AZ4" s="25" t="s">
        <v>0</v>
      </c>
      <c r="BA4" s="557"/>
      <c r="BB4" s="558"/>
      <c r="BC4" s="559"/>
    </row>
    <row r="5" spans="1:66" s="3" customFormat="1" ht="16.5" customHeight="1">
      <c r="A5" s="560"/>
      <c r="B5" s="561"/>
      <c r="C5" s="9" t="s">
        <v>33</v>
      </c>
      <c r="D5" s="13" t="s">
        <v>64</v>
      </c>
      <c r="E5" s="9" t="s">
        <v>70</v>
      </c>
      <c r="F5" s="12">
        <v>45</v>
      </c>
      <c r="G5" s="111">
        <v>2</v>
      </c>
      <c r="H5" s="338">
        <v>36</v>
      </c>
      <c r="I5" s="339">
        <v>140</v>
      </c>
      <c r="J5" s="340">
        <v>57</v>
      </c>
      <c r="K5" s="9" t="s">
        <v>334</v>
      </c>
      <c r="L5" s="7" t="s">
        <v>83</v>
      </c>
      <c r="M5" s="20" t="s">
        <v>84</v>
      </c>
      <c r="N5" s="21" t="s">
        <v>85</v>
      </c>
      <c r="O5" s="9" t="s">
        <v>334</v>
      </c>
      <c r="P5" s="7" t="s">
        <v>83</v>
      </c>
      <c r="Q5" s="20" t="s">
        <v>84</v>
      </c>
      <c r="R5" s="21" t="s">
        <v>85</v>
      </c>
      <c r="S5" s="519"/>
      <c r="T5" s="527"/>
      <c r="U5" s="528"/>
      <c r="V5" s="529"/>
      <c r="W5" s="519"/>
      <c r="X5" s="527"/>
      <c r="Y5" s="528"/>
      <c r="Z5" s="529"/>
      <c r="AA5" s="9" t="s">
        <v>52</v>
      </c>
      <c r="AB5" s="7" t="s">
        <v>83</v>
      </c>
      <c r="AC5" s="20" t="s">
        <v>84</v>
      </c>
      <c r="AD5" s="21" t="s">
        <v>85</v>
      </c>
      <c r="AE5" s="547"/>
      <c r="AF5" s="545"/>
      <c r="AG5" s="545"/>
      <c r="AH5" s="545"/>
      <c r="AI5" s="545"/>
      <c r="AJ5" s="546"/>
      <c r="AK5" s="547"/>
      <c r="AL5" s="545"/>
      <c r="AM5" s="576"/>
      <c r="AN5" s="545"/>
      <c r="AO5" s="545"/>
      <c r="AP5" s="546"/>
      <c r="AQ5" s="530"/>
      <c r="AR5" s="515"/>
      <c r="AS5" s="517"/>
      <c r="AT5" s="555"/>
      <c r="AU5" s="26" t="s">
        <v>87</v>
      </c>
      <c r="AV5" s="124"/>
      <c r="AW5" s="26" t="s">
        <v>192</v>
      </c>
      <c r="AX5" s="126"/>
      <c r="AY5" s="555"/>
      <c r="AZ5" s="26" t="s">
        <v>87</v>
      </c>
      <c r="BA5" s="124"/>
      <c r="BB5" s="127" t="s">
        <v>192</v>
      </c>
      <c r="BC5" s="125"/>
    </row>
    <row r="6" spans="1:66" s="3" customFormat="1" ht="16.5" customHeight="1">
      <c r="A6" s="560"/>
      <c r="B6" s="561"/>
      <c r="C6" s="9" t="s">
        <v>34</v>
      </c>
      <c r="D6" s="14">
        <v>35170</v>
      </c>
      <c r="E6" s="9" t="s">
        <v>44</v>
      </c>
      <c r="F6" s="12" t="s">
        <v>20</v>
      </c>
      <c r="G6" s="111">
        <v>3</v>
      </c>
      <c r="H6" s="338">
        <v>40</v>
      </c>
      <c r="I6" s="339">
        <v>146</v>
      </c>
      <c r="J6" s="340">
        <v>59</v>
      </c>
      <c r="K6" s="9" t="s">
        <v>335</v>
      </c>
      <c r="L6" s="7" t="s">
        <v>83</v>
      </c>
      <c r="M6" s="20" t="s">
        <v>84</v>
      </c>
      <c r="N6" s="21" t="s">
        <v>85</v>
      </c>
      <c r="O6" s="9" t="s">
        <v>335</v>
      </c>
      <c r="P6" s="7" t="s">
        <v>83</v>
      </c>
      <c r="Q6" s="20" t="s">
        <v>84</v>
      </c>
      <c r="R6" s="21" t="s">
        <v>85</v>
      </c>
      <c r="S6" s="519"/>
      <c r="T6" s="527"/>
      <c r="U6" s="528"/>
      <c r="V6" s="529"/>
      <c r="W6" s="519"/>
      <c r="X6" s="539"/>
      <c r="Y6" s="540"/>
      <c r="Z6" s="541"/>
      <c r="AA6" s="9" t="s">
        <v>53</v>
      </c>
      <c r="AB6" s="7" t="s">
        <v>83</v>
      </c>
      <c r="AC6" s="20" t="s">
        <v>84</v>
      </c>
      <c r="AD6" s="21" t="s">
        <v>85</v>
      </c>
      <c r="AE6" s="547"/>
      <c r="AF6" s="545"/>
      <c r="AG6" s="545"/>
      <c r="AH6" s="545"/>
      <c r="AI6" s="545"/>
      <c r="AJ6" s="546"/>
      <c r="AK6" s="547"/>
      <c r="AL6" s="545"/>
      <c r="AM6" s="545"/>
      <c r="AN6" s="545"/>
      <c r="AO6" s="545"/>
      <c r="AP6" s="546"/>
      <c r="AQ6" s="530">
        <v>2</v>
      </c>
      <c r="AR6" s="515" t="s">
        <v>222</v>
      </c>
      <c r="AS6" s="517" t="s">
        <v>222</v>
      </c>
      <c r="AT6" s="555"/>
      <c r="AU6" s="26" t="s">
        <v>88</v>
      </c>
      <c r="AV6" s="28"/>
      <c r="AW6" s="26" t="s">
        <v>12</v>
      </c>
      <c r="AX6" s="31"/>
      <c r="AY6" s="555"/>
      <c r="AZ6" s="26" t="s">
        <v>88</v>
      </c>
      <c r="BA6" s="28"/>
      <c r="BB6" s="26" t="s">
        <v>12</v>
      </c>
      <c r="BC6" s="31"/>
      <c r="BN6" s="3" t="s">
        <v>64</v>
      </c>
    </row>
    <row r="7" spans="1:66" s="3" customFormat="1" ht="16.5" customHeight="1">
      <c r="A7" s="560"/>
      <c r="B7" s="561"/>
      <c r="C7" s="9" t="s">
        <v>41</v>
      </c>
      <c r="D7" s="13" t="s">
        <v>66</v>
      </c>
      <c r="E7" s="9" t="s">
        <v>62</v>
      </c>
      <c r="F7" s="12" t="s">
        <v>71</v>
      </c>
      <c r="G7" s="111">
        <v>4</v>
      </c>
      <c r="H7" s="341"/>
      <c r="I7" s="342"/>
      <c r="J7" s="343"/>
      <c r="K7" s="9" t="s">
        <v>336</v>
      </c>
      <c r="L7" s="7" t="s">
        <v>83</v>
      </c>
      <c r="M7" s="20" t="s">
        <v>84</v>
      </c>
      <c r="N7" s="21" t="s">
        <v>85</v>
      </c>
      <c r="O7" s="9" t="s">
        <v>336</v>
      </c>
      <c r="P7" s="7" t="s">
        <v>83</v>
      </c>
      <c r="Q7" s="20" t="s">
        <v>84</v>
      </c>
      <c r="R7" s="21" t="s">
        <v>85</v>
      </c>
      <c r="S7" s="519"/>
      <c r="T7" s="534"/>
      <c r="U7" s="536"/>
      <c r="V7" s="538"/>
      <c r="W7" s="532" t="s">
        <v>52</v>
      </c>
      <c r="X7" s="533" t="s">
        <v>83</v>
      </c>
      <c r="Y7" s="535" t="s">
        <v>84</v>
      </c>
      <c r="Z7" s="537" t="s">
        <v>85</v>
      </c>
      <c r="AA7" s="9" t="s">
        <v>54</v>
      </c>
      <c r="AB7" s="7" t="s">
        <v>83</v>
      </c>
      <c r="AC7" s="20" t="s">
        <v>84</v>
      </c>
      <c r="AD7" s="21" t="s">
        <v>85</v>
      </c>
      <c r="AE7" s="547"/>
      <c r="AF7" s="545"/>
      <c r="AG7" s="545"/>
      <c r="AH7" s="545"/>
      <c r="AI7" s="545"/>
      <c r="AJ7" s="546"/>
      <c r="AK7" s="547"/>
      <c r="AL7" s="545"/>
      <c r="AM7" s="545"/>
      <c r="AN7" s="545"/>
      <c r="AO7" s="545"/>
      <c r="AP7" s="546"/>
      <c r="AQ7" s="530"/>
      <c r="AR7" s="515"/>
      <c r="AS7" s="517"/>
      <c r="AT7" s="555"/>
      <c r="AU7" s="26" t="s">
        <v>89</v>
      </c>
      <c r="AV7" s="29"/>
      <c r="AW7" s="26" t="s">
        <v>12</v>
      </c>
      <c r="AX7" s="32"/>
      <c r="AY7" s="555"/>
      <c r="AZ7" s="26" t="s">
        <v>89</v>
      </c>
      <c r="BA7" s="29"/>
      <c r="BB7" s="26" t="s">
        <v>12</v>
      </c>
      <c r="BC7" s="32"/>
      <c r="BN7" s="3" t="s">
        <v>65</v>
      </c>
    </row>
    <row r="8" spans="1:66" s="3" customFormat="1" ht="16.5" customHeight="1">
      <c r="A8" s="560"/>
      <c r="B8" s="561"/>
      <c r="C8" s="9" t="s">
        <v>417</v>
      </c>
      <c r="D8" s="505"/>
      <c r="E8" s="9" t="s">
        <v>45</v>
      </c>
      <c r="F8" s="12"/>
      <c r="G8" s="112">
        <v>5</v>
      </c>
      <c r="H8" s="344"/>
      <c r="I8" s="345"/>
      <c r="J8" s="346"/>
      <c r="K8" s="9" t="s">
        <v>337</v>
      </c>
      <c r="L8" s="7" t="s">
        <v>83</v>
      </c>
      <c r="M8" s="20" t="s">
        <v>84</v>
      </c>
      <c r="N8" s="21" t="s">
        <v>85</v>
      </c>
      <c r="O8" s="9" t="s">
        <v>337</v>
      </c>
      <c r="P8" s="7" t="s">
        <v>83</v>
      </c>
      <c r="Q8" s="20" t="s">
        <v>84</v>
      </c>
      <c r="R8" s="21" t="s">
        <v>85</v>
      </c>
      <c r="S8" s="519" t="s">
        <v>52</v>
      </c>
      <c r="T8" s="527" t="s">
        <v>83</v>
      </c>
      <c r="U8" s="528" t="s">
        <v>84</v>
      </c>
      <c r="V8" s="529" t="s">
        <v>85</v>
      </c>
      <c r="W8" s="519"/>
      <c r="X8" s="527"/>
      <c r="Y8" s="528"/>
      <c r="Z8" s="529"/>
      <c r="AA8" s="9" t="s">
        <v>55</v>
      </c>
      <c r="AB8" s="7" t="s">
        <v>83</v>
      </c>
      <c r="AC8" s="20" t="s">
        <v>84</v>
      </c>
      <c r="AD8" s="21" t="s">
        <v>85</v>
      </c>
      <c r="AE8" s="547"/>
      <c r="AF8" s="545"/>
      <c r="AG8" s="545"/>
      <c r="AH8" s="545"/>
      <c r="AI8" s="545"/>
      <c r="AJ8" s="546"/>
      <c r="AK8" s="547"/>
      <c r="AL8" s="545"/>
      <c r="AM8" s="545"/>
      <c r="AN8" s="545"/>
      <c r="AO8" s="545"/>
      <c r="AP8" s="546"/>
      <c r="AQ8" s="530">
        <v>3</v>
      </c>
      <c r="AR8" s="515" t="s">
        <v>222</v>
      </c>
      <c r="AS8" s="517" t="s">
        <v>222</v>
      </c>
      <c r="AT8" s="556"/>
      <c r="AU8" s="27" t="s">
        <v>90</v>
      </c>
      <c r="AV8" s="30"/>
      <c r="AW8" s="27" t="s">
        <v>91</v>
      </c>
      <c r="AX8" s="33"/>
      <c r="AY8" s="556"/>
      <c r="AZ8" s="27" t="s">
        <v>90</v>
      </c>
      <c r="BA8" s="30"/>
      <c r="BB8" s="27" t="s">
        <v>91</v>
      </c>
      <c r="BC8" s="33"/>
      <c r="BN8" s="3" t="s">
        <v>168</v>
      </c>
    </row>
    <row r="9" spans="1:66" s="3" customFormat="1" ht="21" customHeight="1">
      <c r="A9" s="560"/>
      <c r="B9" s="561"/>
      <c r="C9" s="9" t="s">
        <v>35</v>
      </c>
      <c r="D9" s="13" t="s">
        <v>67</v>
      </c>
      <c r="E9" s="9" t="s">
        <v>46</v>
      </c>
      <c r="F9" s="12"/>
      <c r="G9" s="5" t="s">
        <v>12</v>
      </c>
      <c r="H9" s="128" t="s">
        <v>13</v>
      </c>
      <c r="I9" s="4" t="s">
        <v>14</v>
      </c>
      <c r="J9" s="4" t="s">
        <v>15</v>
      </c>
      <c r="K9" s="9" t="s">
        <v>338</v>
      </c>
      <c r="L9" s="7" t="s">
        <v>83</v>
      </c>
      <c r="M9" s="20" t="s">
        <v>84</v>
      </c>
      <c r="N9" s="21" t="s">
        <v>85</v>
      </c>
      <c r="O9" s="9" t="s">
        <v>338</v>
      </c>
      <c r="P9" s="7" t="s">
        <v>83</v>
      </c>
      <c r="Q9" s="20" t="s">
        <v>84</v>
      </c>
      <c r="R9" s="21" t="s">
        <v>85</v>
      </c>
      <c r="S9" s="519"/>
      <c r="T9" s="527"/>
      <c r="U9" s="528"/>
      <c r="V9" s="529"/>
      <c r="W9" s="519"/>
      <c r="X9" s="539"/>
      <c r="Y9" s="540"/>
      <c r="Z9" s="541"/>
      <c r="AA9" s="9" t="s">
        <v>56</v>
      </c>
      <c r="AB9" s="7" t="s">
        <v>83</v>
      </c>
      <c r="AC9" s="20" t="s">
        <v>84</v>
      </c>
      <c r="AD9" s="21" t="s">
        <v>85</v>
      </c>
      <c r="AE9" s="547"/>
      <c r="AF9" s="545"/>
      <c r="AG9" s="545"/>
      <c r="AH9" s="545"/>
      <c r="AI9" s="545"/>
      <c r="AJ9" s="546"/>
      <c r="AK9" s="547"/>
      <c r="AL9" s="545"/>
      <c r="AM9" s="545"/>
      <c r="AN9" s="545"/>
      <c r="AO9" s="545"/>
      <c r="AP9" s="546"/>
      <c r="AQ9" s="530"/>
      <c r="AR9" s="515"/>
      <c r="AS9" s="517"/>
      <c r="AT9" s="554">
        <v>2</v>
      </c>
      <c r="AU9" s="25" t="s">
        <v>0</v>
      </c>
      <c r="AV9" s="557"/>
      <c r="AW9" s="558"/>
      <c r="AX9" s="559"/>
      <c r="AY9" s="554">
        <v>4</v>
      </c>
      <c r="AZ9" s="25" t="s">
        <v>0</v>
      </c>
      <c r="BA9" s="557"/>
      <c r="BB9" s="558"/>
      <c r="BC9" s="559"/>
      <c r="BN9" s="3" t="s">
        <v>167</v>
      </c>
    </row>
    <row r="10" spans="1:66" s="3" customFormat="1" ht="16.5" customHeight="1">
      <c r="A10" s="560"/>
      <c r="B10" s="561"/>
      <c r="C10" s="9" t="s">
        <v>36</v>
      </c>
      <c r="D10" s="13" t="s">
        <v>68</v>
      </c>
      <c r="E10" s="9" t="s">
        <v>47</v>
      </c>
      <c r="F10" s="12"/>
      <c r="G10" s="110">
        <v>1</v>
      </c>
      <c r="H10" s="335">
        <v>231</v>
      </c>
      <c r="I10" s="336">
        <v>211</v>
      </c>
      <c r="J10" s="337"/>
      <c r="K10" s="9" t="s">
        <v>339</v>
      </c>
      <c r="L10" s="7" t="s">
        <v>83</v>
      </c>
      <c r="M10" s="20" t="s">
        <v>84</v>
      </c>
      <c r="N10" s="21" t="s">
        <v>85</v>
      </c>
      <c r="O10" s="9" t="s">
        <v>339</v>
      </c>
      <c r="P10" s="7" t="s">
        <v>83</v>
      </c>
      <c r="Q10" s="20" t="s">
        <v>84</v>
      </c>
      <c r="R10" s="21" t="s">
        <v>85</v>
      </c>
      <c r="S10" s="519"/>
      <c r="T10" s="527"/>
      <c r="U10" s="528"/>
      <c r="V10" s="529"/>
      <c r="W10" s="532" t="s">
        <v>344</v>
      </c>
      <c r="X10" s="533" t="s">
        <v>83</v>
      </c>
      <c r="Y10" s="535" t="s">
        <v>84</v>
      </c>
      <c r="Z10" s="537" t="s">
        <v>85</v>
      </c>
      <c r="AA10" s="456"/>
      <c r="AB10" s="457"/>
      <c r="AC10" s="458"/>
      <c r="AD10" s="459"/>
      <c r="AE10" s="547"/>
      <c r="AF10" s="545"/>
      <c r="AG10" s="545"/>
      <c r="AH10" s="545"/>
      <c r="AI10" s="545"/>
      <c r="AJ10" s="546"/>
      <c r="AK10" s="547"/>
      <c r="AL10" s="545"/>
      <c r="AM10" s="545"/>
      <c r="AN10" s="545"/>
      <c r="AO10" s="545"/>
      <c r="AP10" s="546"/>
      <c r="AQ10" s="530">
        <v>4</v>
      </c>
      <c r="AR10" s="515" t="s">
        <v>222</v>
      </c>
      <c r="AS10" s="517" t="s">
        <v>222</v>
      </c>
      <c r="AT10" s="555"/>
      <c r="AU10" s="26" t="s">
        <v>87</v>
      </c>
      <c r="AV10" s="124"/>
      <c r="AW10" s="127" t="s">
        <v>192</v>
      </c>
      <c r="AX10" s="125"/>
      <c r="AY10" s="555"/>
      <c r="AZ10" s="26" t="s">
        <v>87</v>
      </c>
      <c r="BA10" s="124"/>
      <c r="BB10" s="127" t="s">
        <v>192</v>
      </c>
      <c r="BC10" s="125"/>
      <c r="BN10" s="3" t="s">
        <v>166</v>
      </c>
    </row>
    <row r="11" spans="1:66" s="3" customFormat="1" ht="16.5" customHeight="1">
      <c r="A11" s="560"/>
      <c r="B11" s="561"/>
      <c r="C11" s="9" t="s">
        <v>37</v>
      </c>
      <c r="D11" s="13"/>
      <c r="E11" s="9" t="s">
        <v>48</v>
      </c>
      <c r="F11" s="12"/>
      <c r="G11" s="111">
        <v>2</v>
      </c>
      <c r="H11" s="338"/>
      <c r="I11" s="339"/>
      <c r="J11" s="340"/>
      <c r="K11" s="353" t="s">
        <v>340</v>
      </c>
      <c r="L11" s="7" t="s">
        <v>83</v>
      </c>
      <c r="M11" s="20" t="s">
        <v>84</v>
      </c>
      <c r="N11" s="21" t="s">
        <v>85</v>
      </c>
      <c r="O11" s="353" t="s">
        <v>340</v>
      </c>
      <c r="P11" s="7" t="s">
        <v>83</v>
      </c>
      <c r="Q11" s="20" t="s">
        <v>84</v>
      </c>
      <c r="R11" s="21" t="s">
        <v>85</v>
      </c>
      <c r="S11" s="519"/>
      <c r="T11" s="539"/>
      <c r="U11" s="540"/>
      <c r="V11" s="541"/>
      <c r="W11" s="519"/>
      <c r="X11" s="527"/>
      <c r="Y11" s="528"/>
      <c r="Z11" s="529"/>
      <c r="AA11" s="9" t="s">
        <v>58</v>
      </c>
      <c r="AB11" s="7" t="s">
        <v>83</v>
      </c>
      <c r="AC11" s="20" t="s">
        <v>84</v>
      </c>
      <c r="AD11" s="21" t="s">
        <v>85</v>
      </c>
      <c r="AE11" s="547"/>
      <c r="AF11" s="545"/>
      <c r="AG11" s="545"/>
      <c r="AH11" s="545"/>
      <c r="AI11" s="545"/>
      <c r="AJ11" s="546"/>
      <c r="AK11" s="547"/>
      <c r="AL11" s="545"/>
      <c r="AM11" s="545"/>
      <c r="AN11" s="545"/>
      <c r="AO11" s="545"/>
      <c r="AP11" s="546"/>
      <c r="AQ11" s="530"/>
      <c r="AR11" s="515"/>
      <c r="AS11" s="517"/>
      <c r="AT11" s="555"/>
      <c r="AU11" s="26" t="s">
        <v>88</v>
      </c>
      <c r="AV11" s="28"/>
      <c r="AW11" s="26" t="s">
        <v>12</v>
      </c>
      <c r="AX11" s="31"/>
      <c r="AY11" s="555"/>
      <c r="AZ11" s="26" t="s">
        <v>88</v>
      </c>
      <c r="BA11" s="28"/>
      <c r="BB11" s="26" t="s">
        <v>12</v>
      </c>
      <c r="BC11" s="31"/>
      <c r="BN11" s="3" t="s">
        <v>165</v>
      </c>
    </row>
    <row r="12" spans="1:66" s="3" customFormat="1" ht="16.5" customHeight="1">
      <c r="A12" s="560"/>
      <c r="B12" s="561"/>
      <c r="C12" s="9" t="s">
        <v>38</v>
      </c>
      <c r="D12" s="13"/>
      <c r="E12" s="9" t="s">
        <v>49</v>
      </c>
      <c r="F12" s="12"/>
      <c r="G12" s="111">
        <v>3</v>
      </c>
      <c r="H12" s="338"/>
      <c r="I12" s="339"/>
      <c r="J12" s="340"/>
      <c r="K12" s="9" t="s">
        <v>341</v>
      </c>
      <c r="L12" s="7" t="s">
        <v>83</v>
      </c>
      <c r="M12" s="20" t="s">
        <v>84</v>
      </c>
      <c r="N12" s="21" t="s">
        <v>85</v>
      </c>
      <c r="O12" s="9" t="s">
        <v>341</v>
      </c>
      <c r="P12" s="7" t="s">
        <v>83</v>
      </c>
      <c r="Q12" s="20" t="s">
        <v>84</v>
      </c>
      <c r="R12" s="21" t="s">
        <v>85</v>
      </c>
      <c r="S12" s="519" t="s">
        <v>344</v>
      </c>
      <c r="T12" s="521" t="s">
        <v>83</v>
      </c>
      <c r="U12" s="523" t="s">
        <v>84</v>
      </c>
      <c r="V12" s="525" t="s">
        <v>85</v>
      </c>
      <c r="W12" s="519"/>
      <c r="X12" s="539"/>
      <c r="Y12" s="540"/>
      <c r="Z12" s="541"/>
      <c r="AA12" s="9" t="s">
        <v>59</v>
      </c>
      <c r="AB12" s="7" t="s">
        <v>83</v>
      </c>
      <c r="AC12" s="20" t="s">
        <v>84</v>
      </c>
      <c r="AD12" s="21" t="s">
        <v>85</v>
      </c>
      <c r="AE12" s="547"/>
      <c r="AF12" s="545"/>
      <c r="AG12" s="545"/>
      <c r="AH12" s="545"/>
      <c r="AI12" s="545"/>
      <c r="AJ12" s="546"/>
      <c r="AK12" s="547"/>
      <c r="AL12" s="545"/>
      <c r="AM12" s="545"/>
      <c r="AN12" s="545"/>
      <c r="AO12" s="545"/>
      <c r="AP12" s="546"/>
      <c r="AQ12" s="530">
        <v>5</v>
      </c>
      <c r="AR12" s="515" t="s">
        <v>222</v>
      </c>
      <c r="AS12" s="517" t="s">
        <v>222</v>
      </c>
      <c r="AT12" s="555"/>
      <c r="AU12" s="26" t="s">
        <v>89</v>
      </c>
      <c r="AV12" s="29"/>
      <c r="AW12" s="26" t="s">
        <v>12</v>
      </c>
      <c r="AX12" s="32"/>
      <c r="AY12" s="555"/>
      <c r="AZ12" s="26" t="s">
        <v>89</v>
      </c>
      <c r="BA12" s="29"/>
      <c r="BB12" s="26" t="s">
        <v>12</v>
      </c>
      <c r="BC12" s="32"/>
    </row>
    <row r="13" spans="1:66" s="3" customFormat="1" ht="16.5" customHeight="1">
      <c r="A13" s="560"/>
      <c r="B13" s="561"/>
      <c r="C13" s="9" t="s">
        <v>39</v>
      </c>
      <c r="D13" s="13"/>
      <c r="E13" s="9" t="s">
        <v>50</v>
      </c>
      <c r="F13" s="132"/>
      <c r="G13" s="111">
        <v>4</v>
      </c>
      <c r="H13" s="347"/>
      <c r="I13" s="348"/>
      <c r="J13" s="349"/>
      <c r="K13" s="9"/>
      <c r="L13" s="7"/>
      <c r="M13" s="20"/>
      <c r="N13" s="21"/>
      <c r="O13" s="9"/>
      <c r="P13" s="7"/>
      <c r="Q13" s="20"/>
      <c r="R13" s="21"/>
      <c r="S13" s="519"/>
      <c r="T13" s="527"/>
      <c r="U13" s="528"/>
      <c r="V13" s="529"/>
      <c r="W13" s="519" t="s">
        <v>53</v>
      </c>
      <c r="X13" s="521" t="s">
        <v>83</v>
      </c>
      <c r="Y13" s="523" t="s">
        <v>84</v>
      </c>
      <c r="Z13" s="525" t="s">
        <v>85</v>
      </c>
      <c r="AA13" s="9" t="s">
        <v>60</v>
      </c>
      <c r="AB13" s="7" t="s">
        <v>83</v>
      </c>
      <c r="AC13" s="20" t="s">
        <v>84</v>
      </c>
      <c r="AD13" s="21" t="s">
        <v>85</v>
      </c>
      <c r="AE13" s="553"/>
      <c r="AF13" s="548"/>
      <c r="AG13" s="548"/>
      <c r="AH13" s="548"/>
      <c r="AI13" s="548"/>
      <c r="AJ13" s="549"/>
      <c r="AK13" s="553"/>
      <c r="AL13" s="548"/>
      <c r="AM13" s="548"/>
      <c r="AN13" s="548"/>
      <c r="AO13" s="548"/>
      <c r="AP13" s="549"/>
      <c r="AQ13" s="531"/>
      <c r="AR13" s="516"/>
      <c r="AS13" s="518"/>
      <c r="AT13" s="556"/>
      <c r="AU13" s="27" t="s">
        <v>90</v>
      </c>
      <c r="AV13" s="30"/>
      <c r="AW13" s="27" t="s">
        <v>91</v>
      </c>
      <c r="AX13" s="33"/>
      <c r="AY13" s="556"/>
      <c r="AZ13" s="27" t="s">
        <v>90</v>
      </c>
      <c r="BA13" s="30"/>
      <c r="BB13" s="27" t="s">
        <v>91</v>
      </c>
      <c r="BC13" s="33"/>
    </row>
    <row r="14" spans="1:66" ht="16.5" customHeight="1">
      <c r="A14" s="560"/>
      <c r="B14" s="561"/>
      <c r="C14" s="10" t="s">
        <v>40</v>
      </c>
      <c r="D14" s="15"/>
      <c r="E14" s="130" t="s">
        <v>255</v>
      </c>
      <c r="F14" s="131" t="s">
        <v>168</v>
      </c>
      <c r="G14" s="112">
        <v>5</v>
      </c>
      <c r="H14" s="350"/>
      <c r="I14" s="351"/>
      <c r="J14" s="352"/>
      <c r="K14" s="17"/>
      <c r="L14" s="16"/>
      <c r="M14" s="22"/>
      <c r="N14" s="23"/>
      <c r="O14" s="17"/>
      <c r="P14" s="16"/>
      <c r="Q14" s="22"/>
      <c r="R14" s="23"/>
      <c r="S14" s="520"/>
      <c r="T14" s="522"/>
      <c r="U14" s="524"/>
      <c r="V14" s="526"/>
      <c r="W14" s="520"/>
      <c r="X14" s="522"/>
      <c r="Y14" s="524"/>
      <c r="Z14" s="526"/>
      <c r="AA14" s="17" t="s">
        <v>61</v>
      </c>
      <c r="AB14" s="16" t="s">
        <v>83</v>
      </c>
      <c r="AC14" s="22" t="s">
        <v>84</v>
      </c>
      <c r="AD14" s="23" t="s">
        <v>85</v>
      </c>
      <c r="AE14" s="115"/>
      <c r="AF14" s="116"/>
      <c r="AG14" s="116"/>
      <c r="AH14" s="116"/>
      <c r="AI14" s="117"/>
      <c r="AJ14" s="118"/>
      <c r="AK14" s="119"/>
      <c r="AL14" s="120"/>
      <c r="AM14" s="121"/>
      <c r="AN14" s="121"/>
      <c r="AO14" s="121"/>
      <c r="AP14" s="122"/>
      <c r="AQ14" s="115"/>
      <c r="AR14" s="116"/>
      <c r="AS14" s="118"/>
      <c r="AT14" s="123"/>
      <c r="AU14" s="113"/>
      <c r="AV14" s="113"/>
      <c r="AW14" s="113"/>
      <c r="AX14" s="114"/>
      <c r="AY14" s="123"/>
      <c r="AZ14" s="113"/>
      <c r="BA14" s="113"/>
      <c r="BB14" s="113"/>
      <c r="BC14" s="114"/>
    </row>
    <row r="15" spans="1:66" ht="16.5" customHeight="1"/>
    <row r="16" spans="1:66" ht="16.5" customHeight="1">
      <c r="A16" s="560">
        <v>2</v>
      </c>
      <c r="B16" s="561" t="s">
        <v>226</v>
      </c>
      <c r="C16" s="8" t="s">
        <v>42</v>
      </c>
      <c r="D16" s="24"/>
      <c r="E16" s="8" t="s">
        <v>43</v>
      </c>
      <c r="F16" s="11"/>
      <c r="G16" s="354">
        <v>6</v>
      </c>
      <c r="H16" s="335"/>
      <c r="I16" s="336"/>
      <c r="J16" s="357"/>
      <c r="K16" s="8" t="s">
        <v>333</v>
      </c>
      <c r="L16" s="6"/>
      <c r="M16" s="18"/>
      <c r="N16" s="19"/>
      <c r="O16" s="8" t="s">
        <v>333</v>
      </c>
      <c r="P16" s="6"/>
      <c r="Q16" s="18"/>
      <c r="R16" s="19"/>
      <c r="S16" s="532" t="s">
        <v>51</v>
      </c>
      <c r="T16" s="533"/>
      <c r="U16" s="535"/>
      <c r="V16" s="537"/>
      <c r="W16" s="532" t="s">
        <v>51</v>
      </c>
      <c r="X16" s="533"/>
      <c r="Y16" s="535"/>
      <c r="Z16" s="537"/>
      <c r="AA16" s="8" t="s">
        <v>51</v>
      </c>
      <c r="AB16" s="6"/>
      <c r="AC16" s="18"/>
      <c r="AD16" s="19"/>
      <c r="AE16" s="552"/>
      <c r="AF16" s="550"/>
      <c r="AG16" s="550"/>
      <c r="AH16" s="550"/>
      <c r="AI16" s="550"/>
      <c r="AJ16" s="551"/>
      <c r="AK16" s="552"/>
      <c r="AL16" s="550"/>
      <c r="AM16" s="550"/>
      <c r="AN16" s="550"/>
      <c r="AO16" s="550"/>
      <c r="AP16" s="551"/>
      <c r="AQ16" s="542">
        <v>6</v>
      </c>
      <c r="AR16" s="543"/>
      <c r="AS16" s="544"/>
      <c r="AT16" s="554">
        <v>3</v>
      </c>
      <c r="AU16" s="25" t="s">
        <v>0</v>
      </c>
      <c r="AV16" s="557" t="s">
        <v>490</v>
      </c>
      <c r="AW16" s="558"/>
      <c r="AX16" s="559"/>
      <c r="AY16" s="554">
        <v>5</v>
      </c>
      <c r="AZ16" s="25" t="s">
        <v>0</v>
      </c>
      <c r="BA16" s="557"/>
      <c r="BB16" s="558"/>
      <c r="BC16" s="559"/>
    </row>
    <row r="17" spans="1:55" ht="16.5" customHeight="1">
      <c r="A17" s="560"/>
      <c r="B17" s="561"/>
      <c r="C17" s="9" t="s">
        <v>33</v>
      </c>
      <c r="D17" s="13"/>
      <c r="E17" s="9" t="s">
        <v>70</v>
      </c>
      <c r="F17" s="12"/>
      <c r="G17" s="355">
        <v>7</v>
      </c>
      <c r="H17" s="338"/>
      <c r="I17" s="339"/>
      <c r="J17" s="340"/>
      <c r="K17" s="9" t="s">
        <v>334</v>
      </c>
      <c r="L17" s="7"/>
      <c r="M17" s="20"/>
      <c r="N17" s="21"/>
      <c r="O17" s="9" t="s">
        <v>334</v>
      </c>
      <c r="P17" s="7"/>
      <c r="Q17" s="20"/>
      <c r="R17" s="21"/>
      <c r="S17" s="519"/>
      <c r="T17" s="527"/>
      <c r="U17" s="528"/>
      <c r="V17" s="529"/>
      <c r="W17" s="519"/>
      <c r="X17" s="527"/>
      <c r="Y17" s="528"/>
      <c r="Z17" s="529"/>
      <c r="AA17" s="9" t="s">
        <v>52</v>
      </c>
      <c r="AB17" s="7"/>
      <c r="AC17" s="20"/>
      <c r="AD17" s="21"/>
      <c r="AE17" s="547"/>
      <c r="AF17" s="545"/>
      <c r="AG17" s="545"/>
      <c r="AH17" s="545"/>
      <c r="AI17" s="545"/>
      <c r="AJ17" s="546"/>
      <c r="AK17" s="547"/>
      <c r="AL17" s="545"/>
      <c r="AM17" s="545"/>
      <c r="AN17" s="545"/>
      <c r="AO17" s="545"/>
      <c r="AP17" s="546"/>
      <c r="AQ17" s="530"/>
      <c r="AR17" s="515"/>
      <c r="AS17" s="517"/>
      <c r="AT17" s="555"/>
      <c r="AU17" s="26" t="s">
        <v>87</v>
      </c>
      <c r="AV17" s="124"/>
      <c r="AW17" s="26" t="s">
        <v>192</v>
      </c>
      <c r="AX17" s="126"/>
      <c r="AY17" s="555"/>
      <c r="AZ17" s="26" t="s">
        <v>87</v>
      </c>
      <c r="BA17" s="124"/>
      <c r="BB17" s="127" t="s">
        <v>192</v>
      </c>
      <c r="BC17" s="125"/>
    </row>
    <row r="18" spans="1:55" ht="16.5" customHeight="1">
      <c r="A18" s="560"/>
      <c r="B18" s="561"/>
      <c r="C18" s="9" t="s">
        <v>34</v>
      </c>
      <c r="D18" s="14"/>
      <c r="E18" s="9" t="s">
        <v>44</v>
      </c>
      <c r="F18" s="12"/>
      <c r="G18" s="355">
        <v>8</v>
      </c>
      <c r="H18" s="338"/>
      <c r="I18" s="339"/>
      <c r="J18" s="340"/>
      <c r="K18" s="9" t="s">
        <v>335</v>
      </c>
      <c r="L18" s="7"/>
      <c r="M18" s="20"/>
      <c r="N18" s="21"/>
      <c r="O18" s="9" t="s">
        <v>335</v>
      </c>
      <c r="P18" s="7"/>
      <c r="Q18" s="20"/>
      <c r="R18" s="21"/>
      <c r="S18" s="519"/>
      <c r="T18" s="527"/>
      <c r="U18" s="528"/>
      <c r="V18" s="529"/>
      <c r="W18" s="519"/>
      <c r="X18" s="539"/>
      <c r="Y18" s="540"/>
      <c r="Z18" s="541"/>
      <c r="AA18" s="9" t="s">
        <v>53</v>
      </c>
      <c r="AB18" s="7"/>
      <c r="AC18" s="20"/>
      <c r="AD18" s="21"/>
      <c r="AE18" s="547"/>
      <c r="AF18" s="545"/>
      <c r="AG18" s="545"/>
      <c r="AH18" s="545"/>
      <c r="AI18" s="545"/>
      <c r="AJ18" s="546"/>
      <c r="AK18" s="547"/>
      <c r="AL18" s="545"/>
      <c r="AM18" s="545"/>
      <c r="AN18" s="545"/>
      <c r="AO18" s="545"/>
      <c r="AP18" s="546"/>
      <c r="AQ18" s="530">
        <v>7</v>
      </c>
      <c r="AR18" s="515"/>
      <c r="AS18" s="517"/>
      <c r="AT18" s="555"/>
      <c r="AU18" s="26" t="s">
        <v>88</v>
      </c>
      <c r="AV18" s="28"/>
      <c r="AW18" s="26" t="s">
        <v>12</v>
      </c>
      <c r="AX18" s="31"/>
      <c r="AY18" s="555"/>
      <c r="AZ18" s="26" t="s">
        <v>88</v>
      </c>
      <c r="BA18" s="28"/>
      <c r="BB18" s="26" t="s">
        <v>12</v>
      </c>
      <c r="BC18" s="31"/>
    </row>
    <row r="19" spans="1:55" ht="16.5" customHeight="1">
      <c r="A19" s="560"/>
      <c r="B19" s="561"/>
      <c r="C19" s="9" t="s">
        <v>41</v>
      </c>
      <c r="D19" s="13"/>
      <c r="E19" s="9" t="s">
        <v>62</v>
      </c>
      <c r="F19" s="12"/>
      <c r="G19" s="355">
        <v>9</v>
      </c>
      <c r="H19" s="341"/>
      <c r="I19" s="342"/>
      <c r="J19" s="343"/>
      <c r="K19" s="9" t="s">
        <v>336</v>
      </c>
      <c r="L19" s="7"/>
      <c r="M19" s="20"/>
      <c r="N19" s="21"/>
      <c r="O19" s="9" t="s">
        <v>336</v>
      </c>
      <c r="P19" s="7"/>
      <c r="Q19" s="20"/>
      <c r="R19" s="21"/>
      <c r="S19" s="519"/>
      <c r="T19" s="534"/>
      <c r="U19" s="536"/>
      <c r="V19" s="538"/>
      <c r="W19" s="532" t="s">
        <v>52</v>
      </c>
      <c r="X19" s="533"/>
      <c r="Y19" s="535"/>
      <c r="Z19" s="537"/>
      <c r="AA19" s="9" t="s">
        <v>54</v>
      </c>
      <c r="AB19" s="7"/>
      <c r="AC19" s="20"/>
      <c r="AD19" s="21"/>
      <c r="AE19" s="547"/>
      <c r="AF19" s="545"/>
      <c r="AG19" s="545"/>
      <c r="AH19" s="545"/>
      <c r="AI19" s="545"/>
      <c r="AJ19" s="546"/>
      <c r="AK19" s="547"/>
      <c r="AL19" s="545"/>
      <c r="AM19" s="545"/>
      <c r="AN19" s="545"/>
      <c r="AO19" s="545"/>
      <c r="AP19" s="546"/>
      <c r="AQ19" s="530"/>
      <c r="AR19" s="515"/>
      <c r="AS19" s="517"/>
      <c r="AT19" s="555"/>
      <c r="AU19" s="26" t="s">
        <v>89</v>
      </c>
      <c r="AV19" s="29"/>
      <c r="AW19" s="26" t="s">
        <v>12</v>
      </c>
      <c r="AX19" s="32"/>
      <c r="AY19" s="555"/>
      <c r="AZ19" s="26" t="s">
        <v>89</v>
      </c>
      <c r="BA19" s="29"/>
      <c r="BB19" s="26" t="s">
        <v>12</v>
      </c>
      <c r="BC19" s="32"/>
    </row>
    <row r="20" spans="1:55" ht="16.5" customHeight="1">
      <c r="A20" s="560"/>
      <c r="B20" s="561"/>
      <c r="C20" s="9" t="s">
        <v>417</v>
      </c>
      <c r="D20" s="3"/>
      <c r="E20" s="9" t="s">
        <v>45</v>
      </c>
      <c r="F20" s="12"/>
      <c r="G20" s="356">
        <v>10</v>
      </c>
      <c r="H20" s="344"/>
      <c r="I20" s="345"/>
      <c r="J20" s="346"/>
      <c r="K20" s="9" t="s">
        <v>337</v>
      </c>
      <c r="L20" s="7"/>
      <c r="M20" s="20"/>
      <c r="N20" s="21"/>
      <c r="O20" s="9" t="s">
        <v>337</v>
      </c>
      <c r="P20" s="7"/>
      <c r="Q20" s="20"/>
      <c r="R20" s="21"/>
      <c r="S20" s="519" t="s">
        <v>52</v>
      </c>
      <c r="T20" s="527"/>
      <c r="U20" s="528"/>
      <c r="V20" s="529"/>
      <c r="W20" s="519"/>
      <c r="X20" s="527"/>
      <c r="Y20" s="528"/>
      <c r="Z20" s="529"/>
      <c r="AA20" s="9" t="s">
        <v>55</v>
      </c>
      <c r="AB20" s="7"/>
      <c r="AC20" s="20"/>
      <c r="AD20" s="21"/>
      <c r="AE20" s="547"/>
      <c r="AF20" s="545"/>
      <c r="AG20" s="545"/>
      <c r="AH20" s="545"/>
      <c r="AI20" s="545"/>
      <c r="AJ20" s="546"/>
      <c r="AK20" s="547"/>
      <c r="AL20" s="545"/>
      <c r="AM20" s="545"/>
      <c r="AN20" s="545"/>
      <c r="AO20" s="545"/>
      <c r="AP20" s="546"/>
      <c r="AQ20" s="530">
        <v>8</v>
      </c>
      <c r="AR20" s="515"/>
      <c r="AS20" s="517"/>
      <c r="AT20" s="556"/>
      <c r="AU20" s="27" t="s">
        <v>90</v>
      </c>
      <c r="AV20" s="30"/>
      <c r="AW20" s="27" t="s">
        <v>91</v>
      </c>
      <c r="AX20" s="33"/>
      <c r="AY20" s="556"/>
      <c r="AZ20" s="27" t="s">
        <v>90</v>
      </c>
      <c r="BA20" s="30"/>
      <c r="BB20" s="27" t="s">
        <v>91</v>
      </c>
      <c r="BC20" s="33"/>
    </row>
    <row r="21" spans="1:55" ht="22.5" customHeight="1">
      <c r="A21" s="560"/>
      <c r="B21" s="561"/>
      <c r="C21" s="9" t="s">
        <v>35</v>
      </c>
      <c r="D21" s="13"/>
      <c r="E21" s="9" t="s">
        <v>46</v>
      </c>
      <c r="F21" s="12"/>
      <c r="G21" s="5" t="s">
        <v>12</v>
      </c>
      <c r="H21" s="128" t="s">
        <v>13</v>
      </c>
      <c r="I21" s="4" t="s">
        <v>14</v>
      </c>
      <c r="J21" s="4" t="s">
        <v>15</v>
      </c>
      <c r="K21" s="9" t="s">
        <v>338</v>
      </c>
      <c r="L21" s="7"/>
      <c r="M21" s="20"/>
      <c r="N21" s="21"/>
      <c r="O21" s="9" t="s">
        <v>338</v>
      </c>
      <c r="P21" s="7"/>
      <c r="Q21" s="20"/>
      <c r="R21" s="21"/>
      <c r="S21" s="519"/>
      <c r="T21" s="527"/>
      <c r="U21" s="528"/>
      <c r="V21" s="529"/>
      <c r="W21" s="519"/>
      <c r="X21" s="539"/>
      <c r="Y21" s="540"/>
      <c r="Z21" s="541"/>
      <c r="AA21" s="9" t="s">
        <v>56</v>
      </c>
      <c r="AB21" s="7"/>
      <c r="AC21" s="20"/>
      <c r="AD21" s="21"/>
      <c r="AE21" s="547"/>
      <c r="AF21" s="545"/>
      <c r="AG21" s="545"/>
      <c r="AH21" s="545"/>
      <c r="AI21" s="545"/>
      <c r="AJ21" s="546"/>
      <c r="AK21" s="547"/>
      <c r="AL21" s="545"/>
      <c r="AM21" s="545"/>
      <c r="AN21" s="545"/>
      <c r="AO21" s="545"/>
      <c r="AP21" s="546"/>
      <c r="AQ21" s="530"/>
      <c r="AR21" s="515"/>
      <c r="AS21" s="517"/>
      <c r="AT21" s="554">
        <v>4</v>
      </c>
      <c r="AU21" s="25" t="s">
        <v>0</v>
      </c>
      <c r="AV21" s="557"/>
      <c r="AW21" s="558"/>
      <c r="AX21" s="559"/>
      <c r="AY21" s="554">
        <v>6</v>
      </c>
      <c r="AZ21" s="25" t="s">
        <v>0</v>
      </c>
      <c r="BA21" s="557"/>
      <c r="BB21" s="558"/>
      <c r="BC21" s="559"/>
    </row>
    <row r="22" spans="1:55" ht="16.5" customHeight="1">
      <c r="A22" s="560"/>
      <c r="B22" s="561"/>
      <c r="C22" s="9" t="s">
        <v>36</v>
      </c>
      <c r="D22" s="13"/>
      <c r="E22" s="9" t="s">
        <v>47</v>
      </c>
      <c r="F22" s="12"/>
      <c r="G22" s="354">
        <v>6</v>
      </c>
      <c r="H22" s="335"/>
      <c r="I22" s="336"/>
      <c r="J22" s="357"/>
      <c r="K22" s="9" t="s">
        <v>339</v>
      </c>
      <c r="L22" s="7"/>
      <c r="M22" s="20"/>
      <c r="N22" s="21"/>
      <c r="O22" s="9" t="s">
        <v>339</v>
      </c>
      <c r="P22" s="7"/>
      <c r="Q22" s="20"/>
      <c r="R22" s="21"/>
      <c r="S22" s="519"/>
      <c r="T22" s="527"/>
      <c r="U22" s="528"/>
      <c r="V22" s="529"/>
      <c r="W22" s="532" t="s">
        <v>344</v>
      </c>
      <c r="X22" s="533"/>
      <c r="Y22" s="535"/>
      <c r="Z22" s="537"/>
      <c r="AA22" s="9"/>
      <c r="AB22" s="7"/>
      <c r="AC22" s="20"/>
      <c r="AD22" s="21"/>
      <c r="AE22" s="547"/>
      <c r="AF22" s="545"/>
      <c r="AG22" s="545"/>
      <c r="AH22" s="545"/>
      <c r="AI22" s="545"/>
      <c r="AJ22" s="546"/>
      <c r="AK22" s="547"/>
      <c r="AL22" s="545"/>
      <c r="AM22" s="545"/>
      <c r="AN22" s="545"/>
      <c r="AO22" s="545"/>
      <c r="AP22" s="546"/>
      <c r="AQ22" s="530">
        <v>9</v>
      </c>
      <c r="AR22" s="515"/>
      <c r="AS22" s="517"/>
      <c r="AT22" s="555"/>
      <c r="AU22" s="26" t="s">
        <v>87</v>
      </c>
      <c r="AV22" s="124"/>
      <c r="AW22" s="127" t="s">
        <v>192</v>
      </c>
      <c r="AX22" s="125"/>
      <c r="AY22" s="555"/>
      <c r="AZ22" s="26" t="s">
        <v>87</v>
      </c>
      <c r="BA22" s="124"/>
      <c r="BB22" s="127" t="s">
        <v>192</v>
      </c>
      <c r="BC22" s="125"/>
    </row>
    <row r="23" spans="1:55" ht="16.5" customHeight="1">
      <c r="A23" s="560"/>
      <c r="B23" s="561"/>
      <c r="C23" s="9" t="s">
        <v>37</v>
      </c>
      <c r="D23" s="13"/>
      <c r="E23" s="9" t="s">
        <v>48</v>
      </c>
      <c r="F23" s="12"/>
      <c r="G23" s="355">
        <v>7</v>
      </c>
      <c r="H23" s="338"/>
      <c r="I23" s="339"/>
      <c r="J23" s="340"/>
      <c r="K23" s="353" t="s">
        <v>340</v>
      </c>
      <c r="L23" s="7"/>
      <c r="M23" s="20"/>
      <c r="N23" s="21"/>
      <c r="O23" s="353" t="s">
        <v>340</v>
      </c>
      <c r="P23" s="7"/>
      <c r="Q23" s="20"/>
      <c r="R23" s="21"/>
      <c r="S23" s="519"/>
      <c r="T23" s="539"/>
      <c r="U23" s="540"/>
      <c r="V23" s="541"/>
      <c r="W23" s="519"/>
      <c r="X23" s="527"/>
      <c r="Y23" s="528"/>
      <c r="Z23" s="529"/>
      <c r="AA23" s="9" t="s">
        <v>58</v>
      </c>
      <c r="AB23" s="7"/>
      <c r="AC23" s="20"/>
      <c r="AD23" s="21"/>
      <c r="AE23" s="547"/>
      <c r="AF23" s="545"/>
      <c r="AG23" s="545"/>
      <c r="AH23" s="545"/>
      <c r="AI23" s="545"/>
      <c r="AJ23" s="546"/>
      <c r="AK23" s="547"/>
      <c r="AL23" s="545"/>
      <c r="AM23" s="545"/>
      <c r="AN23" s="545"/>
      <c r="AO23" s="545"/>
      <c r="AP23" s="546"/>
      <c r="AQ23" s="530"/>
      <c r="AR23" s="515"/>
      <c r="AS23" s="517"/>
      <c r="AT23" s="555"/>
      <c r="AU23" s="26" t="s">
        <v>88</v>
      </c>
      <c r="AV23" s="28"/>
      <c r="AW23" s="26" t="s">
        <v>12</v>
      </c>
      <c r="AX23" s="31"/>
      <c r="AY23" s="555"/>
      <c r="AZ23" s="26" t="s">
        <v>88</v>
      </c>
      <c r="BA23" s="28"/>
      <c r="BB23" s="26" t="s">
        <v>12</v>
      </c>
      <c r="BC23" s="31"/>
    </row>
    <row r="24" spans="1:55" ht="16.5" customHeight="1">
      <c r="A24" s="560"/>
      <c r="B24" s="561"/>
      <c r="C24" s="9" t="s">
        <v>38</v>
      </c>
      <c r="D24" s="13"/>
      <c r="E24" s="9" t="s">
        <v>49</v>
      </c>
      <c r="F24" s="12"/>
      <c r="G24" s="355">
        <v>8</v>
      </c>
      <c r="H24" s="338"/>
      <c r="I24" s="339"/>
      <c r="J24" s="340"/>
      <c r="K24" s="9" t="s">
        <v>341</v>
      </c>
      <c r="L24" s="7"/>
      <c r="M24" s="20"/>
      <c r="N24" s="21"/>
      <c r="O24" s="9" t="s">
        <v>341</v>
      </c>
      <c r="P24" s="7"/>
      <c r="Q24" s="20"/>
      <c r="R24" s="21"/>
      <c r="S24" s="519" t="s">
        <v>344</v>
      </c>
      <c r="T24" s="521"/>
      <c r="U24" s="523"/>
      <c r="V24" s="525"/>
      <c r="W24" s="519"/>
      <c r="X24" s="539"/>
      <c r="Y24" s="540"/>
      <c r="Z24" s="541"/>
      <c r="AA24" s="9" t="s">
        <v>59</v>
      </c>
      <c r="AB24" s="7"/>
      <c r="AC24" s="20"/>
      <c r="AD24" s="21"/>
      <c r="AE24" s="547"/>
      <c r="AF24" s="545"/>
      <c r="AG24" s="545"/>
      <c r="AH24" s="545"/>
      <c r="AI24" s="545"/>
      <c r="AJ24" s="546"/>
      <c r="AK24" s="547"/>
      <c r="AL24" s="545"/>
      <c r="AM24" s="545"/>
      <c r="AN24" s="545"/>
      <c r="AO24" s="545"/>
      <c r="AP24" s="546"/>
      <c r="AQ24" s="530">
        <v>10</v>
      </c>
      <c r="AR24" s="515"/>
      <c r="AS24" s="517"/>
      <c r="AT24" s="555"/>
      <c r="AU24" s="26" t="s">
        <v>89</v>
      </c>
      <c r="AV24" s="29"/>
      <c r="AW24" s="26" t="s">
        <v>12</v>
      </c>
      <c r="AX24" s="32"/>
      <c r="AY24" s="555"/>
      <c r="AZ24" s="26" t="s">
        <v>89</v>
      </c>
      <c r="BA24" s="29"/>
      <c r="BB24" s="26" t="s">
        <v>12</v>
      </c>
      <c r="BC24" s="32"/>
    </row>
    <row r="25" spans="1:55" ht="16.5" customHeight="1">
      <c r="A25" s="560"/>
      <c r="B25" s="561"/>
      <c r="C25" s="9" t="s">
        <v>39</v>
      </c>
      <c r="D25" s="13"/>
      <c r="E25" s="9" t="s">
        <v>50</v>
      </c>
      <c r="F25" s="132"/>
      <c r="G25" s="355">
        <v>9</v>
      </c>
      <c r="H25" s="347"/>
      <c r="I25" s="348"/>
      <c r="J25" s="349"/>
      <c r="K25" s="9"/>
      <c r="L25" s="7"/>
      <c r="M25" s="20"/>
      <c r="N25" s="21"/>
      <c r="O25" s="9"/>
      <c r="P25" s="7"/>
      <c r="Q25" s="20"/>
      <c r="R25" s="21"/>
      <c r="S25" s="519"/>
      <c r="T25" s="527"/>
      <c r="U25" s="528"/>
      <c r="V25" s="529"/>
      <c r="W25" s="519" t="s">
        <v>60</v>
      </c>
      <c r="X25" s="521"/>
      <c r="Y25" s="523"/>
      <c r="Z25" s="525"/>
      <c r="AA25" s="9" t="s">
        <v>60</v>
      </c>
      <c r="AB25" s="7"/>
      <c r="AC25" s="20"/>
      <c r="AD25" s="21"/>
      <c r="AE25" s="553"/>
      <c r="AF25" s="548"/>
      <c r="AG25" s="548"/>
      <c r="AH25" s="548"/>
      <c r="AI25" s="548"/>
      <c r="AJ25" s="549"/>
      <c r="AK25" s="553"/>
      <c r="AL25" s="548"/>
      <c r="AM25" s="548"/>
      <c r="AN25" s="548"/>
      <c r="AO25" s="548"/>
      <c r="AP25" s="549"/>
      <c r="AQ25" s="531"/>
      <c r="AR25" s="516"/>
      <c r="AS25" s="518"/>
      <c r="AT25" s="556"/>
      <c r="AU25" s="27" t="s">
        <v>90</v>
      </c>
      <c r="AV25" s="30"/>
      <c r="AW25" s="27" t="s">
        <v>91</v>
      </c>
      <c r="AX25" s="33"/>
      <c r="AY25" s="556"/>
      <c r="AZ25" s="27" t="s">
        <v>90</v>
      </c>
      <c r="BA25" s="30"/>
      <c r="BB25" s="27" t="s">
        <v>91</v>
      </c>
      <c r="BC25" s="33"/>
    </row>
    <row r="26" spans="1:55" ht="16.5" customHeight="1">
      <c r="A26" s="560"/>
      <c r="B26" s="561"/>
      <c r="C26" s="10" t="s">
        <v>40</v>
      </c>
      <c r="D26" s="15"/>
      <c r="E26" s="130" t="s">
        <v>255</v>
      </c>
      <c r="F26" s="131"/>
      <c r="G26" s="356">
        <v>10</v>
      </c>
      <c r="H26" s="350"/>
      <c r="I26" s="351"/>
      <c r="J26" s="352"/>
      <c r="K26" s="17"/>
      <c r="L26" s="16"/>
      <c r="M26" s="22"/>
      <c r="N26" s="23"/>
      <c r="O26" s="17"/>
      <c r="P26" s="16"/>
      <c r="Q26" s="22"/>
      <c r="R26" s="23"/>
      <c r="S26" s="520"/>
      <c r="T26" s="522"/>
      <c r="U26" s="524"/>
      <c r="V26" s="526"/>
      <c r="W26" s="520"/>
      <c r="X26" s="522"/>
      <c r="Y26" s="524"/>
      <c r="Z26" s="526"/>
      <c r="AA26" s="17" t="s">
        <v>61</v>
      </c>
      <c r="AB26" s="16"/>
      <c r="AC26" s="22"/>
      <c r="AD26" s="23"/>
      <c r="AE26" s="115"/>
      <c r="AF26" s="116"/>
      <c r="AG26" s="116"/>
      <c r="AH26" s="116"/>
      <c r="AI26" s="117"/>
      <c r="AJ26" s="118"/>
      <c r="AK26" s="119"/>
      <c r="AL26" s="120"/>
      <c r="AM26" s="121"/>
      <c r="AN26" s="121"/>
      <c r="AO26" s="121"/>
      <c r="AP26" s="122"/>
      <c r="AQ26" s="115"/>
      <c r="AR26" s="116"/>
      <c r="AS26" s="118"/>
      <c r="AT26" s="123"/>
      <c r="AU26" s="113"/>
      <c r="AV26" s="113"/>
      <c r="AW26" s="113"/>
      <c r="AX26" s="114"/>
      <c r="AY26" s="123"/>
      <c r="AZ26" s="113"/>
      <c r="BA26" s="113"/>
      <c r="BB26" s="113"/>
      <c r="BC26" s="114"/>
    </row>
    <row r="27" spans="1:55" ht="16.5" customHeight="1"/>
    <row r="28" spans="1:55" ht="16.5" customHeight="1">
      <c r="A28" s="560">
        <v>3</v>
      </c>
      <c r="B28" s="561" t="s">
        <v>227</v>
      </c>
      <c r="C28" s="8" t="s">
        <v>42</v>
      </c>
      <c r="D28" s="24"/>
      <c r="E28" s="8" t="s">
        <v>43</v>
      </c>
      <c r="F28" s="11"/>
      <c r="G28" s="354">
        <v>11</v>
      </c>
      <c r="H28" s="335"/>
      <c r="I28" s="336"/>
      <c r="J28" s="357"/>
      <c r="K28" s="8" t="s">
        <v>333</v>
      </c>
      <c r="L28" s="6"/>
      <c r="M28" s="18"/>
      <c r="N28" s="19"/>
      <c r="O28" s="8" t="s">
        <v>333</v>
      </c>
      <c r="P28" s="6"/>
      <c r="Q28" s="18"/>
      <c r="R28" s="19"/>
      <c r="S28" s="532" t="s">
        <v>51</v>
      </c>
      <c r="T28" s="533"/>
      <c r="U28" s="535"/>
      <c r="V28" s="537"/>
      <c r="W28" s="532" t="s">
        <v>51</v>
      </c>
      <c r="X28" s="533"/>
      <c r="Y28" s="535"/>
      <c r="Z28" s="537"/>
      <c r="AA28" s="8" t="s">
        <v>51</v>
      </c>
      <c r="AB28" s="6"/>
      <c r="AC28" s="18"/>
      <c r="AD28" s="19"/>
      <c r="AE28" s="552"/>
      <c r="AF28" s="550"/>
      <c r="AG28" s="550"/>
      <c r="AH28" s="550"/>
      <c r="AI28" s="550"/>
      <c r="AJ28" s="551"/>
      <c r="AK28" s="552"/>
      <c r="AL28" s="550"/>
      <c r="AM28" s="550"/>
      <c r="AN28" s="550"/>
      <c r="AO28" s="550"/>
      <c r="AP28" s="551"/>
      <c r="AQ28" s="542">
        <v>11</v>
      </c>
      <c r="AR28" s="543"/>
      <c r="AS28" s="544"/>
      <c r="AT28" s="554">
        <v>5</v>
      </c>
      <c r="AU28" s="25" t="s">
        <v>0</v>
      </c>
      <c r="AV28" s="557"/>
      <c r="AW28" s="558"/>
      <c r="AX28" s="559"/>
      <c r="AY28" s="554">
        <v>7</v>
      </c>
      <c r="AZ28" s="25" t="s">
        <v>0</v>
      </c>
      <c r="BA28" s="557"/>
      <c r="BB28" s="558"/>
      <c r="BC28" s="559"/>
    </row>
    <row r="29" spans="1:55" ht="16.5" customHeight="1">
      <c r="A29" s="560"/>
      <c r="B29" s="561"/>
      <c r="C29" s="9" t="s">
        <v>33</v>
      </c>
      <c r="D29" s="13"/>
      <c r="E29" s="9" t="s">
        <v>70</v>
      </c>
      <c r="F29" s="12"/>
      <c r="G29" s="355">
        <v>12</v>
      </c>
      <c r="H29" s="338"/>
      <c r="I29" s="339"/>
      <c r="J29" s="340"/>
      <c r="K29" s="9" t="s">
        <v>334</v>
      </c>
      <c r="L29" s="7"/>
      <c r="M29" s="20"/>
      <c r="N29" s="21"/>
      <c r="O29" s="9" t="s">
        <v>334</v>
      </c>
      <c r="P29" s="7"/>
      <c r="Q29" s="20"/>
      <c r="R29" s="21"/>
      <c r="S29" s="519"/>
      <c r="T29" s="527"/>
      <c r="U29" s="528"/>
      <c r="V29" s="529"/>
      <c r="W29" s="519"/>
      <c r="X29" s="527"/>
      <c r="Y29" s="528"/>
      <c r="Z29" s="529"/>
      <c r="AA29" s="9" t="s">
        <v>52</v>
      </c>
      <c r="AB29" s="7"/>
      <c r="AC29" s="20"/>
      <c r="AD29" s="21"/>
      <c r="AE29" s="547"/>
      <c r="AF29" s="545"/>
      <c r="AG29" s="545"/>
      <c r="AH29" s="545"/>
      <c r="AI29" s="545"/>
      <c r="AJ29" s="546"/>
      <c r="AK29" s="547"/>
      <c r="AL29" s="545"/>
      <c r="AM29" s="545"/>
      <c r="AN29" s="545"/>
      <c r="AO29" s="545"/>
      <c r="AP29" s="546"/>
      <c r="AQ29" s="530"/>
      <c r="AR29" s="515"/>
      <c r="AS29" s="517"/>
      <c r="AT29" s="555"/>
      <c r="AU29" s="26" t="s">
        <v>87</v>
      </c>
      <c r="AV29" s="124"/>
      <c r="AW29" s="26" t="s">
        <v>192</v>
      </c>
      <c r="AX29" s="126"/>
      <c r="AY29" s="555"/>
      <c r="AZ29" s="26" t="s">
        <v>87</v>
      </c>
      <c r="BA29" s="124"/>
      <c r="BB29" s="127" t="s">
        <v>192</v>
      </c>
      <c r="BC29" s="125"/>
    </row>
    <row r="30" spans="1:55" ht="16.5" customHeight="1">
      <c r="A30" s="560"/>
      <c r="B30" s="561"/>
      <c r="C30" s="9" t="s">
        <v>34</v>
      </c>
      <c r="D30" s="14"/>
      <c r="E30" s="9" t="s">
        <v>44</v>
      </c>
      <c r="F30" s="12"/>
      <c r="G30" s="355">
        <v>13</v>
      </c>
      <c r="H30" s="338"/>
      <c r="I30" s="339"/>
      <c r="J30" s="340"/>
      <c r="K30" s="9" t="s">
        <v>335</v>
      </c>
      <c r="L30" s="7"/>
      <c r="M30" s="20"/>
      <c r="N30" s="21"/>
      <c r="O30" s="9" t="s">
        <v>335</v>
      </c>
      <c r="P30" s="7"/>
      <c r="Q30" s="20"/>
      <c r="R30" s="21"/>
      <c r="S30" s="519"/>
      <c r="T30" s="527"/>
      <c r="U30" s="528"/>
      <c r="V30" s="529"/>
      <c r="W30" s="519"/>
      <c r="X30" s="539"/>
      <c r="Y30" s="540"/>
      <c r="Z30" s="541"/>
      <c r="AA30" s="9" t="s">
        <v>53</v>
      </c>
      <c r="AB30" s="7"/>
      <c r="AC30" s="20"/>
      <c r="AD30" s="21"/>
      <c r="AE30" s="547"/>
      <c r="AF30" s="545"/>
      <c r="AG30" s="545"/>
      <c r="AH30" s="545"/>
      <c r="AI30" s="545"/>
      <c r="AJ30" s="546"/>
      <c r="AK30" s="547"/>
      <c r="AL30" s="545"/>
      <c r="AM30" s="545"/>
      <c r="AN30" s="545"/>
      <c r="AO30" s="545"/>
      <c r="AP30" s="546"/>
      <c r="AQ30" s="530">
        <v>12</v>
      </c>
      <c r="AR30" s="515"/>
      <c r="AS30" s="517"/>
      <c r="AT30" s="555"/>
      <c r="AU30" s="26" t="s">
        <v>88</v>
      </c>
      <c r="AV30" s="28"/>
      <c r="AW30" s="26" t="s">
        <v>12</v>
      </c>
      <c r="AX30" s="31"/>
      <c r="AY30" s="555"/>
      <c r="AZ30" s="26" t="s">
        <v>88</v>
      </c>
      <c r="BA30" s="28"/>
      <c r="BB30" s="26" t="s">
        <v>12</v>
      </c>
      <c r="BC30" s="31"/>
    </row>
    <row r="31" spans="1:55" ht="16.5" customHeight="1">
      <c r="A31" s="560"/>
      <c r="B31" s="561"/>
      <c r="C31" s="9" t="s">
        <v>41</v>
      </c>
      <c r="D31" s="13"/>
      <c r="E31" s="9" t="s">
        <v>62</v>
      </c>
      <c r="F31" s="12"/>
      <c r="G31" s="355">
        <v>14</v>
      </c>
      <c r="H31" s="341"/>
      <c r="I31" s="342"/>
      <c r="J31" s="343"/>
      <c r="K31" s="9" t="s">
        <v>336</v>
      </c>
      <c r="L31" s="7"/>
      <c r="M31" s="20"/>
      <c r="N31" s="21"/>
      <c r="O31" s="9" t="s">
        <v>336</v>
      </c>
      <c r="P31" s="7"/>
      <c r="Q31" s="20"/>
      <c r="R31" s="21"/>
      <c r="S31" s="519"/>
      <c r="T31" s="534"/>
      <c r="U31" s="536"/>
      <c r="V31" s="538"/>
      <c r="W31" s="532" t="s">
        <v>52</v>
      </c>
      <c r="X31" s="533"/>
      <c r="Y31" s="535"/>
      <c r="Z31" s="537"/>
      <c r="AA31" s="9" t="s">
        <v>54</v>
      </c>
      <c r="AB31" s="7"/>
      <c r="AC31" s="20"/>
      <c r="AD31" s="21"/>
      <c r="AE31" s="547"/>
      <c r="AF31" s="545"/>
      <c r="AG31" s="545"/>
      <c r="AH31" s="545"/>
      <c r="AI31" s="545"/>
      <c r="AJ31" s="546"/>
      <c r="AK31" s="547"/>
      <c r="AL31" s="545"/>
      <c r="AM31" s="545"/>
      <c r="AN31" s="545"/>
      <c r="AO31" s="545"/>
      <c r="AP31" s="546"/>
      <c r="AQ31" s="530"/>
      <c r="AR31" s="515"/>
      <c r="AS31" s="517"/>
      <c r="AT31" s="555"/>
      <c r="AU31" s="26" t="s">
        <v>89</v>
      </c>
      <c r="AV31" s="29"/>
      <c r="AW31" s="26" t="s">
        <v>12</v>
      </c>
      <c r="AX31" s="32"/>
      <c r="AY31" s="555"/>
      <c r="AZ31" s="26" t="s">
        <v>89</v>
      </c>
      <c r="BA31" s="29"/>
      <c r="BB31" s="26" t="s">
        <v>12</v>
      </c>
      <c r="BC31" s="32"/>
    </row>
    <row r="32" spans="1:55" ht="16.5" customHeight="1">
      <c r="A32" s="560"/>
      <c r="B32" s="561"/>
      <c r="C32" s="9" t="s">
        <v>417</v>
      </c>
      <c r="D32" s="3"/>
      <c r="E32" s="9" t="s">
        <v>45</v>
      </c>
      <c r="F32" s="12"/>
      <c r="G32" s="356">
        <v>15</v>
      </c>
      <c r="H32" s="344"/>
      <c r="I32" s="345"/>
      <c r="J32" s="346"/>
      <c r="K32" s="9" t="s">
        <v>337</v>
      </c>
      <c r="L32" s="7"/>
      <c r="M32" s="20"/>
      <c r="N32" s="21"/>
      <c r="O32" s="9" t="s">
        <v>337</v>
      </c>
      <c r="P32" s="7"/>
      <c r="Q32" s="20"/>
      <c r="R32" s="21"/>
      <c r="S32" s="519" t="s">
        <v>52</v>
      </c>
      <c r="T32" s="527"/>
      <c r="U32" s="528"/>
      <c r="V32" s="529"/>
      <c r="W32" s="519"/>
      <c r="X32" s="527"/>
      <c r="Y32" s="528"/>
      <c r="Z32" s="529"/>
      <c r="AA32" s="9" t="s">
        <v>55</v>
      </c>
      <c r="AB32" s="7"/>
      <c r="AC32" s="20"/>
      <c r="AD32" s="21"/>
      <c r="AE32" s="547"/>
      <c r="AF32" s="545"/>
      <c r="AG32" s="545"/>
      <c r="AH32" s="545"/>
      <c r="AI32" s="545"/>
      <c r="AJ32" s="546"/>
      <c r="AK32" s="547"/>
      <c r="AL32" s="545"/>
      <c r="AM32" s="545"/>
      <c r="AN32" s="545"/>
      <c r="AO32" s="545"/>
      <c r="AP32" s="546"/>
      <c r="AQ32" s="530">
        <v>13</v>
      </c>
      <c r="AR32" s="515"/>
      <c r="AS32" s="517"/>
      <c r="AT32" s="556"/>
      <c r="AU32" s="27" t="s">
        <v>90</v>
      </c>
      <c r="AV32" s="30"/>
      <c r="AW32" s="27" t="s">
        <v>91</v>
      </c>
      <c r="AX32" s="33"/>
      <c r="AY32" s="556"/>
      <c r="AZ32" s="27" t="s">
        <v>90</v>
      </c>
      <c r="BA32" s="30"/>
      <c r="BB32" s="27" t="s">
        <v>91</v>
      </c>
      <c r="BC32" s="33"/>
    </row>
    <row r="33" spans="1:55" ht="16.5" customHeight="1">
      <c r="A33" s="560"/>
      <c r="B33" s="561"/>
      <c r="C33" s="9" t="s">
        <v>35</v>
      </c>
      <c r="D33" s="13"/>
      <c r="E33" s="9" t="s">
        <v>46</v>
      </c>
      <c r="F33" s="12"/>
      <c r="G33" s="5" t="s">
        <v>12</v>
      </c>
      <c r="H33" s="128" t="s">
        <v>13</v>
      </c>
      <c r="I33" s="4" t="s">
        <v>14</v>
      </c>
      <c r="J33" s="4" t="s">
        <v>15</v>
      </c>
      <c r="K33" s="9" t="s">
        <v>338</v>
      </c>
      <c r="L33" s="7"/>
      <c r="M33" s="20"/>
      <c r="N33" s="21"/>
      <c r="O33" s="9" t="s">
        <v>338</v>
      </c>
      <c r="P33" s="7"/>
      <c r="Q33" s="20"/>
      <c r="R33" s="21"/>
      <c r="S33" s="519"/>
      <c r="T33" s="527"/>
      <c r="U33" s="528"/>
      <c r="V33" s="529"/>
      <c r="W33" s="519"/>
      <c r="X33" s="539"/>
      <c r="Y33" s="540"/>
      <c r="Z33" s="541"/>
      <c r="AA33" s="9" t="s">
        <v>56</v>
      </c>
      <c r="AB33" s="7"/>
      <c r="AC33" s="20"/>
      <c r="AD33" s="21"/>
      <c r="AE33" s="547"/>
      <c r="AF33" s="545"/>
      <c r="AG33" s="545"/>
      <c r="AH33" s="545"/>
      <c r="AI33" s="545"/>
      <c r="AJ33" s="546"/>
      <c r="AK33" s="547"/>
      <c r="AL33" s="545"/>
      <c r="AM33" s="545"/>
      <c r="AN33" s="545"/>
      <c r="AO33" s="545"/>
      <c r="AP33" s="546"/>
      <c r="AQ33" s="530"/>
      <c r="AR33" s="515"/>
      <c r="AS33" s="517"/>
      <c r="AT33" s="554">
        <v>6</v>
      </c>
      <c r="AU33" s="25" t="s">
        <v>0</v>
      </c>
      <c r="AV33" s="557"/>
      <c r="AW33" s="558"/>
      <c r="AX33" s="559"/>
      <c r="AY33" s="554">
        <v>8</v>
      </c>
      <c r="AZ33" s="25" t="s">
        <v>0</v>
      </c>
      <c r="BA33" s="557"/>
      <c r="BB33" s="558"/>
      <c r="BC33" s="559"/>
    </row>
    <row r="34" spans="1:55" ht="16.5" customHeight="1">
      <c r="A34" s="560"/>
      <c r="B34" s="561"/>
      <c r="C34" s="9" t="s">
        <v>36</v>
      </c>
      <c r="D34" s="13"/>
      <c r="E34" s="9" t="s">
        <v>47</v>
      </c>
      <c r="F34" s="12"/>
      <c r="G34" s="354">
        <v>11</v>
      </c>
      <c r="H34" s="335"/>
      <c r="I34" s="336"/>
      <c r="J34" s="357"/>
      <c r="K34" s="9" t="s">
        <v>339</v>
      </c>
      <c r="L34" s="7"/>
      <c r="M34" s="20"/>
      <c r="N34" s="21"/>
      <c r="O34" s="9" t="s">
        <v>339</v>
      </c>
      <c r="P34" s="7"/>
      <c r="Q34" s="20"/>
      <c r="R34" s="21"/>
      <c r="S34" s="519"/>
      <c r="T34" s="527"/>
      <c r="U34" s="528"/>
      <c r="V34" s="529"/>
      <c r="W34" s="532" t="s">
        <v>344</v>
      </c>
      <c r="X34" s="533"/>
      <c r="Y34" s="535"/>
      <c r="Z34" s="537"/>
      <c r="AA34" s="9"/>
      <c r="AB34" s="7"/>
      <c r="AC34" s="20"/>
      <c r="AD34" s="21"/>
      <c r="AE34" s="547"/>
      <c r="AF34" s="545"/>
      <c r="AG34" s="545"/>
      <c r="AH34" s="545"/>
      <c r="AI34" s="545"/>
      <c r="AJ34" s="546"/>
      <c r="AK34" s="547"/>
      <c r="AL34" s="545"/>
      <c r="AM34" s="545"/>
      <c r="AN34" s="545"/>
      <c r="AO34" s="545"/>
      <c r="AP34" s="546"/>
      <c r="AQ34" s="530">
        <v>14</v>
      </c>
      <c r="AR34" s="515"/>
      <c r="AS34" s="517"/>
      <c r="AT34" s="555"/>
      <c r="AU34" s="26" t="s">
        <v>87</v>
      </c>
      <c r="AV34" s="124"/>
      <c r="AW34" s="127" t="s">
        <v>192</v>
      </c>
      <c r="AX34" s="125"/>
      <c r="AY34" s="555"/>
      <c r="AZ34" s="26" t="s">
        <v>87</v>
      </c>
      <c r="BA34" s="124"/>
      <c r="BB34" s="127" t="s">
        <v>192</v>
      </c>
      <c r="BC34" s="125"/>
    </row>
    <row r="35" spans="1:55" ht="16.5" customHeight="1">
      <c r="A35" s="560"/>
      <c r="B35" s="561"/>
      <c r="C35" s="9" t="s">
        <v>37</v>
      </c>
      <c r="D35" s="13"/>
      <c r="E35" s="9" t="s">
        <v>48</v>
      </c>
      <c r="F35" s="12"/>
      <c r="G35" s="355">
        <v>12</v>
      </c>
      <c r="H35" s="338"/>
      <c r="I35" s="339"/>
      <c r="J35" s="340"/>
      <c r="K35" s="353" t="s">
        <v>340</v>
      </c>
      <c r="L35" s="7"/>
      <c r="M35" s="20"/>
      <c r="N35" s="21"/>
      <c r="O35" s="353" t="s">
        <v>340</v>
      </c>
      <c r="P35" s="7"/>
      <c r="Q35" s="20"/>
      <c r="R35" s="21"/>
      <c r="S35" s="519"/>
      <c r="T35" s="539"/>
      <c r="U35" s="540"/>
      <c r="V35" s="541"/>
      <c r="W35" s="519"/>
      <c r="X35" s="527"/>
      <c r="Y35" s="528"/>
      <c r="Z35" s="529"/>
      <c r="AA35" s="9" t="s">
        <v>58</v>
      </c>
      <c r="AB35" s="7"/>
      <c r="AC35" s="20"/>
      <c r="AD35" s="21"/>
      <c r="AE35" s="547"/>
      <c r="AF35" s="545"/>
      <c r="AG35" s="545"/>
      <c r="AH35" s="545"/>
      <c r="AI35" s="545"/>
      <c r="AJ35" s="546"/>
      <c r="AK35" s="547"/>
      <c r="AL35" s="545"/>
      <c r="AM35" s="545"/>
      <c r="AN35" s="545"/>
      <c r="AO35" s="545"/>
      <c r="AP35" s="546"/>
      <c r="AQ35" s="530"/>
      <c r="AR35" s="515"/>
      <c r="AS35" s="517"/>
      <c r="AT35" s="555"/>
      <c r="AU35" s="26" t="s">
        <v>88</v>
      </c>
      <c r="AV35" s="28"/>
      <c r="AW35" s="26" t="s">
        <v>12</v>
      </c>
      <c r="AX35" s="31"/>
      <c r="AY35" s="555"/>
      <c r="AZ35" s="26" t="s">
        <v>88</v>
      </c>
      <c r="BA35" s="28"/>
      <c r="BB35" s="26" t="s">
        <v>12</v>
      </c>
      <c r="BC35" s="31"/>
    </row>
    <row r="36" spans="1:55" ht="16.5" customHeight="1">
      <c r="A36" s="560"/>
      <c r="B36" s="561"/>
      <c r="C36" s="9" t="s">
        <v>38</v>
      </c>
      <c r="D36" s="13"/>
      <c r="E36" s="9" t="s">
        <v>49</v>
      </c>
      <c r="F36" s="12"/>
      <c r="G36" s="355">
        <v>13</v>
      </c>
      <c r="H36" s="338"/>
      <c r="I36" s="339"/>
      <c r="J36" s="340"/>
      <c r="K36" s="9" t="s">
        <v>341</v>
      </c>
      <c r="L36" s="7"/>
      <c r="M36" s="20"/>
      <c r="N36" s="21"/>
      <c r="O36" s="9" t="s">
        <v>341</v>
      </c>
      <c r="P36" s="7"/>
      <c r="Q36" s="20"/>
      <c r="R36" s="21"/>
      <c r="S36" s="519" t="s">
        <v>344</v>
      </c>
      <c r="T36" s="521"/>
      <c r="U36" s="523"/>
      <c r="V36" s="525"/>
      <c r="W36" s="519"/>
      <c r="X36" s="539"/>
      <c r="Y36" s="540"/>
      <c r="Z36" s="541"/>
      <c r="AA36" s="9" t="s">
        <v>59</v>
      </c>
      <c r="AB36" s="7"/>
      <c r="AC36" s="20"/>
      <c r="AD36" s="21"/>
      <c r="AE36" s="547"/>
      <c r="AF36" s="545"/>
      <c r="AG36" s="545"/>
      <c r="AH36" s="545"/>
      <c r="AI36" s="545"/>
      <c r="AJ36" s="546"/>
      <c r="AK36" s="547"/>
      <c r="AL36" s="545"/>
      <c r="AM36" s="545"/>
      <c r="AN36" s="545"/>
      <c r="AO36" s="545"/>
      <c r="AP36" s="546"/>
      <c r="AQ36" s="530">
        <v>15</v>
      </c>
      <c r="AR36" s="515"/>
      <c r="AS36" s="517"/>
      <c r="AT36" s="555"/>
      <c r="AU36" s="26" t="s">
        <v>89</v>
      </c>
      <c r="AV36" s="29"/>
      <c r="AW36" s="26" t="s">
        <v>12</v>
      </c>
      <c r="AX36" s="32"/>
      <c r="AY36" s="555"/>
      <c r="AZ36" s="26" t="s">
        <v>89</v>
      </c>
      <c r="BA36" s="29"/>
      <c r="BB36" s="26" t="s">
        <v>12</v>
      </c>
      <c r="BC36" s="32"/>
    </row>
    <row r="37" spans="1:55" ht="16.5" customHeight="1">
      <c r="A37" s="560"/>
      <c r="B37" s="561"/>
      <c r="C37" s="9" t="s">
        <v>39</v>
      </c>
      <c r="D37" s="13"/>
      <c r="E37" s="9" t="s">
        <v>50</v>
      </c>
      <c r="F37" s="132"/>
      <c r="G37" s="355">
        <v>14</v>
      </c>
      <c r="H37" s="347"/>
      <c r="I37" s="348"/>
      <c r="J37" s="349"/>
      <c r="K37" s="9"/>
      <c r="L37" s="7"/>
      <c r="M37" s="20"/>
      <c r="N37" s="21"/>
      <c r="O37" s="9"/>
      <c r="P37" s="7"/>
      <c r="Q37" s="20"/>
      <c r="R37" s="21"/>
      <c r="S37" s="519"/>
      <c r="T37" s="527"/>
      <c r="U37" s="528"/>
      <c r="V37" s="529"/>
      <c r="W37" s="519" t="s">
        <v>60</v>
      </c>
      <c r="X37" s="521"/>
      <c r="Y37" s="523"/>
      <c r="Z37" s="525"/>
      <c r="AA37" s="9" t="s">
        <v>60</v>
      </c>
      <c r="AB37" s="7"/>
      <c r="AC37" s="20"/>
      <c r="AD37" s="21"/>
      <c r="AE37" s="553"/>
      <c r="AF37" s="548"/>
      <c r="AG37" s="548"/>
      <c r="AH37" s="548"/>
      <c r="AI37" s="548"/>
      <c r="AJ37" s="549"/>
      <c r="AK37" s="553"/>
      <c r="AL37" s="548"/>
      <c r="AM37" s="548"/>
      <c r="AN37" s="548"/>
      <c r="AO37" s="548"/>
      <c r="AP37" s="549"/>
      <c r="AQ37" s="531"/>
      <c r="AR37" s="516"/>
      <c r="AS37" s="518"/>
      <c r="AT37" s="556"/>
      <c r="AU37" s="27" t="s">
        <v>90</v>
      </c>
      <c r="AV37" s="30"/>
      <c r="AW37" s="27" t="s">
        <v>91</v>
      </c>
      <c r="AX37" s="33"/>
      <c r="AY37" s="556"/>
      <c r="AZ37" s="27" t="s">
        <v>90</v>
      </c>
      <c r="BA37" s="30"/>
      <c r="BB37" s="27" t="s">
        <v>91</v>
      </c>
      <c r="BC37" s="33"/>
    </row>
    <row r="38" spans="1:55" ht="16.5" customHeight="1">
      <c r="A38" s="560"/>
      <c r="B38" s="561"/>
      <c r="C38" s="10" t="s">
        <v>40</v>
      </c>
      <c r="D38" s="15"/>
      <c r="E38" s="130" t="s">
        <v>255</v>
      </c>
      <c r="F38" s="131"/>
      <c r="G38" s="356">
        <v>15</v>
      </c>
      <c r="H38" s="350"/>
      <c r="I38" s="351"/>
      <c r="J38" s="352"/>
      <c r="K38" s="17"/>
      <c r="L38" s="16"/>
      <c r="M38" s="22"/>
      <c r="N38" s="23"/>
      <c r="O38" s="17"/>
      <c r="P38" s="16"/>
      <c r="Q38" s="22"/>
      <c r="R38" s="23"/>
      <c r="S38" s="520"/>
      <c r="T38" s="522"/>
      <c r="U38" s="524"/>
      <c r="V38" s="526"/>
      <c r="W38" s="520"/>
      <c r="X38" s="522"/>
      <c r="Y38" s="524"/>
      <c r="Z38" s="526"/>
      <c r="AA38" s="17" t="s">
        <v>61</v>
      </c>
      <c r="AB38" s="16"/>
      <c r="AC38" s="22"/>
      <c r="AD38" s="23"/>
      <c r="AE38" s="115"/>
      <c r="AF38" s="116"/>
      <c r="AG38" s="116"/>
      <c r="AH38" s="116"/>
      <c r="AI38" s="117"/>
      <c r="AJ38" s="118"/>
      <c r="AK38" s="119"/>
      <c r="AL38" s="120"/>
      <c r="AM38" s="121"/>
      <c r="AN38" s="121"/>
      <c r="AO38" s="121"/>
      <c r="AP38" s="122"/>
      <c r="AQ38" s="115"/>
      <c r="AR38" s="116"/>
      <c r="AS38" s="118"/>
      <c r="AT38" s="123"/>
      <c r="AU38" s="113"/>
      <c r="AV38" s="113"/>
      <c r="AW38" s="113"/>
      <c r="AX38" s="114"/>
      <c r="AY38" s="123"/>
      <c r="AZ38" s="113"/>
      <c r="BA38" s="113"/>
      <c r="BB38" s="113"/>
      <c r="BC38" s="114"/>
    </row>
    <row r="39" spans="1:55" ht="16.5" customHeight="1"/>
    <row r="40" spans="1:55" ht="16.5" customHeight="1">
      <c r="A40" s="560">
        <v>4</v>
      </c>
      <c r="B40" s="561" t="s">
        <v>228</v>
      </c>
      <c r="C40" s="8" t="s">
        <v>42</v>
      </c>
      <c r="D40" s="24"/>
      <c r="E40" s="8" t="s">
        <v>43</v>
      </c>
      <c r="F40" s="11"/>
      <c r="G40" s="354">
        <v>16</v>
      </c>
      <c r="H40" s="335"/>
      <c r="I40" s="336"/>
      <c r="J40" s="357"/>
      <c r="K40" s="8" t="s">
        <v>333</v>
      </c>
      <c r="L40" s="6"/>
      <c r="M40" s="18"/>
      <c r="N40" s="19"/>
      <c r="O40" s="8" t="s">
        <v>333</v>
      </c>
      <c r="P40" s="6"/>
      <c r="Q40" s="18"/>
      <c r="R40" s="19"/>
      <c r="S40" s="532" t="s">
        <v>51</v>
      </c>
      <c r="T40" s="533"/>
      <c r="U40" s="535"/>
      <c r="V40" s="537"/>
      <c r="W40" s="532" t="s">
        <v>51</v>
      </c>
      <c r="X40" s="533"/>
      <c r="Y40" s="535"/>
      <c r="Z40" s="537"/>
      <c r="AA40" s="8" t="s">
        <v>51</v>
      </c>
      <c r="AB40" s="6"/>
      <c r="AC40" s="18"/>
      <c r="AD40" s="19"/>
      <c r="AE40" s="552"/>
      <c r="AF40" s="550"/>
      <c r="AG40" s="550"/>
      <c r="AH40" s="550"/>
      <c r="AI40" s="550"/>
      <c r="AJ40" s="551"/>
      <c r="AK40" s="552"/>
      <c r="AL40" s="550"/>
      <c r="AM40" s="550"/>
      <c r="AN40" s="550"/>
      <c r="AO40" s="550"/>
      <c r="AP40" s="551"/>
      <c r="AQ40" s="542">
        <v>16</v>
      </c>
      <c r="AR40" s="543"/>
      <c r="AS40" s="544"/>
      <c r="AT40" s="554">
        <v>7</v>
      </c>
      <c r="AU40" s="25" t="s">
        <v>0</v>
      </c>
      <c r="AV40" s="557"/>
      <c r="AW40" s="558"/>
      <c r="AX40" s="559"/>
      <c r="AY40" s="554">
        <v>9</v>
      </c>
      <c r="AZ40" s="25" t="s">
        <v>0</v>
      </c>
      <c r="BA40" s="557"/>
      <c r="BB40" s="558"/>
      <c r="BC40" s="559"/>
    </row>
    <row r="41" spans="1:55" ht="16.5" customHeight="1">
      <c r="A41" s="560"/>
      <c r="B41" s="561"/>
      <c r="C41" s="9" t="s">
        <v>33</v>
      </c>
      <c r="D41" s="13"/>
      <c r="E41" s="9" t="s">
        <v>70</v>
      </c>
      <c r="F41" s="12"/>
      <c r="G41" s="355">
        <v>17</v>
      </c>
      <c r="H41" s="338"/>
      <c r="I41" s="339"/>
      <c r="J41" s="340"/>
      <c r="K41" s="9" t="s">
        <v>334</v>
      </c>
      <c r="L41" s="7"/>
      <c r="M41" s="20"/>
      <c r="N41" s="21"/>
      <c r="O41" s="9" t="s">
        <v>334</v>
      </c>
      <c r="P41" s="7"/>
      <c r="Q41" s="20"/>
      <c r="R41" s="21"/>
      <c r="S41" s="519"/>
      <c r="T41" s="527"/>
      <c r="U41" s="528"/>
      <c r="V41" s="529"/>
      <c r="W41" s="519"/>
      <c r="X41" s="527"/>
      <c r="Y41" s="528"/>
      <c r="Z41" s="529"/>
      <c r="AA41" s="9" t="s">
        <v>52</v>
      </c>
      <c r="AB41" s="7"/>
      <c r="AC41" s="20"/>
      <c r="AD41" s="21"/>
      <c r="AE41" s="547"/>
      <c r="AF41" s="545"/>
      <c r="AG41" s="545"/>
      <c r="AH41" s="545"/>
      <c r="AI41" s="545"/>
      <c r="AJ41" s="546"/>
      <c r="AK41" s="547"/>
      <c r="AL41" s="545"/>
      <c r="AM41" s="545"/>
      <c r="AN41" s="545"/>
      <c r="AO41" s="545"/>
      <c r="AP41" s="546"/>
      <c r="AQ41" s="530"/>
      <c r="AR41" s="515"/>
      <c r="AS41" s="517"/>
      <c r="AT41" s="555"/>
      <c r="AU41" s="26" t="s">
        <v>87</v>
      </c>
      <c r="AV41" s="124"/>
      <c r="AW41" s="26" t="s">
        <v>192</v>
      </c>
      <c r="AX41" s="126"/>
      <c r="AY41" s="555"/>
      <c r="AZ41" s="26" t="s">
        <v>87</v>
      </c>
      <c r="BA41" s="124"/>
      <c r="BB41" s="127" t="s">
        <v>192</v>
      </c>
      <c r="BC41" s="125"/>
    </row>
    <row r="42" spans="1:55" ht="16.5" customHeight="1">
      <c r="A42" s="560"/>
      <c r="B42" s="561"/>
      <c r="C42" s="9" t="s">
        <v>34</v>
      </c>
      <c r="D42" s="14"/>
      <c r="E42" s="9" t="s">
        <v>44</v>
      </c>
      <c r="F42" s="12"/>
      <c r="G42" s="355">
        <v>18</v>
      </c>
      <c r="H42" s="338"/>
      <c r="I42" s="339"/>
      <c r="J42" s="340"/>
      <c r="K42" s="9" t="s">
        <v>335</v>
      </c>
      <c r="L42" s="7"/>
      <c r="M42" s="20"/>
      <c r="N42" s="21"/>
      <c r="O42" s="9" t="s">
        <v>335</v>
      </c>
      <c r="P42" s="7"/>
      <c r="Q42" s="20"/>
      <c r="R42" s="21"/>
      <c r="S42" s="519"/>
      <c r="T42" s="527"/>
      <c r="U42" s="528"/>
      <c r="V42" s="529"/>
      <c r="W42" s="519"/>
      <c r="X42" s="539"/>
      <c r="Y42" s="540"/>
      <c r="Z42" s="541"/>
      <c r="AA42" s="9" t="s">
        <v>53</v>
      </c>
      <c r="AB42" s="7"/>
      <c r="AC42" s="20"/>
      <c r="AD42" s="21"/>
      <c r="AE42" s="547"/>
      <c r="AF42" s="545"/>
      <c r="AG42" s="545"/>
      <c r="AH42" s="545"/>
      <c r="AI42" s="545"/>
      <c r="AJ42" s="546"/>
      <c r="AK42" s="547"/>
      <c r="AL42" s="545"/>
      <c r="AM42" s="545"/>
      <c r="AN42" s="545"/>
      <c r="AO42" s="545"/>
      <c r="AP42" s="546"/>
      <c r="AQ42" s="530">
        <v>17</v>
      </c>
      <c r="AR42" s="515"/>
      <c r="AS42" s="517"/>
      <c r="AT42" s="555"/>
      <c r="AU42" s="26" t="s">
        <v>88</v>
      </c>
      <c r="AV42" s="28"/>
      <c r="AW42" s="26" t="s">
        <v>12</v>
      </c>
      <c r="AX42" s="31"/>
      <c r="AY42" s="555"/>
      <c r="AZ42" s="26" t="s">
        <v>88</v>
      </c>
      <c r="BA42" s="28"/>
      <c r="BB42" s="26" t="s">
        <v>12</v>
      </c>
      <c r="BC42" s="31"/>
    </row>
    <row r="43" spans="1:55" ht="16.5" customHeight="1">
      <c r="A43" s="560"/>
      <c r="B43" s="561"/>
      <c r="C43" s="9" t="s">
        <v>41</v>
      </c>
      <c r="D43" s="13"/>
      <c r="E43" s="9" t="s">
        <v>62</v>
      </c>
      <c r="F43" s="12"/>
      <c r="G43" s="355">
        <v>19</v>
      </c>
      <c r="H43" s="341"/>
      <c r="I43" s="342"/>
      <c r="J43" s="343"/>
      <c r="K43" s="9" t="s">
        <v>336</v>
      </c>
      <c r="L43" s="7"/>
      <c r="M43" s="20"/>
      <c r="N43" s="21"/>
      <c r="O43" s="9" t="s">
        <v>336</v>
      </c>
      <c r="P43" s="7"/>
      <c r="Q43" s="20"/>
      <c r="R43" s="21"/>
      <c r="S43" s="519"/>
      <c r="T43" s="534"/>
      <c r="U43" s="536"/>
      <c r="V43" s="538"/>
      <c r="W43" s="532" t="s">
        <v>52</v>
      </c>
      <c r="X43" s="533"/>
      <c r="Y43" s="535"/>
      <c r="Z43" s="537"/>
      <c r="AA43" s="9" t="s">
        <v>54</v>
      </c>
      <c r="AB43" s="7"/>
      <c r="AC43" s="20"/>
      <c r="AD43" s="21"/>
      <c r="AE43" s="547"/>
      <c r="AF43" s="545"/>
      <c r="AG43" s="545"/>
      <c r="AH43" s="545"/>
      <c r="AI43" s="545"/>
      <c r="AJ43" s="546"/>
      <c r="AK43" s="547"/>
      <c r="AL43" s="545"/>
      <c r="AM43" s="545"/>
      <c r="AN43" s="545"/>
      <c r="AO43" s="545"/>
      <c r="AP43" s="546"/>
      <c r="AQ43" s="530"/>
      <c r="AR43" s="515"/>
      <c r="AS43" s="517"/>
      <c r="AT43" s="555"/>
      <c r="AU43" s="26" t="s">
        <v>89</v>
      </c>
      <c r="AV43" s="29"/>
      <c r="AW43" s="26" t="s">
        <v>12</v>
      </c>
      <c r="AX43" s="32"/>
      <c r="AY43" s="555"/>
      <c r="AZ43" s="26" t="s">
        <v>89</v>
      </c>
      <c r="BA43" s="29"/>
      <c r="BB43" s="26" t="s">
        <v>12</v>
      </c>
      <c r="BC43" s="32"/>
    </row>
    <row r="44" spans="1:55" ht="16.5" customHeight="1">
      <c r="A44" s="560"/>
      <c r="B44" s="561"/>
      <c r="C44" s="9" t="s">
        <v>417</v>
      </c>
      <c r="D44" s="3"/>
      <c r="E44" s="9" t="s">
        <v>45</v>
      </c>
      <c r="F44" s="12"/>
      <c r="G44" s="356">
        <v>20</v>
      </c>
      <c r="H44" s="344"/>
      <c r="I44" s="345"/>
      <c r="J44" s="346"/>
      <c r="K44" s="9" t="s">
        <v>337</v>
      </c>
      <c r="L44" s="7"/>
      <c r="M44" s="20"/>
      <c r="N44" s="21"/>
      <c r="O44" s="9" t="s">
        <v>337</v>
      </c>
      <c r="P44" s="7"/>
      <c r="Q44" s="20"/>
      <c r="R44" s="21"/>
      <c r="S44" s="519" t="s">
        <v>52</v>
      </c>
      <c r="T44" s="527"/>
      <c r="U44" s="528"/>
      <c r="V44" s="529"/>
      <c r="W44" s="519"/>
      <c r="X44" s="527"/>
      <c r="Y44" s="528"/>
      <c r="Z44" s="529"/>
      <c r="AA44" s="9" t="s">
        <v>55</v>
      </c>
      <c r="AB44" s="7"/>
      <c r="AC44" s="20"/>
      <c r="AD44" s="21"/>
      <c r="AE44" s="547"/>
      <c r="AF44" s="545"/>
      <c r="AG44" s="545"/>
      <c r="AH44" s="545"/>
      <c r="AI44" s="545"/>
      <c r="AJ44" s="546"/>
      <c r="AK44" s="547"/>
      <c r="AL44" s="545"/>
      <c r="AM44" s="545"/>
      <c r="AN44" s="545"/>
      <c r="AO44" s="545"/>
      <c r="AP44" s="546"/>
      <c r="AQ44" s="530">
        <v>18</v>
      </c>
      <c r="AR44" s="515"/>
      <c r="AS44" s="517"/>
      <c r="AT44" s="556"/>
      <c r="AU44" s="27" t="s">
        <v>90</v>
      </c>
      <c r="AV44" s="30"/>
      <c r="AW44" s="27" t="s">
        <v>91</v>
      </c>
      <c r="AX44" s="33"/>
      <c r="AY44" s="556"/>
      <c r="AZ44" s="27" t="s">
        <v>90</v>
      </c>
      <c r="BA44" s="30"/>
      <c r="BB44" s="27" t="s">
        <v>91</v>
      </c>
      <c r="BC44" s="33"/>
    </row>
    <row r="45" spans="1:55" ht="16.5" customHeight="1">
      <c r="A45" s="560"/>
      <c r="B45" s="561"/>
      <c r="C45" s="9" t="s">
        <v>35</v>
      </c>
      <c r="D45" s="13"/>
      <c r="E45" s="9" t="s">
        <v>46</v>
      </c>
      <c r="F45" s="12"/>
      <c r="G45" s="5" t="s">
        <v>12</v>
      </c>
      <c r="H45" s="128" t="s">
        <v>13</v>
      </c>
      <c r="I45" s="4" t="s">
        <v>14</v>
      </c>
      <c r="J45" s="4" t="s">
        <v>15</v>
      </c>
      <c r="K45" s="9" t="s">
        <v>338</v>
      </c>
      <c r="L45" s="7"/>
      <c r="M45" s="20"/>
      <c r="N45" s="21"/>
      <c r="O45" s="9" t="s">
        <v>338</v>
      </c>
      <c r="P45" s="7"/>
      <c r="Q45" s="20"/>
      <c r="R45" s="21"/>
      <c r="S45" s="519"/>
      <c r="T45" s="527"/>
      <c r="U45" s="528"/>
      <c r="V45" s="529"/>
      <c r="W45" s="519"/>
      <c r="X45" s="539"/>
      <c r="Y45" s="540"/>
      <c r="Z45" s="541"/>
      <c r="AA45" s="9" t="s">
        <v>56</v>
      </c>
      <c r="AB45" s="7"/>
      <c r="AC45" s="20"/>
      <c r="AD45" s="21"/>
      <c r="AE45" s="547"/>
      <c r="AF45" s="545"/>
      <c r="AG45" s="545"/>
      <c r="AH45" s="545"/>
      <c r="AI45" s="545"/>
      <c r="AJ45" s="546"/>
      <c r="AK45" s="547"/>
      <c r="AL45" s="545"/>
      <c r="AM45" s="545"/>
      <c r="AN45" s="545"/>
      <c r="AO45" s="545"/>
      <c r="AP45" s="546"/>
      <c r="AQ45" s="530"/>
      <c r="AR45" s="515"/>
      <c r="AS45" s="517"/>
      <c r="AT45" s="554">
        <v>8</v>
      </c>
      <c r="AU45" s="25" t="s">
        <v>0</v>
      </c>
      <c r="AV45" s="557"/>
      <c r="AW45" s="558"/>
      <c r="AX45" s="559"/>
      <c r="AY45" s="554">
        <v>10</v>
      </c>
      <c r="AZ45" s="25" t="s">
        <v>0</v>
      </c>
      <c r="BA45" s="557"/>
      <c r="BB45" s="558"/>
      <c r="BC45" s="559"/>
    </row>
    <row r="46" spans="1:55" ht="16.5" customHeight="1">
      <c r="A46" s="560"/>
      <c r="B46" s="561"/>
      <c r="C46" s="9" t="s">
        <v>36</v>
      </c>
      <c r="D46" s="13"/>
      <c r="E46" s="9" t="s">
        <v>47</v>
      </c>
      <c r="F46" s="12"/>
      <c r="G46" s="354">
        <v>16</v>
      </c>
      <c r="H46" s="335"/>
      <c r="I46" s="336"/>
      <c r="J46" s="357"/>
      <c r="K46" s="9" t="s">
        <v>339</v>
      </c>
      <c r="L46" s="7"/>
      <c r="M46" s="20"/>
      <c r="N46" s="21"/>
      <c r="O46" s="9" t="s">
        <v>339</v>
      </c>
      <c r="P46" s="7"/>
      <c r="Q46" s="20"/>
      <c r="R46" s="21"/>
      <c r="S46" s="519"/>
      <c r="T46" s="527"/>
      <c r="U46" s="528"/>
      <c r="V46" s="529"/>
      <c r="W46" s="532" t="s">
        <v>344</v>
      </c>
      <c r="X46" s="533"/>
      <c r="Y46" s="535"/>
      <c r="Z46" s="537"/>
      <c r="AA46" s="9"/>
      <c r="AB46" s="7"/>
      <c r="AC46" s="20"/>
      <c r="AD46" s="21"/>
      <c r="AE46" s="547"/>
      <c r="AF46" s="545"/>
      <c r="AG46" s="545"/>
      <c r="AH46" s="545"/>
      <c r="AI46" s="545"/>
      <c r="AJ46" s="546"/>
      <c r="AK46" s="547"/>
      <c r="AL46" s="545"/>
      <c r="AM46" s="545"/>
      <c r="AN46" s="545"/>
      <c r="AO46" s="545"/>
      <c r="AP46" s="546"/>
      <c r="AQ46" s="530">
        <v>19</v>
      </c>
      <c r="AR46" s="515"/>
      <c r="AS46" s="517"/>
      <c r="AT46" s="555"/>
      <c r="AU46" s="26" t="s">
        <v>87</v>
      </c>
      <c r="AV46" s="124"/>
      <c r="AW46" s="127" t="s">
        <v>192</v>
      </c>
      <c r="AX46" s="125"/>
      <c r="AY46" s="555"/>
      <c r="AZ46" s="26" t="s">
        <v>87</v>
      </c>
      <c r="BA46" s="124"/>
      <c r="BB46" s="127" t="s">
        <v>192</v>
      </c>
      <c r="BC46" s="125"/>
    </row>
    <row r="47" spans="1:55" ht="16.5" customHeight="1">
      <c r="A47" s="560"/>
      <c r="B47" s="561"/>
      <c r="C47" s="9" t="s">
        <v>37</v>
      </c>
      <c r="D47" s="13"/>
      <c r="E47" s="9" t="s">
        <v>48</v>
      </c>
      <c r="F47" s="12"/>
      <c r="G47" s="355">
        <v>17</v>
      </c>
      <c r="H47" s="338"/>
      <c r="I47" s="339"/>
      <c r="J47" s="340"/>
      <c r="K47" s="353" t="s">
        <v>340</v>
      </c>
      <c r="L47" s="7"/>
      <c r="M47" s="20"/>
      <c r="N47" s="21"/>
      <c r="O47" s="353" t="s">
        <v>340</v>
      </c>
      <c r="P47" s="7"/>
      <c r="Q47" s="20"/>
      <c r="R47" s="21"/>
      <c r="S47" s="519"/>
      <c r="T47" s="539"/>
      <c r="U47" s="540"/>
      <c r="V47" s="541"/>
      <c r="W47" s="519"/>
      <c r="X47" s="527"/>
      <c r="Y47" s="528"/>
      <c r="Z47" s="529"/>
      <c r="AA47" s="9" t="s">
        <v>58</v>
      </c>
      <c r="AB47" s="7"/>
      <c r="AC47" s="20"/>
      <c r="AD47" s="21"/>
      <c r="AE47" s="547"/>
      <c r="AF47" s="545"/>
      <c r="AG47" s="545"/>
      <c r="AH47" s="545"/>
      <c r="AI47" s="545"/>
      <c r="AJ47" s="546"/>
      <c r="AK47" s="547"/>
      <c r="AL47" s="545"/>
      <c r="AM47" s="545"/>
      <c r="AN47" s="545"/>
      <c r="AO47" s="545"/>
      <c r="AP47" s="546"/>
      <c r="AQ47" s="530"/>
      <c r="AR47" s="515"/>
      <c r="AS47" s="517"/>
      <c r="AT47" s="555"/>
      <c r="AU47" s="26" t="s">
        <v>88</v>
      </c>
      <c r="AV47" s="28"/>
      <c r="AW47" s="26" t="s">
        <v>12</v>
      </c>
      <c r="AX47" s="31"/>
      <c r="AY47" s="555"/>
      <c r="AZ47" s="26" t="s">
        <v>88</v>
      </c>
      <c r="BA47" s="28"/>
      <c r="BB47" s="26" t="s">
        <v>12</v>
      </c>
      <c r="BC47" s="31"/>
    </row>
    <row r="48" spans="1:55" ht="16.5" customHeight="1">
      <c r="A48" s="560"/>
      <c r="B48" s="561"/>
      <c r="C48" s="9" t="s">
        <v>38</v>
      </c>
      <c r="D48" s="13"/>
      <c r="E48" s="9" t="s">
        <v>49</v>
      </c>
      <c r="F48" s="12"/>
      <c r="G48" s="355">
        <v>18</v>
      </c>
      <c r="H48" s="338"/>
      <c r="I48" s="339"/>
      <c r="J48" s="340"/>
      <c r="K48" s="9" t="s">
        <v>341</v>
      </c>
      <c r="L48" s="7"/>
      <c r="M48" s="20"/>
      <c r="N48" s="21"/>
      <c r="O48" s="9" t="s">
        <v>341</v>
      </c>
      <c r="P48" s="7"/>
      <c r="Q48" s="20"/>
      <c r="R48" s="21"/>
      <c r="S48" s="519" t="s">
        <v>344</v>
      </c>
      <c r="T48" s="521"/>
      <c r="U48" s="523"/>
      <c r="V48" s="525"/>
      <c r="W48" s="519"/>
      <c r="X48" s="539"/>
      <c r="Y48" s="540"/>
      <c r="Z48" s="541"/>
      <c r="AA48" s="9" t="s">
        <v>59</v>
      </c>
      <c r="AB48" s="7"/>
      <c r="AC48" s="20"/>
      <c r="AD48" s="21"/>
      <c r="AE48" s="547"/>
      <c r="AF48" s="545"/>
      <c r="AG48" s="545"/>
      <c r="AH48" s="545"/>
      <c r="AI48" s="545"/>
      <c r="AJ48" s="546"/>
      <c r="AK48" s="547"/>
      <c r="AL48" s="545"/>
      <c r="AM48" s="545"/>
      <c r="AN48" s="545"/>
      <c r="AO48" s="545"/>
      <c r="AP48" s="546"/>
      <c r="AQ48" s="530">
        <v>20</v>
      </c>
      <c r="AR48" s="515"/>
      <c r="AS48" s="517"/>
      <c r="AT48" s="555"/>
      <c r="AU48" s="26" t="s">
        <v>89</v>
      </c>
      <c r="AV48" s="29"/>
      <c r="AW48" s="26" t="s">
        <v>12</v>
      </c>
      <c r="AX48" s="32"/>
      <c r="AY48" s="555"/>
      <c r="AZ48" s="26" t="s">
        <v>89</v>
      </c>
      <c r="BA48" s="29"/>
      <c r="BB48" s="26" t="s">
        <v>12</v>
      </c>
      <c r="BC48" s="32"/>
    </row>
    <row r="49" spans="1:55" ht="16.5" customHeight="1">
      <c r="A49" s="560"/>
      <c r="B49" s="561"/>
      <c r="C49" s="9" t="s">
        <v>39</v>
      </c>
      <c r="D49" s="13"/>
      <c r="E49" s="9" t="s">
        <v>50</v>
      </c>
      <c r="F49" s="132"/>
      <c r="G49" s="355">
        <v>19</v>
      </c>
      <c r="H49" s="347"/>
      <c r="I49" s="348"/>
      <c r="J49" s="349"/>
      <c r="K49" s="9"/>
      <c r="L49" s="7"/>
      <c r="M49" s="20"/>
      <c r="N49" s="21"/>
      <c r="O49" s="9"/>
      <c r="P49" s="7"/>
      <c r="Q49" s="20"/>
      <c r="R49" s="21"/>
      <c r="S49" s="519"/>
      <c r="T49" s="527"/>
      <c r="U49" s="528"/>
      <c r="V49" s="529"/>
      <c r="W49" s="519" t="s">
        <v>60</v>
      </c>
      <c r="X49" s="521"/>
      <c r="Y49" s="523"/>
      <c r="Z49" s="525"/>
      <c r="AA49" s="9" t="s">
        <v>60</v>
      </c>
      <c r="AB49" s="7"/>
      <c r="AC49" s="20"/>
      <c r="AD49" s="21"/>
      <c r="AE49" s="553"/>
      <c r="AF49" s="548"/>
      <c r="AG49" s="548"/>
      <c r="AH49" s="548"/>
      <c r="AI49" s="548"/>
      <c r="AJ49" s="549"/>
      <c r="AK49" s="553"/>
      <c r="AL49" s="548"/>
      <c r="AM49" s="548"/>
      <c r="AN49" s="548"/>
      <c r="AO49" s="548"/>
      <c r="AP49" s="549"/>
      <c r="AQ49" s="531"/>
      <c r="AR49" s="516"/>
      <c r="AS49" s="518"/>
      <c r="AT49" s="556"/>
      <c r="AU49" s="27" t="s">
        <v>90</v>
      </c>
      <c r="AV49" s="30"/>
      <c r="AW49" s="27" t="s">
        <v>91</v>
      </c>
      <c r="AX49" s="33"/>
      <c r="AY49" s="556"/>
      <c r="AZ49" s="27" t="s">
        <v>90</v>
      </c>
      <c r="BA49" s="30"/>
      <c r="BB49" s="27" t="s">
        <v>91</v>
      </c>
      <c r="BC49" s="33"/>
    </row>
    <row r="50" spans="1:55" ht="16.5" customHeight="1">
      <c r="A50" s="560"/>
      <c r="B50" s="561"/>
      <c r="C50" s="10" t="s">
        <v>40</v>
      </c>
      <c r="D50" s="15"/>
      <c r="E50" s="130" t="s">
        <v>255</v>
      </c>
      <c r="F50" s="131"/>
      <c r="G50" s="356">
        <v>20</v>
      </c>
      <c r="H50" s="350"/>
      <c r="I50" s="351"/>
      <c r="J50" s="352"/>
      <c r="K50" s="17"/>
      <c r="L50" s="16"/>
      <c r="M50" s="22"/>
      <c r="N50" s="23"/>
      <c r="O50" s="17"/>
      <c r="P50" s="16"/>
      <c r="Q50" s="22"/>
      <c r="R50" s="23"/>
      <c r="S50" s="520"/>
      <c r="T50" s="522"/>
      <c r="U50" s="524"/>
      <c r="V50" s="526"/>
      <c r="W50" s="520"/>
      <c r="X50" s="522"/>
      <c r="Y50" s="524"/>
      <c r="Z50" s="526"/>
      <c r="AA50" s="17" t="s">
        <v>61</v>
      </c>
      <c r="AB50" s="16"/>
      <c r="AC50" s="22"/>
      <c r="AD50" s="23"/>
      <c r="AE50" s="115"/>
      <c r="AF50" s="116"/>
      <c r="AG50" s="116"/>
      <c r="AH50" s="116"/>
      <c r="AI50" s="117"/>
      <c r="AJ50" s="118"/>
      <c r="AK50" s="119"/>
      <c r="AL50" s="120"/>
      <c r="AM50" s="121"/>
      <c r="AN50" s="121"/>
      <c r="AO50" s="121"/>
      <c r="AP50" s="122"/>
      <c r="AQ50" s="115"/>
      <c r="AR50" s="116"/>
      <c r="AS50" s="118"/>
      <c r="AT50" s="123"/>
      <c r="AU50" s="113"/>
      <c r="AV50" s="113"/>
      <c r="AW50" s="113"/>
      <c r="AX50" s="114"/>
      <c r="AY50" s="123"/>
      <c r="AZ50" s="113"/>
      <c r="BA50" s="113"/>
      <c r="BB50" s="113"/>
      <c r="BC50" s="114"/>
    </row>
    <row r="51" spans="1:55" ht="16.5" customHeight="1"/>
    <row r="52" spans="1:55" ht="16.5" customHeight="1">
      <c r="A52" s="560">
        <v>5</v>
      </c>
      <c r="B52" s="561" t="s">
        <v>229</v>
      </c>
      <c r="C52" s="8" t="s">
        <v>42</v>
      </c>
      <c r="D52" s="24"/>
      <c r="E52" s="8" t="s">
        <v>43</v>
      </c>
      <c r="F52" s="11"/>
      <c r="G52" s="354">
        <v>21</v>
      </c>
      <c r="H52" s="335"/>
      <c r="I52" s="336"/>
      <c r="J52" s="357"/>
      <c r="K52" s="8" t="s">
        <v>333</v>
      </c>
      <c r="L52" s="6"/>
      <c r="M52" s="18"/>
      <c r="N52" s="19"/>
      <c r="O52" s="8" t="s">
        <v>333</v>
      </c>
      <c r="P52" s="6"/>
      <c r="Q52" s="18"/>
      <c r="R52" s="19"/>
      <c r="S52" s="532" t="s">
        <v>51</v>
      </c>
      <c r="T52" s="533"/>
      <c r="U52" s="535"/>
      <c r="V52" s="537"/>
      <c r="W52" s="532" t="s">
        <v>51</v>
      </c>
      <c r="X52" s="533"/>
      <c r="Y52" s="535"/>
      <c r="Z52" s="537"/>
      <c r="AA52" s="8" t="s">
        <v>51</v>
      </c>
      <c r="AB52" s="6"/>
      <c r="AC52" s="18"/>
      <c r="AD52" s="19"/>
      <c r="AE52" s="552"/>
      <c r="AF52" s="550"/>
      <c r="AG52" s="550"/>
      <c r="AH52" s="550"/>
      <c r="AI52" s="550"/>
      <c r="AJ52" s="551"/>
      <c r="AK52" s="552"/>
      <c r="AL52" s="550"/>
      <c r="AM52" s="550"/>
      <c r="AN52" s="550"/>
      <c r="AO52" s="550"/>
      <c r="AP52" s="551"/>
      <c r="AQ52" s="542">
        <v>21</v>
      </c>
      <c r="AR52" s="543"/>
      <c r="AS52" s="544"/>
      <c r="AT52" s="554">
        <v>9</v>
      </c>
      <c r="AU52" s="25" t="s">
        <v>0</v>
      </c>
      <c r="AV52" s="557"/>
      <c r="AW52" s="558"/>
      <c r="AX52" s="559"/>
      <c r="AY52" s="554">
        <v>11</v>
      </c>
      <c r="AZ52" s="25" t="s">
        <v>0</v>
      </c>
      <c r="BA52" s="557"/>
      <c r="BB52" s="558"/>
      <c r="BC52" s="559"/>
    </row>
    <row r="53" spans="1:55" ht="16.5" customHeight="1">
      <c r="A53" s="560"/>
      <c r="B53" s="561"/>
      <c r="C53" s="9" t="s">
        <v>33</v>
      </c>
      <c r="D53" s="13"/>
      <c r="E53" s="9" t="s">
        <v>70</v>
      </c>
      <c r="F53" s="12"/>
      <c r="G53" s="355">
        <v>22</v>
      </c>
      <c r="H53" s="338"/>
      <c r="I53" s="339"/>
      <c r="J53" s="340"/>
      <c r="K53" s="9" t="s">
        <v>334</v>
      </c>
      <c r="L53" s="7"/>
      <c r="M53" s="20"/>
      <c r="N53" s="21"/>
      <c r="O53" s="9" t="s">
        <v>334</v>
      </c>
      <c r="P53" s="7"/>
      <c r="Q53" s="20"/>
      <c r="R53" s="21"/>
      <c r="S53" s="519"/>
      <c r="T53" s="527"/>
      <c r="U53" s="528"/>
      <c r="V53" s="529"/>
      <c r="W53" s="519"/>
      <c r="X53" s="527"/>
      <c r="Y53" s="528"/>
      <c r="Z53" s="529"/>
      <c r="AA53" s="9" t="s">
        <v>52</v>
      </c>
      <c r="AB53" s="7"/>
      <c r="AC53" s="20"/>
      <c r="AD53" s="21"/>
      <c r="AE53" s="547"/>
      <c r="AF53" s="545"/>
      <c r="AG53" s="545"/>
      <c r="AH53" s="545"/>
      <c r="AI53" s="545"/>
      <c r="AJ53" s="546"/>
      <c r="AK53" s="547"/>
      <c r="AL53" s="545"/>
      <c r="AM53" s="545"/>
      <c r="AN53" s="545"/>
      <c r="AO53" s="545"/>
      <c r="AP53" s="546"/>
      <c r="AQ53" s="530"/>
      <c r="AR53" s="515"/>
      <c r="AS53" s="517"/>
      <c r="AT53" s="555"/>
      <c r="AU53" s="26" t="s">
        <v>87</v>
      </c>
      <c r="AV53" s="124"/>
      <c r="AW53" s="26" t="s">
        <v>192</v>
      </c>
      <c r="AX53" s="126"/>
      <c r="AY53" s="555"/>
      <c r="AZ53" s="26" t="s">
        <v>87</v>
      </c>
      <c r="BA53" s="124"/>
      <c r="BB53" s="127" t="s">
        <v>192</v>
      </c>
      <c r="BC53" s="125"/>
    </row>
    <row r="54" spans="1:55" ht="16.5" customHeight="1">
      <c r="A54" s="560"/>
      <c r="B54" s="561"/>
      <c r="C54" s="9" t="s">
        <v>34</v>
      </c>
      <c r="D54" s="14"/>
      <c r="E54" s="9" t="s">
        <v>44</v>
      </c>
      <c r="F54" s="12"/>
      <c r="G54" s="355">
        <v>23</v>
      </c>
      <c r="H54" s="338"/>
      <c r="I54" s="339"/>
      <c r="J54" s="340"/>
      <c r="K54" s="9" t="s">
        <v>335</v>
      </c>
      <c r="L54" s="7"/>
      <c r="M54" s="20"/>
      <c r="N54" s="21"/>
      <c r="O54" s="9" t="s">
        <v>335</v>
      </c>
      <c r="P54" s="7"/>
      <c r="Q54" s="20"/>
      <c r="R54" s="21"/>
      <c r="S54" s="519"/>
      <c r="T54" s="527"/>
      <c r="U54" s="528"/>
      <c r="V54" s="529"/>
      <c r="W54" s="519"/>
      <c r="X54" s="539"/>
      <c r="Y54" s="540"/>
      <c r="Z54" s="541"/>
      <c r="AA54" s="9" t="s">
        <v>53</v>
      </c>
      <c r="AB54" s="7"/>
      <c r="AC54" s="20"/>
      <c r="AD54" s="21"/>
      <c r="AE54" s="547"/>
      <c r="AF54" s="545"/>
      <c r="AG54" s="545"/>
      <c r="AH54" s="545"/>
      <c r="AI54" s="545"/>
      <c r="AJ54" s="546"/>
      <c r="AK54" s="547"/>
      <c r="AL54" s="545"/>
      <c r="AM54" s="545"/>
      <c r="AN54" s="545"/>
      <c r="AO54" s="545"/>
      <c r="AP54" s="546"/>
      <c r="AQ54" s="530">
        <v>22</v>
      </c>
      <c r="AR54" s="515"/>
      <c r="AS54" s="517"/>
      <c r="AT54" s="555"/>
      <c r="AU54" s="26" t="s">
        <v>88</v>
      </c>
      <c r="AV54" s="28"/>
      <c r="AW54" s="26" t="s">
        <v>12</v>
      </c>
      <c r="AX54" s="31"/>
      <c r="AY54" s="555"/>
      <c r="AZ54" s="26" t="s">
        <v>88</v>
      </c>
      <c r="BA54" s="28"/>
      <c r="BB54" s="26" t="s">
        <v>12</v>
      </c>
      <c r="BC54" s="31"/>
    </row>
    <row r="55" spans="1:55" ht="16.5" customHeight="1">
      <c r="A55" s="560"/>
      <c r="B55" s="561"/>
      <c r="C55" s="9" t="s">
        <v>41</v>
      </c>
      <c r="D55" s="13"/>
      <c r="E55" s="9" t="s">
        <v>62</v>
      </c>
      <c r="F55" s="12"/>
      <c r="G55" s="355">
        <v>24</v>
      </c>
      <c r="H55" s="341"/>
      <c r="I55" s="342"/>
      <c r="J55" s="343"/>
      <c r="K55" s="9" t="s">
        <v>336</v>
      </c>
      <c r="L55" s="7"/>
      <c r="M55" s="20"/>
      <c r="N55" s="21"/>
      <c r="O55" s="9" t="s">
        <v>336</v>
      </c>
      <c r="P55" s="7"/>
      <c r="Q55" s="20"/>
      <c r="R55" s="21"/>
      <c r="S55" s="519"/>
      <c r="T55" s="534"/>
      <c r="U55" s="536"/>
      <c r="V55" s="538"/>
      <c r="W55" s="532" t="s">
        <v>52</v>
      </c>
      <c r="X55" s="533"/>
      <c r="Y55" s="535"/>
      <c r="Z55" s="537"/>
      <c r="AA55" s="9" t="s">
        <v>54</v>
      </c>
      <c r="AB55" s="7"/>
      <c r="AC55" s="20"/>
      <c r="AD55" s="21"/>
      <c r="AE55" s="547"/>
      <c r="AF55" s="545"/>
      <c r="AG55" s="545"/>
      <c r="AH55" s="545"/>
      <c r="AI55" s="545"/>
      <c r="AJ55" s="546"/>
      <c r="AK55" s="547"/>
      <c r="AL55" s="545"/>
      <c r="AM55" s="545"/>
      <c r="AN55" s="545"/>
      <c r="AO55" s="545"/>
      <c r="AP55" s="546"/>
      <c r="AQ55" s="530"/>
      <c r="AR55" s="515"/>
      <c r="AS55" s="517"/>
      <c r="AT55" s="555"/>
      <c r="AU55" s="26" t="s">
        <v>89</v>
      </c>
      <c r="AV55" s="29"/>
      <c r="AW55" s="26" t="s">
        <v>12</v>
      </c>
      <c r="AX55" s="32"/>
      <c r="AY55" s="555"/>
      <c r="AZ55" s="26" t="s">
        <v>89</v>
      </c>
      <c r="BA55" s="29"/>
      <c r="BB55" s="26" t="s">
        <v>12</v>
      </c>
      <c r="BC55" s="32"/>
    </row>
    <row r="56" spans="1:55" ht="16.5" customHeight="1">
      <c r="A56" s="560"/>
      <c r="B56" s="561"/>
      <c r="C56" s="9" t="s">
        <v>417</v>
      </c>
      <c r="D56" s="3"/>
      <c r="E56" s="9" t="s">
        <v>45</v>
      </c>
      <c r="F56" s="12"/>
      <c r="G56" s="356">
        <v>25</v>
      </c>
      <c r="H56" s="344"/>
      <c r="I56" s="345"/>
      <c r="J56" s="346"/>
      <c r="K56" s="9" t="s">
        <v>337</v>
      </c>
      <c r="L56" s="7"/>
      <c r="M56" s="20"/>
      <c r="N56" s="21"/>
      <c r="O56" s="9" t="s">
        <v>337</v>
      </c>
      <c r="P56" s="7"/>
      <c r="Q56" s="20"/>
      <c r="R56" s="21"/>
      <c r="S56" s="519" t="s">
        <v>52</v>
      </c>
      <c r="T56" s="527"/>
      <c r="U56" s="528"/>
      <c r="V56" s="529"/>
      <c r="W56" s="519"/>
      <c r="X56" s="527"/>
      <c r="Y56" s="528"/>
      <c r="Z56" s="529"/>
      <c r="AA56" s="9" t="s">
        <v>55</v>
      </c>
      <c r="AB56" s="7"/>
      <c r="AC56" s="20"/>
      <c r="AD56" s="21"/>
      <c r="AE56" s="547"/>
      <c r="AF56" s="545"/>
      <c r="AG56" s="545"/>
      <c r="AH56" s="545"/>
      <c r="AI56" s="545"/>
      <c r="AJ56" s="546"/>
      <c r="AK56" s="547"/>
      <c r="AL56" s="545"/>
      <c r="AM56" s="545"/>
      <c r="AN56" s="545"/>
      <c r="AO56" s="545"/>
      <c r="AP56" s="546"/>
      <c r="AQ56" s="530">
        <v>23</v>
      </c>
      <c r="AR56" s="515"/>
      <c r="AS56" s="517"/>
      <c r="AT56" s="556"/>
      <c r="AU56" s="27" t="s">
        <v>90</v>
      </c>
      <c r="AV56" s="30"/>
      <c r="AW56" s="27" t="s">
        <v>91</v>
      </c>
      <c r="AX56" s="33"/>
      <c r="AY56" s="556"/>
      <c r="AZ56" s="27" t="s">
        <v>90</v>
      </c>
      <c r="BA56" s="30"/>
      <c r="BB56" s="27" t="s">
        <v>91</v>
      </c>
      <c r="BC56" s="33"/>
    </row>
    <row r="57" spans="1:55" ht="16.5" customHeight="1">
      <c r="A57" s="560"/>
      <c r="B57" s="561"/>
      <c r="C57" s="9" t="s">
        <v>35</v>
      </c>
      <c r="D57" s="13"/>
      <c r="E57" s="9" t="s">
        <v>46</v>
      </c>
      <c r="F57" s="12"/>
      <c r="G57" s="5" t="s">
        <v>12</v>
      </c>
      <c r="H57" s="128" t="s">
        <v>13</v>
      </c>
      <c r="I57" s="4" t="s">
        <v>14</v>
      </c>
      <c r="J57" s="4" t="s">
        <v>15</v>
      </c>
      <c r="K57" s="9" t="s">
        <v>338</v>
      </c>
      <c r="L57" s="7"/>
      <c r="M57" s="20"/>
      <c r="N57" s="21"/>
      <c r="O57" s="9" t="s">
        <v>338</v>
      </c>
      <c r="P57" s="7"/>
      <c r="Q57" s="20"/>
      <c r="R57" s="21"/>
      <c r="S57" s="519"/>
      <c r="T57" s="527"/>
      <c r="U57" s="528"/>
      <c r="V57" s="529"/>
      <c r="W57" s="519"/>
      <c r="X57" s="539"/>
      <c r="Y57" s="540"/>
      <c r="Z57" s="541"/>
      <c r="AA57" s="9" t="s">
        <v>56</v>
      </c>
      <c r="AB57" s="7"/>
      <c r="AC57" s="20"/>
      <c r="AD57" s="21"/>
      <c r="AE57" s="547"/>
      <c r="AF57" s="545"/>
      <c r="AG57" s="545"/>
      <c r="AH57" s="545"/>
      <c r="AI57" s="545"/>
      <c r="AJ57" s="546"/>
      <c r="AK57" s="547"/>
      <c r="AL57" s="545"/>
      <c r="AM57" s="545"/>
      <c r="AN57" s="545"/>
      <c r="AO57" s="545"/>
      <c r="AP57" s="546"/>
      <c r="AQ57" s="530"/>
      <c r="AR57" s="515"/>
      <c r="AS57" s="517"/>
      <c r="AT57" s="554">
        <v>10</v>
      </c>
      <c r="AU57" s="25" t="s">
        <v>0</v>
      </c>
      <c r="AV57" s="557"/>
      <c r="AW57" s="558"/>
      <c r="AX57" s="559"/>
      <c r="AY57" s="554">
        <v>12</v>
      </c>
      <c r="AZ57" s="25" t="s">
        <v>0</v>
      </c>
      <c r="BA57" s="557"/>
      <c r="BB57" s="558"/>
      <c r="BC57" s="559"/>
    </row>
    <row r="58" spans="1:55" ht="16.5" customHeight="1">
      <c r="A58" s="560"/>
      <c r="B58" s="561"/>
      <c r="C58" s="9" t="s">
        <v>36</v>
      </c>
      <c r="D58" s="13"/>
      <c r="E58" s="9" t="s">
        <v>47</v>
      </c>
      <c r="F58" s="12"/>
      <c r="G58" s="354">
        <v>21</v>
      </c>
      <c r="H58" s="335"/>
      <c r="I58" s="336"/>
      <c r="J58" s="357"/>
      <c r="K58" s="9" t="s">
        <v>339</v>
      </c>
      <c r="L58" s="7"/>
      <c r="M58" s="20"/>
      <c r="N58" s="21"/>
      <c r="O58" s="9" t="s">
        <v>339</v>
      </c>
      <c r="P58" s="7"/>
      <c r="Q58" s="20"/>
      <c r="R58" s="21"/>
      <c r="S58" s="519"/>
      <c r="T58" s="527"/>
      <c r="U58" s="528"/>
      <c r="V58" s="529"/>
      <c r="W58" s="532" t="s">
        <v>344</v>
      </c>
      <c r="X58" s="533"/>
      <c r="Y58" s="535"/>
      <c r="Z58" s="537"/>
      <c r="AA58" s="9"/>
      <c r="AB58" s="7"/>
      <c r="AC58" s="20"/>
      <c r="AD58" s="21"/>
      <c r="AE58" s="547"/>
      <c r="AF58" s="545"/>
      <c r="AG58" s="545"/>
      <c r="AH58" s="545"/>
      <c r="AI58" s="545"/>
      <c r="AJ58" s="546"/>
      <c r="AK58" s="547"/>
      <c r="AL58" s="545"/>
      <c r="AM58" s="545"/>
      <c r="AN58" s="545"/>
      <c r="AO58" s="545"/>
      <c r="AP58" s="546"/>
      <c r="AQ58" s="530">
        <v>24</v>
      </c>
      <c r="AR58" s="515"/>
      <c r="AS58" s="517"/>
      <c r="AT58" s="555"/>
      <c r="AU58" s="26" t="s">
        <v>87</v>
      </c>
      <c r="AV58" s="124"/>
      <c r="AW58" s="127" t="s">
        <v>192</v>
      </c>
      <c r="AX58" s="125"/>
      <c r="AY58" s="555"/>
      <c r="AZ58" s="26" t="s">
        <v>87</v>
      </c>
      <c r="BA58" s="124"/>
      <c r="BB58" s="127" t="s">
        <v>192</v>
      </c>
      <c r="BC58" s="125"/>
    </row>
    <row r="59" spans="1:55" ht="16.5" customHeight="1">
      <c r="A59" s="560"/>
      <c r="B59" s="561"/>
      <c r="C59" s="9" t="s">
        <v>37</v>
      </c>
      <c r="D59" s="13"/>
      <c r="E59" s="9" t="s">
        <v>48</v>
      </c>
      <c r="F59" s="12"/>
      <c r="G59" s="355">
        <v>22</v>
      </c>
      <c r="H59" s="338"/>
      <c r="I59" s="339"/>
      <c r="J59" s="340"/>
      <c r="K59" s="353" t="s">
        <v>340</v>
      </c>
      <c r="L59" s="7"/>
      <c r="M59" s="20"/>
      <c r="N59" s="21"/>
      <c r="O59" s="353" t="s">
        <v>340</v>
      </c>
      <c r="P59" s="7"/>
      <c r="Q59" s="20"/>
      <c r="R59" s="21"/>
      <c r="S59" s="519"/>
      <c r="T59" s="539"/>
      <c r="U59" s="540"/>
      <c r="V59" s="541"/>
      <c r="W59" s="519"/>
      <c r="X59" s="527"/>
      <c r="Y59" s="528"/>
      <c r="Z59" s="529"/>
      <c r="AA59" s="9" t="s">
        <v>58</v>
      </c>
      <c r="AB59" s="7"/>
      <c r="AC59" s="20"/>
      <c r="AD59" s="21"/>
      <c r="AE59" s="547"/>
      <c r="AF59" s="545"/>
      <c r="AG59" s="545"/>
      <c r="AH59" s="545"/>
      <c r="AI59" s="545"/>
      <c r="AJ59" s="546"/>
      <c r="AK59" s="547"/>
      <c r="AL59" s="545"/>
      <c r="AM59" s="545"/>
      <c r="AN59" s="545"/>
      <c r="AO59" s="545"/>
      <c r="AP59" s="546"/>
      <c r="AQ59" s="530"/>
      <c r="AR59" s="515"/>
      <c r="AS59" s="517"/>
      <c r="AT59" s="555"/>
      <c r="AU59" s="26" t="s">
        <v>88</v>
      </c>
      <c r="AV59" s="28"/>
      <c r="AW59" s="26" t="s">
        <v>12</v>
      </c>
      <c r="AX59" s="31"/>
      <c r="AY59" s="555"/>
      <c r="AZ59" s="26" t="s">
        <v>88</v>
      </c>
      <c r="BA59" s="28"/>
      <c r="BB59" s="26" t="s">
        <v>12</v>
      </c>
      <c r="BC59" s="31"/>
    </row>
    <row r="60" spans="1:55" ht="16.5" customHeight="1">
      <c r="A60" s="560"/>
      <c r="B60" s="561"/>
      <c r="C60" s="9" t="s">
        <v>38</v>
      </c>
      <c r="D60" s="13"/>
      <c r="E60" s="9" t="s">
        <v>49</v>
      </c>
      <c r="F60" s="12"/>
      <c r="G60" s="355">
        <v>23</v>
      </c>
      <c r="H60" s="338"/>
      <c r="I60" s="339"/>
      <c r="J60" s="340"/>
      <c r="K60" s="9" t="s">
        <v>341</v>
      </c>
      <c r="L60" s="7"/>
      <c r="M60" s="20"/>
      <c r="N60" s="21"/>
      <c r="O60" s="9" t="s">
        <v>341</v>
      </c>
      <c r="P60" s="7"/>
      <c r="Q60" s="20"/>
      <c r="R60" s="21"/>
      <c r="S60" s="519" t="s">
        <v>344</v>
      </c>
      <c r="T60" s="521"/>
      <c r="U60" s="523"/>
      <c r="V60" s="525"/>
      <c r="W60" s="519"/>
      <c r="X60" s="539"/>
      <c r="Y60" s="540"/>
      <c r="Z60" s="541"/>
      <c r="AA60" s="9" t="s">
        <v>59</v>
      </c>
      <c r="AB60" s="7"/>
      <c r="AC60" s="20"/>
      <c r="AD60" s="21"/>
      <c r="AE60" s="547"/>
      <c r="AF60" s="545"/>
      <c r="AG60" s="545"/>
      <c r="AH60" s="545"/>
      <c r="AI60" s="545"/>
      <c r="AJ60" s="546"/>
      <c r="AK60" s="547"/>
      <c r="AL60" s="545"/>
      <c r="AM60" s="545"/>
      <c r="AN60" s="545"/>
      <c r="AO60" s="545"/>
      <c r="AP60" s="546"/>
      <c r="AQ60" s="530">
        <v>25</v>
      </c>
      <c r="AR60" s="515"/>
      <c r="AS60" s="517"/>
      <c r="AT60" s="555"/>
      <c r="AU60" s="26" t="s">
        <v>89</v>
      </c>
      <c r="AV60" s="29"/>
      <c r="AW60" s="26" t="s">
        <v>12</v>
      </c>
      <c r="AX60" s="32"/>
      <c r="AY60" s="555"/>
      <c r="AZ60" s="26" t="s">
        <v>89</v>
      </c>
      <c r="BA60" s="29"/>
      <c r="BB60" s="26" t="s">
        <v>12</v>
      </c>
      <c r="BC60" s="32"/>
    </row>
    <row r="61" spans="1:55" ht="16.5" customHeight="1">
      <c r="A61" s="560"/>
      <c r="B61" s="561"/>
      <c r="C61" s="9" t="s">
        <v>39</v>
      </c>
      <c r="D61" s="13"/>
      <c r="E61" s="9" t="s">
        <v>50</v>
      </c>
      <c r="F61" s="132"/>
      <c r="G61" s="355">
        <v>24</v>
      </c>
      <c r="H61" s="347"/>
      <c r="I61" s="348"/>
      <c r="J61" s="349"/>
      <c r="K61" s="9"/>
      <c r="L61" s="7"/>
      <c r="M61" s="20"/>
      <c r="N61" s="21"/>
      <c r="O61" s="9"/>
      <c r="P61" s="7"/>
      <c r="Q61" s="20"/>
      <c r="R61" s="21"/>
      <c r="S61" s="519"/>
      <c r="T61" s="527"/>
      <c r="U61" s="528"/>
      <c r="V61" s="529"/>
      <c r="W61" s="519" t="s">
        <v>60</v>
      </c>
      <c r="X61" s="521"/>
      <c r="Y61" s="523"/>
      <c r="Z61" s="525"/>
      <c r="AA61" s="9" t="s">
        <v>60</v>
      </c>
      <c r="AB61" s="7"/>
      <c r="AC61" s="20"/>
      <c r="AD61" s="21"/>
      <c r="AE61" s="553"/>
      <c r="AF61" s="548"/>
      <c r="AG61" s="548"/>
      <c r="AH61" s="548"/>
      <c r="AI61" s="548"/>
      <c r="AJ61" s="549"/>
      <c r="AK61" s="553"/>
      <c r="AL61" s="548"/>
      <c r="AM61" s="548"/>
      <c r="AN61" s="548"/>
      <c r="AO61" s="548"/>
      <c r="AP61" s="549"/>
      <c r="AQ61" s="531"/>
      <c r="AR61" s="516"/>
      <c r="AS61" s="518"/>
      <c r="AT61" s="556"/>
      <c r="AU61" s="27" t="s">
        <v>90</v>
      </c>
      <c r="AV61" s="30"/>
      <c r="AW61" s="27" t="s">
        <v>91</v>
      </c>
      <c r="AX61" s="33"/>
      <c r="AY61" s="556"/>
      <c r="AZ61" s="27" t="s">
        <v>90</v>
      </c>
      <c r="BA61" s="30"/>
      <c r="BB61" s="27" t="s">
        <v>91</v>
      </c>
      <c r="BC61" s="33"/>
    </row>
    <row r="62" spans="1:55" ht="16.5" customHeight="1">
      <c r="A62" s="560"/>
      <c r="B62" s="561"/>
      <c r="C62" s="10" t="s">
        <v>40</v>
      </c>
      <c r="D62" s="15"/>
      <c r="E62" s="130" t="s">
        <v>255</v>
      </c>
      <c r="F62" s="131"/>
      <c r="G62" s="356">
        <v>25</v>
      </c>
      <c r="H62" s="350"/>
      <c r="I62" s="351"/>
      <c r="J62" s="352"/>
      <c r="K62" s="17"/>
      <c r="L62" s="16"/>
      <c r="M62" s="22"/>
      <c r="N62" s="23"/>
      <c r="O62" s="17"/>
      <c r="P62" s="16"/>
      <c r="Q62" s="22"/>
      <c r="R62" s="23"/>
      <c r="S62" s="520"/>
      <c r="T62" s="522"/>
      <c r="U62" s="524"/>
      <c r="V62" s="526"/>
      <c r="W62" s="520"/>
      <c r="X62" s="522"/>
      <c r="Y62" s="524"/>
      <c r="Z62" s="526"/>
      <c r="AA62" s="17" t="s">
        <v>61</v>
      </c>
      <c r="AB62" s="16"/>
      <c r="AC62" s="22"/>
      <c r="AD62" s="23"/>
      <c r="AE62" s="115"/>
      <c r="AF62" s="116"/>
      <c r="AG62" s="116"/>
      <c r="AH62" s="116"/>
      <c r="AI62" s="117"/>
      <c r="AJ62" s="118"/>
      <c r="AK62" s="119"/>
      <c r="AL62" s="120"/>
      <c r="AM62" s="121"/>
      <c r="AN62" s="121"/>
      <c r="AO62" s="121"/>
      <c r="AP62" s="122"/>
      <c r="AQ62" s="115"/>
      <c r="AR62" s="116"/>
      <c r="AS62" s="118"/>
      <c r="AT62" s="123"/>
      <c r="AU62" s="113"/>
      <c r="AV62" s="113"/>
      <c r="AW62" s="113"/>
      <c r="AX62" s="114"/>
      <c r="AY62" s="123"/>
      <c r="AZ62" s="113"/>
      <c r="BA62" s="113"/>
      <c r="BB62" s="113"/>
      <c r="BC62" s="114"/>
    </row>
    <row r="63" spans="1:55" ht="16.5" customHeight="1"/>
    <row r="64" spans="1:55" ht="16.5" customHeight="1">
      <c r="A64" s="560">
        <v>6</v>
      </c>
      <c r="B64" s="561" t="s">
        <v>230</v>
      </c>
      <c r="C64" s="8" t="s">
        <v>42</v>
      </c>
      <c r="D64" s="24"/>
      <c r="E64" s="8" t="s">
        <v>43</v>
      </c>
      <c r="F64" s="11"/>
      <c r="G64" s="354">
        <v>26</v>
      </c>
      <c r="H64" s="335"/>
      <c r="I64" s="336"/>
      <c r="J64" s="357"/>
      <c r="K64" s="8" t="s">
        <v>333</v>
      </c>
      <c r="L64" s="6"/>
      <c r="M64" s="18"/>
      <c r="N64" s="19"/>
      <c r="O64" s="8" t="s">
        <v>333</v>
      </c>
      <c r="P64" s="6"/>
      <c r="Q64" s="18"/>
      <c r="R64" s="19"/>
      <c r="S64" s="532" t="s">
        <v>51</v>
      </c>
      <c r="T64" s="533"/>
      <c r="U64" s="535"/>
      <c r="V64" s="537"/>
      <c r="W64" s="532" t="s">
        <v>51</v>
      </c>
      <c r="X64" s="533"/>
      <c r="Y64" s="535"/>
      <c r="Z64" s="537"/>
      <c r="AA64" s="8" t="s">
        <v>51</v>
      </c>
      <c r="AB64" s="6"/>
      <c r="AC64" s="18"/>
      <c r="AD64" s="19"/>
      <c r="AE64" s="552"/>
      <c r="AF64" s="550"/>
      <c r="AG64" s="550"/>
      <c r="AH64" s="550"/>
      <c r="AI64" s="550"/>
      <c r="AJ64" s="551"/>
      <c r="AK64" s="552"/>
      <c r="AL64" s="550"/>
      <c r="AM64" s="550"/>
      <c r="AN64" s="550"/>
      <c r="AO64" s="550"/>
      <c r="AP64" s="551"/>
      <c r="AQ64" s="542">
        <v>26</v>
      </c>
      <c r="AR64" s="543"/>
      <c r="AS64" s="544"/>
      <c r="AT64" s="554">
        <v>11</v>
      </c>
      <c r="AU64" s="25" t="s">
        <v>0</v>
      </c>
      <c r="AV64" s="557"/>
      <c r="AW64" s="558"/>
      <c r="AX64" s="559"/>
      <c r="AY64" s="554">
        <v>13</v>
      </c>
      <c r="AZ64" s="25" t="s">
        <v>0</v>
      </c>
      <c r="BA64" s="557"/>
      <c r="BB64" s="558"/>
      <c r="BC64" s="559"/>
    </row>
    <row r="65" spans="1:55" ht="16.5" customHeight="1">
      <c r="A65" s="560"/>
      <c r="B65" s="561"/>
      <c r="C65" s="9" t="s">
        <v>33</v>
      </c>
      <c r="D65" s="13"/>
      <c r="E65" s="9" t="s">
        <v>70</v>
      </c>
      <c r="F65" s="12"/>
      <c r="G65" s="355">
        <v>27</v>
      </c>
      <c r="H65" s="338"/>
      <c r="I65" s="339"/>
      <c r="J65" s="340"/>
      <c r="K65" s="9" t="s">
        <v>334</v>
      </c>
      <c r="L65" s="7"/>
      <c r="M65" s="20"/>
      <c r="N65" s="21"/>
      <c r="O65" s="9" t="s">
        <v>334</v>
      </c>
      <c r="P65" s="7"/>
      <c r="Q65" s="20"/>
      <c r="R65" s="21"/>
      <c r="S65" s="519"/>
      <c r="T65" s="527"/>
      <c r="U65" s="528"/>
      <c r="V65" s="529"/>
      <c r="W65" s="519"/>
      <c r="X65" s="527"/>
      <c r="Y65" s="528"/>
      <c r="Z65" s="529"/>
      <c r="AA65" s="9" t="s">
        <v>52</v>
      </c>
      <c r="AB65" s="7"/>
      <c r="AC65" s="20"/>
      <c r="AD65" s="21"/>
      <c r="AE65" s="547"/>
      <c r="AF65" s="545"/>
      <c r="AG65" s="545"/>
      <c r="AH65" s="545"/>
      <c r="AI65" s="545"/>
      <c r="AJ65" s="546"/>
      <c r="AK65" s="547"/>
      <c r="AL65" s="545"/>
      <c r="AM65" s="545"/>
      <c r="AN65" s="545"/>
      <c r="AO65" s="545"/>
      <c r="AP65" s="546"/>
      <c r="AQ65" s="530"/>
      <c r="AR65" s="515"/>
      <c r="AS65" s="517"/>
      <c r="AT65" s="555"/>
      <c r="AU65" s="26" t="s">
        <v>87</v>
      </c>
      <c r="AV65" s="124"/>
      <c r="AW65" s="26" t="s">
        <v>192</v>
      </c>
      <c r="AX65" s="126"/>
      <c r="AY65" s="555"/>
      <c r="AZ65" s="26" t="s">
        <v>87</v>
      </c>
      <c r="BA65" s="124"/>
      <c r="BB65" s="127" t="s">
        <v>192</v>
      </c>
      <c r="BC65" s="125"/>
    </row>
    <row r="66" spans="1:55" ht="16.5" customHeight="1">
      <c r="A66" s="560"/>
      <c r="B66" s="561"/>
      <c r="C66" s="9" t="s">
        <v>34</v>
      </c>
      <c r="D66" s="14"/>
      <c r="E66" s="9" t="s">
        <v>44</v>
      </c>
      <c r="F66" s="12"/>
      <c r="G66" s="355">
        <v>28</v>
      </c>
      <c r="H66" s="338"/>
      <c r="I66" s="339"/>
      <c r="J66" s="340"/>
      <c r="K66" s="9" t="s">
        <v>335</v>
      </c>
      <c r="L66" s="7"/>
      <c r="M66" s="20"/>
      <c r="N66" s="21"/>
      <c r="O66" s="9" t="s">
        <v>335</v>
      </c>
      <c r="P66" s="7"/>
      <c r="Q66" s="20"/>
      <c r="R66" s="21"/>
      <c r="S66" s="519"/>
      <c r="T66" s="527"/>
      <c r="U66" s="528"/>
      <c r="V66" s="529"/>
      <c r="W66" s="519"/>
      <c r="X66" s="539"/>
      <c r="Y66" s="540"/>
      <c r="Z66" s="541"/>
      <c r="AA66" s="9" t="s">
        <v>53</v>
      </c>
      <c r="AB66" s="7"/>
      <c r="AC66" s="20"/>
      <c r="AD66" s="21"/>
      <c r="AE66" s="547"/>
      <c r="AF66" s="545"/>
      <c r="AG66" s="545"/>
      <c r="AH66" s="545"/>
      <c r="AI66" s="545"/>
      <c r="AJ66" s="546"/>
      <c r="AK66" s="547"/>
      <c r="AL66" s="545"/>
      <c r="AM66" s="545"/>
      <c r="AN66" s="545"/>
      <c r="AO66" s="545"/>
      <c r="AP66" s="546"/>
      <c r="AQ66" s="530">
        <v>27</v>
      </c>
      <c r="AR66" s="515"/>
      <c r="AS66" s="517"/>
      <c r="AT66" s="555"/>
      <c r="AU66" s="26" t="s">
        <v>88</v>
      </c>
      <c r="AV66" s="28"/>
      <c r="AW66" s="26" t="s">
        <v>12</v>
      </c>
      <c r="AX66" s="31"/>
      <c r="AY66" s="555"/>
      <c r="AZ66" s="26" t="s">
        <v>88</v>
      </c>
      <c r="BA66" s="28"/>
      <c r="BB66" s="26" t="s">
        <v>12</v>
      </c>
      <c r="BC66" s="31"/>
    </row>
    <row r="67" spans="1:55" ht="16.5" customHeight="1">
      <c r="A67" s="560"/>
      <c r="B67" s="561"/>
      <c r="C67" s="9" t="s">
        <v>41</v>
      </c>
      <c r="D67" s="13"/>
      <c r="E67" s="9" t="s">
        <v>62</v>
      </c>
      <c r="F67" s="12"/>
      <c r="G67" s="355">
        <v>29</v>
      </c>
      <c r="H67" s="341"/>
      <c r="I67" s="342"/>
      <c r="J67" s="343"/>
      <c r="K67" s="9" t="s">
        <v>336</v>
      </c>
      <c r="L67" s="7"/>
      <c r="M67" s="20"/>
      <c r="N67" s="21"/>
      <c r="O67" s="9" t="s">
        <v>336</v>
      </c>
      <c r="P67" s="7"/>
      <c r="Q67" s="20"/>
      <c r="R67" s="21"/>
      <c r="S67" s="519"/>
      <c r="T67" s="534"/>
      <c r="U67" s="536"/>
      <c r="V67" s="538"/>
      <c r="W67" s="532" t="s">
        <v>52</v>
      </c>
      <c r="X67" s="533"/>
      <c r="Y67" s="535"/>
      <c r="Z67" s="537"/>
      <c r="AA67" s="9" t="s">
        <v>54</v>
      </c>
      <c r="AB67" s="7"/>
      <c r="AC67" s="20"/>
      <c r="AD67" s="21"/>
      <c r="AE67" s="547"/>
      <c r="AF67" s="545"/>
      <c r="AG67" s="545"/>
      <c r="AH67" s="545"/>
      <c r="AI67" s="545"/>
      <c r="AJ67" s="546"/>
      <c r="AK67" s="547"/>
      <c r="AL67" s="545"/>
      <c r="AM67" s="545"/>
      <c r="AN67" s="545"/>
      <c r="AO67" s="545"/>
      <c r="AP67" s="546"/>
      <c r="AQ67" s="530"/>
      <c r="AR67" s="515"/>
      <c r="AS67" s="517"/>
      <c r="AT67" s="555"/>
      <c r="AU67" s="26" t="s">
        <v>89</v>
      </c>
      <c r="AV67" s="29"/>
      <c r="AW67" s="26" t="s">
        <v>12</v>
      </c>
      <c r="AX67" s="32"/>
      <c r="AY67" s="555"/>
      <c r="AZ67" s="26" t="s">
        <v>89</v>
      </c>
      <c r="BA67" s="29"/>
      <c r="BB67" s="26" t="s">
        <v>12</v>
      </c>
      <c r="BC67" s="32"/>
    </row>
    <row r="68" spans="1:55" ht="16.5" customHeight="1">
      <c r="A68" s="560"/>
      <c r="B68" s="561"/>
      <c r="C68" s="9" t="s">
        <v>417</v>
      </c>
      <c r="D68" s="3"/>
      <c r="E68" s="9" t="s">
        <v>45</v>
      </c>
      <c r="F68" s="12"/>
      <c r="G68" s="356">
        <v>30</v>
      </c>
      <c r="H68" s="344"/>
      <c r="I68" s="345"/>
      <c r="J68" s="346"/>
      <c r="K68" s="9" t="s">
        <v>337</v>
      </c>
      <c r="L68" s="7"/>
      <c r="M68" s="20"/>
      <c r="N68" s="21"/>
      <c r="O68" s="9" t="s">
        <v>337</v>
      </c>
      <c r="P68" s="7"/>
      <c r="Q68" s="20"/>
      <c r="R68" s="21"/>
      <c r="S68" s="519" t="s">
        <v>52</v>
      </c>
      <c r="T68" s="527"/>
      <c r="U68" s="528"/>
      <c r="V68" s="529"/>
      <c r="W68" s="519"/>
      <c r="X68" s="527"/>
      <c r="Y68" s="528"/>
      <c r="Z68" s="529"/>
      <c r="AA68" s="9" t="s">
        <v>55</v>
      </c>
      <c r="AB68" s="7"/>
      <c r="AC68" s="20"/>
      <c r="AD68" s="21"/>
      <c r="AE68" s="547"/>
      <c r="AF68" s="545"/>
      <c r="AG68" s="545"/>
      <c r="AH68" s="545"/>
      <c r="AI68" s="545"/>
      <c r="AJ68" s="546"/>
      <c r="AK68" s="547"/>
      <c r="AL68" s="545"/>
      <c r="AM68" s="545"/>
      <c r="AN68" s="545"/>
      <c r="AO68" s="545"/>
      <c r="AP68" s="546"/>
      <c r="AQ68" s="530">
        <v>28</v>
      </c>
      <c r="AR68" s="515"/>
      <c r="AS68" s="517"/>
      <c r="AT68" s="556"/>
      <c r="AU68" s="27" t="s">
        <v>90</v>
      </c>
      <c r="AV68" s="30"/>
      <c r="AW68" s="27" t="s">
        <v>91</v>
      </c>
      <c r="AX68" s="33"/>
      <c r="AY68" s="556"/>
      <c r="AZ68" s="27" t="s">
        <v>90</v>
      </c>
      <c r="BA68" s="30"/>
      <c r="BB68" s="27" t="s">
        <v>91</v>
      </c>
      <c r="BC68" s="33"/>
    </row>
    <row r="69" spans="1:55" ht="16.5" customHeight="1">
      <c r="A69" s="560"/>
      <c r="B69" s="561"/>
      <c r="C69" s="9" t="s">
        <v>35</v>
      </c>
      <c r="D69" s="13"/>
      <c r="E69" s="9" t="s">
        <v>46</v>
      </c>
      <c r="F69" s="12"/>
      <c r="G69" s="5" t="s">
        <v>12</v>
      </c>
      <c r="H69" s="128" t="s">
        <v>13</v>
      </c>
      <c r="I69" s="4" t="s">
        <v>14</v>
      </c>
      <c r="J69" s="4" t="s">
        <v>15</v>
      </c>
      <c r="K69" s="9" t="s">
        <v>338</v>
      </c>
      <c r="L69" s="7"/>
      <c r="M69" s="20"/>
      <c r="N69" s="21"/>
      <c r="O69" s="9" t="s">
        <v>338</v>
      </c>
      <c r="P69" s="7"/>
      <c r="Q69" s="20"/>
      <c r="R69" s="21"/>
      <c r="S69" s="519"/>
      <c r="T69" s="527"/>
      <c r="U69" s="528"/>
      <c r="V69" s="529"/>
      <c r="W69" s="519"/>
      <c r="X69" s="539"/>
      <c r="Y69" s="540"/>
      <c r="Z69" s="541"/>
      <c r="AA69" s="9" t="s">
        <v>56</v>
      </c>
      <c r="AB69" s="7"/>
      <c r="AC69" s="20"/>
      <c r="AD69" s="21"/>
      <c r="AE69" s="547"/>
      <c r="AF69" s="545"/>
      <c r="AG69" s="545"/>
      <c r="AH69" s="545"/>
      <c r="AI69" s="545"/>
      <c r="AJ69" s="546"/>
      <c r="AK69" s="547"/>
      <c r="AL69" s="545"/>
      <c r="AM69" s="545"/>
      <c r="AN69" s="545"/>
      <c r="AO69" s="545"/>
      <c r="AP69" s="546"/>
      <c r="AQ69" s="530"/>
      <c r="AR69" s="515"/>
      <c r="AS69" s="517"/>
      <c r="AT69" s="554">
        <v>12</v>
      </c>
      <c r="AU69" s="25" t="s">
        <v>0</v>
      </c>
      <c r="AV69" s="557"/>
      <c r="AW69" s="558"/>
      <c r="AX69" s="559"/>
      <c r="AY69" s="554">
        <v>14</v>
      </c>
      <c r="AZ69" s="25" t="s">
        <v>0</v>
      </c>
      <c r="BA69" s="557"/>
      <c r="BB69" s="558"/>
      <c r="BC69" s="559"/>
    </row>
    <row r="70" spans="1:55" ht="16.5" customHeight="1">
      <c r="A70" s="560"/>
      <c r="B70" s="561"/>
      <c r="C70" s="9" t="s">
        <v>36</v>
      </c>
      <c r="D70" s="13"/>
      <c r="E70" s="9" t="s">
        <v>47</v>
      </c>
      <c r="F70" s="12"/>
      <c r="G70" s="354">
        <v>26</v>
      </c>
      <c r="H70" s="335"/>
      <c r="I70" s="336"/>
      <c r="J70" s="357"/>
      <c r="K70" s="9" t="s">
        <v>339</v>
      </c>
      <c r="L70" s="7"/>
      <c r="M70" s="20"/>
      <c r="N70" s="21"/>
      <c r="O70" s="9" t="s">
        <v>339</v>
      </c>
      <c r="P70" s="7"/>
      <c r="Q70" s="20"/>
      <c r="R70" s="21"/>
      <c r="S70" s="519"/>
      <c r="T70" s="527"/>
      <c r="U70" s="528"/>
      <c r="V70" s="529"/>
      <c r="W70" s="532" t="s">
        <v>344</v>
      </c>
      <c r="X70" s="533"/>
      <c r="Y70" s="535"/>
      <c r="Z70" s="537"/>
      <c r="AA70" s="9"/>
      <c r="AB70" s="7"/>
      <c r="AC70" s="20"/>
      <c r="AD70" s="21"/>
      <c r="AE70" s="547"/>
      <c r="AF70" s="545"/>
      <c r="AG70" s="545"/>
      <c r="AH70" s="545"/>
      <c r="AI70" s="545"/>
      <c r="AJ70" s="546"/>
      <c r="AK70" s="547"/>
      <c r="AL70" s="545"/>
      <c r="AM70" s="545"/>
      <c r="AN70" s="545"/>
      <c r="AO70" s="545"/>
      <c r="AP70" s="546"/>
      <c r="AQ70" s="530">
        <v>29</v>
      </c>
      <c r="AR70" s="515"/>
      <c r="AS70" s="517"/>
      <c r="AT70" s="555"/>
      <c r="AU70" s="26" t="s">
        <v>87</v>
      </c>
      <c r="AV70" s="124"/>
      <c r="AW70" s="127" t="s">
        <v>192</v>
      </c>
      <c r="AX70" s="125"/>
      <c r="AY70" s="555"/>
      <c r="AZ70" s="26" t="s">
        <v>87</v>
      </c>
      <c r="BA70" s="124"/>
      <c r="BB70" s="127" t="s">
        <v>192</v>
      </c>
      <c r="BC70" s="125"/>
    </row>
    <row r="71" spans="1:55" ht="16.5" customHeight="1">
      <c r="A71" s="560"/>
      <c r="B71" s="561"/>
      <c r="C71" s="9" t="s">
        <v>37</v>
      </c>
      <c r="D71" s="13"/>
      <c r="E71" s="9" t="s">
        <v>48</v>
      </c>
      <c r="F71" s="12"/>
      <c r="G71" s="355">
        <v>27</v>
      </c>
      <c r="H71" s="338"/>
      <c r="I71" s="339"/>
      <c r="J71" s="340"/>
      <c r="K71" s="353" t="s">
        <v>340</v>
      </c>
      <c r="L71" s="7"/>
      <c r="M71" s="20"/>
      <c r="N71" s="21"/>
      <c r="O71" s="353" t="s">
        <v>340</v>
      </c>
      <c r="P71" s="7"/>
      <c r="Q71" s="20"/>
      <c r="R71" s="21"/>
      <c r="S71" s="519"/>
      <c r="T71" s="539"/>
      <c r="U71" s="540"/>
      <c r="V71" s="541"/>
      <c r="W71" s="519"/>
      <c r="X71" s="527"/>
      <c r="Y71" s="528"/>
      <c r="Z71" s="529"/>
      <c r="AA71" s="9" t="s">
        <v>58</v>
      </c>
      <c r="AB71" s="7"/>
      <c r="AC71" s="20"/>
      <c r="AD71" s="21"/>
      <c r="AE71" s="547"/>
      <c r="AF71" s="545"/>
      <c r="AG71" s="545"/>
      <c r="AH71" s="545"/>
      <c r="AI71" s="545"/>
      <c r="AJ71" s="546"/>
      <c r="AK71" s="547"/>
      <c r="AL71" s="545"/>
      <c r="AM71" s="545"/>
      <c r="AN71" s="545"/>
      <c r="AO71" s="545"/>
      <c r="AP71" s="546"/>
      <c r="AQ71" s="530"/>
      <c r="AR71" s="515"/>
      <c r="AS71" s="517"/>
      <c r="AT71" s="555"/>
      <c r="AU71" s="26" t="s">
        <v>88</v>
      </c>
      <c r="AV71" s="28"/>
      <c r="AW71" s="26" t="s">
        <v>12</v>
      </c>
      <c r="AX71" s="31"/>
      <c r="AY71" s="555"/>
      <c r="AZ71" s="26" t="s">
        <v>88</v>
      </c>
      <c r="BA71" s="28"/>
      <c r="BB71" s="26" t="s">
        <v>12</v>
      </c>
      <c r="BC71" s="31"/>
    </row>
    <row r="72" spans="1:55" ht="16.5" customHeight="1">
      <c r="A72" s="560"/>
      <c r="B72" s="561"/>
      <c r="C72" s="9" t="s">
        <v>38</v>
      </c>
      <c r="D72" s="13"/>
      <c r="E72" s="9" t="s">
        <v>49</v>
      </c>
      <c r="F72" s="12"/>
      <c r="G72" s="355">
        <v>28</v>
      </c>
      <c r="H72" s="338"/>
      <c r="I72" s="339"/>
      <c r="J72" s="340"/>
      <c r="K72" s="9" t="s">
        <v>341</v>
      </c>
      <c r="L72" s="7"/>
      <c r="M72" s="20"/>
      <c r="N72" s="21"/>
      <c r="O72" s="9" t="s">
        <v>341</v>
      </c>
      <c r="P72" s="7"/>
      <c r="Q72" s="20"/>
      <c r="R72" s="21"/>
      <c r="S72" s="519" t="s">
        <v>344</v>
      </c>
      <c r="T72" s="521"/>
      <c r="U72" s="523"/>
      <c r="V72" s="525"/>
      <c r="W72" s="519"/>
      <c r="X72" s="539"/>
      <c r="Y72" s="540"/>
      <c r="Z72" s="541"/>
      <c r="AA72" s="9" t="s">
        <v>59</v>
      </c>
      <c r="AB72" s="7"/>
      <c r="AC72" s="20"/>
      <c r="AD72" s="21"/>
      <c r="AE72" s="547"/>
      <c r="AF72" s="545"/>
      <c r="AG72" s="545"/>
      <c r="AH72" s="545"/>
      <c r="AI72" s="545"/>
      <c r="AJ72" s="546"/>
      <c r="AK72" s="547"/>
      <c r="AL72" s="545"/>
      <c r="AM72" s="545"/>
      <c r="AN72" s="545"/>
      <c r="AO72" s="545"/>
      <c r="AP72" s="546"/>
      <c r="AQ72" s="530">
        <v>30</v>
      </c>
      <c r="AR72" s="515"/>
      <c r="AS72" s="517"/>
      <c r="AT72" s="555"/>
      <c r="AU72" s="26" t="s">
        <v>89</v>
      </c>
      <c r="AV72" s="29"/>
      <c r="AW72" s="26" t="s">
        <v>12</v>
      </c>
      <c r="AX72" s="32"/>
      <c r="AY72" s="555"/>
      <c r="AZ72" s="26" t="s">
        <v>89</v>
      </c>
      <c r="BA72" s="29"/>
      <c r="BB72" s="26" t="s">
        <v>12</v>
      </c>
      <c r="BC72" s="32"/>
    </row>
    <row r="73" spans="1:55" ht="16.5" customHeight="1">
      <c r="A73" s="560"/>
      <c r="B73" s="561"/>
      <c r="C73" s="9" t="s">
        <v>39</v>
      </c>
      <c r="D73" s="13"/>
      <c r="E73" s="9" t="s">
        <v>50</v>
      </c>
      <c r="F73" s="132"/>
      <c r="G73" s="355">
        <v>29</v>
      </c>
      <c r="H73" s="347"/>
      <c r="I73" s="348"/>
      <c r="J73" s="349"/>
      <c r="K73" s="9"/>
      <c r="L73" s="7"/>
      <c r="M73" s="20"/>
      <c r="N73" s="21"/>
      <c r="O73" s="9"/>
      <c r="P73" s="7"/>
      <c r="Q73" s="20"/>
      <c r="R73" s="21"/>
      <c r="S73" s="519"/>
      <c r="T73" s="527"/>
      <c r="U73" s="528"/>
      <c r="V73" s="529"/>
      <c r="W73" s="519" t="s">
        <v>60</v>
      </c>
      <c r="X73" s="521"/>
      <c r="Y73" s="523"/>
      <c r="Z73" s="525"/>
      <c r="AA73" s="9" t="s">
        <v>60</v>
      </c>
      <c r="AB73" s="7"/>
      <c r="AC73" s="20"/>
      <c r="AD73" s="21"/>
      <c r="AE73" s="553"/>
      <c r="AF73" s="548"/>
      <c r="AG73" s="548"/>
      <c r="AH73" s="548"/>
      <c r="AI73" s="548"/>
      <c r="AJ73" s="549"/>
      <c r="AK73" s="553"/>
      <c r="AL73" s="548"/>
      <c r="AM73" s="548"/>
      <c r="AN73" s="548"/>
      <c r="AO73" s="548"/>
      <c r="AP73" s="549"/>
      <c r="AQ73" s="531"/>
      <c r="AR73" s="516"/>
      <c r="AS73" s="518"/>
      <c r="AT73" s="556"/>
      <c r="AU73" s="27" t="s">
        <v>90</v>
      </c>
      <c r="AV73" s="30"/>
      <c r="AW73" s="27" t="s">
        <v>91</v>
      </c>
      <c r="AX73" s="33"/>
      <c r="AY73" s="556"/>
      <c r="AZ73" s="27" t="s">
        <v>90</v>
      </c>
      <c r="BA73" s="30"/>
      <c r="BB73" s="27" t="s">
        <v>91</v>
      </c>
      <c r="BC73" s="33"/>
    </row>
    <row r="74" spans="1:55" ht="16.5" customHeight="1">
      <c r="A74" s="560"/>
      <c r="B74" s="561"/>
      <c r="C74" s="10" t="s">
        <v>40</v>
      </c>
      <c r="D74" s="15"/>
      <c r="E74" s="130" t="s">
        <v>255</v>
      </c>
      <c r="F74" s="131"/>
      <c r="G74" s="356">
        <v>30</v>
      </c>
      <c r="H74" s="350"/>
      <c r="I74" s="351"/>
      <c r="J74" s="352"/>
      <c r="K74" s="17"/>
      <c r="L74" s="16"/>
      <c r="M74" s="22"/>
      <c r="N74" s="23"/>
      <c r="O74" s="17"/>
      <c r="P74" s="16"/>
      <c r="Q74" s="22"/>
      <c r="R74" s="23"/>
      <c r="S74" s="520"/>
      <c r="T74" s="522"/>
      <c r="U74" s="524"/>
      <c r="V74" s="526"/>
      <c r="W74" s="520"/>
      <c r="X74" s="522"/>
      <c r="Y74" s="524"/>
      <c r="Z74" s="526"/>
      <c r="AA74" s="17" t="s">
        <v>61</v>
      </c>
      <c r="AB74" s="16"/>
      <c r="AC74" s="22"/>
      <c r="AD74" s="23"/>
      <c r="AE74" s="115"/>
      <c r="AF74" s="116"/>
      <c r="AG74" s="116"/>
      <c r="AH74" s="116"/>
      <c r="AI74" s="117"/>
      <c r="AJ74" s="118"/>
      <c r="AK74" s="119"/>
      <c r="AL74" s="120"/>
      <c r="AM74" s="121"/>
      <c r="AN74" s="121"/>
      <c r="AO74" s="121"/>
      <c r="AP74" s="122"/>
      <c r="AQ74" s="115"/>
      <c r="AR74" s="116"/>
      <c r="AS74" s="118"/>
      <c r="AT74" s="123"/>
      <c r="AU74" s="113"/>
      <c r="AV74" s="113"/>
      <c r="AW74" s="113"/>
      <c r="AX74" s="114"/>
      <c r="AY74" s="123"/>
      <c r="AZ74" s="113"/>
      <c r="BA74" s="113"/>
      <c r="BB74" s="113"/>
      <c r="BC74" s="114"/>
    </row>
    <row r="75" spans="1:55" ht="16.5" customHeight="1"/>
    <row r="76" spans="1:55" ht="16.5" customHeight="1">
      <c r="A76" s="560">
        <v>7</v>
      </c>
      <c r="B76" s="561" t="s">
        <v>231</v>
      </c>
      <c r="C76" s="8" t="s">
        <v>42</v>
      </c>
      <c r="D76" s="24"/>
      <c r="E76" s="8" t="s">
        <v>43</v>
      </c>
      <c r="F76" s="11"/>
      <c r="G76" s="354">
        <v>31</v>
      </c>
      <c r="H76" s="335"/>
      <c r="I76" s="336"/>
      <c r="J76" s="357"/>
      <c r="K76" s="8" t="s">
        <v>333</v>
      </c>
      <c r="L76" s="6"/>
      <c r="M76" s="18"/>
      <c r="N76" s="19"/>
      <c r="O76" s="8" t="s">
        <v>333</v>
      </c>
      <c r="P76" s="6"/>
      <c r="Q76" s="18"/>
      <c r="R76" s="19"/>
      <c r="S76" s="532" t="s">
        <v>51</v>
      </c>
      <c r="T76" s="533"/>
      <c r="U76" s="535"/>
      <c r="V76" s="537"/>
      <c r="W76" s="532" t="s">
        <v>51</v>
      </c>
      <c r="X76" s="533"/>
      <c r="Y76" s="535"/>
      <c r="Z76" s="537"/>
      <c r="AA76" s="8" t="s">
        <v>51</v>
      </c>
      <c r="AB76" s="6"/>
      <c r="AC76" s="18"/>
      <c r="AD76" s="19"/>
      <c r="AE76" s="552"/>
      <c r="AF76" s="550"/>
      <c r="AG76" s="550"/>
      <c r="AH76" s="550"/>
      <c r="AI76" s="550"/>
      <c r="AJ76" s="551"/>
      <c r="AK76" s="552"/>
      <c r="AL76" s="550"/>
      <c r="AM76" s="550"/>
      <c r="AN76" s="550"/>
      <c r="AO76" s="550"/>
      <c r="AP76" s="551"/>
      <c r="AQ76" s="542">
        <v>31</v>
      </c>
      <c r="AR76" s="543"/>
      <c r="AS76" s="544"/>
      <c r="AT76" s="554">
        <v>13</v>
      </c>
      <c r="AU76" s="25" t="s">
        <v>0</v>
      </c>
      <c r="AV76" s="557"/>
      <c r="AW76" s="558"/>
      <c r="AX76" s="559"/>
      <c r="AY76" s="554">
        <v>15</v>
      </c>
      <c r="AZ76" s="25" t="s">
        <v>0</v>
      </c>
      <c r="BA76" s="557"/>
      <c r="BB76" s="558"/>
      <c r="BC76" s="559"/>
    </row>
    <row r="77" spans="1:55" ht="16.5" customHeight="1">
      <c r="A77" s="560"/>
      <c r="B77" s="561"/>
      <c r="C77" s="9" t="s">
        <v>33</v>
      </c>
      <c r="D77" s="13"/>
      <c r="E77" s="9" t="s">
        <v>70</v>
      </c>
      <c r="F77" s="12"/>
      <c r="G77" s="355">
        <v>32</v>
      </c>
      <c r="H77" s="338"/>
      <c r="I77" s="339"/>
      <c r="J77" s="340"/>
      <c r="K77" s="9" t="s">
        <v>334</v>
      </c>
      <c r="L77" s="7"/>
      <c r="M77" s="20"/>
      <c r="N77" s="21"/>
      <c r="O77" s="9" t="s">
        <v>334</v>
      </c>
      <c r="P77" s="7"/>
      <c r="Q77" s="20"/>
      <c r="R77" s="21"/>
      <c r="S77" s="519"/>
      <c r="T77" s="527"/>
      <c r="U77" s="528"/>
      <c r="V77" s="529"/>
      <c r="W77" s="519"/>
      <c r="X77" s="527"/>
      <c r="Y77" s="528"/>
      <c r="Z77" s="529"/>
      <c r="AA77" s="9" t="s">
        <v>52</v>
      </c>
      <c r="AB77" s="7"/>
      <c r="AC77" s="20"/>
      <c r="AD77" s="21"/>
      <c r="AE77" s="547"/>
      <c r="AF77" s="545"/>
      <c r="AG77" s="545"/>
      <c r="AH77" s="545"/>
      <c r="AI77" s="545"/>
      <c r="AJ77" s="546"/>
      <c r="AK77" s="547"/>
      <c r="AL77" s="545"/>
      <c r="AM77" s="545"/>
      <c r="AN77" s="545"/>
      <c r="AO77" s="545"/>
      <c r="AP77" s="546"/>
      <c r="AQ77" s="530"/>
      <c r="AR77" s="515"/>
      <c r="AS77" s="517"/>
      <c r="AT77" s="555"/>
      <c r="AU77" s="26" t="s">
        <v>87</v>
      </c>
      <c r="AV77" s="124"/>
      <c r="AW77" s="26" t="s">
        <v>192</v>
      </c>
      <c r="AX77" s="126"/>
      <c r="AY77" s="555"/>
      <c r="AZ77" s="26" t="s">
        <v>87</v>
      </c>
      <c r="BA77" s="124"/>
      <c r="BB77" s="127" t="s">
        <v>192</v>
      </c>
      <c r="BC77" s="125"/>
    </row>
    <row r="78" spans="1:55" ht="16.5" customHeight="1">
      <c r="A78" s="560"/>
      <c r="B78" s="561"/>
      <c r="C78" s="9" t="s">
        <v>34</v>
      </c>
      <c r="D78" s="14"/>
      <c r="E78" s="9" t="s">
        <v>44</v>
      </c>
      <c r="F78" s="12"/>
      <c r="G78" s="355">
        <v>33</v>
      </c>
      <c r="H78" s="338"/>
      <c r="I78" s="339"/>
      <c r="J78" s="340"/>
      <c r="K78" s="9" t="s">
        <v>335</v>
      </c>
      <c r="L78" s="7"/>
      <c r="M78" s="20"/>
      <c r="N78" s="21"/>
      <c r="O78" s="9" t="s">
        <v>335</v>
      </c>
      <c r="P78" s="7"/>
      <c r="Q78" s="20"/>
      <c r="R78" s="21"/>
      <c r="S78" s="519"/>
      <c r="T78" s="527"/>
      <c r="U78" s="528"/>
      <c r="V78" s="529"/>
      <c r="W78" s="519"/>
      <c r="X78" s="539"/>
      <c r="Y78" s="540"/>
      <c r="Z78" s="541"/>
      <c r="AA78" s="9" t="s">
        <v>53</v>
      </c>
      <c r="AB78" s="7"/>
      <c r="AC78" s="20"/>
      <c r="AD78" s="21"/>
      <c r="AE78" s="547"/>
      <c r="AF78" s="545"/>
      <c r="AG78" s="545"/>
      <c r="AH78" s="545"/>
      <c r="AI78" s="545"/>
      <c r="AJ78" s="546"/>
      <c r="AK78" s="547"/>
      <c r="AL78" s="545"/>
      <c r="AM78" s="545"/>
      <c r="AN78" s="545"/>
      <c r="AO78" s="545"/>
      <c r="AP78" s="546"/>
      <c r="AQ78" s="530">
        <v>32</v>
      </c>
      <c r="AR78" s="515"/>
      <c r="AS78" s="517"/>
      <c r="AT78" s="555"/>
      <c r="AU78" s="26" t="s">
        <v>88</v>
      </c>
      <c r="AV78" s="28"/>
      <c r="AW78" s="26" t="s">
        <v>12</v>
      </c>
      <c r="AX78" s="31"/>
      <c r="AY78" s="555"/>
      <c r="AZ78" s="26" t="s">
        <v>88</v>
      </c>
      <c r="BA78" s="28"/>
      <c r="BB78" s="26" t="s">
        <v>12</v>
      </c>
      <c r="BC78" s="31"/>
    </row>
    <row r="79" spans="1:55" ht="16.5" customHeight="1">
      <c r="A79" s="560"/>
      <c r="B79" s="561"/>
      <c r="C79" s="9" t="s">
        <v>41</v>
      </c>
      <c r="D79" s="13"/>
      <c r="E79" s="9" t="s">
        <v>62</v>
      </c>
      <c r="F79" s="12"/>
      <c r="G79" s="355">
        <v>34</v>
      </c>
      <c r="H79" s="341"/>
      <c r="I79" s="342"/>
      <c r="J79" s="343"/>
      <c r="K79" s="9" t="s">
        <v>336</v>
      </c>
      <c r="L79" s="7"/>
      <c r="M79" s="20"/>
      <c r="N79" s="21"/>
      <c r="O79" s="9" t="s">
        <v>336</v>
      </c>
      <c r="P79" s="7"/>
      <c r="Q79" s="20"/>
      <c r="R79" s="21"/>
      <c r="S79" s="519"/>
      <c r="T79" s="534"/>
      <c r="U79" s="536"/>
      <c r="V79" s="538"/>
      <c r="W79" s="532" t="s">
        <v>52</v>
      </c>
      <c r="X79" s="533"/>
      <c r="Y79" s="535"/>
      <c r="Z79" s="537"/>
      <c r="AA79" s="9" t="s">
        <v>54</v>
      </c>
      <c r="AB79" s="7"/>
      <c r="AC79" s="20"/>
      <c r="AD79" s="21"/>
      <c r="AE79" s="547"/>
      <c r="AF79" s="545"/>
      <c r="AG79" s="545"/>
      <c r="AH79" s="545"/>
      <c r="AI79" s="545"/>
      <c r="AJ79" s="546"/>
      <c r="AK79" s="547"/>
      <c r="AL79" s="545"/>
      <c r="AM79" s="545"/>
      <c r="AN79" s="545"/>
      <c r="AO79" s="545"/>
      <c r="AP79" s="546"/>
      <c r="AQ79" s="530"/>
      <c r="AR79" s="515"/>
      <c r="AS79" s="517"/>
      <c r="AT79" s="555"/>
      <c r="AU79" s="26" t="s">
        <v>89</v>
      </c>
      <c r="AV79" s="29"/>
      <c r="AW79" s="26" t="s">
        <v>12</v>
      </c>
      <c r="AX79" s="32"/>
      <c r="AY79" s="555"/>
      <c r="AZ79" s="26" t="s">
        <v>89</v>
      </c>
      <c r="BA79" s="29"/>
      <c r="BB79" s="26" t="s">
        <v>12</v>
      </c>
      <c r="BC79" s="32"/>
    </row>
    <row r="80" spans="1:55" ht="16.5" customHeight="1">
      <c r="A80" s="560"/>
      <c r="B80" s="561"/>
      <c r="C80" s="9" t="s">
        <v>417</v>
      </c>
      <c r="D80" s="3"/>
      <c r="E80" s="9" t="s">
        <v>45</v>
      </c>
      <c r="F80" s="12"/>
      <c r="G80" s="356">
        <v>35</v>
      </c>
      <c r="H80" s="344"/>
      <c r="I80" s="345"/>
      <c r="J80" s="346"/>
      <c r="K80" s="9" t="s">
        <v>337</v>
      </c>
      <c r="L80" s="7"/>
      <c r="M80" s="20"/>
      <c r="N80" s="21"/>
      <c r="O80" s="9" t="s">
        <v>337</v>
      </c>
      <c r="P80" s="7"/>
      <c r="Q80" s="20"/>
      <c r="R80" s="21"/>
      <c r="S80" s="519" t="s">
        <v>52</v>
      </c>
      <c r="T80" s="527"/>
      <c r="U80" s="528"/>
      <c r="V80" s="529"/>
      <c r="W80" s="519"/>
      <c r="X80" s="527"/>
      <c r="Y80" s="528"/>
      <c r="Z80" s="529"/>
      <c r="AA80" s="9" t="s">
        <v>55</v>
      </c>
      <c r="AB80" s="7"/>
      <c r="AC80" s="20"/>
      <c r="AD80" s="21"/>
      <c r="AE80" s="547"/>
      <c r="AF80" s="545"/>
      <c r="AG80" s="545"/>
      <c r="AH80" s="545"/>
      <c r="AI80" s="545"/>
      <c r="AJ80" s="546"/>
      <c r="AK80" s="547"/>
      <c r="AL80" s="545"/>
      <c r="AM80" s="545"/>
      <c r="AN80" s="545"/>
      <c r="AO80" s="545"/>
      <c r="AP80" s="546"/>
      <c r="AQ80" s="530">
        <v>33</v>
      </c>
      <c r="AR80" s="515"/>
      <c r="AS80" s="517"/>
      <c r="AT80" s="556"/>
      <c r="AU80" s="27" t="s">
        <v>90</v>
      </c>
      <c r="AV80" s="30"/>
      <c r="AW80" s="27" t="s">
        <v>91</v>
      </c>
      <c r="AX80" s="33"/>
      <c r="AY80" s="556"/>
      <c r="AZ80" s="27" t="s">
        <v>90</v>
      </c>
      <c r="BA80" s="30"/>
      <c r="BB80" s="27" t="s">
        <v>91</v>
      </c>
      <c r="BC80" s="33"/>
    </row>
    <row r="81" spans="1:55" ht="16.5" customHeight="1">
      <c r="A81" s="560"/>
      <c r="B81" s="561"/>
      <c r="C81" s="9" t="s">
        <v>35</v>
      </c>
      <c r="D81" s="13"/>
      <c r="E81" s="9" t="s">
        <v>46</v>
      </c>
      <c r="F81" s="12"/>
      <c r="G81" s="5" t="s">
        <v>12</v>
      </c>
      <c r="H81" s="128" t="s">
        <v>13</v>
      </c>
      <c r="I81" s="4" t="s">
        <v>14</v>
      </c>
      <c r="J81" s="4" t="s">
        <v>15</v>
      </c>
      <c r="K81" s="9" t="s">
        <v>338</v>
      </c>
      <c r="L81" s="7"/>
      <c r="M81" s="20"/>
      <c r="N81" s="21"/>
      <c r="O81" s="9" t="s">
        <v>338</v>
      </c>
      <c r="P81" s="7"/>
      <c r="Q81" s="20"/>
      <c r="R81" s="21"/>
      <c r="S81" s="519"/>
      <c r="T81" s="527"/>
      <c r="U81" s="528"/>
      <c r="V81" s="529"/>
      <c r="W81" s="519"/>
      <c r="X81" s="539"/>
      <c r="Y81" s="540"/>
      <c r="Z81" s="541"/>
      <c r="AA81" s="9" t="s">
        <v>56</v>
      </c>
      <c r="AB81" s="7"/>
      <c r="AC81" s="20"/>
      <c r="AD81" s="21"/>
      <c r="AE81" s="547"/>
      <c r="AF81" s="545"/>
      <c r="AG81" s="545"/>
      <c r="AH81" s="545"/>
      <c r="AI81" s="545"/>
      <c r="AJ81" s="546"/>
      <c r="AK81" s="547"/>
      <c r="AL81" s="545"/>
      <c r="AM81" s="545"/>
      <c r="AN81" s="545"/>
      <c r="AO81" s="545"/>
      <c r="AP81" s="546"/>
      <c r="AQ81" s="530"/>
      <c r="AR81" s="515"/>
      <c r="AS81" s="517"/>
      <c r="AT81" s="554">
        <v>14</v>
      </c>
      <c r="AU81" s="25" t="s">
        <v>0</v>
      </c>
      <c r="AV81" s="557"/>
      <c r="AW81" s="558"/>
      <c r="AX81" s="559"/>
      <c r="AY81" s="554">
        <v>16</v>
      </c>
      <c r="AZ81" s="25" t="s">
        <v>0</v>
      </c>
      <c r="BA81" s="557"/>
      <c r="BB81" s="558"/>
      <c r="BC81" s="559"/>
    </row>
    <row r="82" spans="1:55" ht="16.5" customHeight="1">
      <c r="A82" s="560"/>
      <c r="B82" s="561"/>
      <c r="C82" s="9" t="s">
        <v>36</v>
      </c>
      <c r="D82" s="13"/>
      <c r="E82" s="9" t="s">
        <v>47</v>
      </c>
      <c r="F82" s="12"/>
      <c r="G82" s="354">
        <v>31</v>
      </c>
      <c r="H82" s="335"/>
      <c r="I82" s="336"/>
      <c r="J82" s="357"/>
      <c r="K82" s="9" t="s">
        <v>339</v>
      </c>
      <c r="L82" s="7"/>
      <c r="M82" s="20"/>
      <c r="N82" s="21"/>
      <c r="O82" s="9" t="s">
        <v>339</v>
      </c>
      <c r="P82" s="7"/>
      <c r="Q82" s="20"/>
      <c r="R82" s="21"/>
      <c r="S82" s="519"/>
      <c r="T82" s="527"/>
      <c r="U82" s="528"/>
      <c r="V82" s="529"/>
      <c r="W82" s="532" t="s">
        <v>344</v>
      </c>
      <c r="X82" s="533"/>
      <c r="Y82" s="535"/>
      <c r="Z82" s="537"/>
      <c r="AA82" s="9"/>
      <c r="AB82" s="7"/>
      <c r="AC82" s="20"/>
      <c r="AD82" s="21"/>
      <c r="AE82" s="547"/>
      <c r="AF82" s="545"/>
      <c r="AG82" s="545"/>
      <c r="AH82" s="545"/>
      <c r="AI82" s="545"/>
      <c r="AJ82" s="546"/>
      <c r="AK82" s="547"/>
      <c r="AL82" s="545"/>
      <c r="AM82" s="545"/>
      <c r="AN82" s="545"/>
      <c r="AO82" s="545"/>
      <c r="AP82" s="546"/>
      <c r="AQ82" s="530">
        <v>34</v>
      </c>
      <c r="AR82" s="515"/>
      <c r="AS82" s="517"/>
      <c r="AT82" s="555"/>
      <c r="AU82" s="26" t="s">
        <v>87</v>
      </c>
      <c r="AV82" s="124"/>
      <c r="AW82" s="127" t="s">
        <v>192</v>
      </c>
      <c r="AX82" s="125"/>
      <c r="AY82" s="555"/>
      <c r="AZ82" s="26" t="s">
        <v>87</v>
      </c>
      <c r="BA82" s="124"/>
      <c r="BB82" s="127" t="s">
        <v>192</v>
      </c>
      <c r="BC82" s="125"/>
    </row>
    <row r="83" spans="1:55" ht="16.5" customHeight="1">
      <c r="A83" s="560"/>
      <c r="B83" s="561"/>
      <c r="C83" s="9" t="s">
        <v>37</v>
      </c>
      <c r="D83" s="13"/>
      <c r="E83" s="9" t="s">
        <v>48</v>
      </c>
      <c r="F83" s="12"/>
      <c r="G83" s="355">
        <v>32</v>
      </c>
      <c r="H83" s="338"/>
      <c r="I83" s="339"/>
      <c r="J83" s="340"/>
      <c r="K83" s="353" t="s">
        <v>340</v>
      </c>
      <c r="L83" s="7"/>
      <c r="M83" s="20"/>
      <c r="N83" s="21"/>
      <c r="O83" s="353" t="s">
        <v>340</v>
      </c>
      <c r="P83" s="7"/>
      <c r="Q83" s="20"/>
      <c r="R83" s="21"/>
      <c r="S83" s="519"/>
      <c r="T83" s="539"/>
      <c r="U83" s="540"/>
      <c r="V83" s="541"/>
      <c r="W83" s="519"/>
      <c r="X83" s="527"/>
      <c r="Y83" s="528"/>
      <c r="Z83" s="529"/>
      <c r="AA83" s="9" t="s">
        <v>58</v>
      </c>
      <c r="AB83" s="7"/>
      <c r="AC83" s="20"/>
      <c r="AD83" s="21"/>
      <c r="AE83" s="547"/>
      <c r="AF83" s="545"/>
      <c r="AG83" s="545"/>
      <c r="AH83" s="545"/>
      <c r="AI83" s="545"/>
      <c r="AJ83" s="546"/>
      <c r="AK83" s="547"/>
      <c r="AL83" s="545"/>
      <c r="AM83" s="545"/>
      <c r="AN83" s="545"/>
      <c r="AO83" s="545"/>
      <c r="AP83" s="546"/>
      <c r="AQ83" s="530"/>
      <c r="AR83" s="515"/>
      <c r="AS83" s="517"/>
      <c r="AT83" s="555"/>
      <c r="AU83" s="26" t="s">
        <v>88</v>
      </c>
      <c r="AV83" s="28"/>
      <c r="AW83" s="26" t="s">
        <v>12</v>
      </c>
      <c r="AX83" s="31"/>
      <c r="AY83" s="555"/>
      <c r="AZ83" s="26" t="s">
        <v>88</v>
      </c>
      <c r="BA83" s="28"/>
      <c r="BB83" s="26" t="s">
        <v>12</v>
      </c>
      <c r="BC83" s="31"/>
    </row>
    <row r="84" spans="1:55" ht="16.5" customHeight="1">
      <c r="A84" s="560"/>
      <c r="B84" s="561"/>
      <c r="C84" s="9" t="s">
        <v>38</v>
      </c>
      <c r="D84" s="13"/>
      <c r="E84" s="9" t="s">
        <v>49</v>
      </c>
      <c r="F84" s="12"/>
      <c r="G84" s="355">
        <v>33</v>
      </c>
      <c r="H84" s="338"/>
      <c r="I84" s="339"/>
      <c r="J84" s="340"/>
      <c r="K84" s="9" t="s">
        <v>341</v>
      </c>
      <c r="L84" s="7"/>
      <c r="M84" s="20"/>
      <c r="N84" s="21"/>
      <c r="O84" s="9" t="s">
        <v>341</v>
      </c>
      <c r="P84" s="7"/>
      <c r="Q84" s="20"/>
      <c r="R84" s="21"/>
      <c r="S84" s="519" t="s">
        <v>344</v>
      </c>
      <c r="T84" s="521"/>
      <c r="U84" s="523"/>
      <c r="V84" s="525"/>
      <c r="W84" s="519"/>
      <c r="X84" s="539"/>
      <c r="Y84" s="540"/>
      <c r="Z84" s="541"/>
      <c r="AA84" s="9" t="s">
        <v>59</v>
      </c>
      <c r="AB84" s="7"/>
      <c r="AC84" s="20"/>
      <c r="AD84" s="21"/>
      <c r="AE84" s="547"/>
      <c r="AF84" s="545"/>
      <c r="AG84" s="545"/>
      <c r="AH84" s="545"/>
      <c r="AI84" s="545"/>
      <c r="AJ84" s="546"/>
      <c r="AK84" s="547"/>
      <c r="AL84" s="545"/>
      <c r="AM84" s="545"/>
      <c r="AN84" s="545"/>
      <c r="AO84" s="545"/>
      <c r="AP84" s="546"/>
      <c r="AQ84" s="530">
        <v>35</v>
      </c>
      <c r="AR84" s="515"/>
      <c r="AS84" s="517"/>
      <c r="AT84" s="555"/>
      <c r="AU84" s="26" t="s">
        <v>89</v>
      </c>
      <c r="AV84" s="29"/>
      <c r="AW84" s="26" t="s">
        <v>12</v>
      </c>
      <c r="AX84" s="32"/>
      <c r="AY84" s="555"/>
      <c r="AZ84" s="26" t="s">
        <v>89</v>
      </c>
      <c r="BA84" s="29"/>
      <c r="BB84" s="26" t="s">
        <v>12</v>
      </c>
      <c r="BC84" s="32"/>
    </row>
    <row r="85" spans="1:55" ht="16.5" customHeight="1">
      <c r="A85" s="560"/>
      <c r="B85" s="561"/>
      <c r="C85" s="9" t="s">
        <v>39</v>
      </c>
      <c r="D85" s="13"/>
      <c r="E85" s="9" t="s">
        <v>50</v>
      </c>
      <c r="F85" s="132"/>
      <c r="G85" s="355">
        <v>34</v>
      </c>
      <c r="H85" s="347"/>
      <c r="I85" s="348"/>
      <c r="J85" s="349"/>
      <c r="K85" s="9"/>
      <c r="L85" s="7"/>
      <c r="M85" s="20"/>
      <c r="N85" s="21"/>
      <c r="O85" s="9"/>
      <c r="P85" s="7"/>
      <c r="Q85" s="20"/>
      <c r="R85" s="21"/>
      <c r="S85" s="519"/>
      <c r="T85" s="527"/>
      <c r="U85" s="528"/>
      <c r="V85" s="529"/>
      <c r="W85" s="519" t="s">
        <v>60</v>
      </c>
      <c r="X85" s="521"/>
      <c r="Y85" s="523"/>
      <c r="Z85" s="525"/>
      <c r="AA85" s="9" t="s">
        <v>60</v>
      </c>
      <c r="AB85" s="7"/>
      <c r="AC85" s="20"/>
      <c r="AD85" s="21"/>
      <c r="AE85" s="553"/>
      <c r="AF85" s="548"/>
      <c r="AG85" s="548"/>
      <c r="AH85" s="548"/>
      <c r="AI85" s="548"/>
      <c r="AJ85" s="549"/>
      <c r="AK85" s="553"/>
      <c r="AL85" s="548"/>
      <c r="AM85" s="548"/>
      <c r="AN85" s="548"/>
      <c r="AO85" s="548"/>
      <c r="AP85" s="549"/>
      <c r="AQ85" s="531"/>
      <c r="AR85" s="516"/>
      <c r="AS85" s="518"/>
      <c r="AT85" s="556"/>
      <c r="AU85" s="27" t="s">
        <v>90</v>
      </c>
      <c r="AV85" s="30"/>
      <c r="AW85" s="27" t="s">
        <v>91</v>
      </c>
      <c r="AX85" s="33"/>
      <c r="AY85" s="556"/>
      <c r="AZ85" s="27" t="s">
        <v>90</v>
      </c>
      <c r="BA85" s="30"/>
      <c r="BB85" s="27" t="s">
        <v>91</v>
      </c>
      <c r="BC85" s="33"/>
    </row>
    <row r="86" spans="1:55" ht="16.5" customHeight="1">
      <c r="A86" s="560"/>
      <c r="B86" s="561"/>
      <c r="C86" s="10" t="s">
        <v>40</v>
      </c>
      <c r="D86" s="15"/>
      <c r="E86" s="130" t="s">
        <v>255</v>
      </c>
      <c r="F86" s="131"/>
      <c r="G86" s="356">
        <v>35</v>
      </c>
      <c r="H86" s="350"/>
      <c r="I86" s="351"/>
      <c r="J86" s="352"/>
      <c r="K86" s="17"/>
      <c r="L86" s="16"/>
      <c r="M86" s="22"/>
      <c r="N86" s="23"/>
      <c r="O86" s="17"/>
      <c r="P86" s="16"/>
      <c r="Q86" s="22"/>
      <c r="R86" s="23"/>
      <c r="S86" s="520"/>
      <c r="T86" s="522"/>
      <c r="U86" s="524"/>
      <c r="V86" s="526"/>
      <c r="W86" s="520"/>
      <c r="X86" s="522"/>
      <c r="Y86" s="524"/>
      <c r="Z86" s="526"/>
      <c r="AA86" s="17" t="s">
        <v>61</v>
      </c>
      <c r="AB86" s="16"/>
      <c r="AC86" s="22"/>
      <c r="AD86" s="23"/>
      <c r="AE86" s="115"/>
      <c r="AF86" s="116"/>
      <c r="AG86" s="116"/>
      <c r="AH86" s="116"/>
      <c r="AI86" s="117"/>
      <c r="AJ86" s="118"/>
      <c r="AK86" s="119"/>
      <c r="AL86" s="120"/>
      <c r="AM86" s="121"/>
      <c r="AN86" s="121"/>
      <c r="AO86" s="121"/>
      <c r="AP86" s="122"/>
      <c r="AQ86" s="115"/>
      <c r="AR86" s="116"/>
      <c r="AS86" s="118"/>
      <c r="AT86" s="123"/>
      <c r="AU86" s="113"/>
      <c r="AV86" s="113"/>
      <c r="AW86" s="113"/>
      <c r="AX86" s="114"/>
      <c r="AY86" s="123"/>
      <c r="AZ86" s="113"/>
      <c r="BA86" s="113"/>
      <c r="BB86" s="113"/>
      <c r="BC86" s="114"/>
    </row>
    <row r="87" spans="1:55" ht="16.5" customHeight="1"/>
    <row r="88" spans="1:55" ht="16.5" customHeight="1">
      <c r="A88" s="560">
        <v>8</v>
      </c>
      <c r="B88" s="561" t="s">
        <v>232</v>
      </c>
      <c r="C88" s="8" t="s">
        <v>42</v>
      </c>
      <c r="D88" s="24"/>
      <c r="E88" s="8" t="s">
        <v>43</v>
      </c>
      <c r="F88" s="11"/>
      <c r="G88" s="354">
        <v>36</v>
      </c>
      <c r="H88" s="335"/>
      <c r="I88" s="336"/>
      <c r="J88" s="357"/>
      <c r="K88" s="8" t="s">
        <v>333</v>
      </c>
      <c r="L88" s="6"/>
      <c r="M88" s="18"/>
      <c r="N88" s="19"/>
      <c r="O88" s="8" t="s">
        <v>333</v>
      </c>
      <c r="P88" s="6"/>
      <c r="Q88" s="18"/>
      <c r="R88" s="19"/>
      <c r="S88" s="532" t="s">
        <v>51</v>
      </c>
      <c r="T88" s="533"/>
      <c r="U88" s="535"/>
      <c r="V88" s="537"/>
      <c r="W88" s="532" t="s">
        <v>51</v>
      </c>
      <c r="X88" s="533"/>
      <c r="Y88" s="535"/>
      <c r="Z88" s="537"/>
      <c r="AA88" s="8" t="s">
        <v>51</v>
      </c>
      <c r="AB88" s="6"/>
      <c r="AC88" s="18"/>
      <c r="AD88" s="19"/>
      <c r="AE88" s="552"/>
      <c r="AF88" s="550"/>
      <c r="AG88" s="550"/>
      <c r="AH88" s="550"/>
      <c r="AI88" s="550"/>
      <c r="AJ88" s="551"/>
      <c r="AK88" s="552"/>
      <c r="AL88" s="550"/>
      <c r="AM88" s="550"/>
      <c r="AN88" s="550"/>
      <c r="AO88" s="550"/>
      <c r="AP88" s="551"/>
      <c r="AQ88" s="542">
        <v>36</v>
      </c>
      <c r="AR88" s="543"/>
      <c r="AS88" s="544"/>
      <c r="AT88" s="554">
        <v>15</v>
      </c>
      <c r="AU88" s="25" t="s">
        <v>0</v>
      </c>
      <c r="AV88" s="557"/>
      <c r="AW88" s="558"/>
      <c r="AX88" s="559"/>
      <c r="AY88" s="554">
        <v>17</v>
      </c>
      <c r="AZ88" s="25" t="s">
        <v>0</v>
      </c>
      <c r="BA88" s="557"/>
      <c r="BB88" s="558"/>
      <c r="BC88" s="559"/>
    </row>
    <row r="89" spans="1:55" ht="16.5" customHeight="1">
      <c r="A89" s="560"/>
      <c r="B89" s="561"/>
      <c r="C89" s="9" t="s">
        <v>33</v>
      </c>
      <c r="D89" s="13"/>
      <c r="E89" s="9" t="s">
        <v>70</v>
      </c>
      <c r="F89" s="12"/>
      <c r="G89" s="355">
        <v>37</v>
      </c>
      <c r="H89" s="338"/>
      <c r="I89" s="339"/>
      <c r="J89" s="340"/>
      <c r="K89" s="9" t="s">
        <v>334</v>
      </c>
      <c r="L89" s="7"/>
      <c r="M89" s="20"/>
      <c r="N89" s="21"/>
      <c r="O89" s="9" t="s">
        <v>334</v>
      </c>
      <c r="P89" s="7"/>
      <c r="Q89" s="20"/>
      <c r="R89" s="21"/>
      <c r="S89" s="519"/>
      <c r="T89" s="527"/>
      <c r="U89" s="528"/>
      <c r="V89" s="529"/>
      <c r="W89" s="519"/>
      <c r="X89" s="527"/>
      <c r="Y89" s="528"/>
      <c r="Z89" s="529"/>
      <c r="AA89" s="9" t="s">
        <v>52</v>
      </c>
      <c r="AB89" s="7"/>
      <c r="AC89" s="20"/>
      <c r="AD89" s="21"/>
      <c r="AE89" s="547"/>
      <c r="AF89" s="545"/>
      <c r="AG89" s="545"/>
      <c r="AH89" s="545"/>
      <c r="AI89" s="545"/>
      <c r="AJ89" s="546"/>
      <c r="AK89" s="547"/>
      <c r="AL89" s="545"/>
      <c r="AM89" s="545"/>
      <c r="AN89" s="545"/>
      <c r="AO89" s="545"/>
      <c r="AP89" s="546"/>
      <c r="AQ89" s="530"/>
      <c r="AR89" s="515"/>
      <c r="AS89" s="517"/>
      <c r="AT89" s="555"/>
      <c r="AU89" s="26" t="s">
        <v>87</v>
      </c>
      <c r="AV89" s="124"/>
      <c r="AW89" s="26" t="s">
        <v>192</v>
      </c>
      <c r="AX89" s="126"/>
      <c r="AY89" s="555"/>
      <c r="AZ89" s="26" t="s">
        <v>87</v>
      </c>
      <c r="BA89" s="124"/>
      <c r="BB89" s="127" t="s">
        <v>192</v>
      </c>
      <c r="BC89" s="125"/>
    </row>
    <row r="90" spans="1:55" ht="16.5" customHeight="1">
      <c r="A90" s="560"/>
      <c r="B90" s="561"/>
      <c r="C90" s="9" t="s">
        <v>34</v>
      </c>
      <c r="D90" s="14"/>
      <c r="E90" s="9" t="s">
        <v>44</v>
      </c>
      <c r="F90" s="12"/>
      <c r="G90" s="355">
        <v>38</v>
      </c>
      <c r="H90" s="338"/>
      <c r="I90" s="339"/>
      <c r="J90" s="340"/>
      <c r="K90" s="9" t="s">
        <v>335</v>
      </c>
      <c r="L90" s="7"/>
      <c r="M90" s="20"/>
      <c r="N90" s="21"/>
      <c r="O90" s="9" t="s">
        <v>335</v>
      </c>
      <c r="P90" s="7"/>
      <c r="Q90" s="20"/>
      <c r="R90" s="21"/>
      <c r="S90" s="519"/>
      <c r="T90" s="527"/>
      <c r="U90" s="528"/>
      <c r="V90" s="529"/>
      <c r="W90" s="519"/>
      <c r="X90" s="539"/>
      <c r="Y90" s="540"/>
      <c r="Z90" s="541"/>
      <c r="AA90" s="9" t="s">
        <v>53</v>
      </c>
      <c r="AB90" s="7"/>
      <c r="AC90" s="20"/>
      <c r="AD90" s="21"/>
      <c r="AE90" s="547"/>
      <c r="AF90" s="545"/>
      <c r="AG90" s="545"/>
      <c r="AH90" s="545"/>
      <c r="AI90" s="545"/>
      <c r="AJ90" s="546"/>
      <c r="AK90" s="547"/>
      <c r="AL90" s="545"/>
      <c r="AM90" s="545"/>
      <c r="AN90" s="545"/>
      <c r="AO90" s="545"/>
      <c r="AP90" s="546"/>
      <c r="AQ90" s="530">
        <v>37</v>
      </c>
      <c r="AR90" s="515"/>
      <c r="AS90" s="517"/>
      <c r="AT90" s="555"/>
      <c r="AU90" s="26" t="s">
        <v>88</v>
      </c>
      <c r="AV90" s="28"/>
      <c r="AW90" s="26" t="s">
        <v>12</v>
      </c>
      <c r="AX90" s="31"/>
      <c r="AY90" s="555"/>
      <c r="AZ90" s="26" t="s">
        <v>88</v>
      </c>
      <c r="BA90" s="28"/>
      <c r="BB90" s="26" t="s">
        <v>12</v>
      </c>
      <c r="BC90" s="31"/>
    </row>
    <row r="91" spans="1:55" ht="16.5" customHeight="1">
      <c r="A91" s="560"/>
      <c r="B91" s="561"/>
      <c r="C91" s="9" t="s">
        <v>41</v>
      </c>
      <c r="D91" s="13"/>
      <c r="E91" s="9" t="s">
        <v>62</v>
      </c>
      <c r="F91" s="12"/>
      <c r="G91" s="355">
        <v>39</v>
      </c>
      <c r="H91" s="341"/>
      <c r="I91" s="342"/>
      <c r="J91" s="343"/>
      <c r="K91" s="9" t="s">
        <v>336</v>
      </c>
      <c r="L91" s="7"/>
      <c r="M91" s="20"/>
      <c r="N91" s="21"/>
      <c r="O91" s="9" t="s">
        <v>336</v>
      </c>
      <c r="P91" s="7"/>
      <c r="Q91" s="20"/>
      <c r="R91" s="21"/>
      <c r="S91" s="519"/>
      <c r="T91" s="534"/>
      <c r="U91" s="536"/>
      <c r="V91" s="538"/>
      <c r="W91" s="532" t="s">
        <v>52</v>
      </c>
      <c r="X91" s="533"/>
      <c r="Y91" s="535"/>
      <c r="Z91" s="537"/>
      <c r="AA91" s="9" t="s">
        <v>54</v>
      </c>
      <c r="AB91" s="7"/>
      <c r="AC91" s="20"/>
      <c r="AD91" s="21"/>
      <c r="AE91" s="547"/>
      <c r="AF91" s="545"/>
      <c r="AG91" s="545"/>
      <c r="AH91" s="545"/>
      <c r="AI91" s="545"/>
      <c r="AJ91" s="546"/>
      <c r="AK91" s="547"/>
      <c r="AL91" s="545"/>
      <c r="AM91" s="545"/>
      <c r="AN91" s="545"/>
      <c r="AO91" s="545"/>
      <c r="AP91" s="546"/>
      <c r="AQ91" s="530"/>
      <c r="AR91" s="515"/>
      <c r="AS91" s="517"/>
      <c r="AT91" s="555"/>
      <c r="AU91" s="26" t="s">
        <v>89</v>
      </c>
      <c r="AV91" s="29"/>
      <c r="AW91" s="26" t="s">
        <v>12</v>
      </c>
      <c r="AX91" s="32"/>
      <c r="AY91" s="555"/>
      <c r="AZ91" s="26" t="s">
        <v>89</v>
      </c>
      <c r="BA91" s="29"/>
      <c r="BB91" s="26" t="s">
        <v>12</v>
      </c>
      <c r="BC91" s="32"/>
    </row>
    <row r="92" spans="1:55" ht="16.5" customHeight="1">
      <c r="A92" s="560"/>
      <c r="B92" s="561"/>
      <c r="C92" s="9" t="s">
        <v>417</v>
      </c>
      <c r="D92" s="3"/>
      <c r="E92" s="9" t="s">
        <v>45</v>
      </c>
      <c r="F92" s="12"/>
      <c r="G92" s="356">
        <v>40</v>
      </c>
      <c r="H92" s="344"/>
      <c r="I92" s="345"/>
      <c r="J92" s="346"/>
      <c r="K92" s="9" t="s">
        <v>337</v>
      </c>
      <c r="L92" s="7"/>
      <c r="M92" s="20"/>
      <c r="N92" s="21"/>
      <c r="O92" s="9" t="s">
        <v>337</v>
      </c>
      <c r="P92" s="7"/>
      <c r="Q92" s="20"/>
      <c r="R92" s="21"/>
      <c r="S92" s="519" t="s">
        <v>52</v>
      </c>
      <c r="T92" s="527"/>
      <c r="U92" s="528"/>
      <c r="V92" s="529"/>
      <c r="W92" s="519"/>
      <c r="X92" s="527"/>
      <c r="Y92" s="528"/>
      <c r="Z92" s="529"/>
      <c r="AA92" s="9" t="s">
        <v>55</v>
      </c>
      <c r="AB92" s="7"/>
      <c r="AC92" s="20"/>
      <c r="AD92" s="21"/>
      <c r="AE92" s="547"/>
      <c r="AF92" s="545"/>
      <c r="AG92" s="545"/>
      <c r="AH92" s="545"/>
      <c r="AI92" s="545"/>
      <c r="AJ92" s="546"/>
      <c r="AK92" s="547"/>
      <c r="AL92" s="545"/>
      <c r="AM92" s="545"/>
      <c r="AN92" s="545"/>
      <c r="AO92" s="545"/>
      <c r="AP92" s="546"/>
      <c r="AQ92" s="530">
        <v>38</v>
      </c>
      <c r="AR92" s="515"/>
      <c r="AS92" s="517"/>
      <c r="AT92" s="556"/>
      <c r="AU92" s="27" t="s">
        <v>90</v>
      </c>
      <c r="AV92" s="30"/>
      <c r="AW92" s="27" t="s">
        <v>91</v>
      </c>
      <c r="AX92" s="33"/>
      <c r="AY92" s="556"/>
      <c r="AZ92" s="27" t="s">
        <v>90</v>
      </c>
      <c r="BA92" s="30"/>
      <c r="BB92" s="27" t="s">
        <v>91</v>
      </c>
      <c r="BC92" s="33"/>
    </row>
    <row r="93" spans="1:55" ht="16.5" customHeight="1">
      <c r="A93" s="560"/>
      <c r="B93" s="561"/>
      <c r="C93" s="9" t="s">
        <v>35</v>
      </c>
      <c r="D93" s="13"/>
      <c r="E93" s="9" t="s">
        <v>46</v>
      </c>
      <c r="F93" s="12"/>
      <c r="G93" s="5" t="s">
        <v>12</v>
      </c>
      <c r="H93" s="128" t="s">
        <v>13</v>
      </c>
      <c r="I93" s="4" t="s">
        <v>14</v>
      </c>
      <c r="J93" s="4" t="s">
        <v>15</v>
      </c>
      <c r="K93" s="9" t="s">
        <v>338</v>
      </c>
      <c r="L93" s="7"/>
      <c r="M93" s="20"/>
      <c r="N93" s="21"/>
      <c r="O93" s="9" t="s">
        <v>338</v>
      </c>
      <c r="P93" s="7"/>
      <c r="Q93" s="20"/>
      <c r="R93" s="21"/>
      <c r="S93" s="519"/>
      <c r="T93" s="527"/>
      <c r="U93" s="528"/>
      <c r="V93" s="529"/>
      <c r="W93" s="519"/>
      <c r="X93" s="539"/>
      <c r="Y93" s="540"/>
      <c r="Z93" s="541"/>
      <c r="AA93" s="9" t="s">
        <v>56</v>
      </c>
      <c r="AB93" s="7"/>
      <c r="AC93" s="20"/>
      <c r="AD93" s="21"/>
      <c r="AE93" s="547"/>
      <c r="AF93" s="545"/>
      <c r="AG93" s="545"/>
      <c r="AH93" s="545"/>
      <c r="AI93" s="545"/>
      <c r="AJ93" s="546"/>
      <c r="AK93" s="547"/>
      <c r="AL93" s="545"/>
      <c r="AM93" s="545"/>
      <c r="AN93" s="545"/>
      <c r="AO93" s="545"/>
      <c r="AP93" s="546"/>
      <c r="AQ93" s="530"/>
      <c r="AR93" s="515"/>
      <c r="AS93" s="517"/>
      <c r="AT93" s="554">
        <v>16</v>
      </c>
      <c r="AU93" s="25" t="s">
        <v>0</v>
      </c>
      <c r="AV93" s="557"/>
      <c r="AW93" s="558"/>
      <c r="AX93" s="559"/>
      <c r="AY93" s="554">
        <v>18</v>
      </c>
      <c r="AZ93" s="25" t="s">
        <v>0</v>
      </c>
      <c r="BA93" s="557"/>
      <c r="BB93" s="558"/>
      <c r="BC93" s="559"/>
    </row>
    <row r="94" spans="1:55" ht="16.5" customHeight="1">
      <c r="A94" s="560"/>
      <c r="B94" s="561"/>
      <c r="C94" s="9" t="s">
        <v>36</v>
      </c>
      <c r="D94" s="13"/>
      <c r="E94" s="9" t="s">
        <v>47</v>
      </c>
      <c r="F94" s="12"/>
      <c r="G94" s="354">
        <v>36</v>
      </c>
      <c r="H94" s="335"/>
      <c r="I94" s="336"/>
      <c r="J94" s="357"/>
      <c r="K94" s="9" t="s">
        <v>339</v>
      </c>
      <c r="L94" s="7"/>
      <c r="M94" s="20"/>
      <c r="N94" s="21"/>
      <c r="O94" s="9" t="s">
        <v>339</v>
      </c>
      <c r="P94" s="7"/>
      <c r="Q94" s="20"/>
      <c r="R94" s="21"/>
      <c r="S94" s="519"/>
      <c r="T94" s="527"/>
      <c r="U94" s="528"/>
      <c r="V94" s="529"/>
      <c r="W94" s="532" t="s">
        <v>344</v>
      </c>
      <c r="X94" s="533"/>
      <c r="Y94" s="535"/>
      <c r="Z94" s="537"/>
      <c r="AA94" s="9"/>
      <c r="AB94" s="7"/>
      <c r="AC94" s="20"/>
      <c r="AD94" s="21"/>
      <c r="AE94" s="547"/>
      <c r="AF94" s="545"/>
      <c r="AG94" s="545"/>
      <c r="AH94" s="545"/>
      <c r="AI94" s="545"/>
      <c r="AJ94" s="546"/>
      <c r="AK94" s="547"/>
      <c r="AL94" s="545"/>
      <c r="AM94" s="545"/>
      <c r="AN94" s="545"/>
      <c r="AO94" s="545"/>
      <c r="AP94" s="546"/>
      <c r="AQ94" s="530">
        <v>39</v>
      </c>
      <c r="AR94" s="515"/>
      <c r="AS94" s="517"/>
      <c r="AT94" s="555"/>
      <c r="AU94" s="26" t="s">
        <v>87</v>
      </c>
      <c r="AV94" s="124"/>
      <c r="AW94" s="127" t="s">
        <v>192</v>
      </c>
      <c r="AX94" s="125"/>
      <c r="AY94" s="555"/>
      <c r="AZ94" s="26" t="s">
        <v>87</v>
      </c>
      <c r="BA94" s="124"/>
      <c r="BB94" s="127" t="s">
        <v>192</v>
      </c>
      <c r="BC94" s="125"/>
    </row>
    <row r="95" spans="1:55" ht="16.5" customHeight="1">
      <c r="A95" s="560"/>
      <c r="B95" s="561"/>
      <c r="C95" s="9" t="s">
        <v>37</v>
      </c>
      <c r="D95" s="13"/>
      <c r="E95" s="9" t="s">
        <v>48</v>
      </c>
      <c r="F95" s="12"/>
      <c r="G95" s="355">
        <v>37</v>
      </c>
      <c r="H95" s="338"/>
      <c r="I95" s="339"/>
      <c r="J95" s="340"/>
      <c r="K95" s="353" t="s">
        <v>340</v>
      </c>
      <c r="L95" s="7"/>
      <c r="M95" s="20"/>
      <c r="N95" s="21"/>
      <c r="O95" s="353" t="s">
        <v>340</v>
      </c>
      <c r="P95" s="7"/>
      <c r="Q95" s="20"/>
      <c r="R95" s="21"/>
      <c r="S95" s="519"/>
      <c r="T95" s="539"/>
      <c r="U95" s="540"/>
      <c r="V95" s="541"/>
      <c r="W95" s="519"/>
      <c r="X95" s="527"/>
      <c r="Y95" s="528"/>
      <c r="Z95" s="529"/>
      <c r="AA95" s="9" t="s">
        <v>58</v>
      </c>
      <c r="AB95" s="7"/>
      <c r="AC95" s="20"/>
      <c r="AD95" s="21"/>
      <c r="AE95" s="547"/>
      <c r="AF95" s="545"/>
      <c r="AG95" s="545"/>
      <c r="AH95" s="545"/>
      <c r="AI95" s="545"/>
      <c r="AJ95" s="546"/>
      <c r="AK95" s="547"/>
      <c r="AL95" s="545"/>
      <c r="AM95" s="545"/>
      <c r="AN95" s="545"/>
      <c r="AO95" s="545"/>
      <c r="AP95" s="546"/>
      <c r="AQ95" s="530"/>
      <c r="AR95" s="515"/>
      <c r="AS95" s="517"/>
      <c r="AT95" s="555"/>
      <c r="AU95" s="26" t="s">
        <v>88</v>
      </c>
      <c r="AV95" s="28"/>
      <c r="AW95" s="26" t="s">
        <v>12</v>
      </c>
      <c r="AX95" s="31"/>
      <c r="AY95" s="555"/>
      <c r="AZ95" s="26" t="s">
        <v>88</v>
      </c>
      <c r="BA95" s="28"/>
      <c r="BB95" s="26" t="s">
        <v>12</v>
      </c>
      <c r="BC95" s="31"/>
    </row>
    <row r="96" spans="1:55" ht="16.5" customHeight="1">
      <c r="A96" s="560"/>
      <c r="B96" s="561"/>
      <c r="C96" s="9" t="s">
        <v>38</v>
      </c>
      <c r="D96" s="13"/>
      <c r="E96" s="9" t="s">
        <v>49</v>
      </c>
      <c r="F96" s="12"/>
      <c r="G96" s="355">
        <v>38</v>
      </c>
      <c r="H96" s="338"/>
      <c r="I96" s="339"/>
      <c r="J96" s="340"/>
      <c r="K96" s="9" t="s">
        <v>341</v>
      </c>
      <c r="L96" s="7"/>
      <c r="M96" s="20"/>
      <c r="N96" s="21"/>
      <c r="O96" s="9" t="s">
        <v>341</v>
      </c>
      <c r="P96" s="7"/>
      <c r="Q96" s="20"/>
      <c r="R96" s="21"/>
      <c r="S96" s="519" t="s">
        <v>344</v>
      </c>
      <c r="T96" s="521"/>
      <c r="U96" s="523"/>
      <c r="V96" s="525"/>
      <c r="W96" s="519"/>
      <c r="X96" s="539"/>
      <c r="Y96" s="540"/>
      <c r="Z96" s="541"/>
      <c r="AA96" s="9" t="s">
        <v>59</v>
      </c>
      <c r="AB96" s="7"/>
      <c r="AC96" s="20"/>
      <c r="AD96" s="21"/>
      <c r="AE96" s="547"/>
      <c r="AF96" s="545"/>
      <c r="AG96" s="545"/>
      <c r="AH96" s="545"/>
      <c r="AI96" s="545"/>
      <c r="AJ96" s="546"/>
      <c r="AK96" s="547"/>
      <c r="AL96" s="545"/>
      <c r="AM96" s="545"/>
      <c r="AN96" s="545"/>
      <c r="AO96" s="545"/>
      <c r="AP96" s="546"/>
      <c r="AQ96" s="530">
        <v>40</v>
      </c>
      <c r="AR96" s="515"/>
      <c r="AS96" s="517"/>
      <c r="AT96" s="555"/>
      <c r="AU96" s="26" t="s">
        <v>89</v>
      </c>
      <c r="AV96" s="29"/>
      <c r="AW96" s="26" t="s">
        <v>12</v>
      </c>
      <c r="AX96" s="32"/>
      <c r="AY96" s="555"/>
      <c r="AZ96" s="26" t="s">
        <v>89</v>
      </c>
      <c r="BA96" s="29"/>
      <c r="BB96" s="26" t="s">
        <v>12</v>
      </c>
      <c r="BC96" s="32"/>
    </row>
    <row r="97" spans="1:55" ht="16.5" customHeight="1">
      <c r="A97" s="560"/>
      <c r="B97" s="561"/>
      <c r="C97" s="9" t="s">
        <v>39</v>
      </c>
      <c r="D97" s="13"/>
      <c r="E97" s="9" t="s">
        <v>50</v>
      </c>
      <c r="F97" s="132"/>
      <c r="G97" s="355">
        <v>39</v>
      </c>
      <c r="H97" s="347"/>
      <c r="I97" s="348"/>
      <c r="J97" s="349"/>
      <c r="K97" s="9"/>
      <c r="L97" s="7"/>
      <c r="M97" s="20"/>
      <c r="N97" s="21"/>
      <c r="O97" s="9"/>
      <c r="P97" s="7"/>
      <c r="Q97" s="20"/>
      <c r="R97" s="21"/>
      <c r="S97" s="519"/>
      <c r="T97" s="527"/>
      <c r="U97" s="528"/>
      <c r="V97" s="529"/>
      <c r="W97" s="519" t="s">
        <v>60</v>
      </c>
      <c r="X97" s="521"/>
      <c r="Y97" s="523"/>
      <c r="Z97" s="525"/>
      <c r="AA97" s="9" t="s">
        <v>60</v>
      </c>
      <c r="AB97" s="7"/>
      <c r="AC97" s="20"/>
      <c r="AD97" s="21"/>
      <c r="AE97" s="553"/>
      <c r="AF97" s="548"/>
      <c r="AG97" s="548"/>
      <c r="AH97" s="548"/>
      <c r="AI97" s="548"/>
      <c r="AJ97" s="549"/>
      <c r="AK97" s="553"/>
      <c r="AL97" s="548"/>
      <c r="AM97" s="548"/>
      <c r="AN97" s="548"/>
      <c r="AO97" s="548"/>
      <c r="AP97" s="549"/>
      <c r="AQ97" s="531"/>
      <c r="AR97" s="516"/>
      <c r="AS97" s="518"/>
      <c r="AT97" s="556"/>
      <c r="AU97" s="27" t="s">
        <v>90</v>
      </c>
      <c r="AV97" s="30"/>
      <c r="AW97" s="27" t="s">
        <v>91</v>
      </c>
      <c r="AX97" s="33"/>
      <c r="AY97" s="556"/>
      <c r="AZ97" s="27" t="s">
        <v>90</v>
      </c>
      <c r="BA97" s="30"/>
      <c r="BB97" s="27" t="s">
        <v>91</v>
      </c>
      <c r="BC97" s="33"/>
    </row>
    <row r="98" spans="1:55" ht="16.5" customHeight="1">
      <c r="A98" s="560"/>
      <c r="B98" s="561"/>
      <c r="C98" s="10" t="s">
        <v>40</v>
      </c>
      <c r="D98" s="15"/>
      <c r="E98" s="130" t="s">
        <v>255</v>
      </c>
      <c r="F98" s="131"/>
      <c r="G98" s="356">
        <v>40</v>
      </c>
      <c r="H98" s="350"/>
      <c r="I98" s="351"/>
      <c r="J98" s="352"/>
      <c r="K98" s="17"/>
      <c r="L98" s="16"/>
      <c r="M98" s="22"/>
      <c r="N98" s="23"/>
      <c r="O98" s="17"/>
      <c r="P98" s="16"/>
      <c r="Q98" s="22"/>
      <c r="R98" s="23"/>
      <c r="S98" s="520"/>
      <c r="T98" s="522"/>
      <c r="U98" s="524"/>
      <c r="V98" s="526"/>
      <c r="W98" s="520"/>
      <c r="X98" s="522"/>
      <c r="Y98" s="524"/>
      <c r="Z98" s="526"/>
      <c r="AA98" s="17" t="s">
        <v>61</v>
      </c>
      <c r="AB98" s="16"/>
      <c r="AC98" s="22"/>
      <c r="AD98" s="23"/>
      <c r="AE98" s="115"/>
      <c r="AF98" s="116"/>
      <c r="AG98" s="116"/>
      <c r="AH98" s="116"/>
      <c r="AI98" s="117"/>
      <c r="AJ98" s="118"/>
      <c r="AK98" s="119"/>
      <c r="AL98" s="120"/>
      <c r="AM98" s="121"/>
      <c r="AN98" s="121"/>
      <c r="AO98" s="121"/>
      <c r="AP98" s="122"/>
      <c r="AQ98" s="115"/>
      <c r="AR98" s="116"/>
      <c r="AS98" s="118"/>
      <c r="AT98" s="123"/>
      <c r="AU98" s="113"/>
      <c r="AV98" s="113"/>
      <c r="AW98" s="113"/>
      <c r="AX98" s="114"/>
      <c r="AY98" s="123"/>
      <c r="AZ98" s="113"/>
      <c r="BA98" s="113"/>
      <c r="BB98" s="113"/>
      <c r="BC98" s="114"/>
    </row>
    <row r="99" spans="1:55" ht="16.5" customHeight="1"/>
    <row r="100" spans="1:55" ht="16.5" customHeight="1">
      <c r="A100" s="560">
        <v>9</v>
      </c>
      <c r="B100" s="561" t="s">
        <v>233</v>
      </c>
      <c r="C100" s="8" t="s">
        <v>42</v>
      </c>
      <c r="D100" s="24"/>
      <c r="E100" s="8" t="s">
        <v>43</v>
      </c>
      <c r="F100" s="11"/>
      <c r="G100" s="354">
        <v>41</v>
      </c>
      <c r="H100" s="335"/>
      <c r="I100" s="336"/>
      <c r="J100" s="357"/>
      <c r="K100" s="8" t="s">
        <v>333</v>
      </c>
      <c r="L100" s="6"/>
      <c r="M100" s="18"/>
      <c r="N100" s="19"/>
      <c r="O100" s="8" t="s">
        <v>333</v>
      </c>
      <c r="P100" s="6"/>
      <c r="Q100" s="18"/>
      <c r="R100" s="19"/>
      <c r="S100" s="532" t="s">
        <v>51</v>
      </c>
      <c r="T100" s="533"/>
      <c r="U100" s="535"/>
      <c r="V100" s="537"/>
      <c r="W100" s="532" t="s">
        <v>51</v>
      </c>
      <c r="X100" s="533"/>
      <c r="Y100" s="535"/>
      <c r="Z100" s="537"/>
      <c r="AA100" s="8" t="s">
        <v>51</v>
      </c>
      <c r="AB100" s="6"/>
      <c r="AC100" s="18"/>
      <c r="AD100" s="19"/>
      <c r="AE100" s="552"/>
      <c r="AF100" s="550"/>
      <c r="AG100" s="550"/>
      <c r="AH100" s="550"/>
      <c r="AI100" s="550"/>
      <c r="AJ100" s="551"/>
      <c r="AK100" s="552"/>
      <c r="AL100" s="550"/>
      <c r="AM100" s="550"/>
      <c r="AN100" s="550"/>
      <c r="AO100" s="550"/>
      <c r="AP100" s="551"/>
      <c r="AQ100" s="542">
        <v>41</v>
      </c>
      <c r="AR100" s="543"/>
      <c r="AS100" s="544"/>
      <c r="AT100" s="554">
        <v>17</v>
      </c>
      <c r="AU100" s="25" t="s">
        <v>0</v>
      </c>
      <c r="AV100" s="557"/>
      <c r="AW100" s="558"/>
      <c r="AX100" s="559"/>
      <c r="AY100" s="554">
        <v>19</v>
      </c>
      <c r="AZ100" s="25" t="s">
        <v>0</v>
      </c>
      <c r="BA100" s="557"/>
      <c r="BB100" s="558"/>
      <c r="BC100" s="559"/>
    </row>
    <row r="101" spans="1:55" ht="16.5" customHeight="1">
      <c r="A101" s="560"/>
      <c r="B101" s="561"/>
      <c r="C101" s="9" t="s">
        <v>33</v>
      </c>
      <c r="D101" s="13"/>
      <c r="E101" s="9" t="s">
        <v>70</v>
      </c>
      <c r="F101" s="12"/>
      <c r="G101" s="355">
        <v>42</v>
      </c>
      <c r="H101" s="338"/>
      <c r="I101" s="339"/>
      <c r="J101" s="340"/>
      <c r="K101" s="9" t="s">
        <v>334</v>
      </c>
      <c r="L101" s="7"/>
      <c r="M101" s="20"/>
      <c r="N101" s="21"/>
      <c r="O101" s="9" t="s">
        <v>334</v>
      </c>
      <c r="P101" s="7"/>
      <c r="Q101" s="20"/>
      <c r="R101" s="21"/>
      <c r="S101" s="519"/>
      <c r="T101" s="527"/>
      <c r="U101" s="528"/>
      <c r="V101" s="529"/>
      <c r="W101" s="519"/>
      <c r="X101" s="527"/>
      <c r="Y101" s="528"/>
      <c r="Z101" s="529"/>
      <c r="AA101" s="9" t="s">
        <v>52</v>
      </c>
      <c r="AB101" s="7"/>
      <c r="AC101" s="20"/>
      <c r="AD101" s="21"/>
      <c r="AE101" s="547"/>
      <c r="AF101" s="545"/>
      <c r="AG101" s="545"/>
      <c r="AH101" s="545"/>
      <c r="AI101" s="545"/>
      <c r="AJ101" s="546"/>
      <c r="AK101" s="547"/>
      <c r="AL101" s="545"/>
      <c r="AM101" s="545"/>
      <c r="AN101" s="545"/>
      <c r="AO101" s="545"/>
      <c r="AP101" s="546"/>
      <c r="AQ101" s="530"/>
      <c r="AR101" s="515"/>
      <c r="AS101" s="517"/>
      <c r="AT101" s="555"/>
      <c r="AU101" s="26" t="s">
        <v>87</v>
      </c>
      <c r="AV101" s="124"/>
      <c r="AW101" s="26" t="s">
        <v>192</v>
      </c>
      <c r="AX101" s="126"/>
      <c r="AY101" s="555"/>
      <c r="AZ101" s="26" t="s">
        <v>87</v>
      </c>
      <c r="BA101" s="124"/>
      <c r="BB101" s="127" t="s">
        <v>192</v>
      </c>
      <c r="BC101" s="125"/>
    </row>
    <row r="102" spans="1:55" ht="16.5" customHeight="1">
      <c r="A102" s="560"/>
      <c r="B102" s="561"/>
      <c r="C102" s="9" t="s">
        <v>34</v>
      </c>
      <c r="D102" s="14"/>
      <c r="E102" s="9" t="s">
        <v>44</v>
      </c>
      <c r="F102" s="12"/>
      <c r="G102" s="355">
        <v>43</v>
      </c>
      <c r="H102" s="338"/>
      <c r="I102" s="339"/>
      <c r="J102" s="340"/>
      <c r="K102" s="9" t="s">
        <v>335</v>
      </c>
      <c r="L102" s="7"/>
      <c r="M102" s="20"/>
      <c r="N102" s="21"/>
      <c r="O102" s="9" t="s">
        <v>335</v>
      </c>
      <c r="P102" s="7"/>
      <c r="Q102" s="20"/>
      <c r="R102" s="21"/>
      <c r="S102" s="519"/>
      <c r="T102" s="527"/>
      <c r="U102" s="528"/>
      <c r="V102" s="529"/>
      <c r="W102" s="519"/>
      <c r="X102" s="539"/>
      <c r="Y102" s="540"/>
      <c r="Z102" s="541"/>
      <c r="AA102" s="9" t="s">
        <v>53</v>
      </c>
      <c r="AB102" s="7"/>
      <c r="AC102" s="20"/>
      <c r="AD102" s="21"/>
      <c r="AE102" s="547"/>
      <c r="AF102" s="545"/>
      <c r="AG102" s="545"/>
      <c r="AH102" s="545"/>
      <c r="AI102" s="545"/>
      <c r="AJ102" s="546"/>
      <c r="AK102" s="547"/>
      <c r="AL102" s="545"/>
      <c r="AM102" s="545"/>
      <c r="AN102" s="545"/>
      <c r="AO102" s="545"/>
      <c r="AP102" s="546"/>
      <c r="AQ102" s="530">
        <v>42</v>
      </c>
      <c r="AR102" s="515"/>
      <c r="AS102" s="517"/>
      <c r="AT102" s="555"/>
      <c r="AU102" s="26" t="s">
        <v>88</v>
      </c>
      <c r="AV102" s="28"/>
      <c r="AW102" s="26" t="s">
        <v>12</v>
      </c>
      <c r="AX102" s="31"/>
      <c r="AY102" s="555"/>
      <c r="AZ102" s="26" t="s">
        <v>88</v>
      </c>
      <c r="BA102" s="28"/>
      <c r="BB102" s="26" t="s">
        <v>12</v>
      </c>
      <c r="BC102" s="31"/>
    </row>
    <row r="103" spans="1:55" ht="16.5" customHeight="1">
      <c r="A103" s="560"/>
      <c r="B103" s="561"/>
      <c r="C103" s="9" t="s">
        <v>41</v>
      </c>
      <c r="D103" s="13"/>
      <c r="E103" s="9" t="s">
        <v>62</v>
      </c>
      <c r="F103" s="12"/>
      <c r="G103" s="355">
        <v>44</v>
      </c>
      <c r="H103" s="341"/>
      <c r="I103" s="342"/>
      <c r="J103" s="343"/>
      <c r="K103" s="9" t="s">
        <v>336</v>
      </c>
      <c r="L103" s="7"/>
      <c r="M103" s="20"/>
      <c r="N103" s="21"/>
      <c r="O103" s="9" t="s">
        <v>336</v>
      </c>
      <c r="P103" s="7"/>
      <c r="Q103" s="20"/>
      <c r="R103" s="21"/>
      <c r="S103" s="519"/>
      <c r="T103" s="534"/>
      <c r="U103" s="536"/>
      <c r="V103" s="538"/>
      <c r="W103" s="532" t="s">
        <v>52</v>
      </c>
      <c r="X103" s="533"/>
      <c r="Y103" s="535"/>
      <c r="Z103" s="537"/>
      <c r="AA103" s="9" t="s">
        <v>54</v>
      </c>
      <c r="AB103" s="7"/>
      <c r="AC103" s="20"/>
      <c r="AD103" s="21"/>
      <c r="AE103" s="547"/>
      <c r="AF103" s="545"/>
      <c r="AG103" s="545"/>
      <c r="AH103" s="545"/>
      <c r="AI103" s="545"/>
      <c r="AJ103" s="546"/>
      <c r="AK103" s="547"/>
      <c r="AL103" s="545"/>
      <c r="AM103" s="545"/>
      <c r="AN103" s="545"/>
      <c r="AO103" s="545"/>
      <c r="AP103" s="546"/>
      <c r="AQ103" s="530"/>
      <c r="AR103" s="515"/>
      <c r="AS103" s="517"/>
      <c r="AT103" s="555"/>
      <c r="AU103" s="26" t="s">
        <v>89</v>
      </c>
      <c r="AV103" s="29"/>
      <c r="AW103" s="26" t="s">
        <v>12</v>
      </c>
      <c r="AX103" s="32"/>
      <c r="AY103" s="555"/>
      <c r="AZ103" s="26" t="s">
        <v>89</v>
      </c>
      <c r="BA103" s="29"/>
      <c r="BB103" s="26" t="s">
        <v>12</v>
      </c>
      <c r="BC103" s="32"/>
    </row>
    <row r="104" spans="1:55" ht="16.5" customHeight="1">
      <c r="A104" s="560"/>
      <c r="B104" s="561"/>
      <c r="C104" s="9" t="s">
        <v>417</v>
      </c>
      <c r="D104" s="3"/>
      <c r="E104" s="9" t="s">
        <v>45</v>
      </c>
      <c r="F104" s="12"/>
      <c r="G104" s="356">
        <v>45</v>
      </c>
      <c r="H104" s="344"/>
      <c r="I104" s="345"/>
      <c r="J104" s="346"/>
      <c r="K104" s="9" t="s">
        <v>337</v>
      </c>
      <c r="L104" s="7"/>
      <c r="M104" s="20"/>
      <c r="N104" s="21"/>
      <c r="O104" s="9" t="s">
        <v>337</v>
      </c>
      <c r="P104" s="7"/>
      <c r="Q104" s="20"/>
      <c r="R104" s="21"/>
      <c r="S104" s="519" t="s">
        <v>52</v>
      </c>
      <c r="T104" s="527"/>
      <c r="U104" s="528"/>
      <c r="V104" s="529"/>
      <c r="W104" s="519"/>
      <c r="X104" s="527"/>
      <c r="Y104" s="528"/>
      <c r="Z104" s="529"/>
      <c r="AA104" s="9" t="s">
        <v>55</v>
      </c>
      <c r="AB104" s="7"/>
      <c r="AC104" s="20"/>
      <c r="AD104" s="21"/>
      <c r="AE104" s="547"/>
      <c r="AF104" s="545"/>
      <c r="AG104" s="545"/>
      <c r="AH104" s="545"/>
      <c r="AI104" s="545"/>
      <c r="AJ104" s="546"/>
      <c r="AK104" s="547"/>
      <c r="AL104" s="545"/>
      <c r="AM104" s="545"/>
      <c r="AN104" s="545"/>
      <c r="AO104" s="545"/>
      <c r="AP104" s="546"/>
      <c r="AQ104" s="530">
        <v>43</v>
      </c>
      <c r="AR104" s="515"/>
      <c r="AS104" s="517"/>
      <c r="AT104" s="556"/>
      <c r="AU104" s="27" t="s">
        <v>90</v>
      </c>
      <c r="AV104" s="30"/>
      <c r="AW104" s="27" t="s">
        <v>91</v>
      </c>
      <c r="AX104" s="33"/>
      <c r="AY104" s="556"/>
      <c r="AZ104" s="27" t="s">
        <v>90</v>
      </c>
      <c r="BA104" s="30"/>
      <c r="BB104" s="27" t="s">
        <v>91</v>
      </c>
      <c r="BC104" s="33"/>
    </row>
    <row r="105" spans="1:55" ht="16.5" customHeight="1">
      <c r="A105" s="560"/>
      <c r="B105" s="561"/>
      <c r="C105" s="9" t="s">
        <v>35</v>
      </c>
      <c r="D105" s="13"/>
      <c r="E105" s="9" t="s">
        <v>46</v>
      </c>
      <c r="F105" s="12"/>
      <c r="G105" s="5" t="s">
        <v>12</v>
      </c>
      <c r="H105" s="128" t="s">
        <v>13</v>
      </c>
      <c r="I105" s="4" t="s">
        <v>14</v>
      </c>
      <c r="J105" s="4" t="s">
        <v>15</v>
      </c>
      <c r="K105" s="9" t="s">
        <v>338</v>
      </c>
      <c r="L105" s="7"/>
      <c r="M105" s="20"/>
      <c r="N105" s="21"/>
      <c r="O105" s="9" t="s">
        <v>338</v>
      </c>
      <c r="P105" s="7"/>
      <c r="Q105" s="20"/>
      <c r="R105" s="21"/>
      <c r="S105" s="519"/>
      <c r="T105" s="527"/>
      <c r="U105" s="528"/>
      <c r="V105" s="529"/>
      <c r="W105" s="519"/>
      <c r="X105" s="539"/>
      <c r="Y105" s="540"/>
      <c r="Z105" s="541"/>
      <c r="AA105" s="9" t="s">
        <v>56</v>
      </c>
      <c r="AB105" s="7"/>
      <c r="AC105" s="20"/>
      <c r="AD105" s="21"/>
      <c r="AE105" s="547"/>
      <c r="AF105" s="545"/>
      <c r="AG105" s="545"/>
      <c r="AH105" s="545"/>
      <c r="AI105" s="545"/>
      <c r="AJ105" s="546"/>
      <c r="AK105" s="547"/>
      <c r="AL105" s="545"/>
      <c r="AM105" s="545"/>
      <c r="AN105" s="545"/>
      <c r="AO105" s="545"/>
      <c r="AP105" s="546"/>
      <c r="AQ105" s="530"/>
      <c r="AR105" s="515"/>
      <c r="AS105" s="517"/>
      <c r="AT105" s="554">
        <v>18</v>
      </c>
      <c r="AU105" s="25" t="s">
        <v>0</v>
      </c>
      <c r="AV105" s="557"/>
      <c r="AW105" s="558"/>
      <c r="AX105" s="559"/>
      <c r="AY105" s="554">
        <v>20</v>
      </c>
      <c r="AZ105" s="25" t="s">
        <v>0</v>
      </c>
      <c r="BA105" s="557"/>
      <c r="BB105" s="558"/>
      <c r="BC105" s="559"/>
    </row>
    <row r="106" spans="1:55" ht="16.5" customHeight="1">
      <c r="A106" s="560"/>
      <c r="B106" s="561"/>
      <c r="C106" s="9" t="s">
        <v>36</v>
      </c>
      <c r="D106" s="13"/>
      <c r="E106" s="9" t="s">
        <v>47</v>
      </c>
      <c r="F106" s="12"/>
      <c r="G106" s="354">
        <v>41</v>
      </c>
      <c r="H106" s="335"/>
      <c r="I106" s="336"/>
      <c r="J106" s="357"/>
      <c r="K106" s="9" t="s">
        <v>339</v>
      </c>
      <c r="L106" s="7"/>
      <c r="M106" s="20"/>
      <c r="N106" s="21"/>
      <c r="O106" s="9" t="s">
        <v>339</v>
      </c>
      <c r="P106" s="7"/>
      <c r="Q106" s="20"/>
      <c r="R106" s="21"/>
      <c r="S106" s="519"/>
      <c r="T106" s="527"/>
      <c r="U106" s="528"/>
      <c r="V106" s="529"/>
      <c r="W106" s="532" t="s">
        <v>344</v>
      </c>
      <c r="X106" s="533"/>
      <c r="Y106" s="535"/>
      <c r="Z106" s="537"/>
      <c r="AA106" s="9"/>
      <c r="AB106" s="7"/>
      <c r="AC106" s="20"/>
      <c r="AD106" s="21"/>
      <c r="AE106" s="547"/>
      <c r="AF106" s="545"/>
      <c r="AG106" s="545"/>
      <c r="AH106" s="545"/>
      <c r="AI106" s="545"/>
      <c r="AJ106" s="546"/>
      <c r="AK106" s="547"/>
      <c r="AL106" s="545"/>
      <c r="AM106" s="545"/>
      <c r="AN106" s="545"/>
      <c r="AO106" s="545"/>
      <c r="AP106" s="546"/>
      <c r="AQ106" s="530">
        <v>44</v>
      </c>
      <c r="AR106" s="515"/>
      <c r="AS106" s="517"/>
      <c r="AT106" s="555"/>
      <c r="AU106" s="26" t="s">
        <v>87</v>
      </c>
      <c r="AV106" s="124"/>
      <c r="AW106" s="127" t="s">
        <v>192</v>
      </c>
      <c r="AX106" s="125"/>
      <c r="AY106" s="555"/>
      <c r="AZ106" s="26" t="s">
        <v>87</v>
      </c>
      <c r="BA106" s="124"/>
      <c r="BB106" s="127" t="s">
        <v>192</v>
      </c>
      <c r="BC106" s="125"/>
    </row>
    <row r="107" spans="1:55" ht="16.5" customHeight="1">
      <c r="A107" s="560"/>
      <c r="B107" s="561"/>
      <c r="C107" s="9" t="s">
        <v>37</v>
      </c>
      <c r="D107" s="13"/>
      <c r="E107" s="9" t="s">
        <v>48</v>
      </c>
      <c r="F107" s="12"/>
      <c r="G107" s="355">
        <v>42</v>
      </c>
      <c r="H107" s="338"/>
      <c r="I107" s="339"/>
      <c r="J107" s="340"/>
      <c r="K107" s="353" t="s">
        <v>340</v>
      </c>
      <c r="L107" s="7"/>
      <c r="M107" s="20"/>
      <c r="N107" s="21"/>
      <c r="O107" s="353" t="s">
        <v>340</v>
      </c>
      <c r="P107" s="7"/>
      <c r="Q107" s="20"/>
      <c r="R107" s="21"/>
      <c r="S107" s="519"/>
      <c r="T107" s="539"/>
      <c r="U107" s="540"/>
      <c r="V107" s="541"/>
      <c r="W107" s="519"/>
      <c r="X107" s="527"/>
      <c r="Y107" s="528"/>
      <c r="Z107" s="529"/>
      <c r="AA107" s="9" t="s">
        <v>58</v>
      </c>
      <c r="AB107" s="7"/>
      <c r="AC107" s="20"/>
      <c r="AD107" s="21"/>
      <c r="AE107" s="547"/>
      <c r="AF107" s="545"/>
      <c r="AG107" s="545"/>
      <c r="AH107" s="545"/>
      <c r="AI107" s="545"/>
      <c r="AJ107" s="546"/>
      <c r="AK107" s="547"/>
      <c r="AL107" s="545"/>
      <c r="AM107" s="545"/>
      <c r="AN107" s="545"/>
      <c r="AO107" s="545"/>
      <c r="AP107" s="546"/>
      <c r="AQ107" s="530"/>
      <c r="AR107" s="515"/>
      <c r="AS107" s="517"/>
      <c r="AT107" s="555"/>
      <c r="AU107" s="26" t="s">
        <v>88</v>
      </c>
      <c r="AV107" s="28"/>
      <c r="AW107" s="26" t="s">
        <v>12</v>
      </c>
      <c r="AX107" s="31"/>
      <c r="AY107" s="555"/>
      <c r="AZ107" s="26" t="s">
        <v>88</v>
      </c>
      <c r="BA107" s="28"/>
      <c r="BB107" s="26" t="s">
        <v>12</v>
      </c>
      <c r="BC107" s="31"/>
    </row>
    <row r="108" spans="1:55" ht="16.5" customHeight="1">
      <c r="A108" s="560"/>
      <c r="B108" s="561"/>
      <c r="C108" s="9" t="s">
        <v>38</v>
      </c>
      <c r="D108" s="13"/>
      <c r="E108" s="9" t="s">
        <v>49</v>
      </c>
      <c r="F108" s="12"/>
      <c r="G108" s="355">
        <v>43</v>
      </c>
      <c r="H108" s="338"/>
      <c r="I108" s="339"/>
      <c r="J108" s="340"/>
      <c r="K108" s="9" t="s">
        <v>341</v>
      </c>
      <c r="L108" s="7"/>
      <c r="M108" s="20"/>
      <c r="N108" s="21"/>
      <c r="O108" s="9" t="s">
        <v>341</v>
      </c>
      <c r="P108" s="7"/>
      <c r="Q108" s="20"/>
      <c r="R108" s="21"/>
      <c r="S108" s="519" t="s">
        <v>344</v>
      </c>
      <c r="T108" s="521"/>
      <c r="U108" s="523"/>
      <c r="V108" s="525"/>
      <c r="W108" s="519"/>
      <c r="X108" s="539"/>
      <c r="Y108" s="540"/>
      <c r="Z108" s="541"/>
      <c r="AA108" s="9" t="s">
        <v>59</v>
      </c>
      <c r="AB108" s="7"/>
      <c r="AC108" s="20"/>
      <c r="AD108" s="21"/>
      <c r="AE108" s="547"/>
      <c r="AF108" s="545"/>
      <c r="AG108" s="545"/>
      <c r="AH108" s="545"/>
      <c r="AI108" s="545"/>
      <c r="AJ108" s="546"/>
      <c r="AK108" s="547"/>
      <c r="AL108" s="545"/>
      <c r="AM108" s="545"/>
      <c r="AN108" s="545"/>
      <c r="AO108" s="545"/>
      <c r="AP108" s="546"/>
      <c r="AQ108" s="530">
        <v>45</v>
      </c>
      <c r="AR108" s="515"/>
      <c r="AS108" s="517"/>
      <c r="AT108" s="555"/>
      <c r="AU108" s="26" t="s">
        <v>89</v>
      </c>
      <c r="AV108" s="29"/>
      <c r="AW108" s="26" t="s">
        <v>12</v>
      </c>
      <c r="AX108" s="32"/>
      <c r="AY108" s="555"/>
      <c r="AZ108" s="26" t="s">
        <v>89</v>
      </c>
      <c r="BA108" s="29"/>
      <c r="BB108" s="26" t="s">
        <v>12</v>
      </c>
      <c r="BC108" s="32"/>
    </row>
    <row r="109" spans="1:55" ht="16.5" customHeight="1">
      <c r="A109" s="560"/>
      <c r="B109" s="561"/>
      <c r="C109" s="9" t="s">
        <v>39</v>
      </c>
      <c r="D109" s="13"/>
      <c r="E109" s="9" t="s">
        <v>50</v>
      </c>
      <c r="F109" s="132"/>
      <c r="G109" s="355">
        <v>44</v>
      </c>
      <c r="H109" s="347"/>
      <c r="I109" s="348"/>
      <c r="J109" s="349"/>
      <c r="K109" s="9"/>
      <c r="L109" s="7"/>
      <c r="M109" s="20"/>
      <c r="N109" s="21"/>
      <c r="O109" s="9"/>
      <c r="P109" s="7"/>
      <c r="Q109" s="20"/>
      <c r="R109" s="21"/>
      <c r="S109" s="519"/>
      <c r="T109" s="527"/>
      <c r="U109" s="528"/>
      <c r="V109" s="529"/>
      <c r="W109" s="519" t="s">
        <v>60</v>
      </c>
      <c r="X109" s="521"/>
      <c r="Y109" s="523"/>
      <c r="Z109" s="525"/>
      <c r="AA109" s="9" t="s">
        <v>60</v>
      </c>
      <c r="AB109" s="7"/>
      <c r="AC109" s="20"/>
      <c r="AD109" s="21"/>
      <c r="AE109" s="553"/>
      <c r="AF109" s="548"/>
      <c r="AG109" s="548"/>
      <c r="AH109" s="548"/>
      <c r="AI109" s="548"/>
      <c r="AJ109" s="549"/>
      <c r="AK109" s="553"/>
      <c r="AL109" s="548"/>
      <c r="AM109" s="548"/>
      <c r="AN109" s="548"/>
      <c r="AO109" s="548"/>
      <c r="AP109" s="549"/>
      <c r="AQ109" s="531"/>
      <c r="AR109" s="516"/>
      <c r="AS109" s="518"/>
      <c r="AT109" s="556"/>
      <c r="AU109" s="27" t="s">
        <v>90</v>
      </c>
      <c r="AV109" s="30"/>
      <c r="AW109" s="27" t="s">
        <v>91</v>
      </c>
      <c r="AX109" s="33"/>
      <c r="AY109" s="556"/>
      <c r="AZ109" s="27" t="s">
        <v>90</v>
      </c>
      <c r="BA109" s="30"/>
      <c r="BB109" s="27" t="s">
        <v>91</v>
      </c>
      <c r="BC109" s="33"/>
    </row>
    <row r="110" spans="1:55" ht="16.5" customHeight="1">
      <c r="A110" s="560"/>
      <c r="B110" s="561"/>
      <c r="C110" s="10" t="s">
        <v>40</v>
      </c>
      <c r="D110" s="15"/>
      <c r="E110" s="130" t="s">
        <v>255</v>
      </c>
      <c r="F110" s="131"/>
      <c r="G110" s="356">
        <v>45</v>
      </c>
      <c r="H110" s="350"/>
      <c r="I110" s="351"/>
      <c r="J110" s="352"/>
      <c r="K110" s="17"/>
      <c r="L110" s="16"/>
      <c r="M110" s="22"/>
      <c r="N110" s="23"/>
      <c r="O110" s="17"/>
      <c r="P110" s="16"/>
      <c r="Q110" s="22"/>
      <c r="R110" s="23"/>
      <c r="S110" s="520"/>
      <c r="T110" s="522"/>
      <c r="U110" s="524"/>
      <c r="V110" s="526"/>
      <c r="W110" s="520"/>
      <c r="X110" s="522"/>
      <c r="Y110" s="524"/>
      <c r="Z110" s="526"/>
      <c r="AA110" s="17" t="s">
        <v>61</v>
      </c>
      <c r="AB110" s="16"/>
      <c r="AC110" s="22"/>
      <c r="AD110" s="23"/>
      <c r="AE110" s="115"/>
      <c r="AF110" s="116"/>
      <c r="AG110" s="116"/>
      <c r="AH110" s="116"/>
      <c r="AI110" s="117"/>
      <c r="AJ110" s="118"/>
      <c r="AK110" s="119"/>
      <c r="AL110" s="120"/>
      <c r="AM110" s="121"/>
      <c r="AN110" s="121"/>
      <c r="AO110" s="121"/>
      <c r="AP110" s="122"/>
      <c r="AQ110" s="115"/>
      <c r="AR110" s="116"/>
      <c r="AS110" s="118"/>
      <c r="AT110" s="123"/>
      <c r="AU110" s="113"/>
      <c r="AV110" s="113"/>
      <c r="AW110" s="113"/>
      <c r="AX110" s="114"/>
      <c r="AY110" s="123"/>
      <c r="AZ110" s="113"/>
      <c r="BA110" s="113"/>
      <c r="BB110" s="113"/>
      <c r="BC110" s="114"/>
    </row>
    <row r="111" spans="1:55" ht="16.5" customHeight="1"/>
    <row r="112" spans="1:55" ht="16.5" customHeight="1">
      <c r="A112" s="560">
        <v>10</v>
      </c>
      <c r="B112" s="561" t="s">
        <v>234</v>
      </c>
      <c r="C112" s="8" t="s">
        <v>42</v>
      </c>
      <c r="D112" s="24"/>
      <c r="E112" s="8" t="s">
        <v>43</v>
      </c>
      <c r="F112" s="11"/>
      <c r="G112" s="354">
        <v>46</v>
      </c>
      <c r="H112" s="335"/>
      <c r="I112" s="336"/>
      <c r="J112" s="357"/>
      <c r="K112" s="8" t="s">
        <v>333</v>
      </c>
      <c r="L112" s="6"/>
      <c r="M112" s="18"/>
      <c r="N112" s="19"/>
      <c r="O112" s="8" t="s">
        <v>333</v>
      </c>
      <c r="P112" s="6"/>
      <c r="Q112" s="18"/>
      <c r="R112" s="19"/>
      <c r="S112" s="532" t="s">
        <v>51</v>
      </c>
      <c r="T112" s="533"/>
      <c r="U112" s="535"/>
      <c r="V112" s="537"/>
      <c r="W112" s="532" t="s">
        <v>51</v>
      </c>
      <c r="X112" s="533"/>
      <c r="Y112" s="535"/>
      <c r="Z112" s="537"/>
      <c r="AA112" s="8" t="s">
        <v>51</v>
      </c>
      <c r="AB112" s="6"/>
      <c r="AC112" s="18"/>
      <c r="AD112" s="19"/>
      <c r="AE112" s="552"/>
      <c r="AF112" s="550"/>
      <c r="AG112" s="550"/>
      <c r="AH112" s="550"/>
      <c r="AI112" s="550"/>
      <c r="AJ112" s="551"/>
      <c r="AK112" s="552"/>
      <c r="AL112" s="550"/>
      <c r="AM112" s="550"/>
      <c r="AN112" s="550"/>
      <c r="AO112" s="550"/>
      <c r="AP112" s="551"/>
      <c r="AQ112" s="542">
        <v>46</v>
      </c>
      <c r="AR112" s="543"/>
      <c r="AS112" s="544"/>
      <c r="AT112" s="554">
        <v>19</v>
      </c>
      <c r="AU112" s="25" t="s">
        <v>0</v>
      </c>
      <c r="AV112" s="557"/>
      <c r="AW112" s="558"/>
      <c r="AX112" s="559"/>
      <c r="AY112" s="554">
        <v>21</v>
      </c>
      <c r="AZ112" s="25" t="s">
        <v>0</v>
      </c>
      <c r="BA112" s="557"/>
      <c r="BB112" s="558"/>
      <c r="BC112" s="559"/>
    </row>
    <row r="113" spans="1:55" ht="16.5" customHeight="1">
      <c r="A113" s="560"/>
      <c r="B113" s="561"/>
      <c r="C113" s="9" t="s">
        <v>33</v>
      </c>
      <c r="D113" s="13"/>
      <c r="E113" s="9" t="s">
        <v>70</v>
      </c>
      <c r="F113" s="12"/>
      <c r="G113" s="355">
        <v>47</v>
      </c>
      <c r="H113" s="338"/>
      <c r="I113" s="339"/>
      <c r="J113" s="340"/>
      <c r="K113" s="9" t="s">
        <v>334</v>
      </c>
      <c r="L113" s="7"/>
      <c r="M113" s="20"/>
      <c r="N113" s="21"/>
      <c r="O113" s="9" t="s">
        <v>334</v>
      </c>
      <c r="P113" s="7"/>
      <c r="Q113" s="20"/>
      <c r="R113" s="21"/>
      <c r="S113" s="519"/>
      <c r="T113" s="527"/>
      <c r="U113" s="528"/>
      <c r="V113" s="529"/>
      <c r="W113" s="519"/>
      <c r="X113" s="527"/>
      <c r="Y113" s="528"/>
      <c r="Z113" s="529"/>
      <c r="AA113" s="9" t="s">
        <v>52</v>
      </c>
      <c r="AB113" s="7"/>
      <c r="AC113" s="20"/>
      <c r="AD113" s="21"/>
      <c r="AE113" s="547"/>
      <c r="AF113" s="545"/>
      <c r="AG113" s="545"/>
      <c r="AH113" s="545"/>
      <c r="AI113" s="545"/>
      <c r="AJ113" s="546"/>
      <c r="AK113" s="547"/>
      <c r="AL113" s="545"/>
      <c r="AM113" s="545"/>
      <c r="AN113" s="545"/>
      <c r="AO113" s="545"/>
      <c r="AP113" s="546"/>
      <c r="AQ113" s="530"/>
      <c r="AR113" s="515"/>
      <c r="AS113" s="517"/>
      <c r="AT113" s="555"/>
      <c r="AU113" s="26" t="s">
        <v>87</v>
      </c>
      <c r="AV113" s="124"/>
      <c r="AW113" s="26" t="s">
        <v>192</v>
      </c>
      <c r="AX113" s="126"/>
      <c r="AY113" s="555"/>
      <c r="AZ113" s="26" t="s">
        <v>87</v>
      </c>
      <c r="BA113" s="124"/>
      <c r="BB113" s="127" t="s">
        <v>192</v>
      </c>
      <c r="BC113" s="125"/>
    </row>
    <row r="114" spans="1:55" ht="16.5" customHeight="1">
      <c r="A114" s="560"/>
      <c r="B114" s="561"/>
      <c r="C114" s="9" t="s">
        <v>34</v>
      </c>
      <c r="D114" s="14"/>
      <c r="E114" s="9" t="s">
        <v>44</v>
      </c>
      <c r="F114" s="12"/>
      <c r="G114" s="355">
        <v>48</v>
      </c>
      <c r="H114" s="338"/>
      <c r="I114" s="339"/>
      <c r="J114" s="340"/>
      <c r="K114" s="9" t="s">
        <v>335</v>
      </c>
      <c r="L114" s="7"/>
      <c r="M114" s="20"/>
      <c r="N114" s="21"/>
      <c r="O114" s="9" t="s">
        <v>335</v>
      </c>
      <c r="P114" s="7"/>
      <c r="Q114" s="20"/>
      <c r="R114" s="21"/>
      <c r="S114" s="519"/>
      <c r="T114" s="527"/>
      <c r="U114" s="528"/>
      <c r="V114" s="529"/>
      <c r="W114" s="519"/>
      <c r="X114" s="539"/>
      <c r="Y114" s="540"/>
      <c r="Z114" s="541"/>
      <c r="AA114" s="9" t="s">
        <v>53</v>
      </c>
      <c r="AB114" s="7"/>
      <c r="AC114" s="20"/>
      <c r="AD114" s="21"/>
      <c r="AE114" s="547"/>
      <c r="AF114" s="545"/>
      <c r="AG114" s="545"/>
      <c r="AH114" s="545"/>
      <c r="AI114" s="545"/>
      <c r="AJ114" s="546"/>
      <c r="AK114" s="547"/>
      <c r="AL114" s="545"/>
      <c r="AM114" s="545"/>
      <c r="AN114" s="545"/>
      <c r="AO114" s="545"/>
      <c r="AP114" s="546"/>
      <c r="AQ114" s="530">
        <v>47</v>
      </c>
      <c r="AR114" s="515"/>
      <c r="AS114" s="517"/>
      <c r="AT114" s="555"/>
      <c r="AU114" s="26" t="s">
        <v>88</v>
      </c>
      <c r="AV114" s="28"/>
      <c r="AW114" s="26" t="s">
        <v>12</v>
      </c>
      <c r="AX114" s="31"/>
      <c r="AY114" s="555"/>
      <c r="AZ114" s="26" t="s">
        <v>88</v>
      </c>
      <c r="BA114" s="28"/>
      <c r="BB114" s="26" t="s">
        <v>12</v>
      </c>
      <c r="BC114" s="31"/>
    </row>
    <row r="115" spans="1:55" ht="16.5" customHeight="1">
      <c r="A115" s="560"/>
      <c r="B115" s="561"/>
      <c r="C115" s="9" t="s">
        <v>41</v>
      </c>
      <c r="D115" s="13"/>
      <c r="E115" s="9" t="s">
        <v>62</v>
      </c>
      <c r="F115" s="12"/>
      <c r="G115" s="355">
        <v>49</v>
      </c>
      <c r="H115" s="341"/>
      <c r="I115" s="342"/>
      <c r="J115" s="343"/>
      <c r="K115" s="9" t="s">
        <v>336</v>
      </c>
      <c r="L115" s="7"/>
      <c r="M115" s="20"/>
      <c r="N115" s="21"/>
      <c r="O115" s="9" t="s">
        <v>336</v>
      </c>
      <c r="P115" s="7"/>
      <c r="Q115" s="20"/>
      <c r="R115" s="21"/>
      <c r="S115" s="519"/>
      <c r="T115" s="534"/>
      <c r="U115" s="536"/>
      <c r="V115" s="538"/>
      <c r="W115" s="532" t="s">
        <v>52</v>
      </c>
      <c r="X115" s="533"/>
      <c r="Y115" s="535"/>
      <c r="Z115" s="537"/>
      <c r="AA115" s="9" t="s">
        <v>54</v>
      </c>
      <c r="AB115" s="7"/>
      <c r="AC115" s="20"/>
      <c r="AD115" s="21"/>
      <c r="AE115" s="547"/>
      <c r="AF115" s="545"/>
      <c r="AG115" s="545"/>
      <c r="AH115" s="545"/>
      <c r="AI115" s="545"/>
      <c r="AJ115" s="546"/>
      <c r="AK115" s="547"/>
      <c r="AL115" s="545"/>
      <c r="AM115" s="545"/>
      <c r="AN115" s="545"/>
      <c r="AO115" s="545"/>
      <c r="AP115" s="546"/>
      <c r="AQ115" s="530"/>
      <c r="AR115" s="515"/>
      <c r="AS115" s="517"/>
      <c r="AT115" s="555"/>
      <c r="AU115" s="26" t="s">
        <v>89</v>
      </c>
      <c r="AV115" s="29"/>
      <c r="AW115" s="26" t="s">
        <v>12</v>
      </c>
      <c r="AX115" s="32"/>
      <c r="AY115" s="555"/>
      <c r="AZ115" s="26" t="s">
        <v>89</v>
      </c>
      <c r="BA115" s="29"/>
      <c r="BB115" s="26" t="s">
        <v>12</v>
      </c>
      <c r="BC115" s="32"/>
    </row>
    <row r="116" spans="1:55" ht="16.5" customHeight="1">
      <c r="A116" s="560"/>
      <c r="B116" s="561"/>
      <c r="C116" s="9" t="s">
        <v>417</v>
      </c>
      <c r="D116" s="3"/>
      <c r="E116" s="9" t="s">
        <v>45</v>
      </c>
      <c r="F116" s="12"/>
      <c r="G116" s="356">
        <v>50</v>
      </c>
      <c r="H116" s="344"/>
      <c r="I116" s="345"/>
      <c r="J116" s="346"/>
      <c r="K116" s="9" t="s">
        <v>337</v>
      </c>
      <c r="L116" s="7"/>
      <c r="M116" s="20"/>
      <c r="N116" s="21"/>
      <c r="O116" s="9" t="s">
        <v>337</v>
      </c>
      <c r="P116" s="7"/>
      <c r="Q116" s="20"/>
      <c r="R116" s="21"/>
      <c r="S116" s="519" t="s">
        <v>52</v>
      </c>
      <c r="T116" s="527"/>
      <c r="U116" s="528"/>
      <c r="V116" s="529"/>
      <c r="W116" s="519"/>
      <c r="X116" s="527"/>
      <c r="Y116" s="528"/>
      <c r="Z116" s="529"/>
      <c r="AA116" s="9" t="s">
        <v>55</v>
      </c>
      <c r="AB116" s="7"/>
      <c r="AC116" s="20"/>
      <c r="AD116" s="21"/>
      <c r="AE116" s="547"/>
      <c r="AF116" s="545"/>
      <c r="AG116" s="545"/>
      <c r="AH116" s="545"/>
      <c r="AI116" s="545"/>
      <c r="AJ116" s="546"/>
      <c r="AK116" s="547"/>
      <c r="AL116" s="545"/>
      <c r="AM116" s="545"/>
      <c r="AN116" s="545"/>
      <c r="AO116" s="545"/>
      <c r="AP116" s="546"/>
      <c r="AQ116" s="530">
        <v>48</v>
      </c>
      <c r="AR116" s="515"/>
      <c r="AS116" s="517"/>
      <c r="AT116" s="556"/>
      <c r="AU116" s="27" t="s">
        <v>90</v>
      </c>
      <c r="AV116" s="30"/>
      <c r="AW116" s="27" t="s">
        <v>91</v>
      </c>
      <c r="AX116" s="33"/>
      <c r="AY116" s="556"/>
      <c r="AZ116" s="27" t="s">
        <v>90</v>
      </c>
      <c r="BA116" s="30"/>
      <c r="BB116" s="27" t="s">
        <v>91</v>
      </c>
      <c r="BC116" s="33"/>
    </row>
    <row r="117" spans="1:55" ht="16.5" customHeight="1">
      <c r="A117" s="560"/>
      <c r="B117" s="561"/>
      <c r="C117" s="9" t="s">
        <v>35</v>
      </c>
      <c r="D117" s="13"/>
      <c r="E117" s="9" t="s">
        <v>46</v>
      </c>
      <c r="F117" s="12"/>
      <c r="G117" s="5" t="s">
        <v>12</v>
      </c>
      <c r="H117" s="128" t="s">
        <v>13</v>
      </c>
      <c r="I117" s="4" t="s">
        <v>14</v>
      </c>
      <c r="J117" s="4" t="s">
        <v>15</v>
      </c>
      <c r="K117" s="9" t="s">
        <v>338</v>
      </c>
      <c r="L117" s="7"/>
      <c r="M117" s="20"/>
      <c r="N117" s="21"/>
      <c r="O117" s="9" t="s">
        <v>338</v>
      </c>
      <c r="P117" s="7"/>
      <c r="Q117" s="20"/>
      <c r="R117" s="21"/>
      <c r="S117" s="519"/>
      <c r="T117" s="527"/>
      <c r="U117" s="528"/>
      <c r="V117" s="529"/>
      <c r="W117" s="519"/>
      <c r="X117" s="539"/>
      <c r="Y117" s="540"/>
      <c r="Z117" s="541"/>
      <c r="AA117" s="9" t="s">
        <v>56</v>
      </c>
      <c r="AB117" s="7"/>
      <c r="AC117" s="20"/>
      <c r="AD117" s="21"/>
      <c r="AE117" s="547"/>
      <c r="AF117" s="545"/>
      <c r="AG117" s="545"/>
      <c r="AH117" s="545"/>
      <c r="AI117" s="545"/>
      <c r="AJ117" s="546"/>
      <c r="AK117" s="547"/>
      <c r="AL117" s="545"/>
      <c r="AM117" s="545"/>
      <c r="AN117" s="545"/>
      <c r="AO117" s="545"/>
      <c r="AP117" s="546"/>
      <c r="AQ117" s="530"/>
      <c r="AR117" s="515"/>
      <c r="AS117" s="517"/>
      <c r="AT117" s="554">
        <v>20</v>
      </c>
      <c r="AU117" s="25" t="s">
        <v>0</v>
      </c>
      <c r="AV117" s="557"/>
      <c r="AW117" s="558"/>
      <c r="AX117" s="559"/>
      <c r="AY117" s="554">
        <v>22</v>
      </c>
      <c r="AZ117" s="25" t="s">
        <v>0</v>
      </c>
      <c r="BA117" s="557"/>
      <c r="BB117" s="558"/>
      <c r="BC117" s="559"/>
    </row>
    <row r="118" spans="1:55" ht="16.5" customHeight="1">
      <c r="A118" s="560"/>
      <c r="B118" s="561"/>
      <c r="C118" s="9" t="s">
        <v>36</v>
      </c>
      <c r="D118" s="13"/>
      <c r="E118" s="9" t="s">
        <v>47</v>
      </c>
      <c r="F118" s="12"/>
      <c r="G118" s="354">
        <v>46</v>
      </c>
      <c r="H118" s="335"/>
      <c r="I118" s="336"/>
      <c r="J118" s="357"/>
      <c r="K118" s="9" t="s">
        <v>339</v>
      </c>
      <c r="L118" s="7"/>
      <c r="M118" s="20"/>
      <c r="N118" s="21"/>
      <c r="O118" s="9" t="s">
        <v>339</v>
      </c>
      <c r="P118" s="7"/>
      <c r="Q118" s="20"/>
      <c r="R118" s="21"/>
      <c r="S118" s="519"/>
      <c r="T118" s="527"/>
      <c r="U118" s="528"/>
      <c r="V118" s="529"/>
      <c r="W118" s="532" t="s">
        <v>344</v>
      </c>
      <c r="X118" s="533"/>
      <c r="Y118" s="535"/>
      <c r="Z118" s="537"/>
      <c r="AA118" s="9"/>
      <c r="AB118" s="7"/>
      <c r="AC118" s="20"/>
      <c r="AD118" s="21"/>
      <c r="AE118" s="547"/>
      <c r="AF118" s="545"/>
      <c r="AG118" s="545"/>
      <c r="AH118" s="545"/>
      <c r="AI118" s="545"/>
      <c r="AJ118" s="546"/>
      <c r="AK118" s="547"/>
      <c r="AL118" s="545"/>
      <c r="AM118" s="545"/>
      <c r="AN118" s="545"/>
      <c r="AO118" s="545"/>
      <c r="AP118" s="546"/>
      <c r="AQ118" s="530">
        <v>49</v>
      </c>
      <c r="AR118" s="515"/>
      <c r="AS118" s="517"/>
      <c r="AT118" s="555"/>
      <c r="AU118" s="26" t="s">
        <v>87</v>
      </c>
      <c r="AV118" s="124"/>
      <c r="AW118" s="127" t="s">
        <v>192</v>
      </c>
      <c r="AX118" s="125"/>
      <c r="AY118" s="555"/>
      <c r="AZ118" s="26" t="s">
        <v>87</v>
      </c>
      <c r="BA118" s="124"/>
      <c r="BB118" s="127" t="s">
        <v>192</v>
      </c>
      <c r="BC118" s="125"/>
    </row>
    <row r="119" spans="1:55" ht="16.5" customHeight="1">
      <c r="A119" s="560"/>
      <c r="B119" s="561"/>
      <c r="C119" s="9" t="s">
        <v>37</v>
      </c>
      <c r="D119" s="13"/>
      <c r="E119" s="9" t="s">
        <v>48</v>
      </c>
      <c r="F119" s="12"/>
      <c r="G119" s="355">
        <v>47</v>
      </c>
      <c r="H119" s="338"/>
      <c r="I119" s="339"/>
      <c r="J119" s="340"/>
      <c r="K119" s="353" t="s">
        <v>340</v>
      </c>
      <c r="L119" s="7"/>
      <c r="M119" s="20"/>
      <c r="N119" s="21"/>
      <c r="O119" s="353" t="s">
        <v>340</v>
      </c>
      <c r="P119" s="7"/>
      <c r="Q119" s="20"/>
      <c r="R119" s="21"/>
      <c r="S119" s="519"/>
      <c r="T119" s="539"/>
      <c r="U119" s="540"/>
      <c r="V119" s="541"/>
      <c r="W119" s="519"/>
      <c r="X119" s="527"/>
      <c r="Y119" s="528"/>
      <c r="Z119" s="529"/>
      <c r="AA119" s="9" t="s">
        <v>58</v>
      </c>
      <c r="AB119" s="7"/>
      <c r="AC119" s="20"/>
      <c r="AD119" s="21"/>
      <c r="AE119" s="547"/>
      <c r="AF119" s="545"/>
      <c r="AG119" s="545"/>
      <c r="AH119" s="545"/>
      <c r="AI119" s="545"/>
      <c r="AJ119" s="546"/>
      <c r="AK119" s="547"/>
      <c r="AL119" s="545"/>
      <c r="AM119" s="545"/>
      <c r="AN119" s="545"/>
      <c r="AO119" s="545"/>
      <c r="AP119" s="546"/>
      <c r="AQ119" s="530"/>
      <c r="AR119" s="515"/>
      <c r="AS119" s="517"/>
      <c r="AT119" s="555"/>
      <c r="AU119" s="26" t="s">
        <v>88</v>
      </c>
      <c r="AV119" s="28"/>
      <c r="AW119" s="26" t="s">
        <v>12</v>
      </c>
      <c r="AX119" s="31"/>
      <c r="AY119" s="555"/>
      <c r="AZ119" s="26" t="s">
        <v>88</v>
      </c>
      <c r="BA119" s="28"/>
      <c r="BB119" s="26" t="s">
        <v>12</v>
      </c>
      <c r="BC119" s="31"/>
    </row>
    <row r="120" spans="1:55" ht="16.5" customHeight="1">
      <c r="A120" s="560"/>
      <c r="B120" s="561"/>
      <c r="C120" s="9" t="s">
        <v>38</v>
      </c>
      <c r="D120" s="13"/>
      <c r="E120" s="9" t="s">
        <v>49</v>
      </c>
      <c r="F120" s="12"/>
      <c r="G120" s="355">
        <v>48</v>
      </c>
      <c r="H120" s="338"/>
      <c r="I120" s="339"/>
      <c r="J120" s="340"/>
      <c r="K120" s="9" t="s">
        <v>341</v>
      </c>
      <c r="L120" s="7"/>
      <c r="M120" s="20"/>
      <c r="N120" s="21"/>
      <c r="O120" s="9" t="s">
        <v>341</v>
      </c>
      <c r="P120" s="7"/>
      <c r="Q120" s="20"/>
      <c r="R120" s="21"/>
      <c r="S120" s="519" t="s">
        <v>344</v>
      </c>
      <c r="T120" s="521"/>
      <c r="U120" s="523"/>
      <c r="V120" s="525"/>
      <c r="W120" s="519"/>
      <c r="X120" s="539"/>
      <c r="Y120" s="540"/>
      <c r="Z120" s="541"/>
      <c r="AA120" s="9" t="s">
        <v>59</v>
      </c>
      <c r="AB120" s="7"/>
      <c r="AC120" s="20"/>
      <c r="AD120" s="21"/>
      <c r="AE120" s="547"/>
      <c r="AF120" s="545"/>
      <c r="AG120" s="545"/>
      <c r="AH120" s="545"/>
      <c r="AI120" s="545"/>
      <c r="AJ120" s="546"/>
      <c r="AK120" s="547"/>
      <c r="AL120" s="545"/>
      <c r="AM120" s="545"/>
      <c r="AN120" s="545"/>
      <c r="AO120" s="545"/>
      <c r="AP120" s="546"/>
      <c r="AQ120" s="530">
        <v>50</v>
      </c>
      <c r="AR120" s="515"/>
      <c r="AS120" s="517"/>
      <c r="AT120" s="555"/>
      <c r="AU120" s="26" t="s">
        <v>89</v>
      </c>
      <c r="AV120" s="29"/>
      <c r="AW120" s="26" t="s">
        <v>12</v>
      </c>
      <c r="AX120" s="32"/>
      <c r="AY120" s="555"/>
      <c r="AZ120" s="26" t="s">
        <v>89</v>
      </c>
      <c r="BA120" s="29"/>
      <c r="BB120" s="26" t="s">
        <v>12</v>
      </c>
      <c r="BC120" s="32"/>
    </row>
    <row r="121" spans="1:55" ht="16.5" customHeight="1">
      <c r="A121" s="560"/>
      <c r="B121" s="561"/>
      <c r="C121" s="9" t="s">
        <v>39</v>
      </c>
      <c r="D121" s="13"/>
      <c r="E121" s="9" t="s">
        <v>50</v>
      </c>
      <c r="F121" s="132"/>
      <c r="G121" s="355">
        <v>49</v>
      </c>
      <c r="H121" s="347"/>
      <c r="I121" s="348"/>
      <c r="J121" s="349"/>
      <c r="K121" s="9"/>
      <c r="L121" s="7"/>
      <c r="M121" s="20"/>
      <c r="N121" s="21"/>
      <c r="O121" s="9"/>
      <c r="P121" s="7"/>
      <c r="Q121" s="20"/>
      <c r="R121" s="21"/>
      <c r="S121" s="519"/>
      <c r="T121" s="527"/>
      <c r="U121" s="528"/>
      <c r="V121" s="529"/>
      <c r="W121" s="519" t="s">
        <v>60</v>
      </c>
      <c r="X121" s="521"/>
      <c r="Y121" s="523"/>
      <c r="Z121" s="525"/>
      <c r="AA121" s="9" t="s">
        <v>60</v>
      </c>
      <c r="AB121" s="7"/>
      <c r="AC121" s="20"/>
      <c r="AD121" s="21"/>
      <c r="AE121" s="553"/>
      <c r="AF121" s="548"/>
      <c r="AG121" s="548"/>
      <c r="AH121" s="548"/>
      <c r="AI121" s="548"/>
      <c r="AJ121" s="549"/>
      <c r="AK121" s="553"/>
      <c r="AL121" s="548"/>
      <c r="AM121" s="548"/>
      <c r="AN121" s="548"/>
      <c r="AO121" s="548"/>
      <c r="AP121" s="549"/>
      <c r="AQ121" s="531"/>
      <c r="AR121" s="516"/>
      <c r="AS121" s="518"/>
      <c r="AT121" s="556"/>
      <c r="AU121" s="27" t="s">
        <v>90</v>
      </c>
      <c r="AV121" s="30"/>
      <c r="AW121" s="27" t="s">
        <v>91</v>
      </c>
      <c r="AX121" s="33"/>
      <c r="AY121" s="556"/>
      <c r="AZ121" s="27" t="s">
        <v>90</v>
      </c>
      <c r="BA121" s="30"/>
      <c r="BB121" s="27" t="s">
        <v>91</v>
      </c>
      <c r="BC121" s="33"/>
    </row>
    <row r="122" spans="1:55" ht="16.5" customHeight="1">
      <c r="A122" s="560"/>
      <c r="B122" s="561"/>
      <c r="C122" s="10" t="s">
        <v>40</v>
      </c>
      <c r="D122" s="15"/>
      <c r="E122" s="130" t="s">
        <v>255</v>
      </c>
      <c r="F122" s="131"/>
      <c r="G122" s="356">
        <v>50</v>
      </c>
      <c r="H122" s="350"/>
      <c r="I122" s="351"/>
      <c r="J122" s="352"/>
      <c r="K122" s="17"/>
      <c r="L122" s="16"/>
      <c r="M122" s="22"/>
      <c r="N122" s="23"/>
      <c r="O122" s="17"/>
      <c r="P122" s="16"/>
      <c r="Q122" s="22"/>
      <c r="R122" s="23"/>
      <c r="S122" s="520"/>
      <c r="T122" s="522"/>
      <c r="U122" s="524"/>
      <c r="V122" s="526"/>
      <c r="W122" s="520"/>
      <c r="X122" s="522"/>
      <c r="Y122" s="524"/>
      <c r="Z122" s="526"/>
      <c r="AA122" s="17" t="s">
        <v>61</v>
      </c>
      <c r="AB122" s="16"/>
      <c r="AC122" s="22"/>
      <c r="AD122" s="23"/>
      <c r="AE122" s="115"/>
      <c r="AF122" s="116"/>
      <c r="AG122" s="116"/>
      <c r="AH122" s="116"/>
      <c r="AI122" s="117"/>
      <c r="AJ122" s="118"/>
      <c r="AK122" s="119"/>
      <c r="AL122" s="120"/>
      <c r="AM122" s="121"/>
      <c r="AN122" s="121"/>
      <c r="AO122" s="121"/>
      <c r="AP122" s="122"/>
      <c r="AQ122" s="115"/>
      <c r="AR122" s="116"/>
      <c r="AS122" s="118"/>
      <c r="AT122" s="123"/>
      <c r="AU122" s="113"/>
      <c r="AV122" s="113"/>
      <c r="AW122" s="113"/>
      <c r="AX122" s="114"/>
      <c r="AY122" s="123"/>
      <c r="AZ122" s="113"/>
      <c r="BA122" s="113"/>
      <c r="BB122" s="113"/>
      <c r="BC122" s="114"/>
    </row>
    <row r="123" spans="1:55" ht="16.5" customHeight="1"/>
    <row r="124" spans="1:55" ht="16.5" customHeight="1">
      <c r="A124" s="560">
        <v>11</v>
      </c>
      <c r="B124" s="561" t="s">
        <v>235</v>
      </c>
      <c r="C124" s="8" t="s">
        <v>42</v>
      </c>
      <c r="D124" s="24"/>
      <c r="E124" s="8" t="s">
        <v>43</v>
      </c>
      <c r="F124" s="11"/>
      <c r="G124" s="354">
        <v>51</v>
      </c>
      <c r="H124" s="335"/>
      <c r="I124" s="336"/>
      <c r="J124" s="357"/>
      <c r="K124" s="8" t="s">
        <v>333</v>
      </c>
      <c r="L124" s="6"/>
      <c r="M124" s="18"/>
      <c r="N124" s="19"/>
      <c r="O124" s="8" t="s">
        <v>333</v>
      </c>
      <c r="P124" s="6"/>
      <c r="Q124" s="18"/>
      <c r="R124" s="19"/>
      <c r="S124" s="532" t="s">
        <v>51</v>
      </c>
      <c r="T124" s="533"/>
      <c r="U124" s="535"/>
      <c r="V124" s="537"/>
      <c r="W124" s="532" t="s">
        <v>51</v>
      </c>
      <c r="X124" s="533"/>
      <c r="Y124" s="535"/>
      <c r="Z124" s="537"/>
      <c r="AA124" s="8" t="s">
        <v>51</v>
      </c>
      <c r="AB124" s="6"/>
      <c r="AC124" s="18"/>
      <c r="AD124" s="19"/>
      <c r="AE124" s="552"/>
      <c r="AF124" s="550"/>
      <c r="AG124" s="550"/>
      <c r="AH124" s="550"/>
      <c r="AI124" s="550"/>
      <c r="AJ124" s="551"/>
      <c r="AK124" s="552"/>
      <c r="AL124" s="550"/>
      <c r="AM124" s="550"/>
      <c r="AN124" s="550"/>
      <c r="AO124" s="550"/>
      <c r="AP124" s="551"/>
      <c r="AQ124" s="542">
        <v>51</v>
      </c>
      <c r="AR124" s="543"/>
      <c r="AS124" s="544"/>
      <c r="AT124" s="554">
        <v>21</v>
      </c>
      <c r="AU124" s="25" t="s">
        <v>0</v>
      </c>
      <c r="AV124" s="557"/>
      <c r="AW124" s="558"/>
      <c r="AX124" s="559"/>
      <c r="AY124" s="554">
        <v>23</v>
      </c>
      <c r="AZ124" s="25" t="s">
        <v>0</v>
      </c>
      <c r="BA124" s="557"/>
      <c r="BB124" s="558"/>
      <c r="BC124" s="559"/>
    </row>
    <row r="125" spans="1:55" ht="16.5" customHeight="1">
      <c r="A125" s="560"/>
      <c r="B125" s="561"/>
      <c r="C125" s="9" t="s">
        <v>33</v>
      </c>
      <c r="D125" s="13"/>
      <c r="E125" s="9" t="s">
        <v>70</v>
      </c>
      <c r="F125" s="12"/>
      <c r="G125" s="355">
        <v>52</v>
      </c>
      <c r="H125" s="338"/>
      <c r="I125" s="339"/>
      <c r="J125" s="340"/>
      <c r="K125" s="9" t="s">
        <v>334</v>
      </c>
      <c r="L125" s="7"/>
      <c r="M125" s="20"/>
      <c r="N125" s="21"/>
      <c r="O125" s="9" t="s">
        <v>334</v>
      </c>
      <c r="P125" s="7"/>
      <c r="Q125" s="20"/>
      <c r="R125" s="21"/>
      <c r="S125" s="519"/>
      <c r="T125" s="527"/>
      <c r="U125" s="528"/>
      <c r="V125" s="529"/>
      <c r="W125" s="519"/>
      <c r="X125" s="527"/>
      <c r="Y125" s="528"/>
      <c r="Z125" s="529"/>
      <c r="AA125" s="9" t="s">
        <v>52</v>
      </c>
      <c r="AB125" s="7"/>
      <c r="AC125" s="20"/>
      <c r="AD125" s="21"/>
      <c r="AE125" s="547"/>
      <c r="AF125" s="545"/>
      <c r="AG125" s="545"/>
      <c r="AH125" s="545"/>
      <c r="AI125" s="545"/>
      <c r="AJ125" s="546"/>
      <c r="AK125" s="547"/>
      <c r="AL125" s="545"/>
      <c r="AM125" s="545"/>
      <c r="AN125" s="545"/>
      <c r="AO125" s="545"/>
      <c r="AP125" s="546"/>
      <c r="AQ125" s="530"/>
      <c r="AR125" s="515"/>
      <c r="AS125" s="517"/>
      <c r="AT125" s="555"/>
      <c r="AU125" s="26" t="s">
        <v>87</v>
      </c>
      <c r="AV125" s="124"/>
      <c r="AW125" s="26" t="s">
        <v>192</v>
      </c>
      <c r="AX125" s="126"/>
      <c r="AY125" s="555"/>
      <c r="AZ125" s="26" t="s">
        <v>87</v>
      </c>
      <c r="BA125" s="124"/>
      <c r="BB125" s="127" t="s">
        <v>192</v>
      </c>
      <c r="BC125" s="125"/>
    </row>
    <row r="126" spans="1:55" ht="16.5" customHeight="1">
      <c r="A126" s="560"/>
      <c r="B126" s="561"/>
      <c r="C126" s="9" t="s">
        <v>34</v>
      </c>
      <c r="D126" s="14"/>
      <c r="E126" s="9" t="s">
        <v>44</v>
      </c>
      <c r="F126" s="12"/>
      <c r="G126" s="355">
        <v>53</v>
      </c>
      <c r="H126" s="338"/>
      <c r="I126" s="339"/>
      <c r="J126" s="340"/>
      <c r="K126" s="9" t="s">
        <v>335</v>
      </c>
      <c r="L126" s="7"/>
      <c r="M126" s="20"/>
      <c r="N126" s="21"/>
      <c r="O126" s="9" t="s">
        <v>335</v>
      </c>
      <c r="P126" s="7"/>
      <c r="Q126" s="20"/>
      <c r="R126" s="21"/>
      <c r="S126" s="519"/>
      <c r="T126" s="527"/>
      <c r="U126" s="528"/>
      <c r="V126" s="529"/>
      <c r="W126" s="519"/>
      <c r="X126" s="539"/>
      <c r="Y126" s="540"/>
      <c r="Z126" s="541"/>
      <c r="AA126" s="9" t="s">
        <v>53</v>
      </c>
      <c r="AB126" s="7"/>
      <c r="AC126" s="20"/>
      <c r="AD126" s="21"/>
      <c r="AE126" s="547"/>
      <c r="AF126" s="545"/>
      <c r="AG126" s="545"/>
      <c r="AH126" s="545"/>
      <c r="AI126" s="545"/>
      <c r="AJ126" s="546"/>
      <c r="AK126" s="547"/>
      <c r="AL126" s="545"/>
      <c r="AM126" s="545"/>
      <c r="AN126" s="545"/>
      <c r="AO126" s="545"/>
      <c r="AP126" s="546"/>
      <c r="AQ126" s="530">
        <v>52</v>
      </c>
      <c r="AR126" s="515"/>
      <c r="AS126" s="517"/>
      <c r="AT126" s="555"/>
      <c r="AU126" s="26" t="s">
        <v>88</v>
      </c>
      <c r="AV126" s="28"/>
      <c r="AW126" s="26" t="s">
        <v>12</v>
      </c>
      <c r="AX126" s="31"/>
      <c r="AY126" s="555"/>
      <c r="AZ126" s="26" t="s">
        <v>88</v>
      </c>
      <c r="BA126" s="28"/>
      <c r="BB126" s="26" t="s">
        <v>12</v>
      </c>
      <c r="BC126" s="31"/>
    </row>
    <row r="127" spans="1:55" ht="16.5" customHeight="1">
      <c r="A127" s="560"/>
      <c r="B127" s="561"/>
      <c r="C127" s="9" t="s">
        <v>41</v>
      </c>
      <c r="D127" s="13"/>
      <c r="E127" s="9" t="s">
        <v>62</v>
      </c>
      <c r="F127" s="12"/>
      <c r="G127" s="355">
        <v>54</v>
      </c>
      <c r="H127" s="341"/>
      <c r="I127" s="342"/>
      <c r="J127" s="343"/>
      <c r="K127" s="9" t="s">
        <v>336</v>
      </c>
      <c r="L127" s="7"/>
      <c r="M127" s="20"/>
      <c r="N127" s="21"/>
      <c r="O127" s="9" t="s">
        <v>336</v>
      </c>
      <c r="P127" s="7"/>
      <c r="Q127" s="20"/>
      <c r="R127" s="21"/>
      <c r="S127" s="519"/>
      <c r="T127" s="534"/>
      <c r="U127" s="536"/>
      <c r="V127" s="538"/>
      <c r="W127" s="532" t="s">
        <v>52</v>
      </c>
      <c r="X127" s="533"/>
      <c r="Y127" s="535"/>
      <c r="Z127" s="537"/>
      <c r="AA127" s="9" t="s">
        <v>54</v>
      </c>
      <c r="AB127" s="7"/>
      <c r="AC127" s="20"/>
      <c r="AD127" s="21"/>
      <c r="AE127" s="547"/>
      <c r="AF127" s="545"/>
      <c r="AG127" s="545"/>
      <c r="AH127" s="545"/>
      <c r="AI127" s="545"/>
      <c r="AJ127" s="546"/>
      <c r="AK127" s="547"/>
      <c r="AL127" s="545"/>
      <c r="AM127" s="545"/>
      <c r="AN127" s="545"/>
      <c r="AO127" s="545"/>
      <c r="AP127" s="546"/>
      <c r="AQ127" s="530"/>
      <c r="AR127" s="515"/>
      <c r="AS127" s="517"/>
      <c r="AT127" s="555"/>
      <c r="AU127" s="26" t="s">
        <v>89</v>
      </c>
      <c r="AV127" s="29"/>
      <c r="AW127" s="26" t="s">
        <v>12</v>
      </c>
      <c r="AX127" s="32"/>
      <c r="AY127" s="555"/>
      <c r="AZ127" s="26" t="s">
        <v>89</v>
      </c>
      <c r="BA127" s="29"/>
      <c r="BB127" s="26" t="s">
        <v>12</v>
      </c>
      <c r="BC127" s="32"/>
    </row>
    <row r="128" spans="1:55" ht="16.5" customHeight="1">
      <c r="A128" s="560"/>
      <c r="B128" s="561"/>
      <c r="C128" s="9" t="s">
        <v>417</v>
      </c>
      <c r="D128" s="3"/>
      <c r="E128" s="9" t="s">
        <v>45</v>
      </c>
      <c r="F128" s="12"/>
      <c r="G128" s="356">
        <v>55</v>
      </c>
      <c r="H128" s="344"/>
      <c r="I128" s="345"/>
      <c r="J128" s="346"/>
      <c r="K128" s="9" t="s">
        <v>337</v>
      </c>
      <c r="L128" s="7"/>
      <c r="M128" s="20"/>
      <c r="N128" s="21"/>
      <c r="O128" s="9" t="s">
        <v>337</v>
      </c>
      <c r="P128" s="7"/>
      <c r="Q128" s="20"/>
      <c r="R128" s="21"/>
      <c r="S128" s="519" t="s">
        <v>52</v>
      </c>
      <c r="T128" s="527"/>
      <c r="U128" s="528"/>
      <c r="V128" s="529"/>
      <c r="W128" s="519"/>
      <c r="X128" s="527"/>
      <c r="Y128" s="528"/>
      <c r="Z128" s="529"/>
      <c r="AA128" s="9" t="s">
        <v>55</v>
      </c>
      <c r="AB128" s="7"/>
      <c r="AC128" s="20"/>
      <c r="AD128" s="21"/>
      <c r="AE128" s="547"/>
      <c r="AF128" s="545"/>
      <c r="AG128" s="545"/>
      <c r="AH128" s="545"/>
      <c r="AI128" s="545"/>
      <c r="AJ128" s="546"/>
      <c r="AK128" s="547"/>
      <c r="AL128" s="545"/>
      <c r="AM128" s="545"/>
      <c r="AN128" s="545"/>
      <c r="AO128" s="545"/>
      <c r="AP128" s="546"/>
      <c r="AQ128" s="530">
        <v>53</v>
      </c>
      <c r="AR128" s="515"/>
      <c r="AS128" s="517"/>
      <c r="AT128" s="556"/>
      <c r="AU128" s="27" t="s">
        <v>90</v>
      </c>
      <c r="AV128" s="30"/>
      <c r="AW128" s="27" t="s">
        <v>91</v>
      </c>
      <c r="AX128" s="33"/>
      <c r="AY128" s="556"/>
      <c r="AZ128" s="27" t="s">
        <v>90</v>
      </c>
      <c r="BA128" s="30"/>
      <c r="BB128" s="27" t="s">
        <v>91</v>
      </c>
      <c r="BC128" s="33"/>
    </row>
    <row r="129" spans="1:55" ht="16.5" customHeight="1">
      <c r="A129" s="560"/>
      <c r="B129" s="561"/>
      <c r="C129" s="9" t="s">
        <v>35</v>
      </c>
      <c r="D129" s="13"/>
      <c r="E129" s="9" t="s">
        <v>46</v>
      </c>
      <c r="F129" s="12"/>
      <c r="G129" s="5" t="s">
        <v>12</v>
      </c>
      <c r="H129" s="128" t="s">
        <v>13</v>
      </c>
      <c r="I129" s="4" t="s">
        <v>14</v>
      </c>
      <c r="J129" s="4" t="s">
        <v>15</v>
      </c>
      <c r="K129" s="9" t="s">
        <v>338</v>
      </c>
      <c r="L129" s="7"/>
      <c r="M129" s="20"/>
      <c r="N129" s="21"/>
      <c r="O129" s="9" t="s">
        <v>338</v>
      </c>
      <c r="P129" s="7"/>
      <c r="Q129" s="20"/>
      <c r="R129" s="21"/>
      <c r="S129" s="519"/>
      <c r="T129" s="527"/>
      <c r="U129" s="528"/>
      <c r="V129" s="529"/>
      <c r="W129" s="519"/>
      <c r="X129" s="539"/>
      <c r="Y129" s="540"/>
      <c r="Z129" s="541"/>
      <c r="AA129" s="9" t="s">
        <v>56</v>
      </c>
      <c r="AB129" s="7"/>
      <c r="AC129" s="20"/>
      <c r="AD129" s="21"/>
      <c r="AE129" s="547"/>
      <c r="AF129" s="545"/>
      <c r="AG129" s="545"/>
      <c r="AH129" s="545"/>
      <c r="AI129" s="545"/>
      <c r="AJ129" s="546"/>
      <c r="AK129" s="547"/>
      <c r="AL129" s="545"/>
      <c r="AM129" s="545"/>
      <c r="AN129" s="545"/>
      <c r="AO129" s="545"/>
      <c r="AP129" s="546"/>
      <c r="AQ129" s="530"/>
      <c r="AR129" s="515"/>
      <c r="AS129" s="517"/>
      <c r="AT129" s="554">
        <v>22</v>
      </c>
      <c r="AU129" s="25" t="s">
        <v>0</v>
      </c>
      <c r="AV129" s="557"/>
      <c r="AW129" s="558"/>
      <c r="AX129" s="559"/>
      <c r="AY129" s="554">
        <v>24</v>
      </c>
      <c r="AZ129" s="25" t="s">
        <v>0</v>
      </c>
      <c r="BA129" s="557"/>
      <c r="BB129" s="558"/>
      <c r="BC129" s="559"/>
    </row>
    <row r="130" spans="1:55" ht="16.5" customHeight="1">
      <c r="A130" s="560"/>
      <c r="B130" s="561"/>
      <c r="C130" s="9" t="s">
        <v>36</v>
      </c>
      <c r="D130" s="13"/>
      <c r="E130" s="9" t="s">
        <v>47</v>
      </c>
      <c r="F130" s="12"/>
      <c r="G130" s="354">
        <v>51</v>
      </c>
      <c r="H130" s="335"/>
      <c r="I130" s="336"/>
      <c r="J130" s="357"/>
      <c r="K130" s="9" t="s">
        <v>339</v>
      </c>
      <c r="L130" s="7"/>
      <c r="M130" s="20"/>
      <c r="N130" s="21"/>
      <c r="O130" s="9" t="s">
        <v>339</v>
      </c>
      <c r="P130" s="7"/>
      <c r="Q130" s="20"/>
      <c r="R130" s="21"/>
      <c r="S130" s="519"/>
      <c r="T130" s="527"/>
      <c r="U130" s="528"/>
      <c r="V130" s="529"/>
      <c r="W130" s="532" t="s">
        <v>344</v>
      </c>
      <c r="X130" s="533"/>
      <c r="Y130" s="535"/>
      <c r="Z130" s="537"/>
      <c r="AA130" s="9"/>
      <c r="AB130" s="7"/>
      <c r="AC130" s="20"/>
      <c r="AD130" s="21"/>
      <c r="AE130" s="547"/>
      <c r="AF130" s="545"/>
      <c r="AG130" s="545"/>
      <c r="AH130" s="545"/>
      <c r="AI130" s="545"/>
      <c r="AJ130" s="546"/>
      <c r="AK130" s="547"/>
      <c r="AL130" s="545"/>
      <c r="AM130" s="545"/>
      <c r="AN130" s="545"/>
      <c r="AO130" s="545"/>
      <c r="AP130" s="546"/>
      <c r="AQ130" s="530">
        <v>54</v>
      </c>
      <c r="AR130" s="515"/>
      <c r="AS130" s="517"/>
      <c r="AT130" s="555"/>
      <c r="AU130" s="26" t="s">
        <v>87</v>
      </c>
      <c r="AV130" s="124"/>
      <c r="AW130" s="127" t="s">
        <v>192</v>
      </c>
      <c r="AX130" s="125"/>
      <c r="AY130" s="555"/>
      <c r="AZ130" s="26" t="s">
        <v>87</v>
      </c>
      <c r="BA130" s="124"/>
      <c r="BB130" s="127" t="s">
        <v>192</v>
      </c>
      <c r="BC130" s="125"/>
    </row>
    <row r="131" spans="1:55" ht="16.5" customHeight="1">
      <c r="A131" s="560"/>
      <c r="B131" s="561"/>
      <c r="C131" s="9" t="s">
        <v>37</v>
      </c>
      <c r="D131" s="13"/>
      <c r="E131" s="9" t="s">
        <v>48</v>
      </c>
      <c r="F131" s="12"/>
      <c r="G131" s="355">
        <v>52</v>
      </c>
      <c r="H131" s="338"/>
      <c r="I131" s="339"/>
      <c r="J131" s="340"/>
      <c r="K131" s="353" t="s">
        <v>340</v>
      </c>
      <c r="L131" s="7"/>
      <c r="M131" s="20"/>
      <c r="N131" s="21"/>
      <c r="O131" s="353" t="s">
        <v>340</v>
      </c>
      <c r="P131" s="7"/>
      <c r="Q131" s="20"/>
      <c r="R131" s="21"/>
      <c r="S131" s="519"/>
      <c r="T131" s="539"/>
      <c r="U131" s="540"/>
      <c r="V131" s="541"/>
      <c r="W131" s="519"/>
      <c r="X131" s="527"/>
      <c r="Y131" s="528"/>
      <c r="Z131" s="529"/>
      <c r="AA131" s="9" t="s">
        <v>58</v>
      </c>
      <c r="AB131" s="7"/>
      <c r="AC131" s="20"/>
      <c r="AD131" s="21"/>
      <c r="AE131" s="547"/>
      <c r="AF131" s="545"/>
      <c r="AG131" s="545"/>
      <c r="AH131" s="545"/>
      <c r="AI131" s="545"/>
      <c r="AJ131" s="546"/>
      <c r="AK131" s="547"/>
      <c r="AL131" s="545"/>
      <c r="AM131" s="545"/>
      <c r="AN131" s="545"/>
      <c r="AO131" s="545"/>
      <c r="AP131" s="546"/>
      <c r="AQ131" s="530"/>
      <c r="AR131" s="515"/>
      <c r="AS131" s="517"/>
      <c r="AT131" s="555"/>
      <c r="AU131" s="26" t="s">
        <v>88</v>
      </c>
      <c r="AV131" s="28"/>
      <c r="AW131" s="26" t="s">
        <v>12</v>
      </c>
      <c r="AX131" s="31"/>
      <c r="AY131" s="555"/>
      <c r="AZ131" s="26" t="s">
        <v>88</v>
      </c>
      <c r="BA131" s="28"/>
      <c r="BB131" s="26" t="s">
        <v>12</v>
      </c>
      <c r="BC131" s="31"/>
    </row>
    <row r="132" spans="1:55" ht="16.5" customHeight="1">
      <c r="A132" s="560"/>
      <c r="B132" s="561"/>
      <c r="C132" s="9" t="s">
        <v>38</v>
      </c>
      <c r="D132" s="13"/>
      <c r="E132" s="9" t="s">
        <v>49</v>
      </c>
      <c r="F132" s="12"/>
      <c r="G132" s="355">
        <v>53</v>
      </c>
      <c r="H132" s="338"/>
      <c r="I132" s="339"/>
      <c r="J132" s="340"/>
      <c r="K132" s="9" t="s">
        <v>341</v>
      </c>
      <c r="L132" s="7"/>
      <c r="M132" s="20"/>
      <c r="N132" s="21"/>
      <c r="O132" s="9" t="s">
        <v>341</v>
      </c>
      <c r="P132" s="7"/>
      <c r="Q132" s="20"/>
      <c r="R132" s="21"/>
      <c r="S132" s="519" t="s">
        <v>344</v>
      </c>
      <c r="T132" s="521"/>
      <c r="U132" s="523"/>
      <c r="V132" s="525"/>
      <c r="W132" s="519"/>
      <c r="X132" s="539"/>
      <c r="Y132" s="540"/>
      <c r="Z132" s="541"/>
      <c r="AA132" s="9" t="s">
        <v>59</v>
      </c>
      <c r="AB132" s="7"/>
      <c r="AC132" s="20"/>
      <c r="AD132" s="21"/>
      <c r="AE132" s="547"/>
      <c r="AF132" s="545"/>
      <c r="AG132" s="545"/>
      <c r="AH132" s="545"/>
      <c r="AI132" s="545"/>
      <c r="AJ132" s="546"/>
      <c r="AK132" s="547"/>
      <c r="AL132" s="545"/>
      <c r="AM132" s="545"/>
      <c r="AN132" s="545"/>
      <c r="AO132" s="545"/>
      <c r="AP132" s="546"/>
      <c r="AQ132" s="530">
        <v>55</v>
      </c>
      <c r="AR132" s="515"/>
      <c r="AS132" s="517"/>
      <c r="AT132" s="555"/>
      <c r="AU132" s="26" t="s">
        <v>89</v>
      </c>
      <c r="AV132" s="29"/>
      <c r="AW132" s="26" t="s">
        <v>12</v>
      </c>
      <c r="AX132" s="32"/>
      <c r="AY132" s="555"/>
      <c r="AZ132" s="26" t="s">
        <v>89</v>
      </c>
      <c r="BA132" s="29"/>
      <c r="BB132" s="26" t="s">
        <v>12</v>
      </c>
      <c r="BC132" s="32"/>
    </row>
    <row r="133" spans="1:55" ht="16.5" customHeight="1">
      <c r="A133" s="560"/>
      <c r="B133" s="561"/>
      <c r="C133" s="9" t="s">
        <v>39</v>
      </c>
      <c r="D133" s="13"/>
      <c r="E133" s="9" t="s">
        <v>50</v>
      </c>
      <c r="F133" s="132"/>
      <c r="G133" s="355">
        <v>54</v>
      </c>
      <c r="H133" s="347"/>
      <c r="I133" s="348"/>
      <c r="J133" s="349"/>
      <c r="K133" s="9"/>
      <c r="L133" s="7"/>
      <c r="M133" s="20"/>
      <c r="N133" s="21"/>
      <c r="O133" s="9"/>
      <c r="P133" s="7"/>
      <c r="Q133" s="20"/>
      <c r="R133" s="21"/>
      <c r="S133" s="519"/>
      <c r="T133" s="527"/>
      <c r="U133" s="528"/>
      <c r="V133" s="529"/>
      <c r="W133" s="519" t="s">
        <v>60</v>
      </c>
      <c r="X133" s="521"/>
      <c r="Y133" s="523"/>
      <c r="Z133" s="525"/>
      <c r="AA133" s="9" t="s">
        <v>60</v>
      </c>
      <c r="AB133" s="7"/>
      <c r="AC133" s="20"/>
      <c r="AD133" s="21"/>
      <c r="AE133" s="553"/>
      <c r="AF133" s="548"/>
      <c r="AG133" s="548"/>
      <c r="AH133" s="548"/>
      <c r="AI133" s="548"/>
      <c r="AJ133" s="549"/>
      <c r="AK133" s="553"/>
      <c r="AL133" s="548"/>
      <c r="AM133" s="548"/>
      <c r="AN133" s="548"/>
      <c r="AO133" s="548"/>
      <c r="AP133" s="549"/>
      <c r="AQ133" s="531"/>
      <c r="AR133" s="516"/>
      <c r="AS133" s="518"/>
      <c r="AT133" s="556"/>
      <c r="AU133" s="27" t="s">
        <v>90</v>
      </c>
      <c r="AV133" s="30"/>
      <c r="AW133" s="27" t="s">
        <v>91</v>
      </c>
      <c r="AX133" s="33"/>
      <c r="AY133" s="556"/>
      <c r="AZ133" s="27" t="s">
        <v>90</v>
      </c>
      <c r="BA133" s="30"/>
      <c r="BB133" s="27" t="s">
        <v>91</v>
      </c>
      <c r="BC133" s="33"/>
    </row>
    <row r="134" spans="1:55" ht="16.5" customHeight="1">
      <c r="A134" s="560"/>
      <c r="B134" s="561"/>
      <c r="C134" s="10" t="s">
        <v>40</v>
      </c>
      <c r="D134" s="15"/>
      <c r="E134" s="130" t="s">
        <v>255</v>
      </c>
      <c r="F134" s="131"/>
      <c r="G134" s="356">
        <v>55</v>
      </c>
      <c r="H134" s="350"/>
      <c r="I134" s="351"/>
      <c r="J134" s="352"/>
      <c r="K134" s="17"/>
      <c r="L134" s="16"/>
      <c r="M134" s="22"/>
      <c r="N134" s="23"/>
      <c r="O134" s="17"/>
      <c r="P134" s="16"/>
      <c r="Q134" s="22"/>
      <c r="R134" s="23"/>
      <c r="S134" s="520"/>
      <c r="T134" s="522"/>
      <c r="U134" s="524"/>
      <c r="V134" s="526"/>
      <c r="W134" s="520"/>
      <c r="X134" s="522"/>
      <c r="Y134" s="524"/>
      <c r="Z134" s="526"/>
      <c r="AA134" s="17" t="s">
        <v>61</v>
      </c>
      <c r="AB134" s="16"/>
      <c r="AC134" s="22"/>
      <c r="AD134" s="23"/>
      <c r="AE134" s="115"/>
      <c r="AF134" s="116"/>
      <c r="AG134" s="116"/>
      <c r="AH134" s="116"/>
      <c r="AI134" s="117"/>
      <c r="AJ134" s="118"/>
      <c r="AK134" s="119"/>
      <c r="AL134" s="120"/>
      <c r="AM134" s="121"/>
      <c r="AN134" s="121"/>
      <c r="AO134" s="121"/>
      <c r="AP134" s="122"/>
      <c r="AQ134" s="115"/>
      <c r="AR134" s="116"/>
      <c r="AS134" s="118"/>
      <c r="AT134" s="123"/>
      <c r="AU134" s="113"/>
      <c r="AV134" s="113"/>
      <c r="AW134" s="113"/>
      <c r="AX134" s="114"/>
      <c r="AY134" s="123"/>
      <c r="AZ134" s="113"/>
      <c r="BA134" s="113"/>
      <c r="BB134" s="113"/>
      <c r="BC134" s="114"/>
    </row>
    <row r="135" spans="1:55" ht="16.5" customHeight="1"/>
    <row r="136" spans="1:55" ht="16.5" customHeight="1">
      <c r="A136" s="560">
        <v>12</v>
      </c>
      <c r="B136" s="561" t="s">
        <v>236</v>
      </c>
      <c r="C136" s="8" t="s">
        <v>42</v>
      </c>
      <c r="D136" s="24"/>
      <c r="E136" s="8" t="s">
        <v>43</v>
      </c>
      <c r="F136" s="11"/>
      <c r="G136" s="354">
        <v>56</v>
      </c>
      <c r="H136" s="335"/>
      <c r="I136" s="336"/>
      <c r="J136" s="357"/>
      <c r="K136" s="8" t="s">
        <v>333</v>
      </c>
      <c r="L136" s="6"/>
      <c r="M136" s="18"/>
      <c r="N136" s="19"/>
      <c r="O136" s="8" t="s">
        <v>333</v>
      </c>
      <c r="P136" s="6"/>
      <c r="Q136" s="18"/>
      <c r="R136" s="19"/>
      <c r="S136" s="532" t="s">
        <v>51</v>
      </c>
      <c r="T136" s="533"/>
      <c r="U136" s="535"/>
      <c r="V136" s="537"/>
      <c r="W136" s="532" t="s">
        <v>51</v>
      </c>
      <c r="X136" s="533"/>
      <c r="Y136" s="535"/>
      <c r="Z136" s="537"/>
      <c r="AA136" s="8" t="s">
        <v>51</v>
      </c>
      <c r="AB136" s="6"/>
      <c r="AC136" s="18"/>
      <c r="AD136" s="19"/>
      <c r="AE136" s="552"/>
      <c r="AF136" s="550"/>
      <c r="AG136" s="550"/>
      <c r="AH136" s="550"/>
      <c r="AI136" s="550"/>
      <c r="AJ136" s="551"/>
      <c r="AK136" s="552"/>
      <c r="AL136" s="550"/>
      <c r="AM136" s="550"/>
      <c r="AN136" s="550"/>
      <c r="AO136" s="550"/>
      <c r="AP136" s="551"/>
      <c r="AQ136" s="542">
        <v>56</v>
      </c>
      <c r="AR136" s="543"/>
      <c r="AS136" s="544"/>
      <c r="AT136" s="554">
        <v>23</v>
      </c>
      <c r="AU136" s="25" t="s">
        <v>0</v>
      </c>
      <c r="AV136" s="557"/>
      <c r="AW136" s="558"/>
      <c r="AX136" s="559"/>
      <c r="AY136" s="554">
        <v>25</v>
      </c>
      <c r="AZ136" s="25" t="s">
        <v>0</v>
      </c>
      <c r="BA136" s="557"/>
      <c r="BB136" s="558"/>
      <c r="BC136" s="559"/>
    </row>
    <row r="137" spans="1:55" ht="16.5" customHeight="1">
      <c r="A137" s="560"/>
      <c r="B137" s="561"/>
      <c r="C137" s="9" t="s">
        <v>33</v>
      </c>
      <c r="D137" s="13"/>
      <c r="E137" s="9" t="s">
        <v>70</v>
      </c>
      <c r="F137" s="12"/>
      <c r="G137" s="355">
        <v>57</v>
      </c>
      <c r="H137" s="338"/>
      <c r="I137" s="339"/>
      <c r="J137" s="340"/>
      <c r="K137" s="9" t="s">
        <v>334</v>
      </c>
      <c r="L137" s="7"/>
      <c r="M137" s="20"/>
      <c r="N137" s="21"/>
      <c r="O137" s="9" t="s">
        <v>334</v>
      </c>
      <c r="P137" s="7"/>
      <c r="Q137" s="20"/>
      <c r="R137" s="21"/>
      <c r="S137" s="519"/>
      <c r="T137" s="527"/>
      <c r="U137" s="528"/>
      <c r="V137" s="529"/>
      <c r="W137" s="519"/>
      <c r="X137" s="527"/>
      <c r="Y137" s="528"/>
      <c r="Z137" s="529"/>
      <c r="AA137" s="9" t="s">
        <v>52</v>
      </c>
      <c r="AB137" s="7"/>
      <c r="AC137" s="20"/>
      <c r="AD137" s="21"/>
      <c r="AE137" s="547"/>
      <c r="AF137" s="545"/>
      <c r="AG137" s="545"/>
      <c r="AH137" s="545"/>
      <c r="AI137" s="545"/>
      <c r="AJ137" s="546"/>
      <c r="AK137" s="547"/>
      <c r="AL137" s="545"/>
      <c r="AM137" s="545"/>
      <c r="AN137" s="545"/>
      <c r="AO137" s="545"/>
      <c r="AP137" s="546"/>
      <c r="AQ137" s="530"/>
      <c r="AR137" s="515"/>
      <c r="AS137" s="517"/>
      <c r="AT137" s="555"/>
      <c r="AU137" s="26" t="s">
        <v>87</v>
      </c>
      <c r="AV137" s="124"/>
      <c r="AW137" s="26" t="s">
        <v>192</v>
      </c>
      <c r="AX137" s="126"/>
      <c r="AY137" s="555"/>
      <c r="AZ137" s="26" t="s">
        <v>87</v>
      </c>
      <c r="BA137" s="124"/>
      <c r="BB137" s="127" t="s">
        <v>192</v>
      </c>
      <c r="BC137" s="125"/>
    </row>
    <row r="138" spans="1:55" ht="16.5" customHeight="1">
      <c r="A138" s="560"/>
      <c r="B138" s="561"/>
      <c r="C138" s="9" t="s">
        <v>34</v>
      </c>
      <c r="D138" s="14"/>
      <c r="E138" s="9" t="s">
        <v>44</v>
      </c>
      <c r="F138" s="12"/>
      <c r="G138" s="355">
        <v>58</v>
      </c>
      <c r="H138" s="338"/>
      <c r="I138" s="339"/>
      <c r="J138" s="340"/>
      <c r="K138" s="9" t="s">
        <v>335</v>
      </c>
      <c r="L138" s="7"/>
      <c r="M138" s="20"/>
      <c r="N138" s="21"/>
      <c r="O138" s="9" t="s">
        <v>335</v>
      </c>
      <c r="P138" s="7"/>
      <c r="Q138" s="20"/>
      <c r="R138" s="21"/>
      <c r="S138" s="519"/>
      <c r="T138" s="527"/>
      <c r="U138" s="528"/>
      <c r="V138" s="529"/>
      <c r="W138" s="519"/>
      <c r="X138" s="539"/>
      <c r="Y138" s="540"/>
      <c r="Z138" s="541"/>
      <c r="AA138" s="9" t="s">
        <v>53</v>
      </c>
      <c r="AB138" s="7"/>
      <c r="AC138" s="20"/>
      <c r="AD138" s="21"/>
      <c r="AE138" s="547"/>
      <c r="AF138" s="545"/>
      <c r="AG138" s="545"/>
      <c r="AH138" s="545"/>
      <c r="AI138" s="545"/>
      <c r="AJ138" s="546"/>
      <c r="AK138" s="547"/>
      <c r="AL138" s="545"/>
      <c r="AM138" s="545"/>
      <c r="AN138" s="545"/>
      <c r="AO138" s="545"/>
      <c r="AP138" s="546"/>
      <c r="AQ138" s="530">
        <v>57</v>
      </c>
      <c r="AR138" s="515"/>
      <c r="AS138" s="517"/>
      <c r="AT138" s="555"/>
      <c r="AU138" s="26" t="s">
        <v>88</v>
      </c>
      <c r="AV138" s="28"/>
      <c r="AW138" s="26" t="s">
        <v>12</v>
      </c>
      <c r="AX138" s="31"/>
      <c r="AY138" s="555"/>
      <c r="AZ138" s="26" t="s">
        <v>88</v>
      </c>
      <c r="BA138" s="28"/>
      <c r="BB138" s="26" t="s">
        <v>12</v>
      </c>
      <c r="BC138" s="31"/>
    </row>
    <row r="139" spans="1:55" ht="16.5" customHeight="1">
      <c r="A139" s="560"/>
      <c r="B139" s="561"/>
      <c r="C139" s="9" t="s">
        <v>41</v>
      </c>
      <c r="D139" s="13"/>
      <c r="E139" s="9" t="s">
        <v>62</v>
      </c>
      <c r="F139" s="12"/>
      <c r="G139" s="355">
        <v>59</v>
      </c>
      <c r="H139" s="341"/>
      <c r="I139" s="342"/>
      <c r="J139" s="343"/>
      <c r="K139" s="9" t="s">
        <v>336</v>
      </c>
      <c r="L139" s="7"/>
      <c r="M139" s="20"/>
      <c r="N139" s="21"/>
      <c r="O139" s="9" t="s">
        <v>336</v>
      </c>
      <c r="P139" s="7"/>
      <c r="Q139" s="20"/>
      <c r="R139" s="21"/>
      <c r="S139" s="519"/>
      <c r="T139" s="534"/>
      <c r="U139" s="536"/>
      <c r="V139" s="538"/>
      <c r="W139" s="532" t="s">
        <v>52</v>
      </c>
      <c r="X139" s="533"/>
      <c r="Y139" s="535"/>
      <c r="Z139" s="537"/>
      <c r="AA139" s="9" t="s">
        <v>54</v>
      </c>
      <c r="AB139" s="7"/>
      <c r="AC139" s="20"/>
      <c r="AD139" s="21"/>
      <c r="AE139" s="547"/>
      <c r="AF139" s="545"/>
      <c r="AG139" s="545"/>
      <c r="AH139" s="545"/>
      <c r="AI139" s="545"/>
      <c r="AJ139" s="546"/>
      <c r="AK139" s="547"/>
      <c r="AL139" s="545"/>
      <c r="AM139" s="545"/>
      <c r="AN139" s="545"/>
      <c r="AO139" s="545"/>
      <c r="AP139" s="546"/>
      <c r="AQ139" s="530"/>
      <c r="AR139" s="515"/>
      <c r="AS139" s="517"/>
      <c r="AT139" s="555"/>
      <c r="AU139" s="26" t="s">
        <v>89</v>
      </c>
      <c r="AV139" s="29"/>
      <c r="AW139" s="26" t="s">
        <v>12</v>
      </c>
      <c r="AX139" s="32"/>
      <c r="AY139" s="555"/>
      <c r="AZ139" s="26" t="s">
        <v>89</v>
      </c>
      <c r="BA139" s="29"/>
      <c r="BB139" s="26" t="s">
        <v>12</v>
      </c>
      <c r="BC139" s="32"/>
    </row>
    <row r="140" spans="1:55" ht="16.5" customHeight="1">
      <c r="A140" s="560"/>
      <c r="B140" s="561"/>
      <c r="C140" s="9" t="s">
        <v>417</v>
      </c>
      <c r="D140" s="3"/>
      <c r="E140" s="9" t="s">
        <v>45</v>
      </c>
      <c r="F140" s="12"/>
      <c r="G140" s="356">
        <v>60</v>
      </c>
      <c r="H140" s="344"/>
      <c r="I140" s="345"/>
      <c r="J140" s="346"/>
      <c r="K140" s="9" t="s">
        <v>337</v>
      </c>
      <c r="L140" s="7"/>
      <c r="M140" s="20"/>
      <c r="N140" s="21"/>
      <c r="O140" s="9" t="s">
        <v>337</v>
      </c>
      <c r="P140" s="7"/>
      <c r="Q140" s="20"/>
      <c r="R140" s="21"/>
      <c r="S140" s="519" t="s">
        <v>52</v>
      </c>
      <c r="T140" s="527"/>
      <c r="U140" s="528"/>
      <c r="V140" s="529"/>
      <c r="W140" s="519"/>
      <c r="X140" s="527"/>
      <c r="Y140" s="528"/>
      <c r="Z140" s="529"/>
      <c r="AA140" s="9" t="s">
        <v>55</v>
      </c>
      <c r="AB140" s="7"/>
      <c r="AC140" s="20"/>
      <c r="AD140" s="21"/>
      <c r="AE140" s="547"/>
      <c r="AF140" s="545"/>
      <c r="AG140" s="545"/>
      <c r="AH140" s="545"/>
      <c r="AI140" s="545"/>
      <c r="AJ140" s="546"/>
      <c r="AK140" s="547"/>
      <c r="AL140" s="545"/>
      <c r="AM140" s="545"/>
      <c r="AN140" s="545"/>
      <c r="AO140" s="545"/>
      <c r="AP140" s="546"/>
      <c r="AQ140" s="530">
        <v>58</v>
      </c>
      <c r="AR140" s="515"/>
      <c r="AS140" s="517"/>
      <c r="AT140" s="556"/>
      <c r="AU140" s="27" t="s">
        <v>90</v>
      </c>
      <c r="AV140" s="30"/>
      <c r="AW140" s="27" t="s">
        <v>91</v>
      </c>
      <c r="AX140" s="33"/>
      <c r="AY140" s="556"/>
      <c r="AZ140" s="27" t="s">
        <v>90</v>
      </c>
      <c r="BA140" s="30"/>
      <c r="BB140" s="27" t="s">
        <v>91</v>
      </c>
      <c r="BC140" s="33"/>
    </row>
    <row r="141" spans="1:55" ht="16.5" customHeight="1">
      <c r="A141" s="560"/>
      <c r="B141" s="561"/>
      <c r="C141" s="9" t="s">
        <v>35</v>
      </c>
      <c r="D141" s="13"/>
      <c r="E141" s="9" t="s">
        <v>46</v>
      </c>
      <c r="F141" s="12"/>
      <c r="G141" s="5" t="s">
        <v>12</v>
      </c>
      <c r="H141" s="128" t="s">
        <v>13</v>
      </c>
      <c r="I141" s="4" t="s">
        <v>14</v>
      </c>
      <c r="J141" s="4" t="s">
        <v>15</v>
      </c>
      <c r="K141" s="9" t="s">
        <v>338</v>
      </c>
      <c r="L141" s="7"/>
      <c r="M141" s="20"/>
      <c r="N141" s="21"/>
      <c r="O141" s="9" t="s">
        <v>338</v>
      </c>
      <c r="P141" s="7"/>
      <c r="Q141" s="20"/>
      <c r="R141" s="21"/>
      <c r="S141" s="519"/>
      <c r="T141" s="527"/>
      <c r="U141" s="528"/>
      <c r="V141" s="529"/>
      <c r="W141" s="519"/>
      <c r="X141" s="539"/>
      <c r="Y141" s="540"/>
      <c r="Z141" s="541"/>
      <c r="AA141" s="9" t="s">
        <v>56</v>
      </c>
      <c r="AB141" s="7"/>
      <c r="AC141" s="20"/>
      <c r="AD141" s="21"/>
      <c r="AE141" s="547"/>
      <c r="AF141" s="545"/>
      <c r="AG141" s="545"/>
      <c r="AH141" s="545"/>
      <c r="AI141" s="545"/>
      <c r="AJ141" s="546"/>
      <c r="AK141" s="547"/>
      <c r="AL141" s="545"/>
      <c r="AM141" s="545"/>
      <c r="AN141" s="545"/>
      <c r="AO141" s="545"/>
      <c r="AP141" s="546"/>
      <c r="AQ141" s="530"/>
      <c r="AR141" s="515"/>
      <c r="AS141" s="517"/>
      <c r="AT141" s="554">
        <v>24</v>
      </c>
      <c r="AU141" s="25" t="s">
        <v>0</v>
      </c>
      <c r="AV141" s="557"/>
      <c r="AW141" s="558"/>
      <c r="AX141" s="559"/>
      <c r="AY141" s="554">
        <v>26</v>
      </c>
      <c r="AZ141" s="25" t="s">
        <v>0</v>
      </c>
      <c r="BA141" s="557"/>
      <c r="BB141" s="558"/>
      <c r="BC141" s="559"/>
    </row>
    <row r="142" spans="1:55" ht="16.5" customHeight="1">
      <c r="A142" s="560"/>
      <c r="B142" s="561"/>
      <c r="C142" s="9" t="s">
        <v>36</v>
      </c>
      <c r="D142" s="13"/>
      <c r="E142" s="9" t="s">
        <v>47</v>
      </c>
      <c r="F142" s="12"/>
      <c r="G142" s="354">
        <v>56</v>
      </c>
      <c r="H142" s="335"/>
      <c r="I142" s="336"/>
      <c r="J142" s="357"/>
      <c r="K142" s="9" t="s">
        <v>339</v>
      </c>
      <c r="L142" s="7"/>
      <c r="M142" s="20"/>
      <c r="N142" s="21"/>
      <c r="O142" s="9" t="s">
        <v>339</v>
      </c>
      <c r="P142" s="7"/>
      <c r="Q142" s="20"/>
      <c r="R142" s="21"/>
      <c r="S142" s="519"/>
      <c r="T142" s="527"/>
      <c r="U142" s="528"/>
      <c r="V142" s="529"/>
      <c r="W142" s="532" t="s">
        <v>344</v>
      </c>
      <c r="X142" s="533"/>
      <c r="Y142" s="535"/>
      <c r="Z142" s="537"/>
      <c r="AA142" s="9"/>
      <c r="AB142" s="7"/>
      <c r="AC142" s="20"/>
      <c r="AD142" s="21"/>
      <c r="AE142" s="547"/>
      <c r="AF142" s="545"/>
      <c r="AG142" s="545"/>
      <c r="AH142" s="545"/>
      <c r="AI142" s="545"/>
      <c r="AJ142" s="546"/>
      <c r="AK142" s="547"/>
      <c r="AL142" s="545"/>
      <c r="AM142" s="545"/>
      <c r="AN142" s="545"/>
      <c r="AO142" s="545"/>
      <c r="AP142" s="546"/>
      <c r="AQ142" s="530">
        <v>59</v>
      </c>
      <c r="AR142" s="515"/>
      <c r="AS142" s="517"/>
      <c r="AT142" s="555"/>
      <c r="AU142" s="26" t="s">
        <v>87</v>
      </c>
      <c r="AV142" s="124"/>
      <c r="AW142" s="127" t="s">
        <v>192</v>
      </c>
      <c r="AX142" s="125"/>
      <c r="AY142" s="555"/>
      <c r="AZ142" s="26" t="s">
        <v>87</v>
      </c>
      <c r="BA142" s="124"/>
      <c r="BB142" s="127" t="s">
        <v>192</v>
      </c>
      <c r="BC142" s="125"/>
    </row>
    <row r="143" spans="1:55" ht="16.5" customHeight="1">
      <c r="A143" s="560"/>
      <c r="B143" s="561"/>
      <c r="C143" s="9" t="s">
        <v>37</v>
      </c>
      <c r="D143" s="13"/>
      <c r="E143" s="9" t="s">
        <v>48</v>
      </c>
      <c r="F143" s="12"/>
      <c r="G143" s="355">
        <v>57</v>
      </c>
      <c r="H143" s="338"/>
      <c r="I143" s="339"/>
      <c r="J143" s="340"/>
      <c r="K143" s="353" t="s">
        <v>340</v>
      </c>
      <c r="L143" s="7"/>
      <c r="M143" s="20"/>
      <c r="N143" s="21"/>
      <c r="O143" s="353" t="s">
        <v>340</v>
      </c>
      <c r="P143" s="7"/>
      <c r="Q143" s="20"/>
      <c r="R143" s="21"/>
      <c r="S143" s="519"/>
      <c r="T143" s="539"/>
      <c r="U143" s="540"/>
      <c r="V143" s="541"/>
      <c r="W143" s="519"/>
      <c r="X143" s="527"/>
      <c r="Y143" s="528"/>
      <c r="Z143" s="529"/>
      <c r="AA143" s="9" t="s">
        <v>58</v>
      </c>
      <c r="AB143" s="7"/>
      <c r="AC143" s="20"/>
      <c r="AD143" s="21"/>
      <c r="AE143" s="547"/>
      <c r="AF143" s="545"/>
      <c r="AG143" s="545"/>
      <c r="AH143" s="545"/>
      <c r="AI143" s="545"/>
      <c r="AJ143" s="546"/>
      <c r="AK143" s="547"/>
      <c r="AL143" s="545"/>
      <c r="AM143" s="545"/>
      <c r="AN143" s="545"/>
      <c r="AO143" s="545"/>
      <c r="AP143" s="546"/>
      <c r="AQ143" s="530"/>
      <c r="AR143" s="515"/>
      <c r="AS143" s="517"/>
      <c r="AT143" s="555"/>
      <c r="AU143" s="26" t="s">
        <v>88</v>
      </c>
      <c r="AV143" s="28"/>
      <c r="AW143" s="26" t="s">
        <v>12</v>
      </c>
      <c r="AX143" s="31"/>
      <c r="AY143" s="555"/>
      <c r="AZ143" s="26" t="s">
        <v>88</v>
      </c>
      <c r="BA143" s="28"/>
      <c r="BB143" s="26" t="s">
        <v>12</v>
      </c>
      <c r="BC143" s="31"/>
    </row>
    <row r="144" spans="1:55" ht="16.5" customHeight="1">
      <c r="A144" s="560"/>
      <c r="B144" s="561"/>
      <c r="C144" s="9" t="s">
        <v>38</v>
      </c>
      <c r="D144" s="13"/>
      <c r="E144" s="9" t="s">
        <v>49</v>
      </c>
      <c r="F144" s="12"/>
      <c r="G144" s="355">
        <v>58</v>
      </c>
      <c r="H144" s="338"/>
      <c r="I144" s="339"/>
      <c r="J144" s="340"/>
      <c r="K144" s="9" t="s">
        <v>341</v>
      </c>
      <c r="L144" s="7"/>
      <c r="M144" s="20"/>
      <c r="N144" s="21"/>
      <c r="O144" s="9" t="s">
        <v>341</v>
      </c>
      <c r="P144" s="7"/>
      <c r="Q144" s="20"/>
      <c r="R144" s="21"/>
      <c r="S144" s="519" t="s">
        <v>344</v>
      </c>
      <c r="T144" s="521"/>
      <c r="U144" s="523"/>
      <c r="V144" s="525"/>
      <c r="W144" s="519"/>
      <c r="X144" s="539"/>
      <c r="Y144" s="540"/>
      <c r="Z144" s="541"/>
      <c r="AA144" s="9" t="s">
        <v>59</v>
      </c>
      <c r="AB144" s="7"/>
      <c r="AC144" s="20"/>
      <c r="AD144" s="21"/>
      <c r="AE144" s="547"/>
      <c r="AF144" s="545"/>
      <c r="AG144" s="545"/>
      <c r="AH144" s="545"/>
      <c r="AI144" s="545"/>
      <c r="AJ144" s="546"/>
      <c r="AK144" s="547"/>
      <c r="AL144" s="545"/>
      <c r="AM144" s="545"/>
      <c r="AN144" s="545"/>
      <c r="AO144" s="545"/>
      <c r="AP144" s="546"/>
      <c r="AQ144" s="530">
        <v>60</v>
      </c>
      <c r="AR144" s="515"/>
      <c r="AS144" s="517"/>
      <c r="AT144" s="555"/>
      <c r="AU144" s="26" t="s">
        <v>89</v>
      </c>
      <c r="AV144" s="29"/>
      <c r="AW144" s="26" t="s">
        <v>12</v>
      </c>
      <c r="AX144" s="32"/>
      <c r="AY144" s="555"/>
      <c r="AZ144" s="26" t="s">
        <v>89</v>
      </c>
      <c r="BA144" s="29"/>
      <c r="BB144" s="26" t="s">
        <v>12</v>
      </c>
      <c r="BC144" s="32"/>
    </row>
    <row r="145" spans="1:55" ht="16.5" customHeight="1">
      <c r="A145" s="560"/>
      <c r="B145" s="561"/>
      <c r="C145" s="9" t="s">
        <v>39</v>
      </c>
      <c r="D145" s="13"/>
      <c r="E145" s="9" t="s">
        <v>50</v>
      </c>
      <c r="F145" s="132"/>
      <c r="G145" s="355">
        <v>59</v>
      </c>
      <c r="H145" s="347"/>
      <c r="I145" s="348"/>
      <c r="J145" s="349"/>
      <c r="K145" s="9"/>
      <c r="L145" s="7"/>
      <c r="M145" s="20"/>
      <c r="N145" s="21"/>
      <c r="O145" s="9"/>
      <c r="P145" s="7"/>
      <c r="Q145" s="20"/>
      <c r="R145" s="21"/>
      <c r="S145" s="519"/>
      <c r="T145" s="527"/>
      <c r="U145" s="528"/>
      <c r="V145" s="529"/>
      <c r="W145" s="519" t="s">
        <v>60</v>
      </c>
      <c r="X145" s="521"/>
      <c r="Y145" s="523"/>
      <c r="Z145" s="525"/>
      <c r="AA145" s="9" t="s">
        <v>60</v>
      </c>
      <c r="AB145" s="7"/>
      <c r="AC145" s="20"/>
      <c r="AD145" s="21"/>
      <c r="AE145" s="553"/>
      <c r="AF145" s="548"/>
      <c r="AG145" s="548"/>
      <c r="AH145" s="548"/>
      <c r="AI145" s="548"/>
      <c r="AJ145" s="549"/>
      <c r="AK145" s="553"/>
      <c r="AL145" s="548"/>
      <c r="AM145" s="548"/>
      <c r="AN145" s="548"/>
      <c r="AO145" s="548"/>
      <c r="AP145" s="549"/>
      <c r="AQ145" s="531"/>
      <c r="AR145" s="516"/>
      <c r="AS145" s="518"/>
      <c r="AT145" s="556"/>
      <c r="AU145" s="27" t="s">
        <v>90</v>
      </c>
      <c r="AV145" s="30"/>
      <c r="AW145" s="27" t="s">
        <v>91</v>
      </c>
      <c r="AX145" s="33"/>
      <c r="AY145" s="556"/>
      <c r="AZ145" s="27" t="s">
        <v>90</v>
      </c>
      <c r="BA145" s="30"/>
      <c r="BB145" s="27" t="s">
        <v>91</v>
      </c>
      <c r="BC145" s="33"/>
    </row>
    <row r="146" spans="1:55" ht="16.5" customHeight="1">
      <c r="A146" s="560"/>
      <c r="B146" s="561"/>
      <c r="C146" s="10" t="s">
        <v>40</v>
      </c>
      <c r="D146" s="15"/>
      <c r="E146" s="130" t="s">
        <v>255</v>
      </c>
      <c r="F146" s="131"/>
      <c r="G146" s="356">
        <v>60</v>
      </c>
      <c r="H146" s="350"/>
      <c r="I146" s="351"/>
      <c r="J146" s="352"/>
      <c r="K146" s="17"/>
      <c r="L146" s="16"/>
      <c r="M146" s="22"/>
      <c r="N146" s="23"/>
      <c r="O146" s="17"/>
      <c r="P146" s="16"/>
      <c r="Q146" s="22"/>
      <c r="R146" s="23"/>
      <c r="S146" s="520"/>
      <c r="T146" s="522"/>
      <c r="U146" s="524"/>
      <c r="V146" s="526"/>
      <c r="W146" s="520"/>
      <c r="X146" s="522"/>
      <c r="Y146" s="524"/>
      <c r="Z146" s="526"/>
      <c r="AA146" s="17" t="s">
        <v>61</v>
      </c>
      <c r="AB146" s="16"/>
      <c r="AC146" s="22"/>
      <c r="AD146" s="23"/>
      <c r="AE146" s="115"/>
      <c r="AF146" s="116"/>
      <c r="AG146" s="116"/>
      <c r="AH146" s="116"/>
      <c r="AI146" s="117"/>
      <c r="AJ146" s="118"/>
      <c r="AK146" s="119"/>
      <c r="AL146" s="120"/>
      <c r="AM146" s="121"/>
      <c r="AN146" s="121"/>
      <c r="AO146" s="121"/>
      <c r="AP146" s="122"/>
      <c r="AQ146" s="115"/>
      <c r="AR146" s="116"/>
      <c r="AS146" s="118"/>
      <c r="AT146" s="123"/>
      <c r="AU146" s="113"/>
      <c r="AV146" s="113"/>
      <c r="AW146" s="113"/>
      <c r="AX146" s="114"/>
      <c r="AY146" s="123"/>
      <c r="AZ146" s="113"/>
      <c r="BA146" s="113"/>
      <c r="BB146" s="113"/>
      <c r="BC146" s="114"/>
    </row>
    <row r="147" spans="1:55" ht="16.5" customHeight="1"/>
    <row r="148" spans="1:55" ht="16.5" customHeight="1">
      <c r="A148" s="560">
        <v>13</v>
      </c>
      <c r="B148" s="561" t="s">
        <v>237</v>
      </c>
      <c r="C148" s="8" t="s">
        <v>42</v>
      </c>
      <c r="D148" s="24"/>
      <c r="E148" s="8" t="s">
        <v>43</v>
      </c>
      <c r="F148" s="11"/>
      <c r="G148" s="354">
        <v>61</v>
      </c>
      <c r="H148" s="335"/>
      <c r="I148" s="336"/>
      <c r="J148" s="357"/>
      <c r="K148" s="8" t="s">
        <v>333</v>
      </c>
      <c r="L148" s="6"/>
      <c r="M148" s="18"/>
      <c r="N148" s="19"/>
      <c r="O148" s="8" t="s">
        <v>333</v>
      </c>
      <c r="P148" s="6"/>
      <c r="Q148" s="18"/>
      <c r="R148" s="19"/>
      <c r="S148" s="532" t="s">
        <v>51</v>
      </c>
      <c r="T148" s="533"/>
      <c r="U148" s="535"/>
      <c r="V148" s="537"/>
      <c r="W148" s="532" t="s">
        <v>51</v>
      </c>
      <c r="X148" s="533"/>
      <c r="Y148" s="535"/>
      <c r="Z148" s="537"/>
      <c r="AA148" s="8" t="s">
        <v>51</v>
      </c>
      <c r="AB148" s="6"/>
      <c r="AC148" s="18"/>
      <c r="AD148" s="19"/>
      <c r="AE148" s="552"/>
      <c r="AF148" s="550"/>
      <c r="AG148" s="550"/>
      <c r="AH148" s="550"/>
      <c r="AI148" s="550"/>
      <c r="AJ148" s="551"/>
      <c r="AK148" s="552"/>
      <c r="AL148" s="550"/>
      <c r="AM148" s="550"/>
      <c r="AN148" s="550"/>
      <c r="AO148" s="550"/>
      <c r="AP148" s="551"/>
      <c r="AQ148" s="542">
        <v>61</v>
      </c>
      <c r="AR148" s="543"/>
      <c r="AS148" s="544"/>
      <c r="AT148" s="554">
        <v>25</v>
      </c>
      <c r="AU148" s="25" t="s">
        <v>0</v>
      </c>
      <c r="AV148" s="557"/>
      <c r="AW148" s="558"/>
      <c r="AX148" s="559"/>
      <c r="AY148" s="554">
        <v>27</v>
      </c>
      <c r="AZ148" s="25" t="s">
        <v>0</v>
      </c>
      <c r="BA148" s="557"/>
      <c r="BB148" s="558"/>
      <c r="BC148" s="559"/>
    </row>
    <row r="149" spans="1:55" ht="16.5" customHeight="1">
      <c r="A149" s="560"/>
      <c r="B149" s="561"/>
      <c r="C149" s="9" t="s">
        <v>33</v>
      </c>
      <c r="D149" s="13"/>
      <c r="E149" s="9" t="s">
        <v>70</v>
      </c>
      <c r="F149" s="12"/>
      <c r="G149" s="355">
        <v>62</v>
      </c>
      <c r="H149" s="338"/>
      <c r="I149" s="339"/>
      <c r="J149" s="340"/>
      <c r="K149" s="9" t="s">
        <v>334</v>
      </c>
      <c r="L149" s="7"/>
      <c r="M149" s="20"/>
      <c r="N149" s="21"/>
      <c r="O149" s="9" t="s">
        <v>334</v>
      </c>
      <c r="P149" s="7"/>
      <c r="Q149" s="20"/>
      <c r="R149" s="21"/>
      <c r="S149" s="519"/>
      <c r="T149" s="527"/>
      <c r="U149" s="528"/>
      <c r="V149" s="529"/>
      <c r="W149" s="519"/>
      <c r="X149" s="527"/>
      <c r="Y149" s="528"/>
      <c r="Z149" s="529"/>
      <c r="AA149" s="9" t="s">
        <v>52</v>
      </c>
      <c r="AB149" s="7"/>
      <c r="AC149" s="20"/>
      <c r="AD149" s="21"/>
      <c r="AE149" s="547"/>
      <c r="AF149" s="545"/>
      <c r="AG149" s="545"/>
      <c r="AH149" s="545"/>
      <c r="AI149" s="545"/>
      <c r="AJ149" s="546"/>
      <c r="AK149" s="547"/>
      <c r="AL149" s="545"/>
      <c r="AM149" s="545"/>
      <c r="AN149" s="545"/>
      <c r="AO149" s="545"/>
      <c r="AP149" s="546"/>
      <c r="AQ149" s="530"/>
      <c r="AR149" s="515"/>
      <c r="AS149" s="517"/>
      <c r="AT149" s="555"/>
      <c r="AU149" s="26" t="s">
        <v>87</v>
      </c>
      <c r="AV149" s="124"/>
      <c r="AW149" s="26" t="s">
        <v>192</v>
      </c>
      <c r="AX149" s="126"/>
      <c r="AY149" s="555"/>
      <c r="AZ149" s="26" t="s">
        <v>87</v>
      </c>
      <c r="BA149" s="124"/>
      <c r="BB149" s="127" t="s">
        <v>192</v>
      </c>
      <c r="BC149" s="125"/>
    </row>
    <row r="150" spans="1:55" ht="16.5" customHeight="1">
      <c r="A150" s="560"/>
      <c r="B150" s="561"/>
      <c r="C150" s="9" t="s">
        <v>34</v>
      </c>
      <c r="D150" s="14"/>
      <c r="E150" s="9" t="s">
        <v>44</v>
      </c>
      <c r="F150" s="12"/>
      <c r="G150" s="355">
        <v>63</v>
      </c>
      <c r="H150" s="338"/>
      <c r="I150" s="339"/>
      <c r="J150" s="340"/>
      <c r="K150" s="9" t="s">
        <v>335</v>
      </c>
      <c r="L150" s="7"/>
      <c r="M150" s="20"/>
      <c r="N150" s="21"/>
      <c r="O150" s="9" t="s">
        <v>335</v>
      </c>
      <c r="P150" s="7"/>
      <c r="Q150" s="20"/>
      <c r="R150" s="21"/>
      <c r="S150" s="519"/>
      <c r="T150" s="527"/>
      <c r="U150" s="528"/>
      <c r="V150" s="529"/>
      <c r="W150" s="519"/>
      <c r="X150" s="539"/>
      <c r="Y150" s="540"/>
      <c r="Z150" s="541"/>
      <c r="AA150" s="9" t="s">
        <v>53</v>
      </c>
      <c r="AB150" s="7"/>
      <c r="AC150" s="20"/>
      <c r="AD150" s="21"/>
      <c r="AE150" s="547"/>
      <c r="AF150" s="545"/>
      <c r="AG150" s="545"/>
      <c r="AH150" s="545"/>
      <c r="AI150" s="545"/>
      <c r="AJ150" s="546"/>
      <c r="AK150" s="547"/>
      <c r="AL150" s="545"/>
      <c r="AM150" s="545"/>
      <c r="AN150" s="545"/>
      <c r="AO150" s="545"/>
      <c r="AP150" s="546"/>
      <c r="AQ150" s="530">
        <v>62</v>
      </c>
      <c r="AR150" s="515"/>
      <c r="AS150" s="517"/>
      <c r="AT150" s="555"/>
      <c r="AU150" s="26" t="s">
        <v>88</v>
      </c>
      <c r="AV150" s="28"/>
      <c r="AW150" s="26" t="s">
        <v>12</v>
      </c>
      <c r="AX150" s="31"/>
      <c r="AY150" s="555"/>
      <c r="AZ150" s="26" t="s">
        <v>88</v>
      </c>
      <c r="BA150" s="28"/>
      <c r="BB150" s="26" t="s">
        <v>12</v>
      </c>
      <c r="BC150" s="31"/>
    </row>
    <row r="151" spans="1:55" ht="16.5" customHeight="1">
      <c r="A151" s="560"/>
      <c r="B151" s="561"/>
      <c r="C151" s="9" t="s">
        <v>41</v>
      </c>
      <c r="D151" s="13"/>
      <c r="E151" s="9" t="s">
        <v>62</v>
      </c>
      <c r="F151" s="12"/>
      <c r="G151" s="355">
        <v>64</v>
      </c>
      <c r="H151" s="341"/>
      <c r="I151" s="342"/>
      <c r="J151" s="343"/>
      <c r="K151" s="9" t="s">
        <v>336</v>
      </c>
      <c r="L151" s="7"/>
      <c r="M151" s="20"/>
      <c r="N151" s="21"/>
      <c r="O151" s="9" t="s">
        <v>336</v>
      </c>
      <c r="P151" s="7"/>
      <c r="Q151" s="20"/>
      <c r="R151" s="21"/>
      <c r="S151" s="519"/>
      <c r="T151" s="534"/>
      <c r="U151" s="536"/>
      <c r="V151" s="538"/>
      <c r="W151" s="532" t="s">
        <v>52</v>
      </c>
      <c r="X151" s="533"/>
      <c r="Y151" s="535"/>
      <c r="Z151" s="537"/>
      <c r="AA151" s="9" t="s">
        <v>54</v>
      </c>
      <c r="AB151" s="7"/>
      <c r="AC151" s="20"/>
      <c r="AD151" s="21"/>
      <c r="AE151" s="547"/>
      <c r="AF151" s="545"/>
      <c r="AG151" s="545"/>
      <c r="AH151" s="545"/>
      <c r="AI151" s="545"/>
      <c r="AJ151" s="546"/>
      <c r="AK151" s="547"/>
      <c r="AL151" s="545"/>
      <c r="AM151" s="545"/>
      <c r="AN151" s="545"/>
      <c r="AO151" s="545"/>
      <c r="AP151" s="546"/>
      <c r="AQ151" s="530"/>
      <c r="AR151" s="515"/>
      <c r="AS151" s="517"/>
      <c r="AT151" s="555"/>
      <c r="AU151" s="26" t="s">
        <v>89</v>
      </c>
      <c r="AV151" s="29"/>
      <c r="AW151" s="26" t="s">
        <v>12</v>
      </c>
      <c r="AX151" s="32"/>
      <c r="AY151" s="555"/>
      <c r="AZ151" s="26" t="s">
        <v>89</v>
      </c>
      <c r="BA151" s="29"/>
      <c r="BB151" s="26" t="s">
        <v>12</v>
      </c>
      <c r="BC151" s="32"/>
    </row>
    <row r="152" spans="1:55" ht="16.5" customHeight="1">
      <c r="A152" s="560"/>
      <c r="B152" s="561"/>
      <c r="C152" s="9" t="s">
        <v>417</v>
      </c>
      <c r="D152" s="3"/>
      <c r="E152" s="9" t="s">
        <v>45</v>
      </c>
      <c r="F152" s="12"/>
      <c r="G152" s="356">
        <v>65</v>
      </c>
      <c r="H152" s="344"/>
      <c r="I152" s="345"/>
      <c r="J152" s="346"/>
      <c r="K152" s="9" t="s">
        <v>337</v>
      </c>
      <c r="L152" s="7"/>
      <c r="M152" s="20"/>
      <c r="N152" s="21"/>
      <c r="O152" s="9" t="s">
        <v>337</v>
      </c>
      <c r="P152" s="7"/>
      <c r="Q152" s="20"/>
      <c r="R152" s="21"/>
      <c r="S152" s="519" t="s">
        <v>52</v>
      </c>
      <c r="T152" s="527"/>
      <c r="U152" s="528"/>
      <c r="V152" s="529"/>
      <c r="W152" s="519"/>
      <c r="X152" s="527"/>
      <c r="Y152" s="528"/>
      <c r="Z152" s="529"/>
      <c r="AA152" s="9" t="s">
        <v>55</v>
      </c>
      <c r="AB152" s="7"/>
      <c r="AC152" s="20"/>
      <c r="AD152" s="21"/>
      <c r="AE152" s="547"/>
      <c r="AF152" s="545"/>
      <c r="AG152" s="545"/>
      <c r="AH152" s="545"/>
      <c r="AI152" s="545"/>
      <c r="AJ152" s="546"/>
      <c r="AK152" s="547"/>
      <c r="AL152" s="545"/>
      <c r="AM152" s="545"/>
      <c r="AN152" s="545"/>
      <c r="AO152" s="545"/>
      <c r="AP152" s="546"/>
      <c r="AQ152" s="530">
        <v>63</v>
      </c>
      <c r="AR152" s="515"/>
      <c r="AS152" s="517"/>
      <c r="AT152" s="556"/>
      <c r="AU152" s="27" t="s">
        <v>90</v>
      </c>
      <c r="AV152" s="30"/>
      <c r="AW152" s="27" t="s">
        <v>91</v>
      </c>
      <c r="AX152" s="33"/>
      <c r="AY152" s="556"/>
      <c r="AZ152" s="27" t="s">
        <v>90</v>
      </c>
      <c r="BA152" s="30"/>
      <c r="BB152" s="27" t="s">
        <v>91</v>
      </c>
      <c r="BC152" s="33"/>
    </row>
    <row r="153" spans="1:55" ht="16.5" customHeight="1">
      <c r="A153" s="560"/>
      <c r="B153" s="561"/>
      <c r="C153" s="9" t="s">
        <v>35</v>
      </c>
      <c r="D153" s="13"/>
      <c r="E153" s="9" t="s">
        <v>46</v>
      </c>
      <c r="F153" s="12"/>
      <c r="G153" s="5" t="s">
        <v>12</v>
      </c>
      <c r="H153" s="128" t="s">
        <v>13</v>
      </c>
      <c r="I153" s="4" t="s">
        <v>14</v>
      </c>
      <c r="J153" s="4" t="s">
        <v>15</v>
      </c>
      <c r="K153" s="9" t="s">
        <v>338</v>
      </c>
      <c r="L153" s="7"/>
      <c r="M153" s="20"/>
      <c r="N153" s="21"/>
      <c r="O153" s="9" t="s">
        <v>338</v>
      </c>
      <c r="P153" s="7"/>
      <c r="Q153" s="20"/>
      <c r="R153" s="21"/>
      <c r="S153" s="519"/>
      <c r="T153" s="527"/>
      <c r="U153" s="528"/>
      <c r="V153" s="529"/>
      <c r="W153" s="519"/>
      <c r="X153" s="539"/>
      <c r="Y153" s="540"/>
      <c r="Z153" s="541"/>
      <c r="AA153" s="9" t="s">
        <v>56</v>
      </c>
      <c r="AB153" s="7"/>
      <c r="AC153" s="20"/>
      <c r="AD153" s="21"/>
      <c r="AE153" s="547"/>
      <c r="AF153" s="545"/>
      <c r="AG153" s="545"/>
      <c r="AH153" s="545"/>
      <c r="AI153" s="545"/>
      <c r="AJ153" s="546"/>
      <c r="AK153" s="547"/>
      <c r="AL153" s="545"/>
      <c r="AM153" s="545"/>
      <c r="AN153" s="545"/>
      <c r="AO153" s="545"/>
      <c r="AP153" s="546"/>
      <c r="AQ153" s="530"/>
      <c r="AR153" s="515"/>
      <c r="AS153" s="517"/>
      <c r="AT153" s="554">
        <v>26</v>
      </c>
      <c r="AU153" s="25" t="s">
        <v>0</v>
      </c>
      <c r="AV153" s="557"/>
      <c r="AW153" s="558"/>
      <c r="AX153" s="559"/>
      <c r="AY153" s="554">
        <v>28</v>
      </c>
      <c r="AZ153" s="25" t="s">
        <v>0</v>
      </c>
      <c r="BA153" s="557"/>
      <c r="BB153" s="558"/>
      <c r="BC153" s="559"/>
    </row>
    <row r="154" spans="1:55" ht="16.5" customHeight="1">
      <c r="A154" s="560"/>
      <c r="B154" s="561"/>
      <c r="C154" s="9" t="s">
        <v>36</v>
      </c>
      <c r="D154" s="13"/>
      <c r="E154" s="9" t="s">
        <v>47</v>
      </c>
      <c r="F154" s="12"/>
      <c r="G154" s="354">
        <v>61</v>
      </c>
      <c r="H154" s="335"/>
      <c r="I154" s="336"/>
      <c r="J154" s="357"/>
      <c r="K154" s="9" t="s">
        <v>339</v>
      </c>
      <c r="L154" s="7"/>
      <c r="M154" s="20"/>
      <c r="N154" s="21"/>
      <c r="O154" s="9" t="s">
        <v>339</v>
      </c>
      <c r="P154" s="7"/>
      <c r="Q154" s="20"/>
      <c r="R154" s="21"/>
      <c r="S154" s="519"/>
      <c r="T154" s="527"/>
      <c r="U154" s="528"/>
      <c r="V154" s="529"/>
      <c r="W154" s="532" t="s">
        <v>344</v>
      </c>
      <c r="X154" s="533"/>
      <c r="Y154" s="535"/>
      <c r="Z154" s="537"/>
      <c r="AA154" s="9"/>
      <c r="AB154" s="7"/>
      <c r="AC154" s="20"/>
      <c r="AD154" s="21"/>
      <c r="AE154" s="547"/>
      <c r="AF154" s="545"/>
      <c r="AG154" s="545"/>
      <c r="AH154" s="545"/>
      <c r="AI154" s="545"/>
      <c r="AJ154" s="546"/>
      <c r="AK154" s="547"/>
      <c r="AL154" s="545"/>
      <c r="AM154" s="545"/>
      <c r="AN154" s="545"/>
      <c r="AO154" s="545"/>
      <c r="AP154" s="546"/>
      <c r="AQ154" s="530">
        <v>64</v>
      </c>
      <c r="AR154" s="515"/>
      <c r="AS154" s="517"/>
      <c r="AT154" s="555"/>
      <c r="AU154" s="26" t="s">
        <v>87</v>
      </c>
      <c r="AV154" s="124"/>
      <c r="AW154" s="127" t="s">
        <v>192</v>
      </c>
      <c r="AX154" s="125"/>
      <c r="AY154" s="555"/>
      <c r="AZ154" s="26" t="s">
        <v>87</v>
      </c>
      <c r="BA154" s="124"/>
      <c r="BB154" s="127" t="s">
        <v>192</v>
      </c>
      <c r="BC154" s="125"/>
    </row>
    <row r="155" spans="1:55" ht="16.5" customHeight="1">
      <c r="A155" s="560"/>
      <c r="B155" s="561"/>
      <c r="C155" s="9" t="s">
        <v>37</v>
      </c>
      <c r="D155" s="13"/>
      <c r="E155" s="9" t="s">
        <v>48</v>
      </c>
      <c r="F155" s="12"/>
      <c r="G155" s="355">
        <v>62</v>
      </c>
      <c r="H155" s="338"/>
      <c r="I155" s="339"/>
      <c r="J155" s="340"/>
      <c r="K155" s="353" t="s">
        <v>340</v>
      </c>
      <c r="L155" s="7"/>
      <c r="M155" s="20"/>
      <c r="N155" s="21"/>
      <c r="O155" s="353" t="s">
        <v>340</v>
      </c>
      <c r="P155" s="7"/>
      <c r="Q155" s="20"/>
      <c r="R155" s="21"/>
      <c r="S155" s="519"/>
      <c r="T155" s="539"/>
      <c r="U155" s="540"/>
      <c r="V155" s="541"/>
      <c r="W155" s="519"/>
      <c r="X155" s="527"/>
      <c r="Y155" s="528"/>
      <c r="Z155" s="529"/>
      <c r="AA155" s="9" t="s">
        <v>58</v>
      </c>
      <c r="AB155" s="7"/>
      <c r="AC155" s="20"/>
      <c r="AD155" s="21"/>
      <c r="AE155" s="547"/>
      <c r="AF155" s="545"/>
      <c r="AG155" s="545"/>
      <c r="AH155" s="545"/>
      <c r="AI155" s="545"/>
      <c r="AJ155" s="546"/>
      <c r="AK155" s="547"/>
      <c r="AL155" s="545"/>
      <c r="AM155" s="545"/>
      <c r="AN155" s="545"/>
      <c r="AO155" s="545"/>
      <c r="AP155" s="546"/>
      <c r="AQ155" s="530"/>
      <c r="AR155" s="515"/>
      <c r="AS155" s="517"/>
      <c r="AT155" s="555"/>
      <c r="AU155" s="26" t="s">
        <v>88</v>
      </c>
      <c r="AV155" s="28"/>
      <c r="AW155" s="26" t="s">
        <v>12</v>
      </c>
      <c r="AX155" s="31"/>
      <c r="AY155" s="555"/>
      <c r="AZ155" s="26" t="s">
        <v>88</v>
      </c>
      <c r="BA155" s="28"/>
      <c r="BB155" s="26" t="s">
        <v>12</v>
      </c>
      <c r="BC155" s="31"/>
    </row>
    <row r="156" spans="1:55" ht="16.5" customHeight="1">
      <c r="A156" s="560"/>
      <c r="B156" s="561"/>
      <c r="C156" s="9" t="s">
        <v>38</v>
      </c>
      <c r="D156" s="13"/>
      <c r="E156" s="9" t="s">
        <v>49</v>
      </c>
      <c r="F156" s="12"/>
      <c r="G156" s="355">
        <v>63</v>
      </c>
      <c r="H156" s="338"/>
      <c r="I156" s="339"/>
      <c r="J156" s="340"/>
      <c r="K156" s="9" t="s">
        <v>341</v>
      </c>
      <c r="L156" s="7"/>
      <c r="M156" s="20"/>
      <c r="N156" s="21"/>
      <c r="O156" s="9" t="s">
        <v>341</v>
      </c>
      <c r="P156" s="7"/>
      <c r="Q156" s="20"/>
      <c r="R156" s="21"/>
      <c r="S156" s="519" t="s">
        <v>344</v>
      </c>
      <c r="T156" s="521"/>
      <c r="U156" s="523"/>
      <c r="V156" s="525"/>
      <c r="W156" s="519"/>
      <c r="X156" s="539"/>
      <c r="Y156" s="540"/>
      <c r="Z156" s="541"/>
      <c r="AA156" s="9" t="s">
        <v>59</v>
      </c>
      <c r="AB156" s="7"/>
      <c r="AC156" s="20"/>
      <c r="AD156" s="21"/>
      <c r="AE156" s="547"/>
      <c r="AF156" s="545"/>
      <c r="AG156" s="545"/>
      <c r="AH156" s="545"/>
      <c r="AI156" s="545"/>
      <c r="AJ156" s="546"/>
      <c r="AK156" s="547"/>
      <c r="AL156" s="545"/>
      <c r="AM156" s="545"/>
      <c r="AN156" s="545"/>
      <c r="AO156" s="545"/>
      <c r="AP156" s="546"/>
      <c r="AQ156" s="530">
        <v>65</v>
      </c>
      <c r="AR156" s="515"/>
      <c r="AS156" s="517"/>
      <c r="AT156" s="555"/>
      <c r="AU156" s="26" t="s">
        <v>89</v>
      </c>
      <c r="AV156" s="29"/>
      <c r="AW156" s="26" t="s">
        <v>12</v>
      </c>
      <c r="AX156" s="32"/>
      <c r="AY156" s="555"/>
      <c r="AZ156" s="26" t="s">
        <v>89</v>
      </c>
      <c r="BA156" s="29"/>
      <c r="BB156" s="26" t="s">
        <v>12</v>
      </c>
      <c r="BC156" s="32"/>
    </row>
    <row r="157" spans="1:55" ht="16.5" customHeight="1">
      <c r="A157" s="560"/>
      <c r="B157" s="561"/>
      <c r="C157" s="9" t="s">
        <v>39</v>
      </c>
      <c r="D157" s="13"/>
      <c r="E157" s="9" t="s">
        <v>50</v>
      </c>
      <c r="F157" s="132"/>
      <c r="G157" s="355">
        <v>64</v>
      </c>
      <c r="H157" s="347"/>
      <c r="I157" s="348"/>
      <c r="J157" s="349"/>
      <c r="K157" s="9"/>
      <c r="L157" s="7"/>
      <c r="M157" s="20"/>
      <c r="N157" s="21"/>
      <c r="O157" s="9"/>
      <c r="P157" s="7"/>
      <c r="Q157" s="20"/>
      <c r="R157" s="21"/>
      <c r="S157" s="519"/>
      <c r="T157" s="527"/>
      <c r="U157" s="528"/>
      <c r="V157" s="529"/>
      <c r="W157" s="519" t="s">
        <v>60</v>
      </c>
      <c r="X157" s="521"/>
      <c r="Y157" s="523"/>
      <c r="Z157" s="525"/>
      <c r="AA157" s="9" t="s">
        <v>60</v>
      </c>
      <c r="AB157" s="7"/>
      <c r="AC157" s="20"/>
      <c r="AD157" s="21"/>
      <c r="AE157" s="553"/>
      <c r="AF157" s="548"/>
      <c r="AG157" s="548"/>
      <c r="AH157" s="548"/>
      <c r="AI157" s="548"/>
      <c r="AJ157" s="549"/>
      <c r="AK157" s="553"/>
      <c r="AL157" s="548"/>
      <c r="AM157" s="548"/>
      <c r="AN157" s="548"/>
      <c r="AO157" s="548"/>
      <c r="AP157" s="549"/>
      <c r="AQ157" s="531"/>
      <c r="AR157" s="516"/>
      <c r="AS157" s="518"/>
      <c r="AT157" s="556"/>
      <c r="AU157" s="27" t="s">
        <v>90</v>
      </c>
      <c r="AV157" s="30"/>
      <c r="AW157" s="27" t="s">
        <v>91</v>
      </c>
      <c r="AX157" s="33"/>
      <c r="AY157" s="556"/>
      <c r="AZ157" s="27" t="s">
        <v>90</v>
      </c>
      <c r="BA157" s="30"/>
      <c r="BB157" s="27" t="s">
        <v>91</v>
      </c>
      <c r="BC157" s="33"/>
    </row>
    <row r="158" spans="1:55" ht="16.5" customHeight="1">
      <c r="A158" s="560"/>
      <c r="B158" s="561"/>
      <c r="C158" s="10" t="s">
        <v>40</v>
      </c>
      <c r="D158" s="15"/>
      <c r="E158" s="130" t="s">
        <v>255</v>
      </c>
      <c r="F158" s="131"/>
      <c r="G158" s="356">
        <v>65</v>
      </c>
      <c r="H158" s="350"/>
      <c r="I158" s="351"/>
      <c r="J158" s="352"/>
      <c r="K158" s="17"/>
      <c r="L158" s="16"/>
      <c r="M158" s="22"/>
      <c r="N158" s="23"/>
      <c r="O158" s="17"/>
      <c r="P158" s="16"/>
      <c r="Q158" s="22"/>
      <c r="R158" s="23"/>
      <c r="S158" s="520"/>
      <c r="T158" s="522"/>
      <c r="U158" s="524"/>
      <c r="V158" s="526"/>
      <c r="W158" s="520"/>
      <c r="X158" s="522"/>
      <c r="Y158" s="524"/>
      <c r="Z158" s="526"/>
      <c r="AA158" s="17" t="s">
        <v>61</v>
      </c>
      <c r="AB158" s="16"/>
      <c r="AC158" s="22"/>
      <c r="AD158" s="23"/>
      <c r="AE158" s="115"/>
      <c r="AF158" s="116"/>
      <c r="AG158" s="116"/>
      <c r="AH158" s="116"/>
      <c r="AI158" s="117"/>
      <c r="AJ158" s="118"/>
      <c r="AK158" s="119"/>
      <c r="AL158" s="120"/>
      <c r="AM158" s="121"/>
      <c r="AN158" s="121"/>
      <c r="AO158" s="121"/>
      <c r="AP158" s="122"/>
      <c r="AQ158" s="115"/>
      <c r="AR158" s="116"/>
      <c r="AS158" s="118"/>
      <c r="AT158" s="123"/>
      <c r="AU158" s="113"/>
      <c r="AV158" s="113"/>
      <c r="AW158" s="113"/>
      <c r="AX158" s="114"/>
      <c r="AY158" s="123"/>
      <c r="AZ158" s="113"/>
      <c r="BA158" s="113"/>
      <c r="BB158" s="113"/>
      <c r="BC158" s="114"/>
    </row>
    <row r="159" spans="1:55" ht="16.5" customHeight="1"/>
    <row r="160" spans="1:55" ht="16.5" customHeight="1">
      <c r="A160" s="560">
        <v>14</v>
      </c>
      <c r="B160" s="561" t="s">
        <v>238</v>
      </c>
      <c r="C160" s="8" t="s">
        <v>42</v>
      </c>
      <c r="D160" s="24"/>
      <c r="E160" s="8" t="s">
        <v>43</v>
      </c>
      <c r="F160" s="11"/>
      <c r="G160" s="354">
        <v>66</v>
      </c>
      <c r="H160" s="335"/>
      <c r="I160" s="336"/>
      <c r="J160" s="357"/>
      <c r="K160" s="8" t="s">
        <v>333</v>
      </c>
      <c r="L160" s="6"/>
      <c r="M160" s="18"/>
      <c r="N160" s="19"/>
      <c r="O160" s="8" t="s">
        <v>333</v>
      </c>
      <c r="P160" s="6"/>
      <c r="Q160" s="18"/>
      <c r="R160" s="19"/>
      <c r="S160" s="532" t="s">
        <v>51</v>
      </c>
      <c r="T160" s="533"/>
      <c r="U160" s="535"/>
      <c r="V160" s="537"/>
      <c r="W160" s="532" t="s">
        <v>51</v>
      </c>
      <c r="X160" s="533"/>
      <c r="Y160" s="535"/>
      <c r="Z160" s="537"/>
      <c r="AA160" s="8" t="s">
        <v>51</v>
      </c>
      <c r="AB160" s="6"/>
      <c r="AC160" s="18"/>
      <c r="AD160" s="19"/>
      <c r="AE160" s="552"/>
      <c r="AF160" s="550"/>
      <c r="AG160" s="550"/>
      <c r="AH160" s="550"/>
      <c r="AI160" s="550"/>
      <c r="AJ160" s="551"/>
      <c r="AK160" s="552"/>
      <c r="AL160" s="550"/>
      <c r="AM160" s="550"/>
      <c r="AN160" s="550"/>
      <c r="AO160" s="550"/>
      <c r="AP160" s="551"/>
      <c r="AQ160" s="542">
        <v>66</v>
      </c>
      <c r="AR160" s="543"/>
      <c r="AS160" s="544"/>
      <c r="AT160" s="554">
        <v>27</v>
      </c>
      <c r="AU160" s="25" t="s">
        <v>0</v>
      </c>
      <c r="AV160" s="557"/>
      <c r="AW160" s="558"/>
      <c r="AX160" s="559"/>
      <c r="AY160" s="554">
        <v>29</v>
      </c>
      <c r="AZ160" s="25" t="s">
        <v>0</v>
      </c>
      <c r="BA160" s="557"/>
      <c r="BB160" s="558"/>
      <c r="BC160" s="559"/>
    </row>
    <row r="161" spans="1:55" ht="16.5" customHeight="1">
      <c r="A161" s="560"/>
      <c r="B161" s="561"/>
      <c r="C161" s="9" t="s">
        <v>33</v>
      </c>
      <c r="D161" s="13"/>
      <c r="E161" s="9" t="s">
        <v>70</v>
      </c>
      <c r="F161" s="12"/>
      <c r="G161" s="355">
        <v>67</v>
      </c>
      <c r="H161" s="338"/>
      <c r="I161" s="339"/>
      <c r="J161" s="340"/>
      <c r="K161" s="9" t="s">
        <v>334</v>
      </c>
      <c r="L161" s="7"/>
      <c r="M161" s="20"/>
      <c r="N161" s="21"/>
      <c r="O161" s="9" t="s">
        <v>334</v>
      </c>
      <c r="P161" s="7"/>
      <c r="Q161" s="20"/>
      <c r="R161" s="21"/>
      <c r="S161" s="519"/>
      <c r="T161" s="527"/>
      <c r="U161" s="528"/>
      <c r="V161" s="529"/>
      <c r="W161" s="519"/>
      <c r="X161" s="527"/>
      <c r="Y161" s="528"/>
      <c r="Z161" s="529"/>
      <c r="AA161" s="9" t="s">
        <v>52</v>
      </c>
      <c r="AB161" s="7"/>
      <c r="AC161" s="20"/>
      <c r="AD161" s="21"/>
      <c r="AE161" s="547"/>
      <c r="AF161" s="545"/>
      <c r="AG161" s="545"/>
      <c r="AH161" s="545"/>
      <c r="AI161" s="545"/>
      <c r="AJ161" s="546"/>
      <c r="AK161" s="547"/>
      <c r="AL161" s="545"/>
      <c r="AM161" s="545"/>
      <c r="AN161" s="545"/>
      <c r="AO161" s="545"/>
      <c r="AP161" s="546"/>
      <c r="AQ161" s="530"/>
      <c r="AR161" s="515"/>
      <c r="AS161" s="517"/>
      <c r="AT161" s="555"/>
      <c r="AU161" s="26" t="s">
        <v>87</v>
      </c>
      <c r="AV161" s="124"/>
      <c r="AW161" s="26" t="s">
        <v>192</v>
      </c>
      <c r="AX161" s="126"/>
      <c r="AY161" s="555"/>
      <c r="AZ161" s="26" t="s">
        <v>87</v>
      </c>
      <c r="BA161" s="124"/>
      <c r="BB161" s="127" t="s">
        <v>192</v>
      </c>
      <c r="BC161" s="125"/>
    </row>
    <row r="162" spans="1:55" ht="16.5" customHeight="1">
      <c r="A162" s="560"/>
      <c r="B162" s="561"/>
      <c r="C162" s="9" t="s">
        <v>34</v>
      </c>
      <c r="D162" s="14"/>
      <c r="E162" s="9" t="s">
        <v>44</v>
      </c>
      <c r="F162" s="12"/>
      <c r="G162" s="355">
        <v>68</v>
      </c>
      <c r="H162" s="338"/>
      <c r="I162" s="339"/>
      <c r="J162" s="340"/>
      <c r="K162" s="9" t="s">
        <v>335</v>
      </c>
      <c r="L162" s="7"/>
      <c r="M162" s="20"/>
      <c r="N162" s="21"/>
      <c r="O162" s="9" t="s">
        <v>335</v>
      </c>
      <c r="P162" s="7"/>
      <c r="Q162" s="20"/>
      <c r="R162" s="21"/>
      <c r="S162" s="519"/>
      <c r="T162" s="527"/>
      <c r="U162" s="528"/>
      <c r="V162" s="529"/>
      <c r="W162" s="519"/>
      <c r="X162" s="539"/>
      <c r="Y162" s="540"/>
      <c r="Z162" s="541"/>
      <c r="AA162" s="9" t="s">
        <v>53</v>
      </c>
      <c r="AB162" s="7"/>
      <c r="AC162" s="20"/>
      <c r="AD162" s="21"/>
      <c r="AE162" s="547"/>
      <c r="AF162" s="545"/>
      <c r="AG162" s="545"/>
      <c r="AH162" s="545"/>
      <c r="AI162" s="545"/>
      <c r="AJ162" s="546"/>
      <c r="AK162" s="547"/>
      <c r="AL162" s="545"/>
      <c r="AM162" s="545"/>
      <c r="AN162" s="545"/>
      <c r="AO162" s="545"/>
      <c r="AP162" s="546"/>
      <c r="AQ162" s="530">
        <v>67</v>
      </c>
      <c r="AR162" s="515"/>
      <c r="AS162" s="517"/>
      <c r="AT162" s="555"/>
      <c r="AU162" s="26" t="s">
        <v>88</v>
      </c>
      <c r="AV162" s="28"/>
      <c r="AW162" s="26" t="s">
        <v>12</v>
      </c>
      <c r="AX162" s="31"/>
      <c r="AY162" s="555"/>
      <c r="AZ162" s="26" t="s">
        <v>88</v>
      </c>
      <c r="BA162" s="28"/>
      <c r="BB162" s="26" t="s">
        <v>12</v>
      </c>
      <c r="BC162" s="31"/>
    </row>
    <row r="163" spans="1:55" ht="16.5" customHeight="1">
      <c r="A163" s="560"/>
      <c r="B163" s="561"/>
      <c r="C163" s="9" t="s">
        <v>41</v>
      </c>
      <c r="D163" s="13"/>
      <c r="E163" s="9" t="s">
        <v>62</v>
      </c>
      <c r="F163" s="12"/>
      <c r="G163" s="355">
        <v>69</v>
      </c>
      <c r="H163" s="341"/>
      <c r="I163" s="342"/>
      <c r="J163" s="343"/>
      <c r="K163" s="9" t="s">
        <v>336</v>
      </c>
      <c r="L163" s="7"/>
      <c r="M163" s="20"/>
      <c r="N163" s="21"/>
      <c r="O163" s="9" t="s">
        <v>336</v>
      </c>
      <c r="P163" s="7"/>
      <c r="Q163" s="20"/>
      <c r="R163" s="21"/>
      <c r="S163" s="519"/>
      <c r="T163" s="534"/>
      <c r="U163" s="536"/>
      <c r="V163" s="538"/>
      <c r="W163" s="532" t="s">
        <v>52</v>
      </c>
      <c r="X163" s="533"/>
      <c r="Y163" s="535"/>
      <c r="Z163" s="537"/>
      <c r="AA163" s="9" t="s">
        <v>54</v>
      </c>
      <c r="AB163" s="7"/>
      <c r="AC163" s="20"/>
      <c r="AD163" s="21"/>
      <c r="AE163" s="547"/>
      <c r="AF163" s="545"/>
      <c r="AG163" s="545"/>
      <c r="AH163" s="545"/>
      <c r="AI163" s="545"/>
      <c r="AJ163" s="546"/>
      <c r="AK163" s="547"/>
      <c r="AL163" s="545"/>
      <c r="AM163" s="545"/>
      <c r="AN163" s="545"/>
      <c r="AO163" s="545"/>
      <c r="AP163" s="546"/>
      <c r="AQ163" s="530"/>
      <c r="AR163" s="515"/>
      <c r="AS163" s="517"/>
      <c r="AT163" s="555"/>
      <c r="AU163" s="26" t="s">
        <v>89</v>
      </c>
      <c r="AV163" s="29"/>
      <c r="AW163" s="26" t="s">
        <v>12</v>
      </c>
      <c r="AX163" s="32"/>
      <c r="AY163" s="555"/>
      <c r="AZ163" s="26" t="s">
        <v>89</v>
      </c>
      <c r="BA163" s="29"/>
      <c r="BB163" s="26" t="s">
        <v>12</v>
      </c>
      <c r="BC163" s="32"/>
    </row>
    <row r="164" spans="1:55" ht="16.5" customHeight="1">
      <c r="A164" s="560"/>
      <c r="B164" s="561"/>
      <c r="C164" s="9" t="s">
        <v>417</v>
      </c>
      <c r="D164" s="3"/>
      <c r="E164" s="9" t="s">
        <v>45</v>
      </c>
      <c r="F164" s="12"/>
      <c r="G164" s="356">
        <v>70</v>
      </c>
      <c r="H164" s="344"/>
      <c r="I164" s="345"/>
      <c r="J164" s="346"/>
      <c r="K164" s="9" t="s">
        <v>337</v>
      </c>
      <c r="L164" s="7"/>
      <c r="M164" s="20"/>
      <c r="N164" s="21"/>
      <c r="O164" s="9" t="s">
        <v>337</v>
      </c>
      <c r="P164" s="7"/>
      <c r="Q164" s="20"/>
      <c r="R164" s="21"/>
      <c r="S164" s="519" t="s">
        <v>52</v>
      </c>
      <c r="T164" s="527"/>
      <c r="U164" s="528"/>
      <c r="V164" s="529"/>
      <c r="W164" s="519"/>
      <c r="X164" s="527"/>
      <c r="Y164" s="528"/>
      <c r="Z164" s="529"/>
      <c r="AA164" s="9" t="s">
        <v>55</v>
      </c>
      <c r="AB164" s="7"/>
      <c r="AC164" s="20"/>
      <c r="AD164" s="21"/>
      <c r="AE164" s="547"/>
      <c r="AF164" s="545"/>
      <c r="AG164" s="545"/>
      <c r="AH164" s="545"/>
      <c r="AI164" s="545"/>
      <c r="AJ164" s="546"/>
      <c r="AK164" s="547"/>
      <c r="AL164" s="545"/>
      <c r="AM164" s="545"/>
      <c r="AN164" s="545"/>
      <c r="AO164" s="545"/>
      <c r="AP164" s="546"/>
      <c r="AQ164" s="530">
        <v>68</v>
      </c>
      <c r="AR164" s="515"/>
      <c r="AS164" s="517"/>
      <c r="AT164" s="556"/>
      <c r="AU164" s="27" t="s">
        <v>90</v>
      </c>
      <c r="AV164" s="30"/>
      <c r="AW164" s="27" t="s">
        <v>91</v>
      </c>
      <c r="AX164" s="33"/>
      <c r="AY164" s="556"/>
      <c r="AZ164" s="27" t="s">
        <v>90</v>
      </c>
      <c r="BA164" s="30"/>
      <c r="BB164" s="27" t="s">
        <v>91</v>
      </c>
      <c r="BC164" s="33"/>
    </row>
    <row r="165" spans="1:55" ht="16.5" customHeight="1">
      <c r="A165" s="560"/>
      <c r="B165" s="561"/>
      <c r="C165" s="9" t="s">
        <v>35</v>
      </c>
      <c r="D165" s="13"/>
      <c r="E165" s="9" t="s">
        <v>46</v>
      </c>
      <c r="F165" s="12"/>
      <c r="G165" s="5" t="s">
        <v>12</v>
      </c>
      <c r="H165" s="128" t="s">
        <v>13</v>
      </c>
      <c r="I165" s="4" t="s">
        <v>14</v>
      </c>
      <c r="J165" s="4" t="s">
        <v>15</v>
      </c>
      <c r="K165" s="9" t="s">
        <v>338</v>
      </c>
      <c r="L165" s="7"/>
      <c r="M165" s="20"/>
      <c r="N165" s="21"/>
      <c r="O165" s="9" t="s">
        <v>338</v>
      </c>
      <c r="P165" s="7"/>
      <c r="Q165" s="20"/>
      <c r="R165" s="21"/>
      <c r="S165" s="519"/>
      <c r="T165" s="527"/>
      <c r="U165" s="528"/>
      <c r="V165" s="529"/>
      <c r="W165" s="519"/>
      <c r="X165" s="539"/>
      <c r="Y165" s="540"/>
      <c r="Z165" s="541"/>
      <c r="AA165" s="9" t="s">
        <v>56</v>
      </c>
      <c r="AB165" s="7"/>
      <c r="AC165" s="20"/>
      <c r="AD165" s="21"/>
      <c r="AE165" s="547"/>
      <c r="AF165" s="545"/>
      <c r="AG165" s="545"/>
      <c r="AH165" s="545"/>
      <c r="AI165" s="545"/>
      <c r="AJ165" s="546"/>
      <c r="AK165" s="547"/>
      <c r="AL165" s="545"/>
      <c r="AM165" s="545"/>
      <c r="AN165" s="545"/>
      <c r="AO165" s="545"/>
      <c r="AP165" s="546"/>
      <c r="AQ165" s="530"/>
      <c r="AR165" s="515"/>
      <c r="AS165" s="517"/>
      <c r="AT165" s="554">
        <v>28</v>
      </c>
      <c r="AU165" s="25" t="s">
        <v>0</v>
      </c>
      <c r="AV165" s="557"/>
      <c r="AW165" s="558"/>
      <c r="AX165" s="559"/>
      <c r="AY165" s="554">
        <v>30</v>
      </c>
      <c r="AZ165" s="25" t="s">
        <v>0</v>
      </c>
      <c r="BA165" s="557"/>
      <c r="BB165" s="558"/>
      <c r="BC165" s="559"/>
    </row>
    <row r="166" spans="1:55" ht="16.5" customHeight="1">
      <c r="A166" s="560"/>
      <c r="B166" s="561"/>
      <c r="C166" s="9" t="s">
        <v>36</v>
      </c>
      <c r="D166" s="13"/>
      <c r="E166" s="9" t="s">
        <v>47</v>
      </c>
      <c r="F166" s="12"/>
      <c r="G166" s="354">
        <v>66</v>
      </c>
      <c r="H166" s="335"/>
      <c r="I166" s="336"/>
      <c r="J166" s="357"/>
      <c r="K166" s="9" t="s">
        <v>339</v>
      </c>
      <c r="L166" s="7"/>
      <c r="M166" s="20"/>
      <c r="N166" s="21"/>
      <c r="O166" s="9" t="s">
        <v>339</v>
      </c>
      <c r="P166" s="7"/>
      <c r="Q166" s="20"/>
      <c r="R166" s="21"/>
      <c r="S166" s="519"/>
      <c r="T166" s="527"/>
      <c r="U166" s="528"/>
      <c r="V166" s="529"/>
      <c r="W166" s="532" t="s">
        <v>344</v>
      </c>
      <c r="X166" s="533"/>
      <c r="Y166" s="535"/>
      <c r="Z166" s="537"/>
      <c r="AA166" s="9"/>
      <c r="AB166" s="7"/>
      <c r="AC166" s="20"/>
      <c r="AD166" s="21"/>
      <c r="AE166" s="547"/>
      <c r="AF166" s="545"/>
      <c r="AG166" s="545"/>
      <c r="AH166" s="545"/>
      <c r="AI166" s="545"/>
      <c r="AJ166" s="546"/>
      <c r="AK166" s="547"/>
      <c r="AL166" s="545"/>
      <c r="AM166" s="545"/>
      <c r="AN166" s="545"/>
      <c r="AO166" s="545"/>
      <c r="AP166" s="546"/>
      <c r="AQ166" s="530">
        <v>69</v>
      </c>
      <c r="AR166" s="515"/>
      <c r="AS166" s="517"/>
      <c r="AT166" s="555"/>
      <c r="AU166" s="26" t="s">
        <v>87</v>
      </c>
      <c r="AV166" s="124"/>
      <c r="AW166" s="127" t="s">
        <v>192</v>
      </c>
      <c r="AX166" s="125"/>
      <c r="AY166" s="555"/>
      <c r="AZ166" s="26" t="s">
        <v>87</v>
      </c>
      <c r="BA166" s="124"/>
      <c r="BB166" s="127" t="s">
        <v>192</v>
      </c>
      <c r="BC166" s="125"/>
    </row>
    <row r="167" spans="1:55" ht="16.5" customHeight="1">
      <c r="A167" s="560"/>
      <c r="B167" s="561"/>
      <c r="C167" s="9" t="s">
        <v>37</v>
      </c>
      <c r="D167" s="13"/>
      <c r="E167" s="9" t="s">
        <v>48</v>
      </c>
      <c r="F167" s="12"/>
      <c r="G167" s="355">
        <v>67</v>
      </c>
      <c r="H167" s="338"/>
      <c r="I167" s="339"/>
      <c r="J167" s="340"/>
      <c r="K167" s="353" t="s">
        <v>340</v>
      </c>
      <c r="L167" s="7"/>
      <c r="M167" s="20"/>
      <c r="N167" s="21"/>
      <c r="O167" s="353" t="s">
        <v>340</v>
      </c>
      <c r="P167" s="7"/>
      <c r="Q167" s="20"/>
      <c r="R167" s="21"/>
      <c r="S167" s="519"/>
      <c r="T167" s="539"/>
      <c r="U167" s="540"/>
      <c r="V167" s="541"/>
      <c r="W167" s="519"/>
      <c r="X167" s="527"/>
      <c r="Y167" s="528"/>
      <c r="Z167" s="529"/>
      <c r="AA167" s="9" t="s">
        <v>58</v>
      </c>
      <c r="AB167" s="7"/>
      <c r="AC167" s="20"/>
      <c r="AD167" s="21"/>
      <c r="AE167" s="547"/>
      <c r="AF167" s="545"/>
      <c r="AG167" s="545"/>
      <c r="AH167" s="545"/>
      <c r="AI167" s="545"/>
      <c r="AJ167" s="546"/>
      <c r="AK167" s="547"/>
      <c r="AL167" s="545"/>
      <c r="AM167" s="545"/>
      <c r="AN167" s="545"/>
      <c r="AO167" s="545"/>
      <c r="AP167" s="546"/>
      <c r="AQ167" s="530"/>
      <c r="AR167" s="515"/>
      <c r="AS167" s="517"/>
      <c r="AT167" s="555"/>
      <c r="AU167" s="26" t="s">
        <v>88</v>
      </c>
      <c r="AV167" s="28"/>
      <c r="AW167" s="26" t="s">
        <v>12</v>
      </c>
      <c r="AX167" s="31"/>
      <c r="AY167" s="555"/>
      <c r="AZ167" s="26" t="s">
        <v>88</v>
      </c>
      <c r="BA167" s="28"/>
      <c r="BB167" s="26" t="s">
        <v>12</v>
      </c>
      <c r="BC167" s="31"/>
    </row>
    <row r="168" spans="1:55" ht="16.5" customHeight="1">
      <c r="A168" s="560"/>
      <c r="B168" s="561"/>
      <c r="C168" s="9" t="s">
        <v>38</v>
      </c>
      <c r="D168" s="13"/>
      <c r="E168" s="9" t="s">
        <v>49</v>
      </c>
      <c r="F168" s="12"/>
      <c r="G168" s="355">
        <v>68</v>
      </c>
      <c r="H168" s="338"/>
      <c r="I168" s="339"/>
      <c r="J168" s="340"/>
      <c r="K168" s="9" t="s">
        <v>341</v>
      </c>
      <c r="L168" s="7"/>
      <c r="M168" s="20"/>
      <c r="N168" s="21"/>
      <c r="O168" s="9" t="s">
        <v>341</v>
      </c>
      <c r="P168" s="7"/>
      <c r="Q168" s="20"/>
      <c r="R168" s="21"/>
      <c r="S168" s="519" t="s">
        <v>344</v>
      </c>
      <c r="T168" s="521"/>
      <c r="U168" s="523"/>
      <c r="V168" s="525"/>
      <c r="W168" s="519"/>
      <c r="X168" s="539"/>
      <c r="Y168" s="540"/>
      <c r="Z168" s="541"/>
      <c r="AA168" s="9" t="s">
        <v>59</v>
      </c>
      <c r="AB168" s="7"/>
      <c r="AC168" s="20"/>
      <c r="AD168" s="21"/>
      <c r="AE168" s="547"/>
      <c r="AF168" s="545"/>
      <c r="AG168" s="545"/>
      <c r="AH168" s="545"/>
      <c r="AI168" s="545"/>
      <c r="AJ168" s="546"/>
      <c r="AK168" s="547"/>
      <c r="AL168" s="545"/>
      <c r="AM168" s="545"/>
      <c r="AN168" s="545"/>
      <c r="AO168" s="545"/>
      <c r="AP168" s="546"/>
      <c r="AQ168" s="530">
        <v>70</v>
      </c>
      <c r="AR168" s="515"/>
      <c r="AS168" s="517"/>
      <c r="AT168" s="555"/>
      <c r="AU168" s="26" t="s">
        <v>89</v>
      </c>
      <c r="AV168" s="29"/>
      <c r="AW168" s="26" t="s">
        <v>12</v>
      </c>
      <c r="AX168" s="32"/>
      <c r="AY168" s="555"/>
      <c r="AZ168" s="26" t="s">
        <v>89</v>
      </c>
      <c r="BA168" s="29"/>
      <c r="BB168" s="26" t="s">
        <v>12</v>
      </c>
      <c r="BC168" s="32"/>
    </row>
    <row r="169" spans="1:55" ht="16.5" customHeight="1">
      <c r="A169" s="560"/>
      <c r="B169" s="561"/>
      <c r="C169" s="9" t="s">
        <v>39</v>
      </c>
      <c r="D169" s="13"/>
      <c r="E169" s="9" t="s">
        <v>50</v>
      </c>
      <c r="F169" s="132"/>
      <c r="G169" s="355">
        <v>69</v>
      </c>
      <c r="H169" s="347"/>
      <c r="I169" s="348"/>
      <c r="J169" s="349"/>
      <c r="K169" s="9"/>
      <c r="L169" s="7"/>
      <c r="M169" s="20"/>
      <c r="N169" s="21"/>
      <c r="O169" s="9"/>
      <c r="P169" s="7"/>
      <c r="Q169" s="20"/>
      <c r="R169" s="21"/>
      <c r="S169" s="519"/>
      <c r="T169" s="527"/>
      <c r="U169" s="528"/>
      <c r="V169" s="529"/>
      <c r="W169" s="519" t="s">
        <v>60</v>
      </c>
      <c r="X169" s="521"/>
      <c r="Y169" s="523"/>
      <c r="Z169" s="525"/>
      <c r="AA169" s="9" t="s">
        <v>60</v>
      </c>
      <c r="AB169" s="7"/>
      <c r="AC169" s="20"/>
      <c r="AD169" s="21"/>
      <c r="AE169" s="553"/>
      <c r="AF169" s="548"/>
      <c r="AG169" s="548"/>
      <c r="AH169" s="548"/>
      <c r="AI169" s="548"/>
      <c r="AJ169" s="549"/>
      <c r="AK169" s="553"/>
      <c r="AL169" s="548"/>
      <c r="AM169" s="548"/>
      <c r="AN169" s="548"/>
      <c r="AO169" s="548"/>
      <c r="AP169" s="549"/>
      <c r="AQ169" s="531"/>
      <c r="AR169" s="516"/>
      <c r="AS169" s="518"/>
      <c r="AT169" s="556"/>
      <c r="AU169" s="27" t="s">
        <v>90</v>
      </c>
      <c r="AV169" s="30"/>
      <c r="AW169" s="27" t="s">
        <v>91</v>
      </c>
      <c r="AX169" s="33"/>
      <c r="AY169" s="556"/>
      <c r="AZ169" s="27" t="s">
        <v>90</v>
      </c>
      <c r="BA169" s="30"/>
      <c r="BB169" s="27" t="s">
        <v>91</v>
      </c>
      <c r="BC169" s="33"/>
    </row>
    <row r="170" spans="1:55" ht="16.5" customHeight="1">
      <c r="A170" s="560"/>
      <c r="B170" s="561"/>
      <c r="C170" s="10" t="s">
        <v>40</v>
      </c>
      <c r="D170" s="15"/>
      <c r="E170" s="130" t="s">
        <v>255</v>
      </c>
      <c r="F170" s="131"/>
      <c r="G170" s="356">
        <v>70</v>
      </c>
      <c r="H170" s="350"/>
      <c r="I170" s="351"/>
      <c r="J170" s="352"/>
      <c r="K170" s="17"/>
      <c r="L170" s="16"/>
      <c r="M170" s="22"/>
      <c r="N170" s="23"/>
      <c r="O170" s="17"/>
      <c r="P170" s="16"/>
      <c r="Q170" s="22"/>
      <c r="R170" s="23"/>
      <c r="S170" s="520"/>
      <c r="T170" s="522"/>
      <c r="U170" s="524"/>
      <c r="V170" s="526"/>
      <c r="W170" s="520"/>
      <c r="X170" s="522"/>
      <c r="Y170" s="524"/>
      <c r="Z170" s="526"/>
      <c r="AA170" s="17" t="s">
        <v>61</v>
      </c>
      <c r="AB170" s="16"/>
      <c r="AC170" s="22"/>
      <c r="AD170" s="23"/>
      <c r="AE170" s="115"/>
      <c r="AF170" s="116"/>
      <c r="AG170" s="116"/>
      <c r="AH170" s="116"/>
      <c r="AI170" s="117"/>
      <c r="AJ170" s="118"/>
      <c r="AK170" s="119"/>
      <c r="AL170" s="120"/>
      <c r="AM170" s="121"/>
      <c r="AN170" s="121"/>
      <c r="AO170" s="121"/>
      <c r="AP170" s="122"/>
      <c r="AQ170" s="115"/>
      <c r="AR170" s="116"/>
      <c r="AS170" s="118"/>
      <c r="AT170" s="123"/>
      <c r="AU170" s="113"/>
      <c r="AV170" s="113"/>
      <c r="AW170" s="113"/>
      <c r="AX170" s="114"/>
      <c r="AY170" s="123"/>
      <c r="AZ170" s="113"/>
      <c r="BA170" s="113"/>
      <c r="BB170" s="113"/>
      <c r="BC170" s="114"/>
    </row>
    <row r="171" spans="1:55" ht="16.5" customHeight="1"/>
    <row r="172" spans="1:55" ht="16.5" customHeight="1">
      <c r="A172" s="560">
        <v>15</v>
      </c>
      <c r="B172" s="561" t="s">
        <v>239</v>
      </c>
      <c r="C172" s="8" t="s">
        <v>42</v>
      </c>
      <c r="D172" s="24"/>
      <c r="E172" s="8" t="s">
        <v>43</v>
      </c>
      <c r="F172" s="11"/>
      <c r="G172" s="354">
        <v>71</v>
      </c>
      <c r="H172" s="335"/>
      <c r="I172" s="336"/>
      <c r="J172" s="357"/>
      <c r="K172" s="8" t="s">
        <v>333</v>
      </c>
      <c r="L172" s="6"/>
      <c r="M172" s="18"/>
      <c r="N172" s="19"/>
      <c r="O172" s="8" t="s">
        <v>333</v>
      </c>
      <c r="P172" s="6"/>
      <c r="Q172" s="18"/>
      <c r="R172" s="19"/>
      <c r="S172" s="532" t="s">
        <v>51</v>
      </c>
      <c r="T172" s="533"/>
      <c r="U172" s="535"/>
      <c r="V172" s="537"/>
      <c r="W172" s="532" t="s">
        <v>51</v>
      </c>
      <c r="X172" s="533"/>
      <c r="Y172" s="535"/>
      <c r="Z172" s="537"/>
      <c r="AA172" s="8" t="s">
        <v>51</v>
      </c>
      <c r="AB172" s="6"/>
      <c r="AC172" s="18"/>
      <c r="AD172" s="19"/>
      <c r="AE172" s="552"/>
      <c r="AF172" s="550"/>
      <c r="AG172" s="550"/>
      <c r="AH172" s="550"/>
      <c r="AI172" s="550"/>
      <c r="AJ172" s="551"/>
      <c r="AK172" s="552"/>
      <c r="AL172" s="550"/>
      <c r="AM172" s="550"/>
      <c r="AN172" s="550"/>
      <c r="AO172" s="550"/>
      <c r="AP172" s="551"/>
      <c r="AQ172" s="542">
        <v>71</v>
      </c>
      <c r="AR172" s="543"/>
      <c r="AS172" s="544"/>
      <c r="AT172" s="554">
        <v>29</v>
      </c>
      <c r="AU172" s="25" t="s">
        <v>0</v>
      </c>
      <c r="AV172" s="557"/>
      <c r="AW172" s="558"/>
      <c r="AX172" s="559"/>
      <c r="AY172" s="554">
        <v>31</v>
      </c>
      <c r="AZ172" s="25" t="s">
        <v>0</v>
      </c>
      <c r="BA172" s="557"/>
      <c r="BB172" s="558"/>
      <c r="BC172" s="559"/>
    </row>
    <row r="173" spans="1:55" ht="16.5" customHeight="1">
      <c r="A173" s="560"/>
      <c r="B173" s="561"/>
      <c r="C173" s="9" t="s">
        <v>33</v>
      </c>
      <c r="D173" s="13"/>
      <c r="E173" s="9" t="s">
        <v>70</v>
      </c>
      <c r="F173" s="12"/>
      <c r="G173" s="355">
        <v>72</v>
      </c>
      <c r="H173" s="338"/>
      <c r="I173" s="339"/>
      <c r="J173" s="340"/>
      <c r="K173" s="9" t="s">
        <v>334</v>
      </c>
      <c r="L173" s="7"/>
      <c r="M173" s="20"/>
      <c r="N173" s="21"/>
      <c r="O173" s="9" t="s">
        <v>334</v>
      </c>
      <c r="P173" s="7"/>
      <c r="Q173" s="20"/>
      <c r="R173" s="21"/>
      <c r="S173" s="519"/>
      <c r="T173" s="527"/>
      <c r="U173" s="528"/>
      <c r="V173" s="529"/>
      <c r="W173" s="519"/>
      <c r="X173" s="527"/>
      <c r="Y173" s="528"/>
      <c r="Z173" s="529"/>
      <c r="AA173" s="9" t="s">
        <v>52</v>
      </c>
      <c r="AB173" s="7"/>
      <c r="AC173" s="20"/>
      <c r="AD173" s="21"/>
      <c r="AE173" s="547"/>
      <c r="AF173" s="545"/>
      <c r="AG173" s="545"/>
      <c r="AH173" s="545"/>
      <c r="AI173" s="545"/>
      <c r="AJ173" s="546"/>
      <c r="AK173" s="547"/>
      <c r="AL173" s="545"/>
      <c r="AM173" s="545"/>
      <c r="AN173" s="545"/>
      <c r="AO173" s="545"/>
      <c r="AP173" s="546"/>
      <c r="AQ173" s="530"/>
      <c r="AR173" s="515"/>
      <c r="AS173" s="517"/>
      <c r="AT173" s="555"/>
      <c r="AU173" s="26" t="s">
        <v>87</v>
      </c>
      <c r="AV173" s="124"/>
      <c r="AW173" s="26" t="s">
        <v>192</v>
      </c>
      <c r="AX173" s="126"/>
      <c r="AY173" s="555"/>
      <c r="AZ173" s="26" t="s">
        <v>87</v>
      </c>
      <c r="BA173" s="124"/>
      <c r="BB173" s="127" t="s">
        <v>192</v>
      </c>
      <c r="BC173" s="125"/>
    </row>
    <row r="174" spans="1:55" ht="16.5" customHeight="1">
      <c r="A174" s="560"/>
      <c r="B174" s="561"/>
      <c r="C174" s="9" t="s">
        <v>34</v>
      </c>
      <c r="D174" s="14"/>
      <c r="E174" s="9" t="s">
        <v>44</v>
      </c>
      <c r="F174" s="12"/>
      <c r="G174" s="355">
        <v>73</v>
      </c>
      <c r="H174" s="338"/>
      <c r="I174" s="339"/>
      <c r="J174" s="340"/>
      <c r="K174" s="9" t="s">
        <v>335</v>
      </c>
      <c r="L174" s="7"/>
      <c r="M174" s="20"/>
      <c r="N174" s="21"/>
      <c r="O174" s="9" t="s">
        <v>335</v>
      </c>
      <c r="P174" s="7"/>
      <c r="Q174" s="20"/>
      <c r="R174" s="21"/>
      <c r="S174" s="519"/>
      <c r="T174" s="527"/>
      <c r="U174" s="528"/>
      <c r="V174" s="529"/>
      <c r="W174" s="519"/>
      <c r="X174" s="539"/>
      <c r="Y174" s="540"/>
      <c r="Z174" s="541"/>
      <c r="AA174" s="9" t="s">
        <v>53</v>
      </c>
      <c r="AB174" s="7"/>
      <c r="AC174" s="20"/>
      <c r="AD174" s="21"/>
      <c r="AE174" s="547"/>
      <c r="AF174" s="545"/>
      <c r="AG174" s="545"/>
      <c r="AH174" s="545"/>
      <c r="AI174" s="545"/>
      <c r="AJ174" s="546"/>
      <c r="AK174" s="547"/>
      <c r="AL174" s="545"/>
      <c r="AM174" s="545"/>
      <c r="AN174" s="545"/>
      <c r="AO174" s="545"/>
      <c r="AP174" s="546"/>
      <c r="AQ174" s="530">
        <v>72</v>
      </c>
      <c r="AR174" s="515"/>
      <c r="AS174" s="517"/>
      <c r="AT174" s="555"/>
      <c r="AU174" s="26" t="s">
        <v>88</v>
      </c>
      <c r="AV174" s="28"/>
      <c r="AW174" s="26" t="s">
        <v>12</v>
      </c>
      <c r="AX174" s="31"/>
      <c r="AY174" s="555"/>
      <c r="AZ174" s="26" t="s">
        <v>88</v>
      </c>
      <c r="BA174" s="28"/>
      <c r="BB174" s="26" t="s">
        <v>12</v>
      </c>
      <c r="BC174" s="31"/>
    </row>
    <row r="175" spans="1:55" ht="16.5" customHeight="1">
      <c r="A175" s="560"/>
      <c r="B175" s="561"/>
      <c r="C175" s="9" t="s">
        <v>41</v>
      </c>
      <c r="D175" s="13"/>
      <c r="E175" s="9" t="s">
        <v>62</v>
      </c>
      <c r="F175" s="12"/>
      <c r="G175" s="355">
        <v>74</v>
      </c>
      <c r="H175" s="341"/>
      <c r="I175" s="342"/>
      <c r="J175" s="343"/>
      <c r="K175" s="9" t="s">
        <v>336</v>
      </c>
      <c r="L175" s="7"/>
      <c r="M175" s="20"/>
      <c r="N175" s="21"/>
      <c r="O175" s="9" t="s">
        <v>336</v>
      </c>
      <c r="P175" s="7"/>
      <c r="Q175" s="20"/>
      <c r="R175" s="21"/>
      <c r="S175" s="519"/>
      <c r="T175" s="534"/>
      <c r="U175" s="536"/>
      <c r="V175" s="538"/>
      <c r="W175" s="532" t="s">
        <v>52</v>
      </c>
      <c r="X175" s="533"/>
      <c r="Y175" s="535"/>
      <c r="Z175" s="537"/>
      <c r="AA175" s="9" t="s">
        <v>54</v>
      </c>
      <c r="AB175" s="7"/>
      <c r="AC175" s="20"/>
      <c r="AD175" s="21"/>
      <c r="AE175" s="547"/>
      <c r="AF175" s="545"/>
      <c r="AG175" s="545"/>
      <c r="AH175" s="545"/>
      <c r="AI175" s="545"/>
      <c r="AJ175" s="546"/>
      <c r="AK175" s="547"/>
      <c r="AL175" s="545"/>
      <c r="AM175" s="545"/>
      <c r="AN175" s="545"/>
      <c r="AO175" s="545"/>
      <c r="AP175" s="546"/>
      <c r="AQ175" s="530"/>
      <c r="AR175" s="515"/>
      <c r="AS175" s="517"/>
      <c r="AT175" s="555"/>
      <c r="AU175" s="26" t="s">
        <v>89</v>
      </c>
      <c r="AV175" s="29"/>
      <c r="AW175" s="26" t="s">
        <v>12</v>
      </c>
      <c r="AX175" s="32"/>
      <c r="AY175" s="555"/>
      <c r="AZ175" s="26" t="s">
        <v>89</v>
      </c>
      <c r="BA175" s="29"/>
      <c r="BB175" s="26" t="s">
        <v>12</v>
      </c>
      <c r="BC175" s="32"/>
    </row>
    <row r="176" spans="1:55" ht="16.5" customHeight="1">
      <c r="A176" s="560"/>
      <c r="B176" s="561"/>
      <c r="C176" s="9" t="s">
        <v>417</v>
      </c>
      <c r="D176" s="3"/>
      <c r="E176" s="9" t="s">
        <v>45</v>
      </c>
      <c r="F176" s="12"/>
      <c r="G176" s="356">
        <v>75</v>
      </c>
      <c r="H176" s="344"/>
      <c r="I176" s="345"/>
      <c r="J176" s="346"/>
      <c r="K176" s="9" t="s">
        <v>337</v>
      </c>
      <c r="L176" s="7"/>
      <c r="M176" s="20"/>
      <c r="N176" s="21"/>
      <c r="O176" s="9" t="s">
        <v>337</v>
      </c>
      <c r="P176" s="7"/>
      <c r="Q176" s="20"/>
      <c r="R176" s="21"/>
      <c r="S176" s="519" t="s">
        <v>52</v>
      </c>
      <c r="T176" s="527"/>
      <c r="U176" s="528"/>
      <c r="V176" s="529"/>
      <c r="W176" s="519"/>
      <c r="X176" s="527"/>
      <c r="Y176" s="528"/>
      <c r="Z176" s="529"/>
      <c r="AA176" s="9" t="s">
        <v>55</v>
      </c>
      <c r="AB176" s="7"/>
      <c r="AC176" s="20"/>
      <c r="AD176" s="21"/>
      <c r="AE176" s="547"/>
      <c r="AF176" s="545"/>
      <c r="AG176" s="545"/>
      <c r="AH176" s="545"/>
      <c r="AI176" s="545"/>
      <c r="AJ176" s="546"/>
      <c r="AK176" s="547"/>
      <c r="AL176" s="545"/>
      <c r="AM176" s="545"/>
      <c r="AN176" s="545"/>
      <c r="AO176" s="545"/>
      <c r="AP176" s="546"/>
      <c r="AQ176" s="530">
        <v>73</v>
      </c>
      <c r="AR176" s="515"/>
      <c r="AS176" s="517"/>
      <c r="AT176" s="556"/>
      <c r="AU176" s="27" t="s">
        <v>90</v>
      </c>
      <c r="AV176" s="30"/>
      <c r="AW176" s="27" t="s">
        <v>91</v>
      </c>
      <c r="AX176" s="33"/>
      <c r="AY176" s="556"/>
      <c r="AZ176" s="27" t="s">
        <v>90</v>
      </c>
      <c r="BA176" s="30"/>
      <c r="BB176" s="27" t="s">
        <v>91</v>
      </c>
      <c r="BC176" s="33"/>
    </row>
    <row r="177" spans="1:55" ht="16.5" customHeight="1">
      <c r="A177" s="560"/>
      <c r="B177" s="561"/>
      <c r="C177" s="9" t="s">
        <v>35</v>
      </c>
      <c r="D177" s="13"/>
      <c r="E177" s="9" t="s">
        <v>46</v>
      </c>
      <c r="F177" s="12"/>
      <c r="G177" s="5" t="s">
        <v>12</v>
      </c>
      <c r="H177" s="128" t="s">
        <v>13</v>
      </c>
      <c r="I177" s="4" t="s">
        <v>14</v>
      </c>
      <c r="J177" s="4" t="s">
        <v>15</v>
      </c>
      <c r="K177" s="9" t="s">
        <v>338</v>
      </c>
      <c r="L177" s="7"/>
      <c r="M177" s="20"/>
      <c r="N177" s="21"/>
      <c r="O177" s="9" t="s">
        <v>338</v>
      </c>
      <c r="P177" s="7"/>
      <c r="Q177" s="20"/>
      <c r="R177" s="21"/>
      <c r="S177" s="519"/>
      <c r="T177" s="527"/>
      <c r="U177" s="528"/>
      <c r="V177" s="529"/>
      <c r="W177" s="519"/>
      <c r="X177" s="539"/>
      <c r="Y177" s="540"/>
      <c r="Z177" s="541"/>
      <c r="AA177" s="9" t="s">
        <v>56</v>
      </c>
      <c r="AB177" s="7"/>
      <c r="AC177" s="20"/>
      <c r="AD177" s="21"/>
      <c r="AE177" s="547"/>
      <c r="AF177" s="545"/>
      <c r="AG177" s="545"/>
      <c r="AH177" s="545"/>
      <c r="AI177" s="545"/>
      <c r="AJ177" s="546"/>
      <c r="AK177" s="547"/>
      <c r="AL177" s="545"/>
      <c r="AM177" s="545"/>
      <c r="AN177" s="545"/>
      <c r="AO177" s="545"/>
      <c r="AP177" s="546"/>
      <c r="AQ177" s="530"/>
      <c r="AR177" s="515"/>
      <c r="AS177" s="517"/>
      <c r="AT177" s="554">
        <v>30</v>
      </c>
      <c r="AU177" s="25" t="s">
        <v>0</v>
      </c>
      <c r="AV177" s="557"/>
      <c r="AW177" s="558"/>
      <c r="AX177" s="559"/>
      <c r="AY177" s="554">
        <v>32</v>
      </c>
      <c r="AZ177" s="25" t="s">
        <v>0</v>
      </c>
      <c r="BA177" s="557"/>
      <c r="BB177" s="558"/>
      <c r="BC177" s="559"/>
    </row>
    <row r="178" spans="1:55" ht="16.5" customHeight="1">
      <c r="A178" s="560"/>
      <c r="B178" s="561"/>
      <c r="C178" s="9" t="s">
        <v>36</v>
      </c>
      <c r="D178" s="13"/>
      <c r="E178" s="9" t="s">
        <v>47</v>
      </c>
      <c r="F178" s="12"/>
      <c r="G178" s="354">
        <v>71</v>
      </c>
      <c r="H178" s="335"/>
      <c r="I178" s="336"/>
      <c r="J178" s="357"/>
      <c r="K178" s="9" t="s">
        <v>339</v>
      </c>
      <c r="L178" s="7"/>
      <c r="M178" s="20"/>
      <c r="N178" s="21"/>
      <c r="O178" s="9" t="s">
        <v>339</v>
      </c>
      <c r="P178" s="7"/>
      <c r="Q178" s="20"/>
      <c r="R178" s="21"/>
      <c r="S178" s="519"/>
      <c r="T178" s="527"/>
      <c r="U178" s="528"/>
      <c r="V178" s="529"/>
      <c r="W178" s="532" t="s">
        <v>344</v>
      </c>
      <c r="X178" s="533"/>
      <c r="Y178" s="535"/>
      <c r="Z178" s="537"/>
      <c r="AA178" s="9"/>
      <c r="AB178" s="7"/>
      <c r="AC178" s="20"/>
      <c r="AD178" s="21"/>
      <c r="AE178" s="547"/>
      <c r="AF178" s="545"/>
      <c r="AG178" s="545"/>
      <c r="AH178" s="545"/>
      <c r="AI178" s="545"/>
      <c r="AJ178" s="546"/>
      <c r="AK178" s="547"/>
      <c r="AL178" s="545"/>
      <c r="AM178" s="545"/>
      <c r="AN178" s="545"/>
      <c r="AO178" s="545"/>
      <c r="AP178" s="546"/>
      <c r="AQ178" s="530">
        <v>74</v>
      </c>
      <c r="AR178" s="515"/>
      <c r="AS178" s="517"/>
      <c r="AT178" s="555"/>
      <c r="AU178" s="26" t="s">
        <v>87</v>
      </c>
      <c r="AV178" s="124"/>
      <c r="AW178" s="127" t="s">
        <v>192</v>
      </c>
      <c r="AX178" s="125"/>
      <c r="AY178" s="555"/>
      <c r="AZ178" s="26" t="s">
        <v>87</v>
      </c>
      <c r="BA178" s="124"/>
      <c r="BB178" s="127" t="s">
        <v>192</v>
      </c>
      <c r="BC178" s="125"/>
    </row>
    <row r="179" spans="1:55" ht="16.5" customHeight="1">
      <c r="A179" s="560"/>
      <c r="B179" s="561"/>
      <c r="C179" s="9" t="s">
        <v>37</v>
      </c>
      <c r="D179" s="13"/>
      <c r="E179" s="9" t="s">
        <v>48</v>
      </c>
      <c r="F179" s="12"/>
      <c r="G179" s="355">
        <v>72</v>
      </c>
      <c r="H179" s="338"/>
      <c r="I179" s="339"/>
      <c r="J179" s="340"/>
      <c r="K179" s="353" t="s">
        <v>340</v>
      </c>
      <c r="L179" s="7"/>
      <c r="M179" s="20"/>
      <c r="N179" s="21"/>
      <c r="O179" s="353" t="s">
        <v>340</v>
      </c>
      <c r="P179" s="7"/>
      <c r="Q179" s="20"/>
      <c r="R179" s="21"/>
      <c r="S179" s="519"/>
      <c r="T179" s="539"/>
      <c r="U179" s="540"/>
      <c r="V179" s="541"/>
      <c r="W179" s="519"/>
      <c r="X179" s="527"/>
      <c r="Y179" s="528"/>
      <c r="Z179" s="529"/>
      <c r="AA179" s="9" t="s">
        <v>58</v>
      </c>
      <c r="AB179" s="7"/>
      <c r="AC179" s="20"/>
      <c r="AD179" s="21"/>
      <c r="AE179" s="547"/>
      <c r="AF179" s="545"/>
      <c r="AG179" s="545"/>
      <c r="AH179" s="545"/>
      <c r="AI179" s="545"/>
      <c r="AJ179" s="546"/>
      <c r="AK179" s="547"/>
      <c r="AL179" s="545"/>
      <c r="AM179" s="545"/>
      <c r="AN179" s="545"/>
      <c r="AO179" s="545"/>
      <c r="AP179" s="546"/>
      <c r="AQ179" s="530"/>
      <c r="AR179" s="515"/>
      <c r="AS179" s="517"/>
      <c r="AT179" s="555"/>
      <c r="AU179" s="26" t="s">
        <v>88</v>
      </c>
      <c r="AV179" s="28"/>
      <c r="AW179" s="26" t="s">
        <v>12</v>
      </c>
      <c r="AX179" s="31"/>
      <c r="AY179" s="555"/>
      <c r="AZ179" s="26" t="s">
        <v>88</v>
      </c>
      <c r="BA179" s="28"/>
      <c r="BB179" s="26" t="s">
        <v>12</v>
      </c>
      <c r="BC179" s="31"/>
    </row>
    <row r="180" spans="1:55" ht="16.5" customHeight="1">
      <c r="A180" s="560"/>
      <c r="B180" s="561"/>
      <c r="C180" s="9" t="s">
        <v>38</v>
      </c>
      <c r="D180" s="13"/>
      <c r="E180" s="9" t="s">
        <v>49</v>
      </c>
      <c r="F180" s="12"/>
      <c r="G180" s="355">
        <v>73</v>
      </c>
      <c r="H180" s="338"/>
      <c r="I180" s="339"/>
      <c r="J180" s="340"/>
      <c r="K180" s="9" t="s">
        <v>341</v>
      </c>
      <c r="L180" s="7"/>
      <c r="M180" s="20"/>
      <c r="N180" s="21"/>
      <c r="O180" s="9" t="s">
        <v>341</v>
      </c>
      <c r="P180" s="7"/>
      <c r="Q180" s="20"/>
      <c r="R180" s="21"/>
      <c r="S180" s="519" t="s">
        <v>344</v>
      </c>
      <c r="T180" s="521"/>
      <c r="U180" s="523"/>
      <c r="V180" s="525"/>
      <c r="W180" s="519"/>
      <c r="X180" s="539"/>
      <c r="Y180" s="540"/>
      <c r="Z180" s="541"/>
      <c r="AA180" s="9" t="s">
        <v>59</v>
      </c>
      <c r="AB180" s="7"/>
      <c r="AC180" s="20"/>
      <c r="AD180" s="21"/>
      <c r="AE180" s="547"/>
      <c r="AF180" s="545"/>
      <c r="AG180" s="545"/>
      <c r="AH180" s="545"/>
      <c r="AI180" s="545"/>
      <c r="AJ180" s="546"/>
      <c r="AK180" s="547"/>
      <c r="AL180" s="545"/>
      <c r="AM180" s="545"/>
      <c r="AN180" s="545"/>
      <c r="AO180" s="545"/>
      <c r="AP180" s="546"/>
      <c r="AQ180" s="530">
        <v>75</v>
      </c>
      <c r="AR180" s="515"/>
      <c r="AS180" s="517"/>
      <c r="AT180" s="555"/>
      <c r="AU180" s="26" t="s">
        <v>89</v>
      </c>
      <c r="AV180" s="29"/>
      <c r="AW180" s="26" t="s">
        <v>12</v>
      </c>
      <c r="AX180" s="32"/>
      <c r="AY180" s="555"/>
      <c r="AZ180" s="26" t="s">
        <v>89</v>
      </c>
      <c r="BA180" s="29"/>
      <c r="BB180" s="26" t="s">
        <v>12</v>
      </c>
      <c r="BC180" s="32"/>
    </row>
    <row r="181" spans="1:55" ht="16.5" customHeight="1">
      <c r="A181" s="560"/>
      <c r="B181" s="561"/>
      <c r="C181" s="9" t="s">
        <v>39</v>
      </c>
      <c r="D181" s="13"/>
      <c r="E181" s="9" t="s">
        <v>50</v>
      </c>
      <c r="F181" s="132"/>
      <c r="G181" s="355">
        <v>74</v>
      </c>
      <c r="H181" s="347"/>
      <c r="I181" s="348"/>
      <c r="J181" s="349"/>
      <c r="K181" s="9"/>
      <c r="L181" s="7"/>
      <c r="M181" s="20"/>
      <c r="N181" s="21"/>
      <c r="O181" s="9"/>
      <c r="P181" s="7"/>
      <c r="Q181" s="20"/>
      <c r="R181" s="21"/>
      <c r="S181" s="519"/>
      <c r="T181" s="527"/>
      <c r="U181" s="528"/>
      <c r="V181" s="529"/>
      <c r="W181" s="519" t="s">
        <v>60</v>
      </c>
      <c r="X181" s="521"/>
      <c r="Y181" s="523"/>
      <c r="Z181" s="525"/>
      <c r="AA181" s="9" t="s">
        <v>60</v>
      </c>
      <c r="AB181" s="7"/>
      <c r="AC181" s="20"/>
      <c r="AD181" s="21"/>
      <c r="AE181" s="553"/>
      <c r="AF181" s="548"/>
      <c r="AG181" s="548"/>
      <c r="AH181" s="548"/>
      <c r="AI181" s="548"/>
      <c r="AJ181" s="549"/>
      <c r="AK181" s="553"/>
      <c r="AL181" s="548"/>
      <c r="AM181" s="548"/>
      <c r="AN181" s="548"/>
      <c r="AO181" s="548"/>
      <c r="AP181" s="549"/>
      <c r="AQ181" s="531"/>
      <c r="AR181" s="516"/>
      <c r="AS181" s="518"/>
      <c r="AT181" s="556"/>
      <c r="AU181" s="27" t="s">
        <v>90</v>
      </c>
      <c r="AV181" s="30"/>
      <c r="AW181" s="27" t="s">
        <v>91</v>
      </c>
      <c r="AX181" s="33"/>
      <c r="AY181" s="556"/>
      <c r="AZ181" s="27" t="s">
        <v>90</v>
      </c>
      <c r="BA181" s="30"/>
      <c r="BB181" s="27" t="s">
        <v>91</v>
      </c>
      <c r="BC181" s="33"/>
    </row>
    <row r="182" spans="1:55" ht="16.5" customHeight="1">
      <c r="A182" s="560"/>
      <c r="B182" s="561"/>
      <c r="C182" s="10" t="s">
        <v>40</v>
      </c>
      <c r="D182" s="15"/>
      <c r="E182" s="130" t="s">
        <v>255</v>
      </c>
      <c r="F182" s="131"/>
      <c r="G182" s="356">
        <v>75</v>
      </c>
      <c r="H182" s="350"/>
      <c r="I182" s="351"/>
      <c r="J182" s="352"/>
      <c r="K182" s="17"/>
      <c r="L182" s="16"/>
      <c r="M182" s="22"/>
      <c r="N182" s="23"/>
      <c r="O182" s="17"/>
      <c r="P182" s="16"/>
      <c r="Q182" s="22"/>
      <c r="R182" s="23"/>
      <c r="S182" s="520"/>
      <c r="T182" s="522"/>
      <c r="U182" s="524"/>
      <c r="V182" s="526"/>
      <c r="W182" s="520"/>
      <c r="X182" s="522"/>
      <c r="Y182" s="524"/>
      <c r="Z182" s="526"/>
      <c r="AA182" s="17" t="s">
        <v>61</v>
      </c>
      <c r="AB182" s="16"/>
      <c r="AC182" s="22"/>
      <c r="AD182" s="23"/>
      <c r="AE182" s="115"/>
      <c r="AF182" s="116"/>
      <c r="AG182" s="116"/>
      <c r="AH182" s="116"/>
      <c r="AI182" s="117"/>
      <c r="AJ182" s="118"/>
      <c r="AK182" s="119"/>
      <c r="AL182" s="120"/>
      <c r="AM182" s="121"/>
      <c r="AN182" s="121"/>
      <c r="AO182" s="121"/>
      <c r="AP182" s="122"/>
      <c r="AQ182" s="115"/>
      <c r="AR182" s="116"/>
      <c r="AS182" s="118"/>
      <c r="AT182" s="123"/>
      <c r="AU182" s="113"/>
      <c r="AV182" s="113"/>
      <c r="AW182" s="113"/>
      <c r="AX182" s="114"/>
      <c r="AY182" s="123"/>
      <c r="AZ182" s="113"/>
      <c r="BA182" s="113"/>
      <c r="BB182" s="113"/>
      <c r="BC182" s="114"/>
    </row>
    <row r="183" spans="1:55" ht="16.5" customHeight="1"/>
    <row r="184" spans="1:55" ht="16.5" customHeight="1">
      <c r="A184" s="560">
        <v>16</v>
      </c>
      <c r="B184" s="561" t="s">
        <v>240</v>
      </c>
      <c r="C184" s="8" t="s">
        <v>42</v>
      </c>
      <c r="D184" s="24"/>
      <c r="E184" s="8" t="s">
        <v>43</v>
      </c>
      <c r="F184" s="11"/>
      <c r="G184" s="354">
        <v>76</v>
      </c>
      <c r="H184" s="335"/>
      <c r="I184" s="336"/>
      <c r="J184" s="357"/>
      <c r="K184" s="8" t="s">
        <v>333</v>
      </c>
      <c r="L184" s="6"/>
      <c r="M184" s="18"/>
      <c r="N184" s="19"/>
      <c r="O184" s="8" t="s">
        <v>333</v>
      </c>
      <c r="P184" s="6"/>
      <c r="Q184" s="18"/>
      <c r="R184" s="19"/>
      <c r="S184" s="532" t="s">
        <v>51</v>
      </c>
      <c r="T184" s="533"/>
      <c r="U184" s="535"/>
      <c r="V184" s="537"/>
      <c r="W184" s="532" t="s">
        <v>51</v>
      </c>
      <c r="X184" s="533"/>
      <c r="Y184" s="535"/>
      <c r="Z184" s="537"/>
      <c r="AA184" s="8" t="s">
        <v>51</v>
      </c>
      <c r="AB184" s="6"/>
      <c r="AC184" s="18"/>
      <c r="AD184" s="19"/>
      <c r="AE184" s="552"/>
      <c r="AF184" s="550"/>
      <c r="AG184" s="550"/>
      <c r="AH184" s="550"/>
      <c r="AI184" s="550"/>
      <c r="AJ184" s="551"/>
      <c r="AK184" s="552"/>
      <c r="AL184" s="550"/>
      <c r="AM184" s="550"/>
      <c r="AN184" s="550"/>
      <c r="AO184" s="550"/>
      <c r="AP184" s="551"/>
      <c r="AQ184" s="542">
        <v>76</v>
      </c>
      <c r="AR184" s="543"/>
      <c r="AS184" s="544"/>
      <c r="AT184" s="554">
        <v>31</v>
      </c>
      <c r="AU184" s="25" t="s">
        <v>0</v>
      </c>
      <c r="AV184" s="557"/>
      <c r="AW184" s="558"/>
      <c r="AX184" s="559"/>
      <c r="AY184" s="554">
        <v>33</v>
      </c>
      <c r="AZ184" s="25" t="s">
        <v>0</v>
      </c>
      <c r="BA184" s="557"/>
      <c r="BB184" s="558"/>
      <c r="BC184" s="559"/>
    </row>
    <row r="185" spans="1:55" ht="16.5" customHeight="1">
      <c r="A185" s="560"/>
      <c r="B185" s="561"/>
      <c r="C185" s="9" t="s">
        <v>33</v>
      </c>
      <c r="D185" s="13"/>
      <c r="E185" s="9" t="s">
        <v>70</v>
      </c>
      <c r="F185" s="12"/>
      <c r="G185" s="355">
        <v>77</v>
      </c>
      <c r="H185" s="338"/>
      <c r="I185" s="339"/>
      <c r="J185" s="340"/>
      <c r="K185" s="9" t="s">
        <v>334</v>
      </c>
      <c r="L185" s="7"/>
      <c r="M185" s="20"/>
      <c r="N185" s="21"/>
      <c r="O185" s="9" t="s">
        <v>334</v>
      </c>
      <c r="P185" s="7"/>
      <c r="Q185" s="20"/>
      <c r="R185" s="21"/>
      <c r="S185" s="519"/>
      <c r="T185" s="527"/>
      <c r="U185" s="528"/>
      <c r="V185" s="529"/>
      <c r="W185" s="519"/>
      <c r="X185" s="527"/>
      <c r="Y185" s="528"/>
      <c r="Z185" s="529"/>
      <c r="AA185" s="9" t="s">
        <v>52</v>
      </c>
      <c r="AB185" s="7"/>
      <c r="AC185" s="20"/>
      <c r="AD185" s="21"/>
      <c r="AE185" s="547"/>
      <c r="AF185" s="545"/>
      <c r="AG185" s="545"/>
      <c r="AH185" s="545"/>
      <c r="AI185" s="545"/>
      <c r="AJ185" s="546"/>
      <c r="AK185" s="547"/>
      <c r="AL185" s="545"/>
      <c r="AM185" s="545"/>
      <c r="AN185" s="545"/>
      <c r="AO185" s="545"/>
      <c r="AP185" s="546"/>
      <c r="AQ185" s="530"/>
      <c r="AR185" s="515"/>
      <c r="AS185" s="517"/>
      <c r="AT185" s="555"/>
      <c r="AU185" s="26" t="s">
        <v>87</v>
      </c>
      <c r="AV185" s="124"/>
      <c r="AW185" s="26" t="s">
        <v>192</v>
      </c>
      <c r="AX185" s="126"/>
      <c r="AY185" s="555"/>
      <c r="AZ185" s="26" t="s">
        <v>87</v>
      </c>
      <c r="BA185" s="124"/>
      <c r="BB185" s="127" t="s">
        <v>192</v>
      </c>
      <c r="BC185" s="125"/>
    </row>
    <row r="186" spans="1:55" ht="16.5" customHeight="1">
      <c r="A186" s="560"/>
      <c r="B186" s="561"/>
      <c r="C186" s="9" t="s">
        <v>34</v>
      </c>
      <c r="D186" s="14"/>
      <c r="E186" s="9" t="s">
        <v>44</v>
      </c>
      <c r="F186" s="12"/>
      <c r="G186" s="355">
        <v>78</v>
      </c>
      <c r="H186" s="338"/>
      <c r="I186" s="339"/>
      <c r="J186" s="340"/>
      <c r="K186" s="9" t="s">
        <v>335</v>
      </c>
      <c r="L186" s="7"/>
      <c r="M186" s="20"/>
      <c r="N186" s="21"/>
      <c r="O186" s="9" t="s">
        <v>335</v>
      </c>
      <c r="P186" s="7"/>
      <c r="Q186" s="20"/>
      <c r="R186" s="21"/>
      <c r="S186" s="519"/>
      <c r="T186" s="527"/>
      <c r="U186" s="528"/>
      <c r="V186" s="529"/>
      <c r="W186" s="519"/>
      <c r="X186" s="539"/>
      <c r="Y186" s="540"/>
      <c r="Z186" s="541"/>
      <c r="AA186" s="9" t="s">
        <v>53</v>
      </c>
      <c r="AB186" s="7"/>
      <c r="AC186" s="20"/>
      <c r="AD186" s="21"/>
      <c r="AE186" s="547"/>
      <c r="AF186" s="545"/>
      <c r="AG186" s="545"/>
      <c r="AH186" s="545"/>
      <c r="AI186" s="545"/>
      <c r="AJ186" s="546"/>
      <c r="AK186" s="547"/>
      <c r="AL186" s="545"/>
      <c r="AM186" s="545"/>
      <c r="AN186" s="545"/>
      <c r="AO186" s="545"/>
      <c r="AP186" s="546"/>
      <c r="AQ186" s="530">
        <v>77</v>
      </c>
      <c r="AR186" s="515"/>
      <c r="AS186" s="517"/>
      <c r="AT186" s="555"/>
      <c r="AU186" s="26" t="s">
        <v>88</v>
      </c>
      <c r="AV186" s="28"/>
      <c r="AW186" s="26" t="s">
        <v>12</v>
      </c>
      <c r="AX186" s="31"/>
      <c r="AY186" s="555"/>
      <c r="AZ186" s="26" t="s">
        <v>88</v>
      </c>
      <c r="BA186" s="28"/>
      <c r="BB186" s="26" t="s">
        <v>12</v>
      </c>
      <c r="BC186" s="31"/>
    </row>
    <row r="187" spans="1:55" ht="16.5" customHeight="1">
      <c r="A187" s="560"/>
      <c r="B187" s="561"/>
      <c r="C187" s="9" t="s">
        <v>41</v>
      </c>
      <c r="D187" s="13"/>
      <c r="E187" s="9" t="s">
        <v>62</v>
      </c>
      <c r="F187" s="12"/>
      <c r="G187" s="355">
        <v>79</v>
      </c>
      <c r="H187" s="341"/>
      <c r="I187" s="342"/>
      <c r="J187" s="343"/>
      <c r="K187" s="9" t="s">
        <v>336</v>
      </c>
      <c r="L187" s="7"/>
      <c r="M187" s="20"/>
      <c r="N187" s="21"/>
      <c r="O187" s="9" t="s">
        <v>336</v>
      </c>
      <c r="P187" s="7"/>
      <c r="Q187" s="20"/>
      <c r="R187" s="21"/>
      <c r="S187" s="519"/>
      <c r="T187" s="534"/>
      <c r="U187" s="536"/>
      <c r="V187" s="538"/>
      <c r="W187" s="532" t="s">
        <v>52</v>
      </c>
      <c r="X187" s="533"/>
      <c r="Y187" s="535"/>
      <c r="Z187" s="537"/>
      <c r="AA187" s="9" t="s">
        <v>54</v>
      </c>
      <c r="AB187" s="7"/>
      <c r="AC187" s="20"/>
      <c r="AD187" s="21"/>
      <c r="AE187" s="547"/>
      <c r="AF187" s="545"/>
      <c r="AG187" s="545"/>
      <c r="AH187" s="545"/>
      <c r="AI187" s="545"/>
      <c r="AJ187" s="546"/>
      <c r="AK187" s="547"/>
      <c r="AL187" s="545"/>
      <c r="AM187" s="545"/>
      <c r="AN187" s="545"/>
      <c r="AO187" s="545"/>
      <c r="AP187" s="546"/>
      <c r="AQ187" s="530"/>
      <c r="AR187" s="515"/>
      <c r="AS187" s="517"/>
      <c r="AT187" s="555"/>
      <c r="AU187" s="26" t="s">
        <v>89</v>
      </c>
      <c r="AV187" s="29"/>
      <c r="AW187" s="26" t="s">
        <v>12</v>
      </c>
      <c r="AX187" s="32"/>
      <c r="AY187" s="555"/>
      <c r="AZ187" s="26" t="s">
        <v>89</v>
      </c>
      <c r="BA187" s="29"/>
      <c r="BB187" s="26" t="s">
        <v>12</v>
      </c>
      <c r="BC187" s="32"/>
    </row>
    <row r="188" spans="1:55" ht="16.5" customHeight="1">
      <c r="A188" s="560"/>
      <c r="B188" s="561"/>
      <c r="C188" s="9" t="s">
        <v>417</v>
      </c>
      <c r="D188" s="3"/>
      <c r="E188" s="9" t="s">
        <v>45</v>
      </c>
      <c r="F188" s="12"/>
      <c r="G188" s="356">
        <v>80</v>
      </c>
      <c r="H188" s="344"/>
      <c r="I188" s="345"/>
      <c r="J188" s="346"/>
      <c r="K188" s="9" t="s">
        <v>337</v>
      </c>
      <c r="L188" s="7"/>
      <c r="M188" s="20"/>
      <c r="N188" s="21"/>
      <c r="O188" s="9" t="s">
        <v>337</v>
      </c>
      <c r="P188" s="7"/>
      <c r="Q188" s="20"/>
      <c r="R188" s="21"/>
      <c r="S188" s="519" t="s">
        <v>52</v>
      </c>
      <c r="T188" s="527"/>
      <c r="U188" s="528"/>
      <c r="V188" s="529"/>
      <c r="W188" s="519"/>
      <c r="X188" s="527"/>
      <c r="Y188" s="528"/>
      <c r="Z188" s="529"/>
      <c r="AA188" s="9" t="s">
        <v>55</v>
      </c>
      <c r="AB188" s="7"/>
      <c r="AC188" s="20"/>
      <c r="AD188" s="21"/>
      <c r="AE188" s="547"/>
      <c r="AF188" s="545"/>
      <c r="AG188" s="545"/>
      <c r="AH188" s="545"/>
      <c r="AI188" s="545"/>
      <c r="AJ188" s="546"/>
      <c r="AK188" s="547"/>
      <c r="AL188" s="545"/>
      <c r="AM188" s="545"/>
      <c r="AN188" s="545"/>
      <c r="AO188" s="545"/>
      <c r="AP188" s="546"/>
      <c r="AQ188" s="530">
        <v>78</v>
      </c>
      <c r="AR188" s="515"/>
      <c r="AS188" s="517"/>
      <c r="AT188" s="556"/>
      <c r="AU188" s="27" t="s">
        <v>90</v>
      </c>
      <c r="AV188" s="30"/>
      <c r="AW188" s="27" t="s">
        <v>91</v>
      </c>
      <c r="AX188" s="33"/>
      <c r="AY188" s="556"/>
      <c r="AZ188" s="27" t="s">
        <v>90</v>
      </c>
      <c r="BA188" s="30"/>
      <c r="BB188" s="27" t="s">
        <v>91</v>
      </c>
      <c r="BC188" s="33"/>
    </row>
    <row r="189" spans="1:55" ht="16.5" customHeight="1">
      <c r="A189" s="560"/>
      <c r="B189" s="561"/>
      <c r="C189" s="9" t="s">
        <v>35</v>
      </c>
      <c r="D189" s="13"/>
      <c r="E189" s="9" t="s">
        <v>46</v>
      </c>
      <c r="F189" s="12"/>
      <c r="G189" s="5" t="s">
        <v>12</v>
      </c>
      <c r="H189" s="128" t="s">
        <v>13</v>
      </c>
      <c r="I189" s="4" t="s">
        <v>14</v>
      </c>
      <c r="J189" s="4" t="s">
        <v>15</v>
      </c>
      <c r="K189" s="9" t="s">
        <v>338</v>
      </c>
      <c r="L189" s="7"/>
      <c r="M189" s="20"/>
      <c r="N189" s="21"/>
      <c r="O189" s="9" t="s">
        <v>338</v>
      </c>
      <c r="P189" s="7"/>
      <c r="Q189" s="20"/>
      <c r="R189" s="21"/>
      <c r="S189" s="519"/>
      <c r="T189" s="527"/>
      <c r="U189" s="528"/>
      <c r="V189" s="529"/>
      <c r="W189" s="519"/>
      <c r="X189" s="539"/>
      <c r="Y189" s="540"/>
      <c r="Z189" s="541"/>
      <c r="AA189" s="9" t="s">
        <v>56</v>
      </c>
      <c r="AB189" s="7"/>
      <c r="AC189" s="20"/>
      <c r="AD189" s="21"/>
      <c r="AE189" s="547"/>
      <c r="AF189" s="545"/>
      <c r="AG189" s="545"/>
      <c r="AH189" s="545"/>
      <c r="AI189" s="545"/>
      <c r="AJ189" s="546"/>
      <c r="AK189" s="547"/>
      <c r="AL189" s="545"/>
      <c r="AM189" s="545"/>
      <c r="AN189" s="545"/>
      <c r="AO189" s="545"/>
      <c r="AP189" s="546"/>
      <c r="AQ189" s="530"/>
      <c r="AR189" s="515"/>
      <c r="AS189" s="517"/>
      <c r="AT189" s="554">
        <v>32</v>
      </c>
      <c r="AU189" s="25" t="s">
        <v>0</v>
      </c>
      <c r="AV189" s="557"/>
      <c r="AW189" s="558"/>
      <c r="AX189" s="559"/>
      <c r="AY189" s="554">
        <v>34</v>
      </c>
      <c r="AZ189" s="25" t="s">
        <v>0</v>
      </c>
      <c r="BA189" s="557"/>
      <c r="BB189" s="558"/>
      <c r="BC189" s="559"/>
    </row>
    <row r="190" spans="1:55" ht="16.5" customHeight="1">
      <c r="A190" s="560"/>
      <c r="B190" s="561"/>
      <c r="C190" s="9" t="s">
        <v>36</v>
      </c>
      <c r="D190" s="13"/>
      <c r="E190" s="9" t="s">
        <v>47</v>
      </c>
      <c r="F190" s="12"/>
      <c r="G190" s="354">
        <v>76</v>
      </c>
      <c r="H190" s="335"/>
      <c r="I190" s="336"/>
      <c r="J190" s="357"/>
      <c r="K190" s="9" t="s">
        <v>339</v>
      </c>
      <c r="L190" s="7"/>
      <c r="M190" s="20"/>
      <c r="N190" s="21"/>
      <c r="O190" s="9" t="s">
        <v>339</v>
      </c>
      <c r="P190" s="7"/>
      <c r="Q190" s="20"/>
      <c r="R190" s="21"/>
      <c r="S190" s="519"/>
      <c r="T190" s="527"/>
      <c r="U190" s="528"/>
      <c r="V190" s="529"/>
      <c r="W190" s="532" t="s">
        <v>344</v>
      </c>
      <c r="X190" s="533"/>
      <c r="Y190" s="535"/>
      <c r="Z190" s="537"/>
      <c r="AA190" s="9"/>
      <c r="AB190" s="7"/>
      <c r="AC190" s="20"/>
      <c r="AD190" s="21"/>
      <c r="AE190" s="547"/>
      <c r="AF190" s="545"/>
      <c r="AG190" s="545"/>
      <c r="AH190" s="545"/>
      <c r="AI190" s="545"/>
      <c r="AJ190" s="546"/>
      <c r="AK190" s="547"/>
      <c r="AL190" s="545"/>
      <c r="AM190" s="545"/>
      <c r="AN190" s="545"/>
      <c r="AO190" s="545"/>
      <c r="AP190" s="546"/>
      <c r="AQ190" s="530">
        <v>79</v>
      </c>
      <c r="AR190" s="515"/>
      <c r="AS190" s="517"/>
      <c r="AT190" s="555"/>
      <c r="AU190" s="26" t="s">
        <v>87</v>
      </c>
      <c r="AV190" s="124"/>
      <c r="AW190" s="127" t="s">
        <v>192</v>
      </c>
      <c r="AX190" s="125"/>
      <c r="AY190" s="555"/>
      <c r="AZ190" s="26" t="s">
        <v>87</v>
      </c>
      <c r="BA190" s="124"/>
      <c r="BB190" s="127" t="s">
        <v>192</v>
      </c>
      <c r="BC190" s="125"/>
    </row>
    <row r="191" spans="1:55" ht="16.5" customHeight="1">
      <c r="A191" s="560"/>
      <c r="B191" s="561"/>
      <c r="C191" s="9" t="s">
        <v>37</v>
      </c>
      <c r="D191" s="13"/>
      <c r="E191" s="9" t="s">
        <v>48</v>
      </c>
      <c r="F191" s="12"/>
      <c r="G191" s="355">
        <v>77</v>
      </c>
      <c r="H191" s="338"/>
      <c r="I191" s="339"/>
      <c r="J191" s="340"/>
      <c r="K191" s="353" t="s">
        <v>340</v>
      </c>
      <c r="L191" s="7"/>
      <c r="M191" s="20"/>
      <c r="N191" s="21"/>
      <c r="O191" s="353" t="s">
        <v>340</v>
      </c>
      <c r="P191" s="7"/>
      <c r="Q191" s="20"/>
      <c r="R191" s="21"/>
      <c r="S191" s="519"/>
      <c r="T191" s="539"/>
      <c r="U191" s="540"/>
      <c r="V191" s="541"/>
      <c r="W191" s="519"/>
      <c r="X191" s="527"/>
      <c r="Y191" s="528"/>
      <c r="Z191" s="529"/>
      <c r="AA191" s="9" t="s">
        <v>58</v>
      </c>
      <c r="AB191" s="7"/>
      <c r="AC191" s="20"/>
      <c r="AD191" s="21"/>
      <c r="AE191" s="547"/>
      <c r="AF191" s="545"/>
      <c r="AG191" s="545"/>
      <c r="AH191" s="545"/>
      <c r="AI191" s="545"/>
      <c r="AJ191" s="546"/>
      <c r="AK191" s="547"/>
      <c r="AL191" s="545"/>
      <c r="AM191" s="545"/>
      <c r="AN191" s="545"/>
      <c r="AO191" s="545"/>
      <c r="AP191" s="546"/>
      <c r="AQ191" s="530"/>
      <c r="AR191" s="515"/>
      <c r="AS191" s="517"/>
      <c r="AT191" s="555"/>
      <c r="AU191" s="26" t="s">
        <v>88</v>
      </c>
      <c r="AV191" s="28"/>
      <c r="AW191" s="26" t="s">
        <v>12</v>
      </c>
      <c r="AX191" s="31"/>
      <c r="AY191" s="555"/>
      <c r="AZ191" s="26" t="s">
        <v>88</v>
      </c>
      <c r="BA191" s="28"/>
      <c r="BB191" s="26" t="s">
        <v>12</v>
      </c>
      <c r="BC191" s="31"/>
    </row>
    <row r="192" spans="1:55" ht="16.5" customHeight="1">
      <c r="A192" s="560"/>
      <c r="B192" s="561"/>
      <c r="C192" s="9" t="s">
        <v>38</v>
      </c>
      <c r="D192" s="13"/>
      <c r="E192" s="9" t="s">
        <v>49</v>
      </c>
      <c r="F192" s="12"/>
      <c r="G192" s="355">
        <v>78</v>
      </c>
      <c r="H192" s="338"/>
      <c r="I192" s="339"/>
      <c r="J192" s="340"/>
      <c r="K192" s="9" t="s">
        <v>341</v>
      </c>
      <c r="L192" s="7"/>
      <c r="M192" s="20"/>
      <c r="N192" s="21"/>
      <c r="O192" s="9" t="s">
        <v>341</v>
      </c>
      <c r="P192" s="7"/>
      <c r="Q192" s="20"/>
      <c r="R192" s="21"/>
      <c r="S192" s="519" t="s">
        <v>344</v>
      </c>
      <c r="T192" s="521"/>
      <c r="U192" s="523"/>
      <c r="V192" s="525"/>
      <c r="W192" s="519"/>
      <c r="X192" s="539"/>
      <c r="Y192" s="540"/>
      <c r="Z192" s="541"/>
      <c r="AA192" s="9" t="s">
        <v>59</v>
      </c>
      <c r="AB192" s="7"/>
      <c r="AC192" s="20"/>
      <c r="AD192" s="21"/>
      <c r="AE192" s="547"/>
      <c r="AF192" s="545"/>
      <c r="AG192" s="545"/>
      <c r="AH192" s="545"/>
      <c r="AI192" s="545"/>
      <c r="AJ192" s="546"/>
      <c r="AK192" s="547"/>
      <c r="AL192" s="545"/>
      <c r="AM192" s="545"/>
      <c r="AN192" s="545"/>
      <c r="AO192" s="545"/>
      <c r="AP192" s="546"/>
      <c r="AQ192" s="530">
        <v>80</v>
      </c>
      <c r="AR192" s="515"/>
      <c r="AS192" s="517"/>
      <c r="AT192" s="555"/>
      <c r="AU192" s="26" t="s">
        <v>89</v>
      </c>
      <c r="AV192" s="29"/>
      <c r="AW192" s="26" t="s">
        <v>12</v>
      </c>
      <c r="AX192" s="32"/>
      <c r="AY192" s="555"/>
      <c r="AZ192" s="26" t="s">
        <v>89</v>
      </c>
      <c r="BA192" s="29"/>
      <c r="BB192" s="26" t="s">
        <v>12</v>
      </c>
      <c r="BC192" s="32"/>
    </row>
    <row r="193" spans="1:55" ht="16.5" customHeight="1">
      <c r="A193" s="560"/>
      <c r="B193" s="561"/>
      <c r="C193" s="9" t="s">
        <v>39</v>
      </c>
      <c r="D193" s="13"/>
      <c r="E193" s="9" t="s">
        <v>50</v>
      </c>
      <c r="F193" s="132"/>
      <c r="G193" s="355">
        <v>79</v>
      </c>
      <c r="H193" s="347"/>
      <c r="I193" s="348"/>
      <c r="J193" s="349"/>
      <c r="K193" s="9"/>
      <c r="L193" s="7"/>
      <c r="M193" s="20"/>
      <c r="N193" s="21"/>
      <c r="O193" s="9"/>
      <c r="P193" s="7"/>
      <c r="Q193" s="20"/>
      <c r="R193" s="21"/>
      <c r="S193" s="519"/>
      <c r="T193" s="527"/>
      <c r="U193" s="528"/>
      <c r="V193" s="529"/>
      <c r="W193" s="519" t="s">
        <v>60</v>
      </c>
      <c r="X193" s="521"/>
      <c r="Y193" s="523"/>
      <c r="Z193" s="525"/>
      <c r="AA193" s="9" t="s">
        <v>60</v>
      </c>
      <c r="AB193" s="7"/>
      <c r="AC193" s="20"/>
      <c r="AD193" s="21"/>
      <c r="AE193" s="553"/>
      <c r="AF193" s="548"/>
      <c r="AG193" s="548"/>
      <c r="AH193" s="548"/>
      <c r="AI193" s="548"/>
      <c r="AJ193" s="549"/>
      <c r="AK193" s="553"/>
      <c r="AL193" s="548"/>
      <c r="AM193" s="548"/>
      <c r="AN193" s="548"/>
      <c r="AO193" s="548"/>
      <c r="AP193" s="549"/>
      <c r="AQ193" s="531"/>
      <c r="AR193" s="516"/>
      <c r="AS193" s="518"/>
      <c r="AT193" s="556"/>
      <c r="AU193" s="27" t="s">
        <v>90</v>
      </c>
      <c r="AV193" s="30"/>
      <c r="AW193" s="27" t="s">
        <v>91</v>
      </c>
      <c r="AX193" s="33"/>
      <c r="AY193" s="556"/>
      <c r="AZ193" s="27" t="s">
        <v>90</v>
      </c>
      <c r="BA193" s="30"/>
      <c r="BB193" s="27" t="s">
        <v>91</v>
      </c>
      <c r="BC193" s="33"/>
    </row>
    <row r="194" spans="1:55" ht="16.5" customHeight="1">
      <c r="A194" s="560"/>
      <c r="B194" s="561"/>
      <c r="C194" s="10" t="s">
        <v>40</v>
      </c>
      <c r="D194" s="15"/>
      <c r="E194" s="130" t="s">
        <v>255</v>
      </c>
      <c r="F194" s="131"/>
      <c r="G194" s="356">
        <v>80</v>
      </c>
      <c r="H194" s="350"/>
      <c r="I194" s="351"/>
      <c r="J194" s="352"/>
      <c r="K194" s="17"/>
      <c r="L194" s="16"/>
      <c r="M194" s="22"/>
      <c r="N194" s="23"/>
      <c r="O194" s="17"/>
      <c r="P194" s="16"/>
      <c r="Q194" s="22"/>
      <c r="R194" s="23"/>
      <c r="S194" s="520"/>
      <c r="T194" s="522"/>
      <c r="U194" s="524"/>
      <c r="V194" s="526"/>
      <c r="W194" s="520"/>
      <c r="X194" s="522"/>
      <c r="Y194" s="524"/>
      <c r="Z194" s="526"/>
      <c r="AA194" s="17" t="s">
        <v>61</v>
      </c>
      <c r="AB194" s="16"/>
      <c r="AC194" s="22"/>
      <c r="AD194" s="23"/>
      <c r="AE194" s="115"/>
      <c r="AF194" s="116"/>
      <c r="AG194" s="116"/>
      <c r="AH194" s="116"/>
      <c r="AI194" s="117"/>
      <c r="AJ194" s="118"/>
      <c r="AK194" s="119"/>
      <c r="AL194" s="120"/>
      <c r="AM194" s="121"/>
      <c r="AN194" s="121"/>
      <c r="AO194" s="121"/>
      <c r="AP194" s="122"/>
      <c r="AQ194" s="115"/>
      <c r="AR194" s="116"/>
      <c r="AS194" s="118"/>
      <c r="AT194" s="123"/>
      <c r="AU194" s="113"/>
      <c r="AV194" s="113"/>
      <c r="AW194" s="113"/>
      <c r="AX194" s="114"/>
      <c r="AY194" s="123"/>
      <c r="AZ194" s="113"/>
      <c r="BA194" s="113"/>
      <c r="BB194" s="113"/>
      <c r="BC194" s="114"/>
    </row>
    <row r="195" spans="1:55" ht="16.5" customHeight="1"/>
    <row r="196" spans="1:55" ht="16.5" customHeight="1">
      <c r="A196" s="560">
        <v>17</v>
      </c>
      <c r="B196" s="561" t="s">
        <v>241</v>
      </c>
      <c r="C196" s="8" t="s">
        <v>42</v>
      </c>
      <c r="D196" s="24"/>
      <c r="E196" s="8" t="s">
        <v>43</v>
      </c>
      <c r="F196" s="11"/>
      <c r="G196" s="354">
        <v>81</v>
      </c>
      <c r="H196" s="335"/>
      <c r="I196" s="336"/>
      <c r="J196" s="357"/>
      <c r="K196" s="8" t="s">
        <v>333</v>
      </c>
      <c r="L196" s="6"/>
      <c r="M196" s="18"/>
      <c r="N196" s="19"/>
      <c r="O196" s="8" t="s">
        <v>333</v>
      </c>
      <c r="P196" s="6"/>
      <c r="Q196" s="18"/>
      <c r="R196" s="19"/>
      <c r="S196" s="532" t="s">
        <v>51</v>
      </c>
      <c r="T196" s="533"/>
      <c r="U196" s="535"/>
      <c r="V196" s="537"/>
      <c r="W196" s="532" t="s">
        <v>51</v>
      </c>
      <c r="X196" s="533"/>
      <c r="Y196" s="535"/>
      <c r="Z196" s="537"/>
      <c r="AA196" s="8" t="s">
        <v>51</v>
      </c>
      <c r="AB196" s="6"/>
      <c r="AC196" s="18"/>
      <c r="AD196" s="19"/>
      <c r="AE196" s="552"/>
      <c r="AF196" s="550"/>
      <c r="AG196" s="550"/>
      <c r="AH196" s="550"/>
      <c r="AI196" s="550"/>
      <c r="AJ196" s="551"/>
      <c r="AK196" s="552"/>
      <c r="AL196" s="550"/>
      <c r="AM196" s="550"/>
      <c r="AN196" s="550"/>
      <c r="AO196" s="550"/>
      <c r="AP196" s="551"/>
      <c r="AQ196" s="542">
        <v>81</v>
      </c>
      <c r="AR196" s="543"/>
      <c r="AS196" s="544"/>
      <c r="AT196" s="554">
        <v>33</v>
      </c>
      <c r="AU196" s="25" t="s">
        <v>0</v>
      </c>
      <c r="AV196" s="557"/>
      <c r="AW196" s="558"/>
      <c r="AX196" s="559"/>
      <c r="AY196" s="554">
        <v>35</v>
      </c>
      <c r="AZ196" s="25" t="s">
        <v>0</v>
      </c>
      <c r="BA196" s="557"/>
      <c r="BB196" s="558"/>
      <c r="BC196" s="559"/>
    </row>
    <row r="197" spans="1:55" ht="16.5" customHeight="1">
      <c r="A197" s="560"/>
      <c r="B197" s="561"/>
      <c r="C197" s="9" t="s">
        <v>33</v>
      </c>
      <c r="D197" s="13"/>
      <c r="E197" s="9" t="s">
        <v>70</v>
      </c>
      <c r="F197" s="12"/>
      <c r="G197" s="355">
        <v>82</v>
      </c>
      <c r="H197" s="338"/>
      <c r="I197" s="339"/>
      <c r="J197" s="340"/>
      <c r="K197" s="9" t="s">
        <v>334</v>
      </c>
      <c r="L197" s="7"/>
      <c r="M197" s="20"/>
      <c r="N197" s="21"/>
      <c r="O197" s="9" t="s">
        <v>334</v>
      </c>
      <c r="P197" s="7"/>
      <c r="Q197" s="20"/>
      <c r="R197" s="21"/>
      <c r="S197" s="519"/>
      <c r="T197" s="527"/>
      <c r="U197" s="528"/>
      <c r="V197" s="529"/>
      <c r="W197" s="519"/>
      <c r="X197" s="527"/>
      <c r="Y197" s="528"/>
      <c r="Z197" s="529"/>
      <c r="AA197" s="9" t="s">
        <v>52</v>
      </c>
      <c r="AB197" s="7"/>
      <c r="AC197" s="20"/>
      <c r="AD197" s="21"/>
      <c r="AE197" s="547"/>
      <c r="AF197" s="545"/>
      <c r="AG197" s="545"/>
      <c r="AH197" s="545"/>
      <c r="AI197" s="545"/>
      <c r="AJ197" s="546"/>
      <c r="AK197" s="547"/>
      <c r="AL197" s="545"/>
      <c r="AM197" s="545"/>
      <c r="AN197" s="545"/>
      <c r="AO197" s="545"/>
      <c r="AP197" s="546"/>
      <c r="AQ197" s="530"/>
      <c r="AR197" s="515"/>
      <c r="AS197" s="517"/>
      <c r="AT197" s="555"/>
      <c r="AU197" s="26" t="s">
        <v>87</v>
      </c>
      <c r="AV197" s="124"/>
      <c r="AW197" s="26" t="s">
        <v>192</v>
      </c>
      <c r="AX197" s="126"/>
      <c r="AY197" s="555"/>
      <c r="AZ197" s="26" t="s">
        <v>87</v>
      </c>
      <c r="BA197" s="124"/>
      <c r="BB197" s="127" t="s">
        <v>192</v>
      </c>
      <c r="BC197" s="125"/>
    </row>
    <row r="198" spans="1:55" ht="16.5" customHeight="1">
      <c r="A198" s="560"/>
      <c r="B198" s="561"/>
      <c r="C198" s="9" t="s">
        <v>34</v>
      </c>
      <c r="D198" s="14"/>
      <c r="E198" s="9" t="s">
        <v>44</v>
      </c>
      <c r="F198" s="12"/>
      <c r="G198" s="355">
        <v>83</v>
      </c>
      <c r="H198" s="338"/>
      <c r="I198" s="339"/>
      <c r="J198" s="340"/>
      <c r="K198" s="9" t="s">
        <v>335</v>
      </c>
      <c r="L198" s="7"/>
      <c r="M198" s="20"/>
      <c r="N198" s="21"/>
      <c r="O198" s="9" t="s">
        <v>335</v>
      </c>
      <c r="P198" s="7"/>
      <c r="Q198" s="20"/>
      <c r="R198" s="21"/>
      <c r="S198" s="519"/>
      <c r="T198" s="527"/>
      <c r="U198" s="528"/>
      <c r="V198" s="529"/>
      <c r="W198" s="519"/>
      <c r="X198" s="539"/>
      <c r="Y198" s="540"/>
      <c r="Z198" s="541"/>
      <c r="AA198" s="9" t="s">
        <v>53</v>
      </c>
      <c r="AB198" s="7"/>
      <c r="AC198" s="20"/>
      <c r="AD198" s="21"/>
      <c r="AE198" s="547"/>
      <c r="AF198" s="545"/>
      <c r="AG198" s="545"/>
      <c r="AH198" s="545"/>
      <c r="AI198" s="545"/>
      <c r="AJ198" s="546"/>
      <c r="AK198" s="547"/>
      <c r="AL198" s="545"/>
      <c r="AM198" s="545"/>
      <c r="AN198" s="545"/>
      <c r="AO198" s="545"/>
      <c r="AP198" s="546"/>
      <c r="AQ198" s="530">
        <v>82</v>
      </c>
      <c r="AR198" s="515"/>
      <c r="AS198" s="517"/>
      <c r="AT198" s="555"/>
      <c r="AU198" s="26" t="s">
        <v>88</v>
      </c>
      <c r="AV198" s="28"/>
      <c r="AW198" s="26" t="s">
        <v>12</v>
      </c>
      <c r="AX198" s="31"/>
      <c r="AY198" s="555"/>
      <c r="AZ198" s="26" t="s">
        <v>88</v>
      </c>
      <c r="BA198" s="28"/>
      <c r="BB198" s="26" t="s">
        <v>12</v>
      </c>
      <c r="BC198" s="31"/>
    </row>
    <row r="199" spans="1:55" ht="16.5" customHeight="1">
      <c r="A199" s="560"/>
      <c r="B199" s="561"/>
      <c r="C199" s="9" t="s">
        <v>41</v>
      </c>
      <c r="D199" s="13"/>
      <c r="E199" s="9" t="s">
        <v>62</v>
      </c>
      <c r="F199" s="12"/>
      <c r="G199" s="355">
        <v>84</v>
      </c>
      <c r="H199" s="341"/>
      <c r="I199" s="342"/>
      <c r="J199" s="343"/>
      <c r="K199" s="9" t="s">
        <v>336</v>
      </c>
      <c r="L199" s="7"/>
      <c r="M199" s="20"/>
      <c r="N199" s="21"/>
      <c r="O199" s="9" t="s">
        <v>336</v>
      </c>
      <c r="P199" s="7"/>
      <c r="Q199" s="20"/>
      <c r="R199" s="21"/>
      <c r="S199" s="519"/>
      <c r="T199" s="534"/>
      <c r="U199" s="536"/>
      <c r="V199" s="538"/>
      <c r="W199" s="532" t="s">
        <v>52</v>
      </c>
      <c r="X199" s="533"/>
      <c r="Y199" s="535"/>
      <c r="Z199" s="537"/>
      <c r="AA199" s="9" t="s">
        <v>54</v>
      </c>
      <c r="AB199" s="7"/>
      <c r="AC199" s="20"/>
      <c r="AD199" s="21"/>
      <c r="AE199" s="547"/>
      <c r="AF199" s="545"/>
      <c r="AG199" s="545"/>
      <c r="AH199" s="545"/>
      <c r="AI199" s="545"/>
      <c r="AJ199" s="546"/>
      <c r="AK199" s="547"/>
      <c r="AL199" s="545"/>
      <c r="AM199" s="545"/>
      <c r="AN199" s="545"/>
      <c r="AO199" s="545"/>
      <c r="AP199" s="546"/>
      <c r="AQ199" s="530"/>
      <c r="AR199" s="515"/>
      <c r="AS199" s="517"/>
      <c r="AT199" s="555"/>
      <c r="AU199" s="26" t="s">
        <v>89</v>
      </c>
      <c r="AV199" s="29"/>
      <c r="AW199" s="26" t="s">
        <v>12</v>
      </c>
      <c r="AX199" s="32"/>
      <c r="AY199" s="555"/>
      <c r="AZ199" s="26" t="s">
        <v>89</v>
      </c>
      <c r="BA199" s="29"/>
      <c r="BB199" s="26" t="s">
        <v>12</v>
      </c>
      <c r="BC199" s="32"/>
    </row>
    <row r="200" spans="1:55" ht="16.5" customHeight="1">
      <c r="A200" s="560"/>
      <c r="B200" s="561"/>
      <c r="C200" s="9" t="s">
        <v>417</v>
      </c>
      <c r="D200" s="3"/>
      <c r="E200" s="9" t="s">
        <v>45</v>
      </c>
      <c r="F200" s="12"/>
      <c r="G200" s="356">
        <v>85</v>
      </c>
      <c r="H200" s="344"/>
      <c r="I200" s="345"/>
      <c r="J200" s="346"/>
      <c r="K200" s="9" t="s">
        <v>337</v>
      </c>
      <c r="L200" s="7"/>
      <c r="M200" s="20"/>
      <c r="N200" s="21"/>
      <c r="O200" s="9" t="s">
        <v>337</v>
      </c>
      <c r="P200" s="7"/>
      <c r="Q200" s="20"/>
      <c r="R200" s="21"/>
      <c r="S200" s="519" t="s">
        <v>52</v>
      </c>
      <c r="T200" s="527"/>
      <c r="U200" s="528"/>
      <c r="V200" s="529"/>
      <c r="W200" s="519"/>
      <c r="X200" s="527"/>
      <c r="Y200" s="528"/>
      <c r="Z200" s="529"/>
      <c r="AA200" s="9" t="s">
        <v>55</v>
      </c>
      <c r="AB200" s="7"/>
      <c r="AC200" s="20"/>
      <c r="AD200" s="21"/>
      <c r="AE200" s="547"/>
      <c r="AF200" s="545"/>
      <c r="AG200" s="545"/>
      <c r="AH200" s="545"/>
      <c r="AI200" s="545"/>
      <c r="AJ200" s="546"/>
      <c r="AK200" s="547"/>
      <c r="AL200" s="545"/>
      <c r="AM200" s="545"/>
      <c r="AN200" s="545"/>
      <c r="AO200" s="545"/>
      <c r="AP200" s="546"/>
      <c r="AQ200" s="530">
        <v>83</v>
      </c>
      <c r="AR200" s="515"/>
      <c r="AS200" s="517"/>
      <c r="AT200" s="556"/>
      <c r="AU200" s="27" t="s">
        <v>90</v>
      </c>
      <c r="AV200" s="30"/>
      <c r="AW200" s="27" t="s">
        <v>91</v>
      </c>
      <c r="AX200" s="33"/>
      <c r="AY200" s="556"/>
      <c r="AZ200" s="27" t="s">
        <v>90</v>
      </c>
      <c r="BA200" s="30"/>
      <c r="BB200" s="27" t="s">
        <v>91</v>
      </c>
      <c r="BC200" s="33"/>
    </row>
    <row r="201" spans="1:55" ht="16.5" customHeight="1">
      <c r="A201" s="560"/>
      <c r="B201" s="561"/>
      <c r="C201" s="9" t="s">
        <v>35</v>
      </c>
      <c r="D201" s="13"/>
      <c r="E201" s="9" t="s">
        <v>46</v>
      </c>
      <c r="F201" s="12"/>
      <c r="G201" s="5" t="s">
        <v>12</v>
      </c>
      <c r="H201" s="128" t="s">
        <v>13</v>
      </c>
      <c r="I201" s="4" t="s">
        <v>14</v>
      </c>
      <c r="J201" s="4" t="s">
        <v>15</v>
      </c>
      <c r="K201" s="9" t="s">
        <v>338</v>
      </c>
      <c r="L201" s="7"/>
      <c r="M201" s="20"/>
      <c r="N201" s="21"/>
      <c r="O201" s="9" t="s">
        <v>338</v>
      </c>
      <c r="P201" s="7"/>
      <c r="Q201" s="20"/>
      <c r="R201" s="21"/>
      <c r="S201" s="519"/>
      <c r="T201" s="527"/>
      <c r="U201" s="528"/>
      <c r="V201" s="529"/>
      <c r="W201" s="519"/>
      <c r="X201" s="539"/>
      <c r="Y201" s="540"/>
      <c r="Z201" s="541"/>
      <c r="AA201" s="9" t="s">
        <v>56</v>
      </c>
      <c r="AB201" s="7"/>
      <c r="AC201" s="20"/>
      <c r="AD201" s="21"/>
      <c r="AE201" s="547"/>
      <c r="AF201" s="545"/>
      <c r="AG201" s="545"/>
      <c r="AH201" s="545"/>
      <c r="AI201" s="545"/>
      <c r="AJ201" s="546"/>
      <c r="AK201" s="547"/>
      <c r="AL201" s="545"/>
      <c r="AM201" s="545"/>
      <c r="AN201" s="545"/>
      <c r="AO201" s="545"/>
      <c r="AP201" s="546"/>
      <c r="AQ201" s="530"/>
      <c r="AR201" s="515"/>
      <c r="AS201" s="517"/>
      <c r="AT201" s="554">
        <v>34</v>
      </c>
      <c r="AU201" s="25" t="s">
        <v>0</v>
      </c>
      <c r="AV201" s="557"/>
      <c r="AW201" s="558"/>
      <c r="AX201" s="559"/>
      <c r="AY201" s="554">
        <v>36</v>
      </c>
      <c r="AZ201" s="25" t="s">
        <v>0</v>
      </c>
      <c r="BA201" s="557"/>
      <c r="BB201" s="558"/>
      <c r="BC201" s="559"/>
    </row>
    <row r="202" spans="1:55" ht="16.5" customHeight="1">
      <c r="A202" s="560"/>
      <c r="B202" s="561"/>
      <c r="C202" s="9" t="s">
        <v>36</v>
      </c>
      <c r="D202" s="13"/>
      <c r="E202" s="9" t="s">
        <v>47</v>
      </c>
      <c r="F202" s="12"/>
      <c r="G202" s="354">
        <v>81</v>
      </c>
      <c r="H202" s="335"/>
      <c r="I202" s="336"/>
      <c r="J202" s="357"/>
      <c r="K202" s="9" t="s">
        <v>339</v>
      </c>
      <c r="L202" s="7"/>
      <c r="M202" s="20"/>
      <c r="N202" s="21"/>
      <c r="O202" s="9" t="s">
        <v>339</v>
      </c>
      <c r="P202" s="7"/>
      <c r="Q202" s="20"/>
      <c r="R202" s="21"/>
      <c r="S202" s="519"/>
      <c r="T202" s="527"/>
      <c r="U202" s="528"/>
      <c r="V202" s="529"/>
      <c r="W202" s="532" t="s">
        <v>344</v>
      </c>
      <c r="X202" s="533"/>
      <c r="Y202" s="535"/>
      <c r="Z202" s="537"/>
      <c r="AA202" s="9"/>
      <c r="AB202" s="7"/>
      <c r="AC202" s="20"/>
      <c r="AD202" s="21"/>
      <c r="AE202" s="547"/>
      <c r="AF202" s="545"/>
      <c r="AG202" s="545"/>
      <c r="AH202" s="545"/>
      <c r="AI202" s="545"/>
      <c r="AJ202" s="546"/>
      <c r="AK202" s="547"/>
      <c r="AL202" s="545"/>
      <c r="AM202" s="545"/>
      <c r="AN202" s="545"/>
      <c r="AO202" s="545"/>
      <c r="AP202" s="546"/>
      <c r="AQ202" s="530">
        <v>84</v>
      </c>
      <c r="AR202" s="515"/>
      <c r="AS202" s="517"/>
      <c r="AT202" s="555"/>
      <c r="AU202" s="26" t="s">
        <v>87</v>
      </c>
      <c r="AV202" s="124"/>
      <c r="AW202" s="127" t="s">
        <v>192</v>
      </c>
      <c r="AX202" s="125"/>
      <c r="AY202" s="555"/>
      <c r="AZ202" s="26" t="s">
        <v>87</v>
      </c>
      <c r="BA202" s="124"/>
      <c r="BB202" s="127" t="s">
        <v>192</v>
      </c>
      <c r="BC202" s="125"/>
    </row>
    <row r="203" spans="1:55" ht="16.5" customHeight="1">
      <c r="A203" s="560"/>
      <c r="B203" s="561"/>
      <c r="C203" s="9" t="s">
        <v>37</v>
      </c>
      <c r="D203" s="13"/>
      <c r="E203" s="9" t="s">
        <v>48</v>
      </c>
      <c r="F203" s="12"/>
      <c r="G203" s="355">
        <v>82</v>
      </c>
      <c r="H203" s="338"/>
      <c r="I203" s="339"/>
      <c r="J203" s="340"/>
      <c r="K203" s="353" t="s">
        <v>340</v>
      </c>
      <c r="L203" s="7"/>
      <c r="M203" s="20"/>
      <c r="N203" s="21"/>
      <c r="O203" s="353" t="s">
        <v>340</v>
      </c>
      <c r="P203" s="7"/>
      <c r="Q203" s="20"/>
      <c r="R203" s="21"/>
      <c r="S203" s="519"/>
      <c r="T203" s="539"/>
      <c r="U203" s="540"/>
      <c r="V203" s="541"/>
      <c r="W203" s="519"/>
      <c r="X203" s="527"/>
      <c r="Y203" s="528"/>
      <c r="Z203" s="529"/>
      <c r="AA203" s="9" t="s">
        <v>58</v>
      </c>
      <c r="AB203" s="7"/>
      <c r="AC203" s="20"/>
      <c r="AD203" s="21"/>
      <c r="AE203" s="547"/>
      <c r="AF203" s="545"/>
      <c r="AG203" s="545"/>
      <c r="AH203" s="545"/>
      <c r="AI203" s="545"/>
      <c r="AJ203" s="546"/>
      <c r="AK203" s="547"/>
      <c r="AL203" s="545"/>
      <c r="AM203" s="545"/>
      <c r="AN203" s="545"/>
      <c r="AO203" s="545"/>
      <c r="AP203" s="546"/>
      <c r="AQ203" s="530"/>
      <c r="AR203" s="515"/>
      <c r="AS203" s="517"/>
      <c r="AT203" s="555"/>
      <c r="AU203" s="26" t="s">
        <v>88</v>
      </c>
      <c r="AV203" s="28"/>
      <c r="AW203" s="26" t="s">
        <v>12</v>
      </c>
      <c r="AX203" s="31"/>
      <c r="AY203" s="555"/>
      <c r="AZ203" s="26" t="s">
        <v>88</v>
      </c>
      <c r="BA203" s="28"/>
      <c r="BB203" s="26" t="s">
        <v>12</v>
      </c>
      <c r="BC203" s="31"/>
    </row>
    <row r="204" spans="1:55" ht="16.5" customHeight="1">
      <c r="A204" s="560"/>
      <c r="B204" s="561"/>
      <c r="C204" s="9" t="s">
        <v>38</v>
      </c>
      <c r="D204" s="13"/>
      <c r="E204" s="9" t="s">
        <v>49</v>
      </c>
      <c r="F204" s="12"/>
      <c r="G204" s="355">
        <v>83</v>
      </c>
      <c r="H204" s="338"/>
      <c r="I204" s="339"/>
      <c r="J204" s="340"/>
      <c r="K204" s="9" t="s">
        <v>341</v>
      </c>
      <c r="L204" s="7"/>
      <c r="M204" s="20"/>
      <c r="N204" s="21"/>
      <c r="O204" s="9" t="s">
        <v>341</v>
      </c>
      <c r="P204" s="7"/>
      <c r="Q204" s="20"/>
      <c r="R204" s="21"/>
      <c r="S204" s="519" t="s">
        <v>344</v>
      </c>
      <c r="T204" s="521"/>
      <c r="U204" s="523"/>
      <c r="V204" s="525"/>
      <c r="W204" s="519"/>
      <c r="X204" s="539"/>
      <c r="Y204" s="540"/>
      <c r="Z204" s="541"/>
      <c r="AA204" s="9" t="s">
        <v>59</v>
      </c>
      <c r="AB204" s="7"/>
      <c r="AC204" s="20"/>
      <c r="AD204" s="21"/>
      <c r="AE204" s="547"/>
      <c r="AF204" s="545"/>
      <c r="AG204" s="545"/>
      <c r="AH204" s="545"/>
      <c r="AI204" s="545"/>
      <c r="AJ204" s="546"/>
      <c r="AK204" s="547"/>
      <c r="AL204" s="545"/>
      <c r="AM204" s="545"/>
      <c r="AN204" s="545"/>
      <c r="AO204" s="545"/>
      <c r="AP204" s="546"/>
      <c r="AQ204" s="530">
        <v>85</v>
      </c>
      <c r="AR204" s="515"/>
      <c r="AS204" s="517"/>
      <c r="AT204" s="555"/>
      <c r="AU204" s="26" t="s">
        <v>89</v>
      </c>
      <c r="AV204" s="29"/>
      <c r="AW204" s="26" t="s">
        <v>12</v>
      </c>
      <c r="AX204" s="32"/>
      <c r="AY204" s="555"/>
      <c r="AZ204" s="26" t="s">
        <v>89</v>
      </c>
      <c r="BA204" s="29"/>
      <c r="BB204" s="26" t="s">
        <v>12</v>
      </c>
      <c r="BC204" s="32"/>
    </row>
    <row r="205" spans="1:55" ht="16.5" customHeight="1">
      <c r="A205" s="560"/>
      <c r="B205" s="561"/>
      <c r="C205" s="9" t="s">
        <v>39</v>
      </c>
      <c r="D205" s="13"/>
      <c r="E205" s="9" t="s">
        <v>50</v>
      </c>
      <c r="F205" s="132"/>
      <c r="G205" s="355">
        <v>84</v>
      </c>
      <c r="H205" s="347"/>
      <c r="I205" s="348"/>
      <c r="J205" s="349"/>
      <c r="K205" s="9"/>
      <c r="L205" s="7"/>
      <c r="M205" s="20"/>
      <c r="N205" s="21"/>
      <c r="O205" s="9"/>
      <c r="P205" s="7"/>
      <c r="Q205" s="20"/>
      <c r="R205" s="21"/>
      <c r="S205" s="519"/>
      <c r="T205" s="527"/>
      <c r="U205" s="528"/>
      <c r="V205" s="529"/>
      <c r="W205" s="519" t="s">
        <v>60</v>
      </c>
      <c r="X205" s="521"/>
      <c r="Y205" s="523"/>
      <c r="Z205" s="525"/>
      <c r="AA205" s="9" t="s">
        <v>60</v>
      </c>
      <c r="AB205" s="7"/>
      <c r="AC205" s="20"/>
      <c r="AD205" s="21"/>
      <c r="AE205" s="553"/>
      <c r="AF205" s="548"/>
      <c r="AG205" s="548"/>
      <c r="AH205" s="548"/>
      <c r="AI205" s="548"/>
      <c r="AJ205" s="549"/>
      <c r="AK205" s="553"/>
      <c r="AL205" s="548"/>
      <c r="AM205" s="548"/>
      <c r="AN205" s="548"/>
      <c r="AO205" s="548"/>
      <c r="AP205" s="549"/>
      <c r="AQ205" s="531"/>
      <c r="AR205" s="516"/>
      <c r="AS205" s="518"/>
      <c r="AT205" s="556"/>
      <c r="AU205" s="27" t="s">
        <v>90</v>
      </c>
      <c r="AV205" s="30"/>
      <c r="AW205" s="27" t="s">
        <v>91</v>
      </c>
      <c r="AX205" s="33"/>
      <c r="AY205" s="556"/>
      <c r="AZ205" s="27" t="s">
        <v>90</v>
      </c>
      <c r="BA205" s="30"/>
      <c r="BB205" s="27" t="s">
        <v>91</v>
      </c>
      <c r="BC205" s="33"/>
    </row>
    <row r="206" spans="1:55" ht="16.5" customHeight="1">
      <c r="A206" s="560"/>
      <c r="B206" s="561"/>
      <c r="C206" s="10" t="s">
        <v>40</v>
      </c>
      <c r="D206" s="15"/>
      <c r="E206" s="130" t="s">
        <v>255</v>
      </c>
      <c r="F206" s="131"/>
      <c r="G206" s="356">
        <v>85</v>
      </c>
      <c r="H206" s="350"/>
      <c r="I206" s="351"/>
      <c r="J206" s="352"/>
      <c r="K206" s="17"/>
      <c r="L206" s="16"/>
      <c r="M206" s="22"/>
      <c r="N206" s="23"/>
      <c r="O206" s="17"/>
      <c r="P206" s="16"/>
      <c r="Q206" s="22"/>
      <c r="R206" s="23"/>
      <c r="S206" s="520"/>
      <c r="T206" s="522"/>
      <c r="U206" s="524"/>
      <c r="V206" s="526"/>
      <c r="W206" s="520"/>
      <c r="X206" s="522"/>
      <c r="Y206" s="524"/>
      <c r="Z206" s="526"/>
      <c r="AA206" s="17" t="s">
        <v>61</v>
      </c>
      <c r="AB206" s="16"/>
      <c r="AC206" s="22"/>
      <c r="AD206" s="23"/>
      <c r="AE206" s="115"/>
      <c r="AF206" s="116"/>
      <c r="AG206" s="116"/>
      <c r="AH206" s="116"/>
      <c r="AI206" s="117"/>
      <c r="AJ206" s="118"/>
      <c r="AK206" s="119"/>
      <c r="AL206" s="120"/>
      <c r="AM206" s="121"/>
      <c r="AN206" s="121"/>
      <c r="AO206" s="121"/>
      <c r="AP206" s="122"/>
      <c r="AQ206" s="115"/>
      <c r="AR206" s="116"/>
      <c r="AS206" s="118"/>
      <c r="AT206" s="123"/>
      <c r="AU206" s="113"/>
      <c r="AV206" s="113"/>
      <c r="AW206" s="113"/>
      <c r="AX206" s="114"/>
      <c r="AY206" s="123"/>
      <c r="AZ206" s="113"/>
      <c r="BA206" s="113"/>
      <c r="BB206" s="113"/>
      <c r="BC206" s="114"/>
    </row>
    <row r="207" spans="1:55" ht="16.5" customHeight="1"/>
    <row r="208" spans="1:55" ht="16.5" customHeight="1">
      <c r="A208" s="560">
        <v>18</v>
      </c>
      <c r="B208" s="561" t="s">
        <v>242</v>
      </c>
      <c r="C208" s="8" t="s">
        <v>42</v>
      </c>
      <c r="D208" s="24"/>
      <c r="E208" s="8" t="s">
        <v>43</v>
      </c>
      <c r="F208" s="11"/>
      <c r="G208" s="354">
        <v>86</v>
      </c>
      <c r="H208" s="335"/>
      <c r="I208" s="336"/>
      <c r="J208" s="357"/>
      <c r="K208" s="8" t="s">
        <v>333</v>
      </c>
      <c r="L208" s="6"/>
      <c r="M208" s="18"/>
      <c r="N208" s="19"/>
      <c r="O208" s="8" t="s">
        <v>333</v>
      </c>
      <c r="P208" s="6"/>
      <c r="Q208" s="18"/>
      <c r="R208" s="19"/>
      <c r="S208" s="532" t="s">
        <v>51</v>
      </c>
      <c r="T208" s="533"/>
      <c r="U208" s="535"/>
      <c r="V208" s="537"/>
      <c r="W208" s="532" t="s">
        <v>51</v>
      </c>
      <c r="X208" s="533"/>
      <c r="Y208" s="535"/>
      <c r="Z208" s="537"/>
      <c r="AA208" s="8" t="s">
        <v>51</v>
      </c>
      <c r="AB208" s="6"/>
      <c r="AC208" s="18"/>
      <c r="AD208" s="19"/>
      <c r="AE208" s="552"/>
      <c r="AF208" s="550"/>
      <c r="AG208" s="550"/>
      <c r="AH208" s="550"/>
      <c r="AI208" s="550"/>
      <c r="AJ208" s="551"/>
      <c r="AK208" s="552"/>
      <c r="AL208" s="550"/>
      <c r="AM208" s="550"/>
      <c r="AN208" s="550"/>
      <c r="AO208" s="550"/>
      <c r="AP208" s="551"/>
      <c r="AQ208" s="542">
        <v>86</v>
      </c>
      <c r="AR208" s="543"/>
      <c r="AS208" s="544"/>
      <c r="AT208" s="554">
        <v>35</v>
      </c>
      <c r="AU208" s="25" t="s">
        <v>0</v>
      </c>
      <c r="AV208" s="557"/>
      <c r="AW208" s="558"/>
      <c r="AX208" s="559"/>
      <c r="AY208" s="554">
        <v>37</v>
      </c>
      <c r="AZ208" s="25" t="s">
        <v>0</v>
      </c>
      <c r="BA208" s="557"/>
      <c r="BB208" s="558"/>
      <c r="BC208" s="559"/>
    </row>
    <row r="209" spans="1:55" ht="16.5" customHeight="1">
      <c r="A209" s="560"/>
      <c r="B209" s="561"/>
      <c r="C209" s="9" t="s">
        <v>33</v>
      </c>
      <c r="D209" s="13"/>
      <c r="E209" s="9" t="s">
        <v>70</v>
      </c>
      <c r="F209" s="12"/>
      <c r="G209" s="355">
        <v>87</v>
      </c>
      <c r="H209" s="338"/>
      <c r="I209" s="339"/>
      <c r="J209" s="340"/>
      <c r="K209" s="9" t="s">
        <v>334</v>
      </c>
      <c r="L209" s="7"/>
      <c r="M209" s="20"/>
      <c r="N209" s="21"/>
      <c r="O209" s="9" t="s">
        <v>334</v>
      </c>
      <c r="P209" s="7"/>
      <c r="Q209" s="20"/>
      <c r="R209" s="21"/>
      <c r="S209" s="519"/>
      <c r="T209" s="527"/>
      <c r="U209" s="528"/>
      <c r="V209" s="529"/>
      <c r="W209" s="519"/>
      <c r="X209" s="527"/>
      <c r="Y209" s="528"/>
      <c r="Z209" s="529"/>
      <c r="AA209" s="9" t="s">
        <v>52</v>
      </c>
      <c r="AB209" s="7"/>
      <c r="AC209" s="20"/>
      <c r="AD209" s="21"/>
      <c r="AE209" s="547"/>
      <c r="AF209" s="545"/>
      <c r="AG209" s="545"/>
      <c r="AH209" s="545"/>
      <c r="AI209" s="545"/>
      <c r="AJ209" s="546"/>
      <c r="AK209" s="547"/>
      <c r="AL209" s="545"/>
      <c r="AM209" s="545"/>
      <c r="AN209" s="545"/>
      <c r="AO209" s="545"/>
      <c r="AP209" s="546"/>
      <c r="AQ209" s="530"/>
      <c r="AR209" s="515"/>
      <c r="AS209" s="517"/>
      <c r="AT209" s="555"/>
      <c r="AU209" s="26" t="s">
        <v>87</v>
      </c>
      <c r="AV209" s="124"/>
      <c r="AW209" s="26" t="s">
        <v>192</v>
      </c>
      <c r="AX209" s="126"/>
      <c r="AY209" s="555"/>
      <c r="AZ209" s="26" t="s">
        <v>87</v>
      </c>
      <c r="BA209" s="124"/>
      <c r="BB209" s="127" t="s">
        <v>192</v>
      </c>
      <c r="BC209" s="125"/>
    </row>
    <row r="210" spans="1:55" ht="16.5" customHeight="1">
      <c r="A210" s="560"/>
      <c r="B210" s="561"/>
      <c r="C210" s="9" t="s">
        <v>34</v>
      </c>
      <c r="D210" s="14"/>
      <c r="E210" s="9" t="s">
        <v>44</v>
      </c>
      <c r="F210" s="12"/>
      <c r="G210" s="355">
        <v>88</v>
      </c>
      <c r="H210" s="338"/>
      <c r="I210" s="339"/>
      <c r="J210" s="340"/>
      <c r="K210" s="9" t="s">
        <v>335</v>
      </c>
      <c r="L210" s="7"/>
      <c r="M210" s="20"/>
      <c r="N210" s="21"/>
      <c r="O210" s="9" t="s">
        <v>335</v>
      </c>
      <c r="P210" s="7"/>
      <c r="Q210" s="20"/>
      <c r="R210" s="21"/>
      <c r="S210" s="519"/>
      <c r="T210" s="527"/>
      <c r="U210" s="528"/>
      <c r="V210" s="529"/>
      <c r="W210" s="519"/>
      <c r="X210" s="539"/>
      <c r="Y210" s="540"/>
      <c r="Z210" s="541"/>
      <c r="AA210" s="9" t="s">
        <v>53</v>
      </c>
      <c r="AB210" s="7"/>
      <c r="AC210" s="20"/>
      <c r="AD210" s="21"/>
      <c r="AE210" s="547"/>
      <c r="AF210" s="545"/>
      <c r="AG210" s="545"/>
      <c r="AH210" s="545"/>
      <c r="AI210" s="545"/>
      <c r="AJ210" s="546"/>
      <c r="AK210" s="547"/>
      <c r="AL210" s="545"/>
      <c r="AM210" s="545"/>
      <c r="AN210" s="545"/>
      <c r="AO210" s="545"/>
      <c r="AP210" s="546"/>
      <c r="AQ210" s="530">
        <v>87</v>
      </c>
      <c r="AR210" s="515"/>
      <c r="AS210" s="517"/>
      <c r="AT210" s="555"/>
      <c r="AU210" s="26" t="s">
        <v>88</v>
      </c>
      <c r="AV210" s="28"/>
      <c r="AW210" s="26" t="s">
        <v>12</v>
      </c>
      <c r="AX210" s="31"/>
      <c r="AY210" s="555"/>
      <c r="AZ210" s="26" t="s">
        <v>88</v>
      </c>
      <c r="BA210" s="28"/>
      <c r="BB210" s="26" t="s">
        <v>12</v>
      </c>
      <c r="BC210" s="31"/>
    </row>
    <row r="211" spans="1:55" ht="16.5" customHeight="1">
      <c r="A211" s="560"/>
      <c r="B211" s="561"/>
      <c r="C211" s="9" t="s">
        <v>41</v>
      </c>
      <c r="D211" s="13"/>
      <c r="E211" s="9" t="s">
        <v>62</v>
      </c>
      <c r="F211" s="12"/>
      <c r="G211" s="355">
        <v>89</v>
      </c>
      <c r="H211" s="341"/>
      <c r="I211" s="342"/>
      <c r="J211" s="343"/>
      <c r="K211" s="9" t="s">
        <v>336</v>
      </c>
      <c r="L211" s="7"/>
      <c r="M211" s="20"/>
      <c r="N211" s="21"/>
      <c r="O211" s="9" t="s">
        <v>336</v>
      </c>
      <c r="P211" s="7"/>
      <c r="Q211" s="20"/>
      <c r="R211" s="21"/>
      <c r="S211" s="519"/>
      <c r="T211" s="534"/>
      <c r="U211" s="536"/>
      <c r="V211" s="538"/>
      <c r="W211" s="532" t="s">
        <v>52</v>
      </c>
      <c r="X211" s="533"/>
      <c r="Y211" s="535"/>
      <c r="Z211" s="537"/>
      <c r="AA211" s="9" t="s">
        <v>54</v>
      </c>
      <c r="AB211" s="7"/>
      <c r="AC211" s="20"/>
      <c r="AD211" s="21"/>
      <c r="AE211" s="547"/>
      <c r="AF211" s="545"/>
      <c r="AG211" s="545"/>
      <c r="AH211" s="545"/>
      <c r="AI211" s="545"/>
      <c r="AJ211" s="546"/>
      <c r="AK211" s="547"/>
      <c r="AL211" s="545"/>
      <c r="AM211" s="545"/>
      <c r="AN211" s="545"/>
      <c r="AO211" s="545"/>
      <c r="AP211" s="546"/>
      <c r="AQ211" s="530"/>
      <c r="AR211" s="515"/>
      <c r="AS211" s="517"/>
      <c r="AT211" s="555"/>
      <c r="AU211" s="26" t="s">
        <v>89</v>
      </c>
      <c r="AV211" s="29"/>
      <c r="AW211" s="26" t="s">
        <v>12</v>
      </c>
      <c r="AX211" s="32"/>
      <c r="AY211" s="555"/>
      <c r="AZ211" s="26" t="s">
        <v>89</v>
      </c>
      <c r="BA211" s="29"/>
      <c r="BB211" s="26" t="s">
        <v>12</v>
      </c>
      <c r="BC211" s="32"/>
    </row>
    <row r="212" spans="1:55" ht="16.5" customHeight="1">
      <c r="A212" s="560"/>
      <c r="B212" s="561"/>
      <c r="C212" s="9" t="s">
        <v>417</v>
      </c>
      <c r="D212" s="3"/>
      <c r="E212" s="9" t="s">
        <v>45</v>
      </c>
      <c r="F212" s="12"/>
      <c r="G212" s="356">
        <v>90</v>
      </c>
      <c r="H212" s="344"/>
      <c r="I212" s="345"/>
      <c r="J212" s="346"/>
      <c r="K212" s="9" t="s">
        <v>337</v>
      </c>
      <c r="L212" s="7"/>
      <c r="M212" s="20"/>
      <c r="N212" s="21"/>
      <c r="O212" s="9" t="s">
        <v>337</v>
      </c>
      <c r="P212" s="7"/>
      <c r="Q212" s="20"/>
      <c r="R212" s="21"/>
      <c r="S212" s="519" t="s">
        <v>52</v>
      </c>
      <c r="T212" s="527"/>
      <c r="U212" s="528"/>
      <c r="V212" s="529"/>
      <c r="W212" s="519"/>
      <c r="X212" s="527"/>
      <c r="Y212" s="528"/>
      <c r="Z212" s="529"/>
      <c r="AA212" s="9" t="s">
        <v>55</v>
      </c>
      <c r="AB212" s="7"/>
      <c r="AC212" s="20"/>
      <c r="AD212" s="21"/>
      <c r="AE212" s="547"/>
      <c r="AF212" s="545"/>
      <c r="AG212" s="545"/>
      <c r="AH212" s="545"/>
      <c r="AI212" s="545"/>
      <c r="AJ212" s="546"/>
      <c r="AK212" s="547"/>
      <c r="AL212" s="545"/>
      <c r="AM212" s="545"/>
      <c r="AN212" s="545"/>
      <c r="AO212" s="545"/>
      <c r="AP212" s="546"/>
      <c r="AQ212" s="530">
        <v>88</v>
      </c>
      <c r="AR212" s="515"/>
      <c r="AS212" s="517"/>
      <c r="AT212" s="556"/>
      <c r="AU212" s="27" t="s">
        <v>90</v>
      </c>
      <c r="AV212" s="30"/>
      <c r="AW212" s="27" t="s">
        <v>91</v>
      </c>
      <c r="AX212" s="33"/>
      <c r="AY212" s="556"/>
      <c r="AZ212" s="27" t="s">
        <v>90</v>
      </c>
      <c r="BA212" s="30"/>
      <c r="BB212" s="27" t="s">
        <v>91</v>
      </c>
      <c r="BC212" s="33"/>
    </row>
    <row r="213" spans="1:55" ht="16.5" customHeight="1">
      <c r="A213" s="560"/>
      <c r="B213" s="561"/>
      <c r="C213" s="9" t="s">
        <v>35</v>
      </c>
      <c r="D213" s="13"/>
      <c r="E213" s="9" t="s">
        <v>46</v>
      </c>
      <c r="F213" s="12"/>
      <c r="G213" s="5" t="s">
        <v>12</v>
      </c>
      <c r="H213" s="128" t="s">
        <v>13</v>
      </c>
      <c r="I213" s="4" t="s">
        <v>14</v>
      </c>
      <c r="J213" s="4" t="s">
        <v>15</v>
      </c>
      <c r="K213" s="9" t="s">
        <v>338</v>
      </c>
      <c r="L213" s="7"/>
      <c r="M213" s="20"/>
      <c r="N213" s="21"/>
      <c r="O213" s="9" t="s">
        <v>338</v>
      </c>
      <c r="P213" s="7"/>
      <c r="Q213" s="20"/>
      <c r="R213" s="21"/>
      <c r="S213" s="519"/>
      <c r="T213" s="527"/>
      <c r="U213" s="528"/>
      <c r="V213" s="529"/>
      <c r="W213" s="519"/>
      <c r="X213" s="539"/>
      <c r="Y213" s="540"/>
      <c r="Z213" s="541"/>
      <c r="AA213" s="9" t="s">
        <v>56</v>
      </c>
      <c r="AB213" s="7"/>
      <c r="AC213" s="20"/>
      <c r="AD213" s="21"/>
      <c r="AE213" s="547"/>
      <c r="AF213" s="545"/>
      <c r="AG213" s="545"/>
      <c r="AH213" s="545"/>
      <c r="AI213" s="545"/>
      <c r="AJ213" s="546"/>
      <c r="AK213" s="547"/>
      <c r="AL213" s="545"/>
      <c r="AM213" s="545"/>
      <c r="AN213" s="545"/>
      <c r="AO213" s="545"/>
      <c r="AP213" s="546"/>
      <c r="AQ213" s="530"/>
      <c r="AR213" s="515"/>
      <c r="AS213" s="517"/>
      <c r="AT213" s="554">
        <v>36</v>
      </c>
      <c r="AU213" s="25" t="s">
        <v>0</v>
      </c>
      <c r="AV213" s="557"/>
      <c r="AW213" s="558"/>
      <c r="AX213" s="559"/>
      <c r="AY213" s="554">
        <v>38</v>
      </c>
      <c r="AZ213" s="25" t="s">
        <v>0</v>
      </c>
      <c r="BA213" s="557"/>
      <c r="BB213" s="558"/>
      <c r="BC213" s="559"/>
    </row>
    <row r="214" spans="1:55" ht="16.5" customHeight="1">
      <c r="A214" s="560"/>
      <c r="B214" s="561"/>
      <c r="C214" s="9" t="s">
        <v>36</v>
      </c>
      <c r="D214" s="13"/>
      <c r="E214" s="9" t="s">
        <v>47</v>
      </c>
      <c r="F214" s="12"/>
      <c r="G214" s="354">
        <v>86</v>
      </c>
      <c r="H214" s="335"/>
      <c r="I214" s="336"/>
      <c r="J214" s="357"/>
      <c r="K214" s="9" t="s">
        <v>339</v>
      </c>
      <c r="L214" s="7"/>
      <c r="M214" s="20"/>
      <c r="N214" s="21"/>
      <c r="O214" s="9" t="s">
        <v>339</v>
      </c>
      <c r="P214" s="7"/>
      <c r="Q214" s="20"/>
      <c r="R214" s="21"/>
      <c r="S214" s="519"/>
      <c r="T214" s="527"/>
      <c r="U214" s="528"/>
      <c r="V214" s="529"/>
      <c r="W214" s="532" t="s">
        <v>344</v>
      </c>
      <c r="X214" s="533"/>
      <c r="Y214" s="535"/>
      <c r="Z214" s="537"/>
      <c r="AA214" s="9"/>
      <c r="AB214" s="7"/>
      <c r="AC214" s="20"/>
      <c r="AD214" s="21"/>
      <c r="AE214" s="547"/>
      <c r="AF214" s="545"/>
      <c r="AG214" s="545"/>
      <c r="AH214" s="545"/>
      <c r="AI214" s="545"/>
      <c r="AJ214" s="546"/>
      <c r="AK214" s="547"/>
      <c r="AL214" s="545"/>
      <c r="AM214" s="545"/>
      <c r="AN214" s="545"/>
      <c r="AO214" s="545"/>
      <c r="AP214" s="546"/>
      <c r="AQ214" s="530">
        <v>89</v>
      </c>
      <c r="AR214" s="515"/>
      <c r="AS214" s="517"/>
      <c r="AT214" s="555"/>
      <c r="AU214" s="26" t="s">
        <v>87</v>
      </c>
      <c r="AV214" s="124"/>
      <c r="AW214" s="127" t="s">
        <v>192</v>
      </c>
      <c r="AX214" s="125"/>
      <c r="AY214" s="555"/>
      <c r="AZ214" s="26" t="s">
        <v>87</v>
      </c>
      <c r="BA214" s="124"/>
      <c r="BB214" s="127" t="s">
        <v>192</v>
      </c>
      <c r="BC214" s="125"/>
    </row>
    <row r="215" spans="1:55" ht="16.5" customHeight="1">
      <c r="A215" s="560"/>
      <c r="B215" s="561"/>
      <c r="C215" s="9" t="s">
        <v>37</v>
      </c>
      <c r="D215" s="13"/>
      <c r="E215" s="9" t="s">
        <v>48</v>
      </c>
      <c r="F215" s="12"/>
      <c r="G215" s="355">
        <v>87</v>
      </c>
      <c r="H215" s="338"/>
      <c r="I215" s="339"/>
      <c r="J215" s="340"/>
      <c r="K215" s="353" t="s">
        <v>340</v>
      </c>
      <c r="L215" s="7"/>
      <c r="M215" s="20"/>
      <c r="N215" s="21"/>
      <c r="O215" s="353" t="s">
        <v>340</v>
      </c>
      <c r="P215" s="7"/>
      <c r="Q215" s="20"/>
      <c r="R215" s="21"/>
      <c r="S215" s="519"/>
      <c r="T215" s="539"/>
      <c r="U215" s="540"/>
      <c r="V215" s="541"/>
      <c r="W215" s="519"/>
      <c r="X215" s="527"/>
      <c r="Y215" s="528"/>
      <c r="Z215" s="529"/>
      <c r="AA215" s="9" t="s">
        <v>58</v>
      </c>
      <c r="AB215" s="7"/>
      <c r="AC215" s="20"/>
      <c r="AD215" s="21"/>
      <c r="AE215" s="547"/>
      <c r="AF215" s="545"/>
      <c r="AG215" s="545"/>
      <c r="AH215" s="545"/>
      <c r="AI215" s="545"/>
      <c r="AJ215" s="546"/>
      <c r="AK215" s="547"/>
      <c r="AL215" s="545"/>
      <c r="AM215" s="545"/>
      <c r="AN215" s="545"/>
      <c r="AO215" s="545"/>
      <c r="AP215" s="546"/>
      <c r="AQ215" s="530"/>
      <c r="AR215" s="515"/>
      <c r="AS215" s="517"/>
      <c r="AT215" s="555"/>
      <c r="AU215" s="26" t="s">
        <v>88</v>
      </c>
      <c r="AV215" s="28"/>
      <c r="AW215" s="26" t="s">
        <v>12</v>
      </c>
      <c r="AX215" s="31"/>
      <c r="AY215" s="555"/>
      <c r="AZ215" s="26" t="s">
        <v>88</v>
      </c>
      <c r="BA215" s="28"/>
      <c r="BB215" s="26" t="s">
        <v>12</v>
      </c>
      <c r="BC215" s="31"/>
    </row>
    <row r="216" spans="1:55" ht="16.5" customHeight="1">
      <c r="A216" s="560"/>
      <c r="B216" s="561"/>
      <c r="C216" s="9" t="s">
        <v>38</v>
      </c>
      <c r="D216" s="13"/>
      <c r="E216" s="9" t="s">
        <v>49</v>
      </c>
      <c r="F216" s="12"/>
      <c r="G216" s="355">
        <v>88</v>
      </c>
      <c r="H216" s="338"/>
      <c r="I216" s="339"/>
      <c r="J216" s="340"/>
      <c r="K216" s="9" t="s">
        <v>341</v>
      </c>
      <c r="L216" s="7"/>
      <c r="M216" s="20"/>
      <c r="N216" s="21"/>
      <c r="O216" s="9" t="s">
        <v>341</v>
      </c>
      <c r="P216" s="7"/>
      <c r="Q216" s="20"/>
      <c r="R216" s="21"/>
      <c r="S216" s="519" t="s">
        <v>344</v>
      </c>
      <c r="T216" s="521"/>
      <c r="U216" s="523"/>
      <c r="V216" s="525"/>
      <c r="W216" s="519"/>
      <c r="X216" s="539"/>
      <c r="Y216" s="540"/>
      <c r="Z216" s="541"/>
      <c r="AA216" s="9" t="s">
        <v>59</v>
      </c>
      <c r="AB216" s="7"/>
      <c r="AC216" s="20"/>
      <c r="AD216" s="21"/>
      <c r="AE216" s="547"/>
      <c r="AF216" s="545"/>
      <c r="AG216" s="545"/>
      <c r="AH216" s="545"/>
      <c r="AI216" s="545"/>
      <c r="AJ216" s="546"/>
      <c r="AK216" s="547"/>
      <c r="AL216" s="545"/>
      <c r="AM216" s="545"/>
      <c r="AN216" s="545"/>
      <c r="AO216" s="545"/>
      <c r="AP216" s="546"/>
      <c r="AQ216" s="530">
        <v>90</v>
      </c>
      <c r="AR216" s="515"/>
      <c r="AS216" s="517"/>
      <c r="AT216" s="555"/>
      <c r="AU216" s="26" t="s">
        <v>89</v>
      </c>
      <c r="AV216" s="29"/>
      <c r="AW216" s="26" t="s">
        <v>12</v>
      </c>
      <c r="AX216" s="32"/>
      <c r="AY216" s="555"/>
      <c r="AZ216" s="26" t="s">
        <v>89</v>
      </c>
      <c r="BA216" s="29"/>
      <c r="BB216" s="26" t="s">
        <v>12</v>
      </c>
      <c r="BC216" s="32"/>
    </row>
    <row r="217" spans="1:55" ht="16.5" customHeight="1">
      <c r="A217" s="560"/>
      <c r="B217" s="561"/>
      <c r="C217" s="9" t="s">
        <v>39</v>
      </c>
      <c r="D217" s="13"/>
      <c r="E217" s="9" t="s">
        <v>50</v>
      </c>
      <c r="F217" s="132"/>
      <c r="G217" s="355">
        <v>89</v>
      </c>
      <c r="H217" s="347"/>
      <c r="I217" s="348"/>
      <c r="J217" s="349"/>
      <c r="K217" s="9"/>
      <c r="L217" s="7"/>
      <c r="M217" s="20"/>
      <c r="N217" s="21"/>
      <c r="O217" s="9"/>
      <c r="P217" s="7"/>
      <c r="Q217" s="20"/>
      <c r="R217" s="21"/>
      <c r="S217" s="519"/>
      <c r="T217" s="527"/>
      <c r="U217" s="528"/>
      <c r="V217" s="529"/>
      <c r="W217" s="519" t="s">
        <v>60</v>
      </c>
      <c r="X217" s="521"/>
      <c r="Y217" s="523"/>
      <c r="Z217" s="525"/>
      <c r="AA217" s="9" t="s">
        <v>60</v>
      </c>
      <c r="AB217" s="7"/>
      <c r="AC217" s="20"/>
      <c r="AD217" s="21"/>
      <c r="AE217" s="553"/>
      <c r="AF217" s="548"/>
      <c r="AG217" s="548"/>
      <c r="AH217" s="548"/>
      <c r="AI217" s="548"/>
      <c r="AJ217" s="549"/>
      <c r="AK217" s="553"/>
      <c r="AL217" s="548"/>
      <c r="AM217" s="548"/>
      <c r="AN217" s="548"/>
      <c r="AO217" s="548"/>
      <c r="AP217" s="549"/>
      <c r="AQ217" s="531"/>
      <c r="AR217" s="516"/>
      <c r="AS217" s="518"/>
      <c r="AT217" s="556"/>
      <c r="AU217" s="27" t="s">
        <v>90</v>
      </c>
      <c r="AV217" s="30"/>
      <c r="AW217" s="27" t="s">
        <v>91</v>
      </c>
      <c r="AX217" s="33"/>
      <c r="AY217" s="556"/>
      <c r="AZ217" s="27" t="s">
        <v>90</v>
      </c>
      <c r="BA217" s="30"/>
      <c r="BB217" s="27" t="s">
        <v>91</v>
      </c>
      <c r="BC217" s="33"/>
    </row>
    <row r="218" spans="1:55" ht="16.5" customHeight="1">
      <c r="A218" s="560"/>
      <c r="B218" s="561"/>
      <c r="C218" s="10" t="s">
        <v>40</v>
      </c>
      <c r="D218" s="15"/>
      <c r="E218" s="130" t="s">
        <v>255</v>
      </c>
      <c r="F218" s="131"/>
      <c r="G218" s="356">
        <v>90</v>
      </c>
      <c r="H218" s="350"/>
      <c r="I218" s="351"/>
      <c r="J218" s="352"/>
      <c r="K218" s="17"/>
      <c r="L218" s="16"/>
      <c r="M218" s="22"/>
      <c r="N218" s="23"/>
      <c r="O218" s="17"/>
      <c r="P218" s="16"/>
      <c r="Q218" s="22"/>
      <c r="R218" s="23"/>
      <c r="S218" s="520"/>
      <c r="T218" s="522"/>
      <c r="U218" s="524"/>
      <c r="V218" s="526"/>
      <c r="W218" s="520"/>
      <c r="X218" s="522"/>
      <c r="Y218" s="524"/>
      <c r="Z218" s="526"/>
      <c r="AA218" s="17" t="s">
        <v>61</v>
      </c>
      <c r="AB218" s="16"/>
      <c r="AC218" s="22"/>
      <c r="AD218" s="23"/>
      <c r="AE218" s="115"/>
      <c r="AF218" s="116"/>
      <c r="AG218" s="116"/>
      <c r="AH218" s="116"/>
      <c r="AI218" s="117"/>
      <c r="AJ218" s="118"/>
      <c r="AK218" s="119"/>
      <c r="AL218" s="120"/>
      <c r="AM218" s="121"/>
      <c r="AN218" s="121"/>
      <c r="AO218" s="121"/>
      <c r="AP218" s="122"/>
      <c r="AQ218" s="115"/>
      <c r="AR218" s="116"/>
      <c r="AS218" s="118"/>
      <c r="AT218" s="123"/>
      <c r="AU218" s="113"/>
      <c r="AV218" s="113"/>
      <c r="AW218" s="113"/>
      <c r="AX218" s="114"/>
      <c r="AY218" s="123"/>
      <c r="AZ218" s="113"/>
      <c r="BA218" s="113"/>
      <c r="BB218" s="113"/>
      <c r="BC218" s="114"/>
    </row>
    <row r="219" spans="1:55" ht="16.5" customHeight="1"/>
    <row r="220" spans="1:55" ht="16.5" customHeight="1">
      <c r="A220" s="560">
        <v>19</v>
      </c>
      <c r="B220" s="561" t="s">
        <v>243</v>
      </c>
      <c r="C220" s="8" t="s">
        <v>42</v>
      </c>
      <c r="D220" s="24"/>
      <c r="E220" s="8" t="s">
        <v>43</v>
      </c>
      <c r="F220" s="11"/>
      <c r="G220" s="354">
        <v>91</v>
      </c>
      <c r="H220" s="335"/>
      <c r="I220" s="336"/>
      <c r="J220" s="357"/>
      <c r="K220" s="8" t="s">
        <v>333</v>
      </c>
      <c r="L220" s="6"/>
      <c r="M220" s="18"/>
      <c r="N220" s="19"/>
      <c r="O220" s="8" t="s">
        <v>333</v>
      </c>
      <c r="P220" s="6"/>
      <c r="Q220" s="18"/>
      <c r="R220" s="19"/>
      <c r="S220" s="532" t="s">
        <v>51</v>
      </c>
      <c r="T220" s="533"/>
      <c r="U220" s="535"/>
      <c r="V220" s="537"/>
      <c r="W220" s="532" t="s">
        <v>51</v>
      </c>
      <c r="X220" s="533"/>
      <c r="Y220" s="535"/>
      <c r="Z220" s="537"/>
      <c r="AA220" s="8" t="s">
        <v>51</v>
      </c>
      <c r="AB220" s="6"/>
      <c r="AC220" s="18"/>
      <c r="AD220" s="19"/>
      <c r="AE220" s="552"/>
      <c r="AF220" s="550"/>
      <c r="AG220" s="550"/>
      <c r="AH220" s="550"/>
      <c r="AI220" s="550"/>
      <c r="AJ220" s="551"/>
      <c r="AK220" s="552"/>
      <c r="AL220" s="550"/>
      <c r="AM220" s="550"/>
      <c r="AN220" s="550"/>
      <c r="AO220" s="550"/>
      <c r="AP220" s="551"/>
      <c r="AQ220" s="542">
        <v>91</v>
      </c>
      <c r="AR220" s="543"/>
      <c r="AS220" s="544"/>
      <c r="AT220" s="554">
        <v>37</v>
      </c>
      <c r="AU220" s="25" t="s">
        <v>0</v>
      </c>
      <c r="AV220" s="557"/>
      <c r="AW220" s="558"/>
      <c r="AX220" s="559"/>
      <c r="AY220" s="554">
        <v>39</v>
      </c>
      <c r="AZ220" s="25" t="s">
        <v>0</v>
      </c>
      <c r="BA220" s="557"/>
      <c r="BB220" s="558"/>
      <c r="BC220" s="559"/>
    </row>
    <row r="221" spans="1:55" ht="16.5" customHeight="1">
      <c r="A221" s="560"/>
      <c r="B221" s="561"/>
      <c r="C221" s="9" t="s">
        <v>33</v>
      </c>
      <c r="D221" s="13"/>
      <c r="E221" s="9" t="s">
        <v>70</v>
      </c>
      <c r="F221" s="12"/>
      <c r="G221" s="355">
        <v>92</v>
      </c>
      <c r="H221" s="338"/>
      <c r="I221" s="339"/>
      <c r="J221" s="340"/>
      <c r="K221" s="9" t="s">
        <v>334</v>
      </c>
      <c r="L221" s="7"/>
      <c r="M221" s="20"/>
      <c r="N221" s="21"/>
      <c r="O221" s="9" t="s">
        <v>334</v>
      </c>
      <c r="P221" s="7"/>
      <c r="Q221" s="20"/>
      <c r="R221" s="21"/>
      <c r="S221" s="519"/>
      <c r="T221" s="527"/>
      <c r="U221" s="528"/>
      <c r="V221" s="529"/>
      <c r="W221" s="519"/>
      <c r="X221" s="527"/>
      <c r="Y221" s="528"/>
      <c r="Z221" s="529"/>
      <c r="AA221" s="9" t="s">
        <v>52</v>
      </c>
      <c r="AB221" s="7"/>
      <c r="AC221" s="20"/>
      <c r="AD221" s="21"/>
      <c r="AE221" s="547"/>
      <c r="AF221" s="545"/>
      <c r="AG221" s="545"/>
      <c r="AH221" s="545"/>
      <c r="AI221" s="545"/>
      <c r="AJ221" s="546"/>
      <c r="AK221" s="547"/>
      <c r="AL221" s="545"/>
      <c r="AM221" s="545"/>
      <c r="AN221" s="545"/>
      <c r="AO221" s="545"/>
      <c r="AP221" s="546"/>
      <c r="AQ221" s="530"/>
      <c r="AR221" s="515"/>
      <c r="AS221" s="517"/>
      <c r="AT221" s="555"/>
      <c r="AU221" s="26" t="s">
        <v>87</v>
      </c>
      <c r="AV221" s="124"/>
      <c r="AW221" s="26" t="s">
        <v>192</v>
      </c>
      <c r="AX221" s="126"/>
      <c r="AY221" s="555"/>
      <c r="AZ221" s="26" t="s">
        <v>87</v>
      </c>
      <c r="BA221" s="124"/>
      <c r="BB221" s="127" t="s">
        <v>192</v>
      </c>
      <c r="BC221" s="125"/>
    </row>
    <row r="222" spans="1:55" ht="16.5" customHeight="1">
      <c r="A222" s="560"/>
      <c r="B222" s="561"/>
      <c r="C222" s="9" t="s">
        <v>34</v>
      </c>
      <c r="D222" s="14"/>
      <c r="E222" s="9" t="s">
        <v>44</v>
      </c>
      <c r="F222" s="12"/>
      <c r="G222" s="355">
        <v>93</v>
      </c>
      <c r="H222" s="338"/>
      <c r="I222" s="339"/>
      <c r="J222" s="340"/>
      <c r="K222" s="9" t="s">
        <v>335</v>
      </c>
      <c r="L222" s="7"/>
      <c r="M222" s="20"/>
      <c r="N222" s="21"/>
      <c r="O222" s="9" t="s">
        <v>335</v>
      </c>
      <c r="P222" s="7"/>
      <c r="Q222" s="20"/>
      <c r="R222" s="21"/>
      <c r="S222" s="519"/>
      <c r="T222" s="527"/>
      <c r="U222" s="528"/>
      <c r="V222" s="529"/>
      <c r="W222" s="519"/>
      <c r="X222" s="539"/>
      <c r="Y222" s="540"/>
      <c r="Z222" s="541"/>
      <c r="AA222" s="9" t="s">
        <v>53</v>
      </c>
      <c r="AB222" s="7"/>
      <c r="AC222" s="20"/>
      <c r="AD222" s="21"/>
      <c r="AE222" s="547"/>
      <c r="AF222" s="545"/>
      <c r="AG222" s="545"/>
      <c r="AH222" s="545"/>
      <c r="AI222" s="545"/>
      <c r="AJ222" s="546"/>
      <c r="AK222" s="547"/>
      <c r="AL222" s="545"/>
      <c r="AM222" s="545"/>
      <c r="AN222" s="545"/>
      <c r="AO222" s="545"/>
      <c r="AP222" s="546"/>
      <c r="AQ222" s="530">
        <v>92</v>
      </c>
      <c r="AR222" s="515"/>
      <c r="AS222" s="517"/>
      <c r="AT222" s="555"/>
      <c r="AU222" s="26" t="s">
        <v>88</v>
      </c>
      <c r="AV222" s="28"/>
      <c r="AW222" s="26" t="s">
        <v>12</v>
      </c>
      <c r="AX222" s="31"/>
      <c r="AY222" s="555"/>
      <c r="AZ222" s="26" t="s">
        <v>88</v>
      </c>
      <c r="BA222" s="28"/>
      <c r="BB222" s="26" t="s">
        <v>12</v>
      </c>
      <c r="BC222" s="31"/>
    </row>
    <row r="223" spans="1:55" ht="16.5" customHeight="1">
      <c r="A223" s="560"/>
      <c r="B223" s="561"/>
      <c r="C223" s="9" t="s">
        <v>41</v>
      </c>
      <c r="D223" s="13"/>
      <c r="E223" s="9" t="s">
        <v>62</v>
      </c>
      <c r="F223" s="12"/>
      <c r="G223" s="355">
        <v>94</v>
      </c>
      <c r="H223" s="341"/>
      <c r="I223" s="342"/>
      <c r="J223" s="343"/>
      <c r="K223" s="9" t="s">
        <v>336</v>
      </c>
      <c r="L223" s="7"/>
      <c r="M223" s="20"/>
      <c r="N223" s="21"/>
      <c r="O223" s="9" t="s">
        <v>336</v>
      </c>
      <c r="P223" s="7"/>
      <c r="Q223" s="20"/>
      <c r="R223" s="21"/>
      <c r="S223" s="519"/>
      <c r="T223" s="534"/>
      <c r="U223" s="536"/>
      <c r="V223" s="538"/>
      <c r="W223" s="532" t="s">
        <v>52</v>
      </c>
      <c r="X223" s="533"/>
      <c r="Y223" s="535"/>
      <c r="Z223" s="537"/>
      <c r="AA223" s="9" t="s">
        <v>54</v>
      </c>
      <c r="AB223" s="7"/>
      <c r="AC223" s="20"/>
      <c r="AD223" s="21"/>
      <c r="AE223" s="547"/>
      <c r="AF223" s="545"/>
      <c r="AG223" s="545"/>
      <c r="AH223" s="545"/>
      <c r="AI223" s="545"/>
      <c r="AJ223" s="546"/>
      <c r="AK223" s="547"/>
      <c r="AL223" s="545"/>
      <c r="AM223" s="545"/>
      <c r="AN223" s="545"/>
      <c r="AO223" s="545"/>
      <c r="AP223" s="546"/>
      <c r="AQ223" s="530"/>
      <c r="AR223" s="515"/>
      <c r="AS223" s="517"/>
      <c r="AT223" s="555"/>
      <c r="AU223" s="26" t="s">
        <v>89</v>
      </c>
      <c r="AV223" s="29"/>
      <c r="AW223" s="26" t="s">
        <v>12</v>
      </c>
      <c r="AX223" s="32"/>
      <c r="AY223" s="555"/>
      <c r="AZ223" s="26" t="s">
        <v>89</v>
      </c>
      <c r="BA223" s="29"/>
      <c r="BB223" s="26" t="s">
        <v>12</v>
      </c>
      <c r="BC223" s="32"/>
    </row>
    <row r="224" spans="1:55" ht="16.5" customHeight="1">
      <c r="A224" s="560"/>
      <c r="B224" s="561"/>
      <c r="C224" s="9" t="s">
        <v>417</v>
      </c>
      <c r="D224" s="3"/>
      <c r="E224" s="9" t="s">
        <v>45</v>
      </c>
      <c r="F224" s="12"/>
      <c r="G224" s="356">
        <v>95</v>
      </c>
      <c r="H224" s="344"/>
      <c r="I224" s="345"/>
      <c r="J224" s="346"/>
      <c r="K224" s="9" t="s">
        <v>337</v>
      </c>
      <c r="L224" s="7"/>
      <c r="M224" s="20"/>
      <c r="N224" s="21"/>
      <c r="O224" s="9" t="s">
        <v>337</v>
      </c>
      <c r="P224" s="7"/>
      <c r="Q224" s="20"/>
      <c r="R224" s="21"/>
      <c r="S224" s="519" t="s">
        <v>52</v>
      </c>
      <c r="T224" s="527"/>
      <c r="U224" s="528"/>
      <c r="V224" s="529"/>
      <c r="W224" s="519"/>
      <c r="X224" s="527"/>
      <c r="Y224" s="528"/>
      <c r="Z224" s="529"/>
      <c r="AA224" s="9" t="s">
        <v>55</v>
      </c>
      <c r="AB224" s="7"/>
      <c r="AC224" s="20"/>
      <c r="AD224" s="21"/>
      <c r="AE224" s="547"/>
      <c r="AF224" s="545"/>
      <c r="AG224" s="545"/>
      <c r="AH224" s="545"/>
      <c r="AI224" s="545"/>
      <c r="AJ224" s="546"/>
      <c r="AK224" s="547"/>
      <c r="AL224" s="545"/>
      <c r="AM224" s="545"/>
      <c r="AN224" s="545"/>
      <c r="AO224" s="545"/>
      <c r="AP224" s="546"/>
      <c r="AQ224" s="530">
        <v>93</v>
      </c>
      <c r="AR224" s="515"/>
      <c r="AS224" s="517"/>
      <c r="AT224" s="556"/>
      <c r="AU224" s="27" t="s">
        <v>90</v>
      </c>
      <c r="AV224" s="30"/>
      <c r="AW224" s="27" t="s">
        <v>91</v>
      </c>
      <c r="AX224" s="33"/>
      <c r="AY224" s="556"/>
      <c r="AZ224" s="27" t="s">
        <v>90</v>
      </c>
      <c r="BA224" s="30"/>
      <c r="BB224" s="27" t="s">
        <v>91</v>
      </c>
      <c r="BC224" s="33"/>
    </row>
    <row r="225" spans="1:55" ht="16.5" customHeight="1">
      <c r="A225" s="560"/>
      <c r="B225" s="561"/>
      <c r="C225" s="9" t="s">
        <v>35</v>
      </c>
      <c r="D225" s="13"/>
      <c r="E225" s="9" t="s">
        <v>46</v>
      </c>
      <c r="F225" s="12"/>
      <c r="G225" s="5" t="s">
        <v>12</v>
      </c>
      <c r="H225" s="128" t="s">
        <v>13</v>
      </c>
      <c r="I225" s="4" t="s">
        <v>14</v>
      </c>
      <c r="J225" s="4" t="s">
        <v>15</v>
      </c>
      <c r="K225" s="9" t="s">
        <v>338</v>
      </c>
      <c r="L225" s="7"/>
      <c r="M225" s="20"/>
      <c r="N225" s="21"/>
      <c r="O225" s="9" t="s">
        <v>338</v>
      </c>
      <c r="P225" s="7"/>
      <c r="Q225" s="20"/>
      <c r="R225" s="21"/>
      <c r="S225" s="519"/>
      <c r="T225" s="527"/>
      <c r="U225" s="528"/>
      <c r="V225" s="529"/>
      <c r="W225" s="519"/>
      <c r="X225" s="539"/>
      <c r="Y225" s="540"/>
      <c r="Z225" s="541"/>
      <c r="AA225" s="9" t="s">
        <v>56</v>
      </c>
      <c r="AB225" s="7"/>
      <c r="AC225" s="20"/>
      <c r="AD225" s="21"/>
      <c r="AE225" s="547"/>
      <c r="AF225" s="545"/>
      <c r="AG225" s="545"/>
      <c r="AH225" s="545"/>
      <c r="AI225" s="545"/>
      <c r="AJ225" s="546"/>
      <c r="AK225" s="547"/>
      <c r="AL225" s="545"/>
      <c r="AM225" s="545"/>
      <c r="AN225" s="545"/>
      <c r="AO225" s="545"/>
      <c r="AP225" s="546"/>
      <c r="AQ225" s="530"/>
      <c r="AR225" s="515"/>
      <c r="AS225" s="517"/>
      <c r="AT225" s="554">
        <v>38</v>
      </c>
      <c r="AU225" s="25" t="s">
        <v>0</v>
      </c>
      <c r="AV225" s="557"/>
      <c r="AW225" s="558"/>
      <c r="AX225" s="559"/>
      <c r="AY225" s="554">
        <v>40</v>
      </c>
      <c r="AZ225" s="25" t="s">
        <v>0</v>
      </c>
      <c r="BA225" s="557"/>
      <c r="BB225" s="558"/>
      <c r="BC225" s="559"/>
    </row>
    <row r="226" spans="1:55" ht="16.5" customHeight="1">
      <c r="A226" s="560"/>
      <c r="B226" s="561"/>
      <c r="C226" s="9" t="s">
        <v>36</v>
      </c>
      <c r="D226" s="13"/>
      <c r="E226" s="9" t="s">
        <v>47</v>
      </c>
      <c r="F226" s="12"/>
      <c r="G226" s="354">
        <v>91</v>
      </c>
      <c r="H226" s="335"/>
      <c r="I226" s="336"/>
      <c r="J226" s="357"/>
      <c r="K226" s="9" t="s">
        <v>339</v>
      </c>
      <c r="L226" s="7"/>
      <c r="M226" s="20"/>
      <c r="N226" s="21"/>
      <c r="O226" s="9" t="s">
        <v>339</v>
      </c>
      <c r="P226" s="7"/>
      <c r="Q226" s="20"/>
      <c r="R226" s="21"/>
      <c r="S226" s="519"/>
      <c r="T226" s="527"/>
      <c r="U226" s="528"/>
      <c r="V226" s="529"/>
      <c r="W226" s="532" t="s">
        <v>344</v>
      </c>
      <c r="X226" s="533"/>
      <c r="Y226" s="535"/>
      <c r="Z226" s="537"/>
      <c r="AA226" s="9"/>
      <c r="AB226" s="7"/>
      <c r="AC226" s="20"/>
      <c r="AD226" s="21"/>
      <c r="AE226" s="547"/>
      <c r="AF226" s="545"/>
      <c r="AG226" s="545"/>
      <c r="AH226" s="545"/>
      <c r="AI226" s="545"/>
      <c r="AJ226" s="546"/>
      <c r="AK226" s="547"/>
      <c r="AL226" s="545"/>
      <c r="AM226" s="545"/>
      <c r="AN226" s="545"/>
      <c r="AO226" s="545"/>
      <c r="AP226" s="546"/>
      <c r="AQ226" s="530">
        <v>94</v>
      </c>
      <c r="AR226" s="515"/>
      <c r="AS226" s="517"/>
      <c r="AT226" s="555"/>
      <c r="AU226" s="26" t="s">
        <v>87</v>
      </c>
      <c r="AV226" s="124"/>
      <c r="AW226" s="127" t="s">
        <v>192</v>
      </c>
      <c r="AX226" s="125"/>
      <c r="AY226" s="555"/>
      <c r="AZ226" s="26" t="s">
        <v>87</v>
      </c>
      <c r="BA226" s="124"/>
      <c r="BB226" s="127" t="s">
        <v>192</v>
      </c>
      <c r="BC226" s="125"/>
    </row>
    <row r="227" spans="1:55" ht="16.5" customHeight="1">
      <c r="A227" s="560"/>
      <c r="B227" s="561"/>
      <c r="C227" s="9" t="s">
        <v>37</v>
      </c>
      <c r="D227" s="13"/>
      <c r="E227" s="9" t="s">
        <v>48</v>
      </c>
      <c r="F227" s="12"/>
      <c r="G227" s="355">
        <v>92</v>
      </c>
      <c r="H227" s="338"/>
      <c r="I227" s="339"/>
      <c r="J227" s="340"/>
      <c r="K227" s="353" t="s">
        <v>340</v>
      </c>
      <c r="L227" s="7"/>
      <c r="M227" s="20"/>
      <c r="N227" s="21"/>
      <c r="O227" s="353" t="s">
        <v>340</v>
      </c>
      <c r="P227" s="7"/>
      <c r="Q227" s="20"/>
      <c r="R227" s="21"/>
      <c r="S227" s="519"/>
      <c r="T227" s="539"/>
      <c r="U227" s="540"/>
      <c r="V227" s="541"/>
      <c r="W227" s="519"/>
      <c r="X227" s="527"/>
      <c r="Y227" s="528"/>
      <c r="Z227" s="529"/>
      <c r="AA227" s="9" t="s">
        <v>58</v>
      </c>
      <c r="AB227" s="7"/>
      <c r="AC227" s="20"/>
      <c r="AD227" s="21"/>
      <c r="AE227" s="547"/>
      <c r="AF227" s="545"/>
      <c r="AG227" s="545"/>
      <c r="AH227" s="545"/>
      <c r="AI227" s="545"/>
      <c r="AJ227" s="546"/>
      <c r="AK227" s="547"/>
      <c r="AL227" s="545"/>
      <c r="AM227" s="545"/>
      <c r="AN227" s="545"/>
      <c r="AO227" s="545"/>
      <c r="AP227" s="546"/>
      <c r="AQ227" s="530"/>
      <c r="AR227" s="515"/>
      <c r="AS227" s="517"/>
      <c r="AT227" s="555"/>
      <c r="AU227" s="26" t="s">
        <v>88</v>
      </c>
      <c r="AV227" s="28"/>
      <c r="AW227" s="26" t="s">
        <v>12</v>
      </c>
      <c r="AX227" s="31"/>
      <c r="AY227" s="555"/>
      <c r="AZ227" s="26" t="s">
        <v>88</v>
      </c>
      <c r="BA227" s="28"/>
      <c r="BB227" s="26" t="s">
        <v>12</v>
      </c>
      <c r="BC227" s="31"/>
    </row>
    <row r="228" spans="1:55" ht="16.5" customHeight="1">
      <c r="A228" s="560"/>
      <c r="B228" s="561"/>
      <c r="C228" s="9" t="s">
        <v>38</v>
      </c>
      <c r="D228" s="13"/>
      <c r="E228" s="9" t="s">
        <v>49</v>
      </c>
      <c r="F228" s="12"/>
      <c r="G228" s="355">
        <v>93</v>
      </c>
      <c r="H228" s="338"/>
      <c r="I228" s="339"/>
      <c r="J228" s="340"/>
      <c r="K228" s="9" t="s">
        <v>341</v>
      </c>
      <c r="L228" s="7"/>
      <c r="M228" s="20"/>
      <c r="N228" s="21"/>
      <c r="O228" s="9" t="s">
        <v>341</v>
      </c>
      <c r="P228" s="7"/>
      <c r="Q228" s="20"/>
      <c r="R228" s="21"/>
      <c r="S228" s="519" t="s">
        <v>344</v>
      </c>
      <c r="T228" s="521"/>
      <c r="U228" s="523"/>
      <c r="V228" s="525"/>
      <c r="W228" s="519"/>
      <c r="X228" s="539"/>
      <c r="Y228" s="540"/>
      <c r="Z228" s="541"/>
      <c r="AA228" s="9" t="s">
        <v>59</v>
      </c>
      <c r="AB228" s="7"/>
      <c r="AC228" s="20"/>
      <c r="AD228" s="21"/>
      <c r="AE228" s="547"/>
      <c r="AF228" s="545"/>
      <c r="AG228" s="545"/>
      <c r="AH228" s="545"/>
      <c r="AI228" s="545"/>
      <c r="AJ228" s="546"/>
      <c r="AK228" s="547"/>
      <c r="AL228" s="545"/>
      <c r="AM228" s="545"/>
      <c r="AN228" s="545"/>
      <c r="AO228" s="545"/>
      <c r="AP228" s="546"/>
      <c r="AQ228" s="530">
        <v>95</v>
      </c>
      <c r="AR228" s="515"/>
      <c r="AS228" s="517"/>
      <c r="AT228" s="555"/>
      <c r="AU228" s="26" t="s">
        <v>89</v>
      </c>
      <c r="AV228" s="29"/>
      <c r="AW228" s="26" t="s">
        <v>12</v>
      </c>
      <c r="AX228" s="32"/>
      <c r="AY228" s="555"/>
      <c r="AZ228" s="26" t="s">
        <v>89</v>
      </c>
      <c r="BA228" s="29"/>
      <c r="BB228" s="26" t="s">
        <v>12</v>
      </c>
      <c r="BC228" s="32"/>
    </row>
    <row r="229" spans="1:55" ht="16.5" customHeight="1">
      <c r="A229" s="560"/>
      <c r="B229" s="561"/>
      <c r="C229" s="9" t="s">
        <v>39</v>
      </c>
      <c r="D229" s="13"/>
      <c r="E229" s="9" t="s">
        <v>50</v>
      </c>
      <c r="F229" s="132"/>
      <c r="G229" s="355">
        <v>94</v>
      </c>
      <c r="H229" s="347"/>
      <c r="I229" s="348"/>
      <c r="J229" s="349"/>
      <c r="K229" s="9"/>
      <c r="L229" s="7"/>
      <c r="M229" s="20"/>
      <c r="N229" s="21"/>
      <c r="O229" s="9"/>
      <c r="P229" s="7"/>
      <c r="Q229" s="20"/>
      <c r="R229" s="21"/>
      <c r="S229" s="519"/>
      <c r="T229" s="527"/>
      <c r="U229" s="528"/>
      <c r="V229" s="529"/>
      <c r="W229" s="519" t="s">
        <v>60</v>
      </c>
      <c r="X229" s="521"/>
      <c r="Y229" s="523"/>
      <c r="Z229" s="525"/>
      <c r="AA229" s="9" t="s">
        <v>60</v>
      </c>
      <c r="AB229" s="7"/>
      <c r="AC229" s="20"/>
      <c r="AD229" s="21"/>
      <c r="AE229" s="553"/>
      <c r="AF229" s="548"/>
      <c r="AG229" s="548"/>
      <c r="AH229" s="548"/>
      <c r="AI229" s="548"/>
      <c r="AJ229" s="549"/>
      <c r="AK229" s="553"/>
      <c r="AL229" s="548"/>
      <c r="AM229" s="548"/>
      <c r="AN229" s="548"/>
      <c r="AO229" s="548"/>
      <c r="AP229" s="549"/>
      <c r="AQ229" s="531"/>
      <c r="AR229" s="516"/>
      <c r="AS229" s="518"/>
      <c r="AT229" s="556"/>
      <c r="AU229" s="27" t="s">
        <v>90</v>
      </c>
      <c r="AV229" s="30"/>
      <c r="AW229" s="27" t="s">
        <v>91</v>
      </c>
      <c r="AX229" s="33"/>
      <c r="AY229" s="556"/>
      <c r="AZ229" s="27" t="s">
        <v>90</v>
      </c>
      <c r="BA229" s="30"/>
      <c r="BB229" s="27" t="s">
        <v>91</v>
      </c>
      <c r="BC229" s="33"/>
    </row>
    <row r="230" spans="1:55" ht="16.5" customHeight="1">
      <c r="A230" s="560"/>
      <c r="B230" s="561"/>
      <c r="C230" s="10" t="s">
        <v>40</v>
      </c>
      <c r="D230" s="15"/>
      <c r="E230" s="130" t="s">
        <v>255</v>
      </c>
      <c r="F230" s="131"/>
      <c r="G230" s="356">
        <v>95</v>
      </c>
      <c r="H230" s="350"/>
      <c r="I230" s="351"/>
      <c r="J230" s="352"/>
      <c r="K230" s="17"/>
      <c r="L230" s="16"/>
      <c r="M230" s="22"/>
      <c r="N230" s="23"/>
      <c r="O230" s="17"/>
      <c r="P230" s="16"/>
      <c r="Q230" s="22"/>
      <c r="R230" s="23"/>
      <c r="S230" s="520"/>
      <c r="T230" s="522"/>
      <c r="U230" s="524"/>
      <c r="V230" s="526"/>
      <c r="W230" s="520"/>
      <c r="X230" s="522"/>
      <c r="Y230" s="524"/>
      <c r="Z230" s="526"/>
      <c r="AA230" s="17" t="s">
        <v>61</v>
      </c>
      <c r="AB230" s="16"/>
      <c r="AC230" s="22"/>
      <c r="AD230" s="23"/>
      <c r="AE230" s="115"/>
      <c r="AF230" s="116"/>
      <c r="AG230" s="116"/>
      <c r="AH230" s="116"/>
      <c r="AI230" s="117"/>
      <c r="AJ230" s="118"/>
      <c r="AK230" s="119"/>
      <c r="AL230" s="120"/>
      <c r="AM230" s="121"/>
      <c r="AN230" s="121"/>
      <c r="AO230" s="121"/>
      <c r="AP230" s="122"/>
      <c r="AQ230" s="115"/>
      <c r="AR230" s="116"/>
      <c r="AS230" s="118"/>
      <c r="AT230" s="123"/>
      <c r="AU230" s="113"/>
      <c r="AV230" s="113"/>
      <c r="AW230" s="113"/>
      <c r="AX230" s="114"/>
      <c r="AY230" s="123"/>
      <c r="AZ230" s="113"/>
      <c r="BA230" s="113"/>
      <c r="BB230" s="113"/>
      <c r="BC230" s="114"/>
    </row>
    <row r="231" spans="1:55" ht="16.5" customHeight="1"/>
    <row r="232" spans="1:55" ht="16.5" customHeight="1">
      <c r="A232" s="560">
        <v>20</v>
      </c>
      <c r="B232" s="561" t="s">
        <v>244</v>
      </c>
      <c r="C232" s="8" t="s">
        <v>42</v>
      </c>
      <c r="D232" s="24"/>
      <c r="E232" s="8" t="s">
        <v>43</v>
      </c>
      <c r="F232" s="11"/>
      <c r="G232" s="354">
        <v>96</v>
      </c>
      <c r="H232" s="335"/>
      <c r="I232" s="336"/>
      <c r="J232" s="357"/>
      <c r="K232" s="8" t="s">
        <v>333</v>
      </c>
      <c r="L232" s="6"/>
      <c r="M232" s="18"/>
      <c r="N232" s="19"/>
      <c r="O232" s="8" t="s">
        <v>333</v>
      </c>
      <c r="P232" s="6"/>
      <c r="Q232" s="18"/>
      <c r="R232" s="19"/>
      <c r="S232" s="532" t="s">
        <v>51</v>
      </c>
      <c r="T232" s="533"/>
      <c r="U232" s="535"/>
      <c r="V232" s="537"/>
      <c r="W232" s="532" t="s">
        <v>51</v>
      </c>
      <c r="X232" s="533"/>
      <c r="Y232" s="535"/>
      <c r="Z232" s="537"/>
      <c r="AA232" s="8" t="s">
        <v>51</v>
      </c>
      <c r="AB232" s="6"/>
      <c r="AC232" s="18"/>
      <c r="AD232" s="19"/>
      <c r="AE232" s="552"/>
      <c r="AF232" s="550"/>
      <c r="AG232" s="550"/>
      <c r="AH232" s="550"/>
      <c r="AI232" s="550"/>
      <c r="AJ232" s="551"/>
      <c r="AK232" s="552"/>
      <c r="AL232" s="550"/>
      <c r="AM232" s="550"/>
      <c r="AN232" s="550"/>
      <c r="AO232" s="550"/>
      <c r="AP232" s="551"/>
      <c r="AQ232" s="542">
        <v>96</v>
      </c>
      <c r="AR232" s="543"/>
      <c r="AS232" s="544"/>
      <c r="AT232" s="554">
        <v>39</v>
      </c>
      <c r="AU232" s="25" t="s">
        <v>0</v>
      </c>
      <c r="AV232" s="557"/>
      <c r="AW232" s="558"/>
      <c r="AX232" s="559"/>
      <c r="AY232" s="554">
        <v>41</v>
      </c>
      <c r="AZ232" s="25" t="s">
        <v>0</v>
      </c>
      <c r="BA232" s="557"/>
      <c r="BB232" s="558"/>
      <c r="BC232" s="559"/>
    </row>
    <row r="233" spans="1:55" ht="16.5" customHeight="1">
      <c r="A233" s="560"/>
      <c r="B233" s="561"/>
      <c r="C233" s="9" t="s">
        <v>33</v>
      </c>
      <c r="D233" s="13"/>
      <c r="E233" s="9" t="s">
        <v>70</v>
      </c>
      <c r="F233" s="12"/>
      <c r="G233" s="355">
        <v>97</v>
      </c>
      <c r="H233" s="338"/>
      <c r="I233" s="339"/>
      <c r="J233" s="340"/>
      <c r="K233" s="9" t="s">
        <v>334</v>
      </c>
      <c r="L233" s="7"/>
      <c r="M233" s="20"/>
      <c r="N233" s="21"/>
      <c r="O233" s="9" t="s">
        <v>334</v>
      </c>
      <c r="P233" s="7"/>
      <c r="Q233" s="20"/>
      <c r="R233" s="21"/>
      <c r="S233" s="519"/>
      <c r="T233" s="527"/>
      <c r="U233" s="528"/>
      <c r="V233" s="529"/>
      <c r="W233" s="519"/>
      <c r="X233" s="527"/>
      <c r="Y233" s="528"/>
      <c r="Z233" s="529"/>
      <c r="AA233" s="9" t="s">
        <v>52</v>
      </c>
      <c r="AB233" s="7"/>
      <c r="AC233" s="20"/>
      <c r="AD233" s="21"/>
      <c r="AE233" s="547"/>
      <c r="AF233" s="545"/>
      <c r="AG233" s="545"/>
      <c r="AH233" s="545"/>
      <c r="AI233" s="545"/>
      <c r="AJ233" s="546"/>
      <c r="AK233" s="547"/>
      <c r="AL233" s="545"/>
      <c r="AM233" s="545"/>
      <c r="AN233" s="545"/>
      <c r="AO233" s="545"/>
      <c r="AP233" s="546"/>
      <c r="AQ233" s="530"/>
      <c r="AR233" s="515"/>
      <c r="AS233" s="517"/>
      <c r="AT233" s="555"/>
      <c r="AU233" s="26" t="s">
        <v>87</v>
      </c>
      <c r="AV233" s="124"/>
      <c r="AW233" s="26" t="s">
        <v>192</v>
      </c>
      <c r="AX233" s="126"/>
      <c r="AY233" s="555"/>
      <c r="AZ233" s="26" t="s">
        <v>87</v>
      </c>
      <c r="BA233" s="124"/>
      <c r="BB233" s="127" t="s">
        <v>192</v>
      </c>
      <c r="BC233" s="125"/>
    </row>
    <row r="234" spans="1:55" ht="16.5" customHeight="1">
      <c r="A234" s="560"/>
      <c r="B234" s="561"/>
      <c r="C234" s="9" t="s">
        <v>34</v>
      </c>
      <c r="D234" s="14"/>
      <c r="E234" s="9" t="s">
        <v>44</v>
      </c>
      <c r="F234" s="12"/>
      <c r="G234" s="355">
        <v>98</v>
      </c>
      <c r="H234" s="338"/>
      <c r="I234" s="339"/>
      <c r="J234" s="340"/>
      <c r="K234" s="9" t="s">
        <v>335</v>
      </c>
      <c r="L234" s="7"/>
      <c r="M234" s="20"/>
      <c r="N234" s="21"/>
      <c r="O234" s="9" t="s">
        <v>335</v>
      </c>
      <c r="P234" s="7"/>
      <c r="Q234" s="20"/>
      <c r="R234" s="21"/>
      <c r="S234" s="519"/>
      <c r="T234" s="527"/>
      <c r="U234" s="528"/>
      <c r="V234" s="529"/>
      <c r="W234" s="519"/>
      <c r="X234" s="539"/>
      <c r="Y234" s="540"/>
      <c r="Z234" s="541"/>
      <c r="AA234" s="9" t="s">
        <v>53</v>
      </c>
      <c r="AB234" s="7"/>
      <c r="AC234" s="20"/>
      <c r="AD234" s="21"/>
      <c r="AE234" s="547"/>
      <c r="AF234" s="545"/>
      <c r="AG234" s="545"/>
      <c r="AH234" s="545"/>
      <c r="AI234" s="545"/>
      <c r="AJ234" s="546"/>
      <c r="AK234" s="547"/>
      <c r="AL234" s="545"/>
      <c r="AM234" s="545"/>
      <c r="AN234" s="545"/>
      <c r="AO234" s="545"/>
      <c r="AP234" s="546"/>
      <c r="AQ234" s="530">
        <v>97</v>
      </c>
      <c r="AR234" s="515"/>
      <c r="AS234" s="517"/>
      <c r="AT234" s="555"/>
      <c r="AU234" s="26" t="s">
        <v>88</v>
      </c>
      <c r="AV234" s="28"/>
      <c r="AW234" s="26" t="s">
        <v>12</v>
      </c>
      <c r="AX234" s="31"/>
      <c r="AY234" s="555"/>
      <c r="AZ234" s="26" t="s">
        <v>88</v>
      </c>
      <c r="BA234" s="28"/>
      <c r="BB234" s="26" t="s">
        <v>12</v>
      </c>
      <c r="BC234" s="31"/>
    </row>
    <row r="235" spans="1:55" ht="16.5" customHeight="1">
      <c r="A235" s="560"/>
      <c r="B235" s="561"/>
      <c r="C235" s="9" t="s">
        <v>41</v>
      </c>
      <c r="D235" s="13"/>
      <c r="E235" s="9" t="s">
        <v>62</v>
      </c>
      <c r="F235" s="12"/>
      <c r="G235" s="355">
        <v>99</v>
      </c>
      <c r="H235" s="341"/>
      <c r="I235" s="342"/>
      <c r="J235" s="343"/>
      <c r="K235" s="9" t="s">
        <v>336</v>
      </c>
      <c r="L235" s="7"/>
      <c r="M235" s="20"/>
      <c r="N235" s="21"/>
      <c r="O235" s="9" t="s">
        <v>336</v>
      </c>
      <c r="P235" s="7"/>
      <c r="Q235" s="20"/>
      <c r="R235" s="21"/>
      <c r="S235" s="519"/>
      <c r="T235" s="534"/>
      <c r="U235" s="536"/>
      <c r="V235" s="538"/>
      <c r="W235" s="532" t="s">
        <v>52</v>
      </c>
      <c r="X235" s="533"/>
      <c r="Y235" s="535"/>
      <c r="Z235" s="537"/>
      <c r="AA235" s="9" t="s">
        <v>54</v>
      </c>
      <c r="AB235" s="7"/>
      <c r="AC235" s="20"/>
      <c r="AD235" s="21"/>
      <c r="AE235" s="547"/>
      <c r="AF235" s="545"/>
      <c r="AG235" s="545"/>
      <c r="AH235" s="545"/>
      <c r="AI235" s="545"/>
      <c r="AJ235" s="546"/>
      <c r="AK235" s="547"/>
      <c r="AL235" s="545"/>
      <c r="AM235" s="545"/>
      <c r="AN235" s="545"/>
      <c r="AO235" s="545"/>
      <c r="AP235" s="546"/>
      <c r="AQ235" s="530"/>
      <c r="AR235" s="515"/>
      <c r="AS235" s="517"/>
      <c r="AT235" s="555"/>
      <c r="AU235" s="26" t="s">
        <v>89</v>
      </c>
      <c r="AV235" s="29"/>
      <c r="AW235" s="26" t="s">
        <v>12</v>
      </c>
      <c r="AX235" s="32"/>
      <c r="AY235" s="555"/>
      <c r="AZ235" s="26" t="s">
        <v>89</v>
      </c>
      <c r="BA235" s="29"/>
      <c r="BB235" s="26" t="s">
        <v>12</v>
      </c>
      <c r="BC235" s="32"/>
    </row>
    <row r="236" spans="1:55" ht="16.5" customHeight="1">
      <c r="A236" s="560"/>
      <c r="B236" s="561"/>
      <c r="C236" s="9" t="s">
        <v>417</v>
      </c>
      <c r="D236" s="3"/>
      <c r="E236" s="9" t="s">
        <v>45</v>
      </c>
      <c r="F236" s="12"/>
      <c r="G236" s="356">
        <v>100</v>
      </c>
      <c r="H236" s="344"/>
      <c r="I236" s="345"/>
      <c r="J236" s="346"/>
      <c r="K236" s="9" t="s">
        <v>337</v>
      </c>
      <c r="L236" s="7"/>
      <c r="M236" s="20"/>
      <c r="N236" s="21"/>
      <c r="O236" s="9" t="s">
        <v>337</v>
      </c>
      <c r="P236" s="7"/>
      <c r="Q236" s="20"/>
      <c r="R236" s="21"/>
      <c r="S236" s="519" t="s">
        <v>52</v>
      </c>
      <c r="T236" s="527"/>
      <c r="U236" s="528"/>
      <c r="V236" s="529"/>
      <c r="W236" s="519"/>
      <c r="X236" s="527"/>
      <c r="Y236" s="528"/>
      <c r="Z236" s="529"/>
      <c r="AA236" s="9" t="s">
        <v>55</v>
      </c>
      <c r="AB236" s="7"/>
      <c r="AC236" s="20"/>
      <c r="AD236" s="21"/>
      <c r="AE236" s="547"/>
      <c r="AF236" s="545"/>
      <c r="AG236" s="545"/>
      <c r="AH236" s="545"/>
      <c r="AI236" s="545"/>
      <c r="AJ236" s="546"/>
      <c r="AK236" s="547"/>
      <c r="AL236" s="545"/>
      <c r="AM236" s="545"/>
      <c r="AN236" s="545"/>
      <c r="AO236" s="545"/>
      <c r="AP236" s="546"/>
      <c r="AQ236" s="530">
        <v>98</v>
      </c>
      <c r="AR236" s="515"/>
      <c r="AS236" s="517"/>
      <c r="AT236" s="556"/>
      <c r="AU236" s="27" t="s">
        <v>90</v>
      </c>
      <c r="AV236" s="30"/>
      <c r="AW236" s="27" t="s">
        <v>91</v>
      </c>
      <c r="AX236" s="33"/>
      <c r="AY236" s="556"/>
      <c r="AZ236" s="27" t="s">
        <v>90</v>
      </c>
      <c r="BA236" s="30"/>
      <c r="BB236" s="27" t="s">
        <v>91</v>
      </c>
      <c r="BC236" s="33"/>
    </row>
    <row r="237" spans="1:55" ht="16.5" customHeight="1">
      <c r="A237" s="560"/>
      <c r="B237" s="561"/>
      <c r="C237" s="9" t="s">
        <v>35</v>
      </c>
      <c r="D237" s="13"/>
      <c r="E237" s="9" t="s">
        <v>46</v>
      </c>
      <c r="F237" s="12"/>
      <c r="G237" s="5" t="s">
        <v>12</v>
      </c>
      <c r="H237" s="128" t="s">
        <v>13</v>
      </c>
      <c r="I237" s="4" t="s">
        <v>14</v>
      </c>
      <c r="J237" s="4" t="s">
        <v>15</v>
      </c>
      <c r="K237" s="9" t="s">
        <v>338</v>
      </c>
      <c r="L237" s="7"/>
      <c r="M237" s="20"/>
      <c r="N237" s="21"/>
      <c r="O237" s="9" t="s">
        <v>338</v>
      </c>
      <c r="P237" s="7"/>
      <c r="Q237" s="20"/>
      <c r="R237" s="21"/>
      <c r="S237" s="519"/>
      <c r="T237" s="527"/>
      <c r="U237" s="528"/>
      <c r="V237" s="529"/>
      <c r="W237" s="519"/>
      <c r="X237" s="539"/>
      <c r="Y237" s="540"/>
      <c r="Z237" s="541"/>
      <c r="AA237" s="9" t="s">
        <v>56</v>
      </c>
      <c r="AB237" s="7"/>
      <c r="AC237" s="20"/>
      <c r="AD237" s="21"/>
      <c r="AE237" s="547"/>
      <c r="AF237" s="545"/>
      <c r="AG237" s="545"/>
      <c r="AH237" s="545"/>
      <c r="AI237" s="545"/>
      <c r="AJ237" s="546"/>
      <c r="AK237" s="547"/>
      <c r="AL237" s="545"/>
      <c r="AM237" s="545"/>
      <c r="AN237" s="545"/>
      <c r="AO237" s="545"/>
      <c r="AP237" s="546"/>
      <c r="AQ237" s="530"/>
      <c r="AR237" s="515"/>
      <c r="AS237" s="517"/>
      <c r="AT237" s="554">
        <v>40</v>
      </c>
      <c r="AU237" s="25" t="s">
        <v>0</v>
      </c>
      <c r="AV237" s="557"/>
      <c r="AW237" s="558"/>
      <c r="AX237" s="559"/>
      <c r="AY237" s="554">
        <v>42</v>
      </c>
      <c r="AZ237" s="25" t="s">
        <v>0</v>
      </c>
      <c r="BA237" s="557"/>
      <c r="BB237" s="558"/>
      <c r="BC237" s="559"/>
    </row>
    <row r="238" spans="1:55" ht="16.5" customHeight="1">
      <c r="A238" s="560"/>
      <c r="B238" s="561"/>
      <c r="C238" s="9" t="s">
        <v>36</v>
      </c>
      <c r="D238" s="13"/>
      <c r="E238" s="9" t="s">
        <v>47</v>
      </c>
      <c r="F238" s="12"/>
      <c r="G238" s="354">
        <v>96</v>
      </c>
      <c r="H238" s="335"/>
      <c r="I238" s="336"/>
      <c r="J238" s="357"/>
      <c r="K238" s="9" t="s">
        <v>339</v>
      </c>
      <c r="L238" s="7"/>
      <c r="M238" s="20"/>
      <c r="N238" s="21"/>
      <c r="O238" s="9" t="s">
        <v>339</v>
      </c>
      <c r="P238" s="7"/>
      <c r="Q238" s="20"/>
      <c r="R238" s="21"/>
      <c r="S238" s="519"/>
      <c r="T238" s="527"/>
      <c r="U238" s="528"/>
      <c r="V238" s="529"/>
      <c r="W238" s="532" t="s">
        <v>344</v>
      </c>
      <c r="X238" s="533"/>
      <c r="Y238" s="535"/>
      <c r="Z238" s="537"/>
      <c r="AA238" s="9"/>
      <c r="AB238" s="7"/>
      <c r="AC238" s="20"/>
      <c r="AD238" s="21"/>
      <c r="AE238" s="547"/>
      <c r="AF238" s="545"/>
      <c r="AG238" s="545"/>
      <c r="AH238" s="545"/>
      <c r="AI238" s="545"/>
      <c r="AJ238" s="546"/>
      <c r="AK238" s="547"/>
      <c r="AL238" s="545"/>
      <c r="AM238" s="545"/>
      <c r="AN238" s="545"/>
      <c r="AO238" s="545"/>
      <c r="AP238" s="546"/>
      <c r="AQ238" s="530">
        <v>99</v>
      </c>
      <c r="AR238" s="515"/>
      <c r="AS238" s="517"/>
      <c r="AT238" s="555"/>
      <c r="AU238" s="26" t="s">
        <v>87</v>
      </c>
      <c r="AV238" s="124"/>
      <c r="AW238" s="127" t="s">
        <v>192</v>
      </c>
      <c r="AX238" s="125"/>
      <c r="AY238" s="555"/>
      <c r="AZ238" s="26" t="s">
        <v>87</v>
      </c>
      <c r="BA238" s="124"/>
      <c r="BB238" s="127" t="s">
        <v>192</v>
      </c>
      <c r="BC238" s="125"/>
    </row>
    <row r="239" spans="1:55" ht="16.5" customHeight="1">
      <c r="A239" s="560"/>
      <c r="B239" s="561"/>
      <c r="C239" s="9" t="s">
        <v>37</v>
      </c>
      <c r="D239" s="13"/>
      <c r="E239" s="9" t="s">
        <v>48</v>
      </c>
      <c r="F239" s="12"/>
      <c r="G239" s="355">
        <v>97</v>
      </c>
      <c r="H239" s="338"/>
      <c r="I239" s="339"/>
      <c r="J239" s="340"/>
      <c r="K239" s="353" t="s">
        <v>340</v>
      </c>
      <c r="L239" s="7"/>
      <c r="M239" s="20"/>
      <c r="N239" s="21"/>
      <c r="O239" s="353" t="s">
        <v>340</v>
      </c>
      <c r="P239" s="7"/>
      <c r="Q239" s="20"/>
      <c r="R239" s="21"/>
      <c r="S239" s="519"/>
      <c r="T239" s="539"/>
      <c r="U239" s="540"/>
      <c r="V239" s="541"/>
      <c r="W239" s="519"/>
      <c r="X239" s="527"/>
      <c r="Y239" s="528"/>
      <c r="Z239" s="529"/>
      <c r="AA239" s="9" t="s">
        <v>58</v>
      </c>
      <c r="AB239" s="7"/>
      <c r="AC239" s="20"/>
      <c r="AD239" s="21"/>
      <c r="AE239" s="547"/>
      <c r="AF239" s="545"/>
      <c r="AG239" s="545"/>
      <c r="AH239" s="545"/>
      <c r="AI239" s="545"/>
      <c r="AJ239" s="546"/>
      <c r="AK239" s="547"/>
      <c r="AL239" s="545"/>
      <c r="AM239" s="545"/>
      <c r="AN239" s="545"/>
      <c r="AO239" s="545"/>
      <c r="AP239" s="546"/>
      <c r="AQ239" s="530"/>
      <c r="AR239" s="515"/>
      <c r="AS239" s="517"/>
      <c r="AT239" s="555"/>
      <c r="AU239" s="26" t="s">
        <v>88</v>
      </c>
      <c r="AV239" s="28"/>
      <c r="AW239" s="26" t="s">
        <v>12</v>
      </c>
      <c r="AX239" s="31"/>
      <c r="AY239" s="555"/>
      <c r="AZ239" s="26" t="s">
        <v>88</v>
      </c>
      <c r="BA239" s="28"/>
      <c r="BB239" s="26" t="s">
        <v>12</v>
      </c>
      <c r="BC239" s="31"/>
    </row>
    <row r="240" spans="1:55" ht="16.5" customHeight="1">
      <c r="A240" s="560"/>
      <c r="B240" s="561"/>
      <c r="C240" s="9" t="s">
        <v>38</v>
      </c>
      <c r="D240" s="13"/>
      <c r="E240" s="9" t="s">
        <v>49</v>
      </c>
      <c r="F240" s="12"/>
      <c r="G240" s="355">
        <v>98</v>
      </c>
      <c r="H240" s="338"/>
      <c r="I240" s="339"/>
      <c r="J240" s="340"/>
      <c r="K240" s="9" t="s">
        <v>341</v>
      </c>
      <c r="L240" s="7"/>
      <c r="M240" s="20"/>
      <c r="N240" s="21"/>
      <c r="O240" s="9" t="s">
        <v>341</v>
      </c>
      <c r="P240" s="7"/>
      <c r="Q240" s="20"/>
      <c r="R240" s="21"/>
      <c r="S240" s="519" t="s">
        <v>344</v>
      </c>
      <c r="T240" s="521"/>
      <c r="U240" s="523"/>
      <c r="V240" s="525"/>
      <c r="W240" s="519"/>
      <c r="X240" s="539"/>
      <c r="Y240" s="540"/>
      <c r="Z240" s="541"/>
      <c r="AA240" s="9" t="s">
        <v>59</v>
      </c>
      <c r="AB240" s="7"/>
      <c r="AC240" s="20"/>
      <c r="AD240" s="21"/>
      <c r="AE240" s="547"/>
      <c r="AF240" s="545"/>
      <c r="AG240" s="545"/>
      <c r="AH240" s="545"/>
      <c r="AI240" s="545"/>
      <c r="AJ240" s="546"/>
      <c r="AK240" s="547"/>
      <c r="AL240" s="545"/>
      <c r="AM240" s="545"/>
      <c r="AN240" s="545"/>
      <c r="AO240" s="545"/>
      <c r="AP240" s="546"/>
      <c r="AQ240" s="530">
        <v>100</v>
      </c>
      <c r="AR240" s="515"/>
      <c r="AS240" s="517"/>
      <c r="AT240" s="555"/>
      <c r="AU240" s="26" t="s">
        <v>89</v>
      </c>
      <c r="AV240" s="29"/>
      <c r="AW240" s="26" t="s">
        <v>12</v>
      </c>
      <c r="AX240" s="32"/>
      <c r="AY240" s="555"/>
      <c r="AZ240" s="26" t="s">
        <v>89</v>
      </c>
      <c r="BA240" s="29"/>
      <c r="BB240" s="26" t="s">
        <v>12</v>
      </c>
      <c r="BC240" s="32"/>
    </row>
    <row r="241" spans="1:55" ht="16.5" customHeight="1">
      <c r="A241" s="560"/>
      <c r="B241" s="561"/>
      <c r="C241" s="9" t="s">
        <v>39</v>
      </c>
      <c r="D241" s="13"/>
      <c r="E241" s="9" t="s">
        <v>50</v>
      </c>
      <c r="F241" s="132"/>
      <c r="G241" s="355">
        <v>99</v>
      </c>
      <c r="H241" s="347"/>
      <c r="I241" s="348"/>
      <c r="J241" s="349"/>
      <c r="K241" s="9"/>
      <c r="L241" s="7"/>
      <c r="M241" s="20"/>
      <c r="N241" s="21"/>
      <c r="O241" s="9"/>
      <c r="P241" s="7"/>
      <c r="Q241" s="20"/>
      <c r="R241" s="21"/>
      <c r="S241" s="519"/>
      <c r="T241" s="527"/>
      <c r="U241" s="528"/>
      <c r="V241" s="529"/>
      <c r="W241" s="519" t="s">
        <v>60</v>
      </c>
      <c r="X241" s="521"/>
      <c r="Y241" s="523"/>
      <c r="Z241" s="525"/>
      <c r="AA241" s="9" t="s">
        <v>60</v>
      </c>
      <c r="AB241" s="7"/>
      <c r="AC241" s="20"/>
      <c r="AD241" s="21"/>
      <c r="AE241" s="553"/>
      <c r="AF241" s="548"/>
      <c r="AG241" s="548"/>
      <c r="AH241" s="548"/>
      <c r="AI241" s="548"/>
      <c r="AJ241" s="549"/>
      <c r="AK241" s="553"/>
      <c r="AL241" s="548"/>
      <c r="AM241" s="548"/>
      <c r="AN241" s="548"/>
      <c r="AO241" s="548"/>
      <c r="AP241" s="549"/>
      <c r="AQ241" s="531"/>
      <c r="AR241" s="516"/>
      <c r="AS241" s="518"/>
      <c r="AT241" s="556"/>
      <c r="AU241" s="27" t="s">
        <v>90</v>
      </c>
      <c r="AV241" s="30"/>
      <c r="AW241" s="27" t="s">
        <v>91</v>
      </c>
      <c r="AX241" s="33"/>
      <c r="AY241" s="556"/>
      <c r="AZ241" s="27" t="s">
        <v>90</v>
      </c>
      <c r="BA241" s="30"/>
      <c r="BB241" s="27" t="s">
        <v>91</v>
      </c>
      <c r="BC241" s="33"/>
    </row>
    <row r="242" spans="1:55" ht="16.5" customHeight="1">
      <c r="A242" s="560"/>
      <c r="B242" s="561"/>
      <c r="C242" s="10" t="s">
        <v>40</v>
      </c>
      <c r="D242" s="15"/>
      <c r="E242" s="130" t="s">
        <v>255</v>
      </c>
      <c r="F242" s="131"/>
      <c r="G242" s="356">
        <v>100</v>
      </c>
      <c r="H242" s="350"/>
      <c r="I242" s="351"/>
      <c r="J242" s="352"/>
      <c r="K242" s="17"/>
      <c r="L242" s="16"/>
      <c r="M242" s="22"/>
      <c r="N242" s="23"/>
      <c r="O242" s="17"/>
      <c r="P242" s="16"/>
      <c r="Q242" s="22"/>
      <c r="R242" s="23"/>
      <c r="S242" s="520"/>
      <c r="T242" s="522"/>
      <c r="U242" s="524"/>
      <c r="V242" s="526"/>
      <c r="W242" s="520"/>
      <c r="X242" s="522"/>
      <c r="Y242" s="524"/>
      <c r="Z242" s="526"/>
      <c r="AA242" s="17" t="s">
        <v>61</v>
      </c>
      <c r="AB242" s="16"/>
      <c r="AC242" s="22"/>
      <c r="AD242" s="23"/>
      <c r="AE242" s="115"/>
      <c r="AF242" s="116"/>
      <c r="AG242" s="116"/>
      <c r="AH242" s="116"/>
      <c r="AI242" s="117"/>
      <c r="AJ242" s="118"/>
      <c r="AK242" s="119"/>
      <c r="AL242" s="120"/>
      <c r="AM242" s="121"/>
      <c r="AN242" s="121"/>
      <c r="AO242" s="121"/>
      <c r="AP242" s="122"/>
      <c r="AQ242" s="115"/>
      <c r="AR242" s="116"/>
      <c r="AS242" s="118"/>
      <c r="AT242" s="123"/>
      <c r="AU242" s="113"/>
      <c r="AV242" s="113"/>
      <c r="AW242" s="113"/>
      <c r="AX242" s="114"/>
      <c r="AY242" s="123"/>
      <c r="AZ242" s="113"/>
      <c r="BA242" s="113"/>
      <c r="BB242" s="113"/>
      <c r="BC242" s="114"/>
    </row>
    <row r="243" spans="1:55" ht="16.5" customHeight="1"/>
    <row r="244" spans="1:55" ht="16.5" customHeight="1">
      <c r="A244" s="560">
        <v>21</v>
      </c>
      <c r="B244" s="561" t="s">
        <v>245</v>
      </c>
      <c r="C244" s="8" t="s">
        <v>42</v>
      </c>
      <c r="D244" s="24"/>
      <c r="E244" s="8" t="s">
        <v>43</v>
      </c>
      <c r="F244" s="11"/>
      <c r="G244" s="354">
        <v>101</v>
      </c>
      <c r="H244" s="335"/>
      <c r="I244" s="336"/>
      <c r="J244" s="357"/>
      <c r="K244" s="8" t="s">
        <v>333</v>
      </c>
      <c r="L244" s="6"/>
      <c r="M244" s="18"/>
      <c r="N244" s="19"/>
      <c r="O244" s="8" t="s">
        <v>333</v>
      </c>
      <c r="P244" s="6"/>
      <c r="Q244" s="18"/>
      <c r="R244" s="19"/>
      <c r="S244" s="532" t="s">
        <v>51</v>
      </c>
      <c r="T244" s="533"/>
      <c r="U244" s="535"/>
      <c r="V244" s="537"/>
      <c r="W244" s="532" t="s">
        <v>51</v>
      </c>
      <c r="X244" s="533"/>
      <c r="Y244" s="535"/>
      <c r="Z244" s="537"/>
      <c r="AA244" s="8" t="s">
        <v>51</v>
      </c>
      <c r="AB244" s="6"/>
      <c r="AC244" s="18"/>
      <c r="AD244" s="19"/>
      <c r="AE244" s="552"/>
      <c r="AF244" s="550"/>
      <c r="AG244" s="550"/>
      <c r="AH244" s="550"/>
      <c r="AI244" s="550"/>
      <c r="AJ244" s="551"/>
      <c r="AK244" s="552"/>
      <c r="AL244" s="550"/>
      <c r="AM244" s="550"/>
      <c r="AN244" s="550"/>
      <c r="AO244" s="550"/>
      <c r="AP244" s="551"/>
      <c r="AQ244" s="542">
        <v>101</v>
      </c>
      <c r="AR244" s="543"/>
      <c r="AS244" s="544"/>
      <c r="AT244" s="554">
        <v>41</v>
      </c>
      <c r="AU244" s="25" t="s">
        <v>0</v>
      </c>
      <c r="AV244" s="557"/>
      <c r="AW244" s="558"/>
      <c r="AX244" s="559"/>
      <c r="AY244" s="554">
        <v>43</v>
      </c>
      <c r="AZ244" s="25" t="s">
        <v>0</v>
      </c>
      <c r="BA244" s="557"/>
      <c r="BB244" s="558"/>
      <c r="BC244" s="559"/>
    </row>
    <row r="245" spans="1:55" ht="16.5" customHeight="1">
      <c r="A245" s="560"/>
      <c r="B245" s="561"/>
      <c r="C245" s="9" t="s">
        <v>33</v>
      </c>
      <c r="D245" s="13"/>
      <c r="E245" s="9" t="s">
        <v>70</v>
      </c>
      <c r="F245" s="12"/>
      <c r="G245" s="355">
        <v>102</v>
      </c>
      <c r="H245" s="338"/>
      <c r="I245" s="339"/>
      <c r="J245" s="340"/>
      <c r="K245" s="9" t="s">
        <v>334</v>
      </c>
      <c r="L245" s="7"/>
      <c r="M245" s="20"/>
      <c r="N245" s="21"/>
      <c r="O245" s="9" t="s">
        <v>334</v>
      </c>
      <c r="P245" s="7"/>
      <c r="Q245" s="20"/>
      <c r="R245" s="21"/>
      <c r="S245" s="519"/>
      <c r="T245" s="527"/>
      <c r="U245" s="528"/>
      <c r="V245" s="529"/>
      <c r="W245" s="519"/>
      <c r="X245" s="527"/>
      <c r="Y245" s="528"/>
      <c r="Z245" s="529"/>
      <c r="AA245" s="9" t="s">
        <v>52</v>
      </c>
      <c r="AB245" s="7"/>
      <c r="AC245" s="20"/>
      <c r="AD245" s="21"/>
      <c r="AE245" s="547"/>
      <c r="AF245" s="545"/>
      <c r="AG245" s="545"/>
      <c r="AH245" s="545"/>
      <c r="AI245" s="545"/>
      <c r="AJ245" s="546"/>
      <c r="AK245" s="547"/>
      <c r="AL245" s="545"/>
      <c r="AM245" s="545"/>
      <c r="AN245" s="545"/>
      <c r="AO245" s="545"/>
      <c r="AP245" s="546"/>
      <c r="AQ245" s="530"/>
      <c r="AR245" s="515"/>
      <c r="AS245" s="517"/>
      <c r="AT245" s="555"/>
      <c r="AU245" s="26" t="s">
        <v>87</v>
      </c>
      <c r="AV245" s="124"/>
      <c r="AW245" s="26" t="s">
        <v>192</v>
      </c>
      <c r="AX245" s="126"/>
      <c r="AY245" s="555"/>
      <c r="AZ245" s="26" t="s">
        <v>87</v>
      </c>
      <c r="BA245" s="124"/>
      <c r="BB245" s="127" t="s">
        <v>192</v>
      </c>
      <c r="BC245" s="125"/>
    </row>
    <row r="246" spans="1:55" ht="16.5" customHeight="1">
      <c r="A246" s="560"/>
      <c r="B246" s="561"/>
      <c r="C246" s="9" t="s">
        <v>34</v>
      </c>
      <c r="D246" s="14"/>
      <c r="E246" s="9" t="s">
        <v>44</v>
      </c>
      <c r="F246" s="12"/>
      <c r="G246" s="355">
        <v>103</v>
      </c>
      <c r="H246" s="338"/>
      <c r="I246" s="339"/>
      <c r="J246" s="340"/>
      <c r="K246" s="9" t="s">
        <v>335</v>
      </c>
      <c r="L246" s="7"/>
      <c r="M246" s="20"/>
      <c r="N246" s="21"/>
      <c r="O246" s="9" t="s">
        <v>335</v>
      </c>
      <c r="P246" s="7"/>
      <c r="Q246" s="20"/>
      <c r="R246" s="21"/>
      <c r="S246" s="519"/>
      <c r="T246" s="527"/>
      <c r="U246" s="528"/>
      <c r="V246" s="529"/>
      <c r="W246" s="519"/>
      <c r="X246" s="539"/>
      <c r="Y246" s="540"/>
      <c r="Z246" s="541"/>
      <c r="AA246" s="9" t="s">
        <v>53</v>
      </c>
      <c r="AB246" s="7"/>
      <c r="AC246" s="20"/>
      <c r="AD246" s="21"/>
      <c r="AE246" s="547"/>
      <c r="AF246" s="545"/>
      <c r="AG246" s="545"/>
      <c r="AH246" s="545"/>
      <c r="AI246" s="545"/>
      <c r="AJ246" s="546"/>
      <c r="AK246" s="547"/>
      <c r="AL246" s="545"/>
      <c r="AM246" s="545"/>
      <c r="AN246" s="545"/>
      <c r="AO246" s="545"/>
      <c r="AP246" s="546"/>
      <c r="AQ246" s="530">
        <v>102</v>
      </c>
      <c r="AR246" s="515"/>
      <c r="AS246" s="517"/>
      <c r="AT246" s="555"/>
      <c r="AU246" s="26" t="s">
        <v>88</v>
      </c>
      <c r="AV246" s="28"/>
      <c r="AW246" s="26" t="s">
        <v>12</v>
      </c>
      <c r="AX246" s="31"/>
      <c r="AY246" s="555"/>
      <c r="AZ246" s="26" t="s">
        <v>88</v>
      </c>
      <c r="BA246" s="28"/>
      <c r="BB246" s="26" t="s">
        <v>12</v>
      </c>
      <c r="BC246" s="31"/>
    </row>
    <row r="247" spans="1:55" ht="16.5" customHeight="1">
      <c r="A247" s="560"/>
      <c r="B247" s="561"/>
      <c r="C247" s="9" t="s">
        <v>41</v>
      </c>
      <c r="D247" s="13"/>
      <c r="E247" s="9" t="s">
        <v>62</v>
      </c>
      <c r="F247" s="12"/>
      <c r="G247" s="355">
        <v>104</v>
      </c>
      <c r="H247" s="341"/>
      <c r="I247" s="342"/>
      <c r="J247" s="343"/>
      <c r="K247" s="9" t="s">
        <v>336</v>
      </c>
      <c r="L247" s="7"/>
      <c r="M247" s="20"/>
      <c r="N247" s="21"/>
      <c r="O247" s="9" t="s">
        <v>336</v>
      </c>
      <c r="P247" s="7"/>
      <c r="Q247" s="20"/>
      <c r="R247" s="21"/>
      <c r="S247" s="519"/>
      <c r="T247" s="534"/>
      <c r="U247" s="536"/>
      <c r="V247" s="538"/>
      <c r="W247" s="532" t="s">
        <v>52</v>
      </c>
      <c r="X247" s="533"/>
      <c r="Y247" s="535"/>
      <c r="Z247" s="537"/>
      <c r="AA247" s="9" t="s">
        <v>54</v>
      </c>
      <c r="AB247" s="7"/>
      <c r="AC247" s="20"/>
      <c r="AD247" s="21"/>
      <c r="AE247" s="547"/>
      <c r="AF247" s="545"/>
      <c r="AG247" s="545"/>
      <c r="AH247" s="545"/>
      <c r="AI247" s="545"/>
      <c r="AJ247" s="546"/>
      <c r="AK247" s="547"/>
      <c r="AL247" s="545"/>
      <c r="AM247" s="545"/>
      <c r="AN247" s="545"/>
      <c r="AO247" s="545"/>
      <c r="AP247" s="546"/>
      <c r="AQ247" s="530"/>
      <c r="AR247" s="515"/>
      <c r="AS247" s="517"/>
      <c r="AT247" s="555"/>
      <c r="AU247" s="26" t="s">
        <v>89</v>
      </c>
      <c r="AV247" s="29"/>
      <c r="AW247" s="26" t="s">
        <v>12</v>
      </c>
      <c r="AX247" s="32"/>
      <c r="AY247" s="555"/>
      <c r="AZ247" s="26" t="s">
        <v>89</v>
      </c>
      <c r="BA247" s="29"/>
      <c r="BB247" s="26" t="s">
        <v>12</v>
      </c>
      <c r="BC247" s="32"/>
    </row>
    <row r="248" spans="1:55" ht="16.5" customHeight="1">
      <c r="A248" s="560"/>
      <c r="B248" s="561"/>
      <c r="C248" s="9" t="s">
        <v>417</v>
      </c>
      <c r="D248" s="3"/>
      <c r="E248" s="9" t="s">
        <v>45</v>
      </c>
      <c r="F248" s="12"/>
      <c r="G248" s="356">
        <v>105</v>
      </c>
      <c r="H248" s="344"/>
      <c r="I248" s="345"/>
      <c r="J248" s="346"/>
      <c r="K248" s="9" t="s">
        <v>337</v>
      </c>
      <c r="L248" s="7"/>
      <c r="M248" s="20"/>
      <c r="N248" s="21"/>
      <c r="O248" s="9" t="s">
        <v>337</v>
      </c>
      <c r="P248" s="7"/>
      <c r="Q248" s="20"/>
      <c r="R248" s="21"/>
      <c r="S248" s="519" t="s">
        <v>52</v>
      </c>
      <c r="T248" s="527"/>
      <c r="U248" s="528"/>
      <c r="V248" s="529"/>
      <c r="W248" s="519"/>
      <c r="X248" s="527"/>
      <c r="Y248" s="528"/>
      <c r="Z248" s="529"/>
      <c r="AA248" s="9" t="s">
        <v>55</v>
      </c>
      <c r="AB248" s="7"/>
      <c r="AC248" s="20"/>
      <c r="AD248" s="21"/>
      <c r="AE248" s="547"/>
      <c r="AF248" s="545"/>
      <c r="AG248" s="545"/>
      <c r="AH248" s="545"/>
      <c r="AI248" s="545"/>
      <c r="AJ248" s="546"/>
      <c r="AK248" s="547"/>
      <c r="AL248" s="545"/>
      <c r="AM248" s="545"/>
      <c r="AN248" s="545"/>
      <c r="AO248" s="545"/>
      <c r="AP248" s="546"/>
      <c r="AQ248" s="530">
        <v>103</v>
      </c>
      <c r="AR248" s="515"/>
      <c r="AS248" s="517"/>
      <c r="AT248" s="556"/>
      <c r="AU248" s="27" t="s">
        <v>90</v>
      </c>
      <c r="AV248" s="30"/>
      <c r="AW248" s="27" t="s">
        <v>91</v>
      </c>
      <c r="AX248" s="33"/>
      <c r="AY248" s="556"/>
      <c r="AZ248" s="27" t="s">
        <v>90</v>
      </c>
      <c r="BA248" s="30"/>
      <c r="BB248" s="27" t="s">
        <v>91</v>
      </c>
      <c r="BC248" s="33"/>
    </row>
    <row r="249" spans="1:55" ht="16.5" customHeight="1">
      <c r="A249" s="560"/>
      <c r="B249" s="561"/>
      <c r="C249" s="9" t="s">
        <v>35</v>
      </c>
      <c r="D249" s="13"/>
      <c r="E249" s="9" t="s">
        <v>46</v>
      </c>
      <c r="F249" s="12"/>
      <c r="G249" s="5" t="s">
        <v>12</v>
      </c>
      <c r="H249" s="128" t="s">
        <v>13</v>
      </c>
      <c r="I249" s="4" t="s">
        <v>14</v>
      </c>
      <c r="J249" s="4" t="s">
        <v>15</v>
      </c>
      <c r="K249" s="9" t="s">
        <v>338</v>
      </c>
      <c r="L249" s="7"/>
      <c r="M249" s="20"/>
      <c r="N249" s="21"/>
      <c r="O249" s="9" t="s">
        <v>338</v>
      </c>
      <c r="P249" s="7"/>
      <c r="Q249" s="20"/>
      <c r="R249" s="21"/>
      <c r="S249" s="519"/>
      <c r="T249" s="527"/>
      <c r="U249" s="528"/>
      <c r="V249" s="529"/>
      <c r="W249" s="519"/>
      <c r="X249" s="539"/>
      <c r="Y249" s="540"/>
      <c r="Z249" s="541"/>
      <c r="AA249" s="9" t="s">
        <v>56</v>
      </c>
      <c r="AB249" s="7"/>
      <c r="AC249" s="20"/>
      <c r="AD249" s="21"/>
      <c r="AE249" s="547"/>
      <c r="AF249" s="545"/>
      <c r="AG249" s="545"/>
      <c r="AH249" s="545"/>
      <c r="AI249" s="545"/>
      <c r="AJ249" s="546"/>
      <c r="AK249" s="547"/>
      <c r="AL249" s="545"/>
      <c r="AM249" s="545"/>
      <c r="AN249" s="545"/>
      <c r="AO249" s="545"/>
      <c r="AP249" s="546"/>
      <c r="AQ249" s="530"/>
      <c r="AR249" s="515"/>
      <c r="AS249" s="517"/>
      <c r="AT249" s="554">
        <v>42</v>
      </c>
      <c r="AU249" s="25" t="s">
        <v>0</v>
      </c>
      <c r="AV249" s="557"/>
      <c r="AW249" s="558"/>
      <c r="AX249" s="559"/>
      <c r="AY249" s="554">
        <v>44</v>
      </c>
      <c r="AZ249" s="25" t="s">
        <v>0</v>
      </c>
      <c r="BA249" s="557"/>
      <c r="BB249" s="558"/>
      <c r="BC249" s="559"/>
    </row>
    <row r="250" spans="1:55" ht="16.5" customHeight="1">
      <c r="A250" s="560"/>
      <c r="B250" s="561"/>
      <c r="C250" s="9" t="s">
        <v>36</v>
      </c>
      <c r="D250" s="13"/>
      <c r="E250" s="9" t="s">
        <v>47</v>
      </c>
      <c r="F250" s="12"/>
      <c r="G250" s="354">
        <v>101</v>
      </c>
      <c r="H250" s="335"/>
      <c r="I250" s="336"/>
      <c r="J250" s="357"/>
      <c r="K250" s="9" t="s">
        <v>339</v>
      </c>
      <c r="L250" s="7"/>
      <c r="M250" s="20"/>
      <c r="N250" s="21"/>
      <c r="O250" s="9" t="s">
        <v>339</v>
      </c>
      <c r="P250" s="7"/>
      <c r="Q250" s="20"/>
      <c r="R250" s="21"/>
      <c r="S250" s="519"/>
      <c r="T250" s="527"/>
      <c r="U250" s="528"/>
      <c r="V250" s="529"/>
      <c r="W250" s="532" t="s">
        <v>344</v>
      </c>
      <c r="X250" s="533"/>
      <c r="Y250" s="535"/>
      <c r="Z250" s="537"/>
      <c r="AA250" s="9"/>
      <c r="AB250" s="7"/>
      <c r="AC250" s="20"/>
      <c r="AD250" s="21"/>
      <c r="AE250" s="547"/>
      <c r="AF250" s="545"/>
      <c r="AG250" s="545"/>
      <c r="AH250" s="545"/>
      <c r="AI250" s="545"/>
      <c r="AJ250" s="546"/>
      <c r="AK250" s="547"/>
      <c r="AL250" s="545"/>
      <c r="AM250" s="545"/>
      <c r="AN250" s="545"/>
      <c r="AO250" s="545"/>
      <c r="AP250" s="546"/>
      <c r="AQ250" s="530">
        <v>104</v>
      </c>
      <c r="AR250" s="515"/>
      <c r="AS250" s="517"/>
      <c r="AT250" s="555"/>
      <c r="AU250" s="26" t="s">
        <v>87</v>
      </c>
      <c r="AV250" s="124"/>
      <c r="AW250" s="127" t="s">
        <v>192</v>
      </c>
      <c r="AX250" s="125"/>
      <c r="AY250" s="555"/>
      <c r="AZ250" s="26" t="s">
        <v>87</v>
      </c>
      <c r="BA250" s="124"/>
      <c r="BB250" s="127" t="s">
        <v>192</v>
      </c>
      <c r="BC250" s="125"/>
    </row>
    <row r="251" spans="1:55" ht="16.5" customHeight="1">
      <c r="A251" s="560"/>
      <c r="B251" s="561"/>
      <c r="C251" s="9" t="s">
        <v>37</v>
      </c>
      <c r="D251" s="13"/>
      <c r="E251" s="9" t="s">
        <v>48</v>
      </c>
      <c r="F251" s="12"/>
      <c r="G251" s="355">
        <v>102</v>
      </c>
      <c r="H251" s="338"/>
      <c r="I251" s="339"/>
      <c r="J251" s="340"/>
      <c r="K251" s="353" t="s">
        <v>340</v>
      </c>
      <c r="L251" s="7"/>
      <c r="M251" s="20"/>
      <c r="N251" s="21"/>
      <c r="O251" s="353" t="s">
        <v>340</v>
      </c>
      <c r="P251" s="7"/>
      <c r="Q251" s="20"/>
      <c r="R251" s="21"/>
      <c r="S251" s="519"/>
      <c r="T251" s="539"/>
      <c r="U251" s="540"/>
      <c r="V251" s="541"/>
      <c r="W251" s="519"/>
      <c r="X251" s="527"/>
      <c r="Y251" s="528"/>
      <c r="Z251" s="529"/>
      <c r="AA251" s="9" t="s">
        <v>58</v>
      </c>
      <c r="AB251" s="7"/>
      <c r="AC251" s="20"/>
      <c r="AD251" s="21"/>
      <c r="AE251" s="547"/>
      <c r="AF251" s="545"/>
      <c r="AG251" s="545"/>
      <c r="AH251" s="545"/>
      <c r="AI251" s="545"/>
      <c r="AJ251" s="546"/>
      <c r="AK251" s="547"/>
      <c r="AL251" s="545"/>
      <c r="AM251" s="545"/>
      <c r="AN251" s="545"/>
      <c r="AO251" s="545"/>
      <c r="AP251" s="546"/>
      <c r="AQ251" s="530"/>
      <c r="AR251" s="515"/>
      <c r="AS251" s="517"/>
      <c r="AT251" s="555"/>
      <c r="AU251" s="26" t="s">
        <v>88</v>
      </c>
      <c r="AV251" s="28"/>
      <c r="AW251" s="26" t="s">
        <v>12</v>
      </c>
      <c r="AX251" s="31"/>
      <c r="AY251" s="555"/>
      <c r="AZ251" s="26" t="s">
        <v>88</v>
      </c>
      <c r="BA251" s="28"/>
      <c r="BB251" s="26" t="s">
        <v>12</v>
      </c>
      <c r="BC251" s="31"/>
    </row>
    <row r="252" spans="1:55" ht="16.5" customHeight="1">
      <c r="A252" s="560"/>
      <c r="B252" s="561"/>
      <c r="C252" s="9" t="s">
        <v>38</v>
      </c>
      <c r="D252" s="13"/>
      <c r="E252" s="9" t="s">
        <v>49</v>
      </c>
      <c r="F252" s="12"/>
      <c r="G252" s="355">
        <v>103</v>
      </c>
      <c r="H252" s="338"/>
      <c r="I252" s="339"/>
      <c r="J252" s="340"/>
      <c r="K252" s="9" t="s">
        <v>341</v>
      </c>
      <c r="L252" s="7"/>
      <c r="M252" s="20"/>
      <c r="N252" s="21"/>
      <c r="O252" s="9" t="s">
        <v>341</v>
      </c>
      <c r="P252" s="7"/>
      <c r="Q252" s="20"/>
      <c r="R252" s="21"/>
      <c r="S252" s="519" t="s">
        <v>344</v>
      </c>
      <c r="T252" s="521"/>
      <c r="U252" s="523"/>
      <c r="V252" s="525"/>
      <c r="W252" s="519"/>
      <c r="X252" s="539"/>
      <c r="Y252" s="540"/>
      <c r="Z252" s="541"/>
      <c r="AA252" s="9" t="s">
        <v>59</v>
      </c>
      <c r="AB252" s="7"/>
      <c r="AC252" s="20"/>
      <c r="AD252" s="21"/>
      <c r="AE252" s="547"/>
      <c r="AF252" s="545"/>
      <c r="AG252" s="545"/>
      <c r="AH252" s="545"/>
      <c r="AI252" s="545"/>
      <c r="AJ252" s="546"/>
      <c r="AK252" s="547"/>
      <c r="AL252" s="545"/>
      <c r="AM252" s="545"/>
      <c r="AN252" s="545"/>
      <c r="AO252" s="545"/>
      <c r="AP252" s="546"/>
      <c r="AQ252" s="530">
        <v>105</v>
      </c>
      <c r="AR252" s="515"/>
      <c r="AS252" s="517"/>
      <c r="AT252" s="555"/>
      <c r="AU252" s="26" t="s">
        <v>89</v>
      </c>
      <c r="AV252" s="29"/>
      <c r="AW252" s="26" t="s">
        <v>12</v>
      </c>
      <c r="AX252" s="32"/>
      <c r="AY252" s="555"/>
      <c r="AZ252" s="26" t="s">
        <v>89</v>
      </c>
      <c r="BA252" s="29"/>
      <c r="BB252" s="26" t="s">
        <v>12</v>
      </c>
      <c r="BC252" s="32"/>
    </row>
    <row r="253" spans="1:55" ht="16.5" customHeight="1">
      <c r="A253" s="560"/>
      <c r="B253" s="561"/>
      <c r="C253" s="9" t="s">
        <v>39</v>
      </c>
      <c r="D253" s="13"/>
      <c r="E253" s="9" t="s">
        <v>50</v>
      </c>
      <c r="F253" s="132"/>
      <c r="G253" s="355">
        <v>104</v>
      </c>
      <c r="H253" s="347"/>
      <c r="I253" s="348"/>
      <c r="J253" s="349"/>
      <c r="K253" s="9"/>
      <c r="L253" s="7"/>
      <c r="M253" s="20"/>
      <c r="N253" s="21"/>
      <c r="O253" s="9"/>
      <c r="P253" s="7"/>
      <c r="Q253" s="20"/>
      <c r="R253" s="21"/>
      <c r="S253" s="519"/>
      <c r="T253" s="527"/>
      <c r="U253" s="528"/>
      <c r="V253" s="529"/>
      <c r="W253" s="519" t="s">
        <v>60</v>
      </c>
      <c r="X253" s="521"/>
      <c r="Y253" s="523"/>
      <c r="Z253" s="525"/>
      <c r="AA253" s="9" t="s">
        <v>60</v>
      </c>
      <c r="AB253" s="7"/>
      <c r="AC253" s="20"/>
      <c r="AD253" s="21"/>
      <c r="AE253" s="553"/>
      <c r="AF253" s="548"/>
      <c r="AG253" s="548"/>
      <c r="AH253" s="548"/>
      <c r="AI253" s="548"/>
      <c r="AJ253" s="549"/>
      <c r="AK253" s="553"/>
      <c r="AL253" s="548"/>
      <c r="AM253" s="548"/>
      <c r="AN253" s="548"/>
      <c r="AO253" s="548"/>
      <c r="AP253" s="549"/>
      <c r="AQ253" s="531"/>
      <c r="AR253" s="516"/>
      <c r="AS253" s="518"/>
      <c r="AT253" s="556"/>
      <c r="AU253" s="27" t="s">
        <v>90</v>
      </c>
      <c r="AV253" s="30"/>
      <c r="AW253" s="27" t="s">
        <v>91</v>
      </c>
      <c r="AX253" s="33"/>
      <c r="AY253" s="556"/>
      <c r="AZ253" s="27" t="s">
        <v>90</v>
      </c>
      <c r="BA253" s="30"/>
      <c r="BB253" s="27" t="s">
        <v>91</v>
      </c>
      <c r="BC253" s="33"/>
    </row>
    <row r="254" spans="1:55" ht="16.5" customHeight="1">
      <c r="A254" s="560"/>
      <c r="B254" s="561"/>
      <c r="C254" s="10" t="s">
        <v>40</v>
      </c>
      <c r="D254" s="15"/>
      <c r="E254" s="130" t="s">
        <v>255</v>
      </c>
      <c r="F254" s="131"/>
      <c r="G254" s="356">
        <v>105</v>
      </c>
      <c r="H254" s="350"/>
      <c r="I254" s="351"/>
      <c r="J254" s="352"/>
      <c r="K254" s="17"/>
      <c r="L254" s="16"/>
      <c r="M254" s="22"/>
      <c r="N254" s="23"/>
      <c r="O254" s="17"/>
      <c r="P254" s="16"/>
      <c r="Q254" s="22"/>
      <c r="R254" s="23"/>
      <c r="S254" s="520"/>
      <c r="T254" s="522"/>
      <c r="U254" s="524"/>
      <c r="V254" s="526"/>
      <c r="W254" s="520"/>
      <c r="X254" s="522"/>
      <c r="Y254" s="524"/>
      <c r="Z254" s="526"/>
      <c r="AA254" s="17" t="s">
        <v>61</v>
      </c>
      <c r="AB254" s="16"/>
      <c r="AC254" s="22"/>
      <c r="AD254" s="23"/>
      <c r="AE254" s="115"/>
      <c r="AF254" s="116"/>
      <c r="AG254" s="116"/>
      <c r="AH254" s="116"/>
      <c r="AI254" s="117"/>
      <c r="AJ254" s="118"/>
      <c r="AK254" s="119"/>
      <c r="AL254" s="120"/>
      <c r="AM254" s="121"/>
      <c r="AN254" s="121"/>
      <c r="AO254" s="121"/>
      <c r="AP254" s="122"/>
      <c r="AQ254" s="115"/>
      <c r="AR254" s="116"/>
      <c r="AS254" s="118"/>
      <c r="AT254" s="123"/>
      <c r="AU254" s="113"/>
      <c r="AV254" s="113"/>
      <c r="AW254" s="113"/>
      <c r="AX254" s="114"/>
      <c r="AY254" s="123"/>
      <c r="AZ254" s="113"/>
      <c r="BA254" s="113"/>
      <c r="BB254" s="113"/>
      <c r="BC254" s="114"/>
    </row>
    <row r="255" spans="1:55" ht="16.5" customHeight="1"/>
    <row r="256" spans="1:55" ht="16.5" customHeight="1">
      <c r="A256" s="560">
        <v>22</v>
      </c>
      <c r="B256" s="561" t="s">
        <v>246</v>
      </c>
      <c r="C256" s="8" t="s">
        <v>42</v>
      </c>
      <c r="D256" s="24"/>
      <c r="E256" s="8" t="s">
        <v>43</v>
      </c>
      <c r="F256" s="11"/>
      <c r="G256" s="354">
        <v>106</v>
      </c>
      <c r="H256" s="335"/>
      <c r="I256" s="336"/>
      <c r="J256" s="357"/>
      <c r="K256" s="8" t="s">
        <v>333</v>
      </c>
      <c r="L256" s="6"/>
      <c r="M256" s="18"/>
      <c r="N256" s="19"/>
      <c r="O256" s="8" t="s">
        <v>333</v>
      </c>
      <c r="P256" s="6"/>
      <c r="Q256" s="18"/>
      <c r="R256" s="19"/>
      <c r="S256" s="532" t="s">
        <v>51</v>
      </c>
      <c r="T256" s="533"/>
      <c r="U256" s="535"/>
      <c r="V256" s="537"/>
      <c r="W256" s="532" t="s">
        <v>51</v>
      </c>
      <c r="X256" s="533"/>
      <c r="Y256" s="535"/>
      <c r="Z256" s="537"/>
      <c r="AA256" s="8" t="s">
        <v>51</v>
      </c>
      <c r="AB256" s="6"/>
      <c r="AC256" s="18"/>
      <c r="AD256" s="19"/>
      <c r="AE256" s="552"/>
      <c r="AF256" s="550"/>
      <c r="AG256" s="550"/>
      <c r="AH256" s="550"/>
      <c r="AI256" s="550"/>
      <c r="AJ256" s="551"/>
      <c r="AK256" s="552"/>
      <c r="AL256" s="550"/>
      <c r="AM256" s="550"/>
      <c r="AN256" s="550"/>
      <c r="AO256" s="550"/>
      <c r="AP256" s="551"/>
      <c r="AQ256" s="542">
        <v>106</v>
      </c>
      <c r="AR256" s="543"/>
      <c r="AS256" s="544"/>
      <c r="AT256" s="554">
        <v>43</v>
      </c>
      <c r="AU256" s="25" t="s">
        <v>0</v>
      </c>
      <c r="AV256" s="557"/>
      <c r="AW256" s="558"/>
      <c r="AX256" s="559"/>
      <c r="AY256" s="554">
        <v>45</v>
      </c>
      <c r="AZ256" s="25" t="s">
        <v>0</v>
      </c>
      <c r="BA256" s="557"/>
      <c r="BB256" s="558"/>
      <c r="BC256" s="559"/>
    </row>
    <row r="257" spans="1:55" ht="16.5" customHeight="1">
      <c r="A257" s="560"/>
      <c r="B257" s="561"/>
      <c r="C257" s="9" t="s">
        <v>33</v>
      </c>
      <c r="D257" s="13"/>
      <c r="E257" s="9" t="s">
        <v>70</v>
      </c>
      <c r="F257" s="12"/>
      <c r="G257" s="355">
        <v>107</v>
      </c>
      <c r="H257" s="338"/>
      <c r="I257" s="339"/>
      <c r="J257" s="340"/>
      <c r="K257" s="9" t="s">
        <v>334</v>
      </c>
      <c r="L257" s="7"/>
      <c r="M257" s="20"/>
      <c r="N257" s="21"/>
      <c r="O257" s="9" t="s">
        <v>334</v>
      </c>
      <c r="P257" s="7"/>
      <c r="Q257" s="20"/>
      <c r="R257" s="21"/>
      <c r="S257" s="519"/>
      <c r="T257" s="527"/>
      <c r="U257" s="528"/>
      <c r="V257" s="529"/>
      <c r="W257" s="519"/>
      <c r="X257" s="527"/>
      <c r="Y257" s="528"/>
      <c r="Z257" s="529"/>
      <c r="AA257" s="9" t="s">
        <v>52</v>
      </c>
      <c r="AB257" s="7"/>
      <c r="AC257" s="20"/>
      <c r="AD257" s="21"/>
      <c r="AE257" s="547"/>
      <c r="AF257" s="545"/>
      <c r="AG257" s="545"/>
      <c r="AH257" s="545"/>
      <c r="AI257" s="545"/>
      <c r="AJ257" s="546"/>
      <c r="AK257" s="547"/>
      <c r="AL257" s="545"/>
      <c r="AM257" s="545"/>
      <c r="AN257" s="545"/>
      <c r="AO257" s="545"/>
      <c r="AP257" s="546"/>
      <c r="AQ257" s="530"/>
      <c r="AR257" s="515"/>
      <c r="AS257" s="517"/>
      <c r="AT257" s="555"/>
      <c r="AU257" s="26" t="s">
        <v>87</v>
      </c>
      <c r="AV257" s="124"/>
      <c r="AW257" s="26" t="s">
        <v>192</v>
      </c>
      <c r="AX257" s="126"/>
      <c r="AY257" s="555"/>
      <c r="AZ257" s="26" t="s">
        <v>87</v>
      </c>
      <c r="BA257" s="124"/>
      <c r="BB257" s="127" t="s">
        <v>192</v>
      </c>
      <c r="BC257" s="125"/>
    </row>
    <row r="258" spans="1:55" ht="16.5" customHeight="1">
      <c r="A258" s="560"/>
      <c r="B258" s="561"/>
      <c r="C258" s="9" t="s">
        <v>34</v>
      </c>
      <c r="D258" s="14"/>
      <c r="E258" s="9" t="s">
        <v>44</v>
      </c>
      <c r="F258" s="12"/>
      <c r="G258" s="355">
        <v>108</v>
      </c>
      <c r="H258" s="338"/>
      <c r="I258" s="339"/>
      <c r="J258" s="340"/>
      <c r="K258" s="9" t="s">
        <v>335</v>
      </c>
      <c r="L258" s="7"/>
      <c r="M258" s="20"/>
      <c r="N258" s="21"/>
      <c r="O258" s="9" t="s">
        <v>335</v>
      </c>
      <c r="P258" s="7"/>
      <c r="Q258" s="20"/>
      <c r="R258" s="21"/>
      <c r="S258" s="519"/>
      <c r="T258" s="527"/>
      <c r="U258" s="528"/>
      <c r="V258" s="529"/>
      <c r="W258" s="519"/>
      <c r="X258" s="539"/>
      <c r="Y258" s="540"/>
      <c r="Z258" s="541"/>
      <c r="AA258" s="9" t="s">
        <v>53</v>
      </c>
      <c r="AB258" s="7"/>
      <c r="AC258" s="20"/>
      <c r="AD258" s="21"/>
      <c r="AE258" s="547"/>
      <c r="AF258" s="545"/>
      <c r="AG258" s="545"/>
      <c r="AH258" s="545"/>
      <c r="AI258" s="545"/>
      <c r="AJ258" s="546"/>
      <c r="AK258" s="547"/>
      <c r="AL258" s="545"/>
      <c r="AM258" s="545"/>
      <c r="AN258" s="545"/>
      <c r="AO258" s="545"/>
      <c r="AP258" s="546"/>
      <c r="AQ258" s="530">
        <v>107</v>
      </c>
      <c r="AR258" s="515"/>
      <c r="AS258" s="517"/>
      <c r="AT258" s="555"/>
      <c r="AU258" s="26" t="s">
        <v>88</v>
      </c>
      <c r="AV258" s="28"/>
      <c r="AW258" s="26" t="s">
        <v>12</v>
      </c>
      <c r="AX258" s="31"/>
      <c r="AY258" s="555"/>
      <c r="AZ258" s="26" t="s">
        <v>88</v>
      </c>
      <c r="BA258" s="28"/>
      <c r="BB258" s="26" t="s">
        <v>12</v>
      </c>
      <c r="BC258" s="31"/>
    </row>
    <row r="259" spans="1:55" ht="16.5" customHeight="1">
      <c r="A259" s="560"/>
      <c r="B259" s="561"/>
      <c r="C259" s="9" t="s">
        <v>41</v>
      </c>
      <c r="D259" s="13"/>
      <c r="E259" s="9" t="s">
        <v>62</v>
      </c>
      <c r="F259" s="12"/>
      <c r="G259" s="355">
        <v>109</v>
      </c>
      <c r="H259" s="341"/>
      <c r="I259" s="342"/>
      <c r="J259" s="343"/>
      <c r="K259" s="9" t="s">
        <v>336</v>
      </c>
      <c r="L259" s="7"/>
      <c r="M259" s="20"/>
      <c r="N259" s="21"/>
      <c r="O259" s="9" t="s">
        <v>336</v>
      </c>
      <c r="P259" s="7"/>
      <c r="Q259" s="20"/>
      <c r="R259" s="21"/>
      <c r="S259" s="519"/>
      <c r="T259" s="534"/>
      <c r="U259" s="536"/>
      <c r="V259" s="538"/>
      <c r="W259" s="532" t="s">
        <v>52</v>
      </c>
      <c r="X259" s="533"/>
      <c r="Y259" s="535"/>
      <c r="Z259" s="537"/>
      <c r="AA259" s="9" t="s">
        <v>54</v>
      </c>
      <c r="AB259" s="7"/>
      <c r="AC259" s="20"/>
      <c r="AD259" s="21"/>
      <c r="AE259" s="547"/>
      <c r="AF259" s="545"/>
      <c r="AG259" s="545"/>
      <c r="AH259" s="545"/>
      <c r="AI259" s="545"/>
      <c r="AJ259" s="546"/>
      <c r="AK259" s="547"/>
      <c r="AL259" s="545"/>
      <c r="AM259" s="545"/>
      <c r="AN259" s="545"/>
      <c r="AO259" s="545"/>
      <c r="AP259" s="546"/>
      <c r="AQ259" s="530"/>
      <c r="AR259" s="515"/>
      <c r="AS259" s="517"/>
      <c r="AT259" s="555"/>
      <c r="AU259" s="26" t="s">
        <v>89</v>
      </c>
      <c r="AV259" s="29"/>
      <c r="AW259" s="26" t="s">
        <v>12</v>
      </c>
      <c r="AX259" s="32"/>
      <c r="AY259" s="555"/>
      <c r="AZ259" s="26" t="s">
        <v>89</v>
      </c>
      <c r="BA259" s="29"/>
      <c r="BB259" s="26" t="s">
        <v>12</v>
      </c>
      <c r="BC259" s="32"/>
    </row>
    <row r="260" spans="1:55" ht="16.5" customHeight="1">
      <c r="A260" s="560"/>
      <c r="B260" s="561"/>
      <c r="C260" s="9" t="s">
        <v>417</v>
      </c>
      <c r="D260" s="3"/>
      <c r="E260" s="9" t="s">
        <v>45</v>
      </c>
      <c r="F260" s="12"/>
      <c r="G260" s="356">
        <v>110</v>
      </c>
      <c r="H260" s="344"/>
      <c r="I260" s="345"/>
      <c r="J260" s="346"/>
      <c r="K260" s="9" t="s">
        <v>337</v>
      </c>
      <c r="L260" s="7"/>
      <c r="M260" s="20"/>
      <c r="N260" s="21"/>
      <c r="O260" s="9" t="s">
        <v>337</v>
      </c>
      <c r="P260" s="7"/>
      <c r="Q260" s="20"/>
      <c r="R260" s="21"/>
      <c r="S260" s="519" t="s">
        <v>52</v>
      </c>
      <c r="T260" s="527"/>
      <c r="U260" s="528"/>
      <c r="V260" s="529"/>
      <c r="W260" s="519"/>
      <c r="X260" s="527"/>
      <c r="Y260" s="528"/>
      <c r="Z260" s="529"/>
      <c r="AA260" s="9" t="s">
        <v>55</v>
      </c>
      <c r="AB260" s="7"/>
      <c r="AC260" s="20"/>
      <c r="AD260" s="21"/>
      <c r="AE260" s="547"/>
      <c r="AF260" s="545"/>
      <c r="AG260" s="545"/>
      <c r="AH260" s="545"/>
      <c r="AI260" s="545"/>
      <c r="AJ260" s="546"/>
      <c r="AK260" s="547"/>
      <c r="AL260" s="545"/>
      <c r="AM260" s="545"/>
      <c r="AN260" s="545"/>
      <c r="AO260" s="545"/>
      <c r="AP260" s="546"/>
      <c r="AQ260" s="530">
        <v>108</v>
      </c>
      <c r="AR260" s="515"/>
      <c r="AS260" s="517"/>
      <c r="AT260" s="556"/>
      <c r="AU260" s="27" t="s">
        <v>90</v>
      </c>
      <c r="AV260" s="30"/>
      <c r="AW260" s="27" t="s">
        <v>91</v>
      </c>
      <c r="AX260" s="33"/>
      <c r="AY260" s="556"/>
      <c r="AZ260" s="27" t="s">
        <v>90</v>
      </c>
      <c r="BA260" s="30"/>
      <c r="BB260" s="27" t="s">
        <v>91</v>
      </c>
      <c r="BC260" s="33"/>
    </row>
    <row r="261" spans="1:55" ht="16.5" customHeight="1">
      <c r="A261" s="560"/>
      <c r="B261" s="561"/>
      <c r="C261" s="9" t="s">
        <v>35</v>
      </c>
      <c r="D261" s="13"/>
      <c r="E261" s="9" t="s">
        <v>46</v>
      </c>
      <c r="F261" s="12"/>
      <c r="G261" s="5" t="s">
        <v>12</v>
      </c>
      <c r="H261" s="128" t="s">
        <v>13</v>
      </c>
      <c r="I261" s="4" t="s">
        <v>14</v>
      </c>
      <c r="J261" s="4" t="s">
        <v>15</v>
      </c>
      <c r="K261" s="9" t="s">
        <v>338</v>
      </c>
      <c r="L261" s="7"/>
      <c r="M261" s="20"/>
      <c r="N261" s="21"/>
      <c r="O261" s="9" t="s">
        <v>338</v>
      </c>
      <c r="P261" s="7"/>
      <c r="Q261" s="20"/>
      <c r="R261" s="21"/>
      <c r="S261" s="519"/>
      <c r="T261" s="527"/>
      <c r="U261" s="528"/>
      <c r="V261" s="529"/>
      <c r="W261" s="519"/>
      <c r="X261" s="539"/>
      <c r="Y261" s="540"/>
      <c r="Z261" s="541"/>
      <c r="AA261" s="9" t="s">
        <v>56</v>
      </c>
      <c r="AB261" s="7"/>
      <c r="AC261" s="20"/>
      <c r="AD261" s="21"/>
      <c r="AE261" s="547"/>
      <c r="AF261" s="545"/>
      <c r="AG261" s="545"/>
      <c r="AH261" s="545"/>
      <c r="AI261" s="545"/>
      <c r="AJ261" s="546"/>
      <c r="AK261" s="547"/>
      <c r="AL261" s="545"/>
      <c r="AM261" s="545"/>
      <c r="AN261" s="545"/>
      <c r="AO261" s="545"/>
      <c r="AP261" s="546"/>
      <c r="AQ261" s="530"/>
      <c r="AR261" s="515"/>
      <c r="AS261" s="517"/>
      <c r="AT261" s="554">
        <v>44</v>
      </c>
      <c r="AU261" s="25" t="s">
        <v>0</v>
      </c>
      <c r="AV261" s="557"/>
      <c r="AW261" s="558"/>
      <c r="AX261" s="559"/>
      <c r="AY261" s="554">
        <v>46</v>
      </c>
      <c r="AZ261" s="25" t="s">
        <v>0</v>
      </c>
      <c r="BA261" s="557"/>
      <c r="BB261" s="558"/>
      <c r="BC261" s="559"/>
    </row>
    <row r="262" spans="1:55" ht="16.5" customHeight="1">
      <c r="A262" s="560"/>
      <c r="B262" s="561"/>
      <c r="C262" s="9" t="s">
        <v>36</v>
      </c>
      <c r="D262" s="13"/>
      <c r="E262" s="9" t="s">
        <v>47</v>
      </c>
      <c r="F262" s="12"/>
      <c r="G262" s="354">
        <v>106</v>
      </c>
      <c r="H262" s="335"/>
      <c r="I262" s="336"/>
      <c r="J262" s="357"/>
      <c r="K262" s="9" t="s">
        <v>339</v>
      </c>
      <c r="L262" s="7"/>
      <c r="M262" s="20"/>
      <c r="N262" s="21"/>
      <c r="O262" s="9" t="s">
        <v>339</v>
      </c>
      <c r="P262" s="7"/>
      <c r="Q262" s="20"/>
      <c r="R262" s="21"/>
      <c r="S262" s="519"/>
      <c r="T262" s="527"/>
      <c r="U262" s="528"/>
      <c r="V262" s="529"/>
      <c r="W262" s="532" t="s">
        <v>344</v>
      </c>
      <c r="X262" s="533"/>
      <c r="Y262" s="535"/>
      <c r="Z262" s="537"/>
      <c r="AA262" s="9"/>
      <c r="AB262" s="7"/>
      <c r="AC262" s="20"/>
      <c r="AD262" s="21"/>
      <c r="AE262" s="547"/>
      <c r="AF262" s="545"/>
      <c r="AG262" s="545"/>
      <c r="AH262" s="545"/>
      <c r="AI262" s="545"/>
      <c r="AJ262" s="546"/>
      <c r="AK262" s="547"/>
      <c r="AL262" s="545"/>
      <c r="AM262" s="545"/>
      <c r="AN262" s="545"/>
      <c r="AO262" s="545"/>
      <c r="AP262" s="546"/>
      <c r="AQ262" s="530">
        <v>109</v>
      </c>
      <c r="AR262" s="515"/>
      <c r="AS262" s="517"/>
      <c r="AT262" s="555"/>
      <c r="AU262" s="26" t="s">
        <v>87</v>
      </c>
      <c r="AV262" s="124"/>
      <c r="AW262" s="127" t="s">
        <v>192</v>
      </c>
      <c r="AX262" s="125"/>
      <c r="AY262" s="555"/>
      <c r="AZ262" s="26" t="s">
        <v>87</v>
      </c>
      <c r="BA262" s="124"/>
      <c r="BB262" s="127" t="s">
        <v>192</v>
      </c>
      <c r="BC262" s="125"/>
    </row>
    <row r="263" spans="1:55" ht="16.5" customHeight="1">
      <c r="A263" s="560"/>
      <c r="B263" s="561"/>
      <c r="C263" s="9" t="s">
        <v>37</v>
      </c>
      <c r="D263" s="13"/>
      <c r="E263" s="9" t="s">
        <v>48</v>
      </c>
      <c r="F263" s="12"/>
      <c r="G263" s="355">
        <v>107</v>
      </c>
      <c r="H263" s="338"/>
      <c r="I263" s="339"/>
      <c r="J263" s="340"/>
      <c r="K263" s="353" t="s">
        <v>340</v>
      </c>
      <c r="L263" s="7"/>
      <c r="M263" s="20"/>
      <c r="N263" s="21"/>
      <c r="O263" s="353" t="s">
        <v>340</v>
      </c>
      <c r="P263" s="7"/>
      <c r="Q263" s="20"/>
      <c r="R263" s="21"/>
      <c r="S263" s="519"/>
      <c r="T263" s="539"/>
      <c r="U263" s="540"/>
      <c r="V263" s="541"/>
      <c r="W263" s="519"/>
      <c r="X263" s="527"/>
      <c r="Y263" s="528"/>
      <c r="Z263" s="529"/>
      <c r="AA263" s="9" t="s">
        <v>58</v>
      </c>
      <c r="AB263" s="7"/>
      <c r="AC263" s="20"/>
      <c r="AD263" s="21"/>
      <c r="AE263" s="547"/>
      <c r="AF263" s="545"/>
      <c r="AG263" s="545"/>
      <c r="AH263" s="545"/>
      <c r="AI263" s="545"/>
      <c r="AJ263" s="546"/>
      <c r="AK263" s="547"/>
      <c r="AL263" s="545"/>
      <c r="AM263" s="545"/>
      <c r="AN263" s="545"/>
      <c r="AO263" s="545"/>
      <c r="AP263" s="546"/>
      <c r="AQ263" s="530"/>
      <c r="AR263" s="515"/>
      <c r="AS263" s="517"/>
      <c r="AT263" s="555"/>
      <c r="AU263" s="26" t="s">
        <v>88</v>
      </c>
      <c r="AV263" s="28"/>
      <c r="AW263" s="26" t="s">
        <v>12</v>
      </c>
      <c r="AX263" s="31"/>
      <c r="AY263" s="555"/>
      <c r="AZ263" s="26" t="s">
        <v>88</v>
      </c>
      <c r="BA263" s="28"/>
      <c r="BB263" s="26" t="s">
        <v>12</v>
      </c>
      <c r="BC263" s="31"/>
    </row>
    <row r="264" spans="1:55" ht="16.5" customHeight="1">
      <c r="A264" s="560"/>
      <c r="B264" s="561"/>
      <c r="C264" s="9" t="s">
        <v>38</v>
      </c>
      <c r="D264" s="13"/>
      <c r="E264" s="9" t="s">
        <v>49</v>
      </c>
      <c r="F264" s="12"/>
      <c r="G264" s="355">
        <v>108</v>
      </c>
      <c r="H264" s="338"/>
      <c r="I264" s="339"/>
      <c r="J264" s="340"/>
      <c r="K264" s="9" t="s">
        <v>341</v>
      </c>
      <c r="L264" s="7"/>
      <c r="M264" s="20"/>
      <c r="N264" s="21"/>
      <c r="O264" s="9" t="s">
        <v>341</v>
      </c>
      <c r="P264" s="7"/>
      <c r="Q264" s="20"/>
      <c r="R264" s="21"/>
      <c r="S264" s="519" t="s">
        <v>344</v>
      </c>
      <c r="T264" s="521"/>
      <c r="U264" s="523"/>
      <c r="V264" s="525"/>
      <c r="W264" s="519"/>
      <c r="X264" s="539"/>
      <c r="Y264" s="540"/>
      <c r="Z264" s="541"/>
      <c r="AA264" s="9" t="s">
        <v>59</v>
      </c>
      <c r="AB264" s="7"/>
      <c r="AC264" s="20"/>
      <c r="AD264" s="21"/>
      <c r="AE264" s="547"/>
      <c r="AF264" s="545"/>
      <c r="AG264" s="545"/>
      <c r="AH264" s="545"/>
      <c r="AI264" s="545"/>
      <c r="AJ264" s="546"/>
      <c r="AK264" s="547"/>
      <c r="AL264" s="545"/>
      <c r="AM264" s="545"/>
      <c r="AN264" s="545"/>
      <c r="AO264" s="545"/>
      <c r="AP264" s="546"/>
      <c r="AQ264" s="530">
        <v>110</v>
      </c>
      <c r="AR264" s="515"/>
      <c r="AS264" s="517"/>
      <c r="AT264" s="555"/>
      <c r="AU264" s="26" t="s">
        <v>89</v>
      </c>
      <c r="AV264" s="29"/>
      <c r="AW264" s="26" t="s">
        <v>12</v>
      </c>
      <c r="AX264" s="32"/>
      <c r="AY264" s="555"/>
      <c r="AZ264" s="26" t="s">
        <v>89</v>
      </c>
      <c r="BA264" s="29"/>
      <c r="BB264" s="26" t="s">
        <v>12</v>
      </c>
      <c r="BC264" s="32"/>
    </row>
    <row r="265" spans="1:55" ht="16.5" customHeight="1">
      <c r="A265" s="560"/>
      <c r="B265" s="561"/>
      <c r="C265" s="9" t="s">
        <v>39</v>
      </c>
      <c r="D265" s="13"/>
      <c r="E265" s="9" t="s">
        <v>50</v>
      </c>
      <c r="F265" s="132"/>
      <c r="G265" s="355">
        <v>109</v>
      </c>
      <c r="H265" s="347"/>
      <c r="I265" s="348"/>
      <c r="J265" s="349"/>
      <c r="K265" s="9"/>
      <c r="L265" s="7"/>
      <c r="M265" s="20"/>
      <c r="N265" s="21"/>
      <c r="O265" s="9"/>
      <c r="P265" s="7"/>
      <c r="Q265" s="20"/>
      <c r="R265" s="21"/>
      <c r="S265" s="519"/>
      <c r="T265" s="527"/>
      <c r="U265" s="528"/>
      <c r="V265" s="529"/>
      <c r="W265" s="519" t="s">
        <v>60</v>
      </c>
      <c r="X265" s="521"/>
      <c r="Y265" s="523"/>
      <c r="Z265" s="525"/>
      <c r="AA265" s="9" t="s">
        <v>60</v>
      </c>
      <c r="AB265" s="7"/>
      <c r="AC265" s="20"/>
      <c r="AD265" s="21"/>
      <c r="AE265" s="553"/>
      <c r="AF265" s="548"/>
      <c r="AG265" s="548"/>
      <c r="AH265" s="548"/>
      <c r="AI265" s="548"/>
      <c r="AJ265" s="549"/>
      <c r="AK265" s="553"/>
      <c r="AL265" s="548"/>
      <c r="AM265" s="548"/>
      <c r="AN265" s="548"/>
      <c r="AO265" s="548"/>
      <c r="AP265" s="549"/>
      <c r="AQ265" s="531"/>
      <c r="AR265" s="516"/>
      <c r="AS265" s="518"/>
      <c r="AT265" s="556"/>
      <c r="AU265" s="27" t="s">
        <v>90</v>
      </c>
      <c r="AV265" s="30"/>
      <c r="AW265" s="27" t="s">
        <v>91</v>
      </c>
      <c r="AX265" s="33"/>
      <c r="AY265" s="556"/>
      <c r="AZ265" s="27" t="s">
        <v>90</v>
      </c>
      <c r="BA265" s="30"/>
      <c r="BB265" s="27" t="s">
        <v>91</v>
      </c>
      <c r="BC265" s="33"/>
    </row>
    <row r="266" spans="1:55" ht="16.5" customHeight="1">
      <c r="A266" s="560"/>
      <c r="B266" s="561"/>
      <c r="C266" s="10" t="s">
        <v>40</v>
      </c>
      <c r="D266" s="15"/>
      <c r="E266" s="130" t="s">
        <v>255</v>
      </c>
      <c r="F266" s="131"/>
      <c r="G266" s="356">
        <v>110</v>
      </c>
      <c r="H266" s="350"/>
      <c r="I266" s="351"/>
      <c r="J266" s="352"/>
      <c r="K266" s="17"/>
      <c r="L266" s="16"/>
      <c r="M266" s="22"/>
      <c r="N266" s="23"/>
      <c r="O266" s="17"/>
      <c r="P266" s="16"/>
      <c r="Q266" s="22"/>
      <c r="R266" s="23"/>
      <c r="S266" s="520"/>
      <c r="T266" s="522"/>
      <c r="U266" s="524"/>
      <c r="V266" s="526"/>
      <c r="W266" s="520"/>
      <c r="X266" s="522"/>
      <c r="Y266" s="524"/>
      <c r="Z266" s="526"/>
      <c r="AA266" s="17" t="s">
        <v>61</v>
      </c>
      <c r="AB266" s="16"/>
      <c r="AC266" s="22"/>
      <c r="AD266" s="23"/>
      <c r="AE266" s="115"/>
      <c r="AF266" s="116"/>
      <c r="AG266" s="116"/>
      <c r="AH266" s="116"/>
      <c r="AI266" s="117"/>
      <c r="AJ266" s="118"/>
      <c r="AK266" s="119"/>
      <c r="AL266" s="120"/>
      <c r="AM266" s="121"/>
      <c r="AN266" s="121"/>
      <c r="AO266" s="121"/>
      <c r="AP266" s="122"/>
      <c r="AQ266" s="115"/>
      <c r="AR266" s="116"/>
      <c r="AS266" s="118"/>
      <c r="AT266" s="123"/>
      <c r="AU266" s="113"/>
      <c r="AV266" s="113"/>
      <c r="AW266" s="113"/>
      <c r="AX266" s="114"/>
      <c r="AY266" s="123"/>
      <c r="AZ266" s="113"/>
      <c r="BA266" s="113"/>
      <c r="BB266" s="113"/>
      <c r="BC266" s="114"/>
    </row>
    <row r="267" spans="1:55" ht="16.5" customHeight="1"/>
    <row r="268" spans="1:55" ht="16.5" customHeight="1">
      <c r="A268" s="560">
        <v>23</v>
      </c>
      <c r="B268" s="561" t="s">
        <v>247</v>
      </c>
      <c r="C268" s="8" t="s">
        <v>42</v>
      </c>
      <c r="D268" s="24"/>
      <c r="E268" s="8" t="s">
        <v>43</v>
      </c>
      <c r="F268" s="11"/>
      <c r="G268" s="354">
        <v>111</v>
      </c>
      <c r="H268" s="335"/>
      <c r="I268" s="336"/>
      <c r="J268" s="357"/>
      <c r="K268" s="8" t="s">
        <v>333</v>
      </c>
      <c r="L268" s="6"/>
      <c r="M268" s="18"/>
      <c r="N268" s="19"/>
      <c r="O268" s="8" t="s">
        <v>333</v>
      </c>
      <c r="P268" s="6"/>
      <c r="Q268" s="18"/>
      <c r="R268" s="19"/>
      <c r="S268" s="532" t="s">
        <v>51</v>
      </c>
      <c r="T268" s="533"/>
      <c r="U268" s="535"/>
      <c r="V268" s="537"/>
      <c r="W268" s="532" t="s">
        <v>51</v>
      </c>
      <c r="X268" s="533"/>
      <c r="Y268" s="535"/>
      <c r="Z268" s="537"/>
      <c r="AA268" s="8" t="s">
        <v>51</v>
      </c>
      <c r="AB268" s="6"/>
      <c r="AC268" s="18"/>
      <c r="AD268" s="19"/>
      <c r="AE268" s="552"/>
      <c r="AF268" s="550"/>
      <c r="AG268" s="550"/>
      <c r="AH268" s="550"/>
      <c r="AI268" s="550"/>
      <c r="AJ268" s="551"/>
      <c r="AK268" s="552"/>
      <c r="AL268" s="550"/>
      <c r="AM268" s="550"/>
      <c r="AN268" s="550"/>
      <c r="AO268" s="550"/>
      <c r="AP268" s="551"/>
      <c r="AQ268" s="542">
        <v>111</v>
      </c>
      <c r="AR268" s="543"/>
      <c r="AS268" s="544"/>
      <c r="AT268" s="554">
        <v>45</v>
      </c>
      <c r="AU268" s="25" t="s">
        <v>0</v>
      </c>
      <c r="AV268" s="557"/>
      <c r="AW268" s="558"/>
      <c r="AX268" s="559"/>
      <c r="AY268" s="554">
        <v>47</v>
      </c>
      <c r="AZ268" s="25" t="s">
        <v>0</v>
      </c>
      <c r="BA268" s="557"/>
      <c r="BB268" s="558"/>
      <c r="BC268" s="559"/>
    </row>
    <row r="269" spans="1:55" ht="16.5" customHeight="1">
      <c r="A269" s="560"/>
      <c r="B269" s="561"/>
      <c r="C269" s="9" t="s">
        <v>33</v>
      </c>
      <c r="D269" s="13"/>
      <c r="E269" s="9" t="s">
        <v>70</v>
      </c>
      <c r="F269" s="12"/>
      <c r="G269" s="355">
        <v>112</v>
      </c>
      <c r="H269" s="338"/>
      <c r="I269" s="339"/>
      <c r="J269" s="340"/>
      <c r="K269" s="9" t="s">
        <v>334</v>
      </c>
      <c r="L269" s="7"/>
      <c r="M269" s="20"/>
      <c r="N269" s="21"/>
      <c r="O269" s="9" t="s">
        <v>334</v>
      </c>
      <c r="P269" s="7"/>
      <c r="Q269" s="20"/>
      <c r="R269" s="21"/>
      <c r="S269" s="519"/>
      <c r="T269" s="527"/>
      <c r="U269" s="528"/>
      <c r="V269" s="529"/>
      <c r="W269" s="519"/>
      <c r="X269" s="527"/>
      <c r="Y269" s="528"/>
      <c r="Z269" s="529"/>
      <c r="AA269" s="9" t="s">
        <v>52</v>
      </c>
      <c r="AB269" s="7"/>
      <c r="AC269" s="20"/>
      <c r="AD269" s="21"/>
      <c r="AE269" s="547"/>
      <c r="AF269" s="545"/>
      <c r="AG269" s="545"/>
      <c r="AH269" s="545"/>
      <c r="AI269" s="545"/>
      <c r="AJ269" s="546"/>
      <c r="AK269" s="547"/>
      <c r="AL269" s="545"/>
      <c r="AM269" s="545"/>
      <c r="AN269" s="545"/>
      <c r="AO269" s="545"/>
      <c r="AP269" s="546"/>
      <c r="AQ269" s="530"/>
      <c r="AR269" s="515"/>
      <c r="AS269" s="517"/>
      <c r="AT269" s="555"/>
      <c r="AU269" s="26" t="s">
        <v>87</v>
      </c>
      <c r="AV269" s="124"/>
      <c r="AW269" s="26" t="s">
        <v>192</v>
      </c>
      <c r="AX269" s="126"/>
      <c r="AY269" s="555"/>
      <c r="AZ269" s="26" t="s">
        <v>87</v>
      </c>
      <c r="BA269" s="124"/>
      <c r="BB269" s="127" t="s">
        <v>192</v>
      </c>
      <c r="BC269" s="125"/>
    </row>
    <row r="270" spans="1:55" ht="16.5" customHeight="1">
      <c r="A270" s="560"/>
      <c r="B270" s="561"/>
      <c r="C270" s="9" t="s">
        <v>34</v>
      </c>
      <c r="D270" s="14"/>
      <c r="E270" s="9" t="s">
        <v>44</v>
      </c>
      <c r="F270" s="12"/>
      <c r="G270" s="355">
        <v>113</v>
      </c>
      <c r="H270" s="338"/>
      <c r="I270" s="339"/>
      <c r="J270" s="340"/>
      <c r="K270" s="9" t="s">
        <v>335</v>
      </c>
      <c r="L270" s="7"/>
      <c r="M270" s="20"/>
      <c r="N270" s="21"/>
      <c r="O270" s="9" t="s">
        <v>335</v>
      </c>
      <c r="P270" s="7"/>
      <c r="Q270" s="20"/>
      <c r="R270" s="21"/>
      <c r="S270" s="519"/>
      <c r="T270" s="527"/>
      <c r="U270" s="528"/>
      <c r="V270" s="529"/>
      <c r="W270" s="519"/>
      <c r="X270" s="539"/>
      <c r="Y270" s="540"/>
      <c r="Z270" s="541"/>
      <c r="AA270" s="9" t="s">
        <v>53</v>
      </c>
      <c r="AB270" s="7"/>
      <c r="AC270" s="20"/>
      <c r="AD270" s="21"/>
      <c r="AE270" s="547"/>
      <c r="AF270" s="545"/>
      <c r="AG270" s="545"/>
      <c r="AH270" s="545"/>
      <c r="AI270" s="545"/>
      <c r="AJ270" s="546"/>
      <c r="AK270" s="547"/>
      <c r="AL270" s="545"/>
      <c r="AM270" s="545"/>
      <c r="AN270" s="545"/>
      <c r="AO270" s="545"/>
      <c r="AP270" s="546"/>
      <c r="AQ270" s="530">
        <v>112</v>
      </c>
      <c r="AR270" s="515"/>
      <c r="AS270" s="517"/>
      <c r="AT270" s="555"/>
      <c r="AU270" s="26" t="s">
        <v>88</v>
      </c>
      <c r="AV270" s="28"/>
      <c r="AW270" s="26" t="s">
        <v>12</v>
      </c>
      <c r="AX270" s="31"/>
      <c r="AY270" s="555"/>
      <c r="AZ270" s="26" t="s">
        <v>88</v>
      </c>
      <c r="BA270" s="28"/>
      <c r="BB270" s="26" t="s">
        <v>12</v>
      </c>
      <c r="BC270" s="31"/>
    </row>
    <row r="271" spans="1:55" ht="16.5" customHeight="1">
      <c r="A271" s="560"/>
      <c r="B271" s="561"/>
      <c r="C271" s="9" t="s">
        <v>41</v>
      </c>
      <c r="D271" s="13"/>
      <c r="E271" s="9" t="s">
        <v>62</v>
      </c>
      <c r="F271" s="12"/>
      <c r="G271" s="355">
        <v>114</v>
      </c>
      <c r="H271" s="341"/>
      <c r="I271" s="342"/>
      <c r="J271" s="343"/>
      <c r="K271" s="9" t="s">
        <v>336</v>
      </c>
      <c r="L271" s="7"/>
      <c r="M271" s="20"/>
      <c r="N271" s="21"/>
      <c r="O271" s="9" t="s">
        <v>336</v>
      </c>
      <c r="P271" s="7"/>
      <c r="Q271" s="20"/>
      <c r="R271" s="21"/>
      <c r="S271" s="519"/>
      <c r="T271" s="534"/>
      <c r="U271" s="536"/>
      <c r="V271" s="538"/>
      <c r="W271" s="532" t="s">
        <v>52</v>
      </c>
      <c r="X271" s="533"/>
      <c r="Y271" s="535"/>
      <c r="Z271" s="537"/>
      <c r="AA271" s="9" t="s">
        <v>54</v>
      </c>
      <c r="AB271" s="7"/>
      <c r="AC271" s="20"/>
      <c r="AD271" s="21"/>
      <c r="AE271" s="547"/>
      <c r="AF271" s="545"/>
      <c r="AG271" s="545"/>
      <c r="AH271" s="545"/>
      <c r="AI271" s="545"/>
      <c r="AJ271" s="546"/>
      <c r="AK271" s="547"/>
      <c r="AL271" s="545"/>
      <c r="AM271" s="545"/>
      <c r="AN271" s="545"/>
      <c r="AO271" s="545"/>
      <c r="AP271" s="546"/>
      <c r="AQ271" s="530"/>
      <c r="AR271" s="515"/>
      <c r="AS271" s="517"/>
      <c r="AT271" s="555"/>
      <c r="AU271" s="26" t="s">
        <v>89</v>
      </c>
      <c r="AV271" s="29"/>
      <c r="AW271" s="26" t="s">
        <v>12</v>
      </c>
      <c r="AX271" s="32"/>
      <c r="AY271" s="555"/>
      <c r="AZ271" s="26" t="s">
        <v>89</v>
      </c>
      <c r="BA271" s="29"/>
      <c r="BB271" s="26" t="s">
        <v>12</v>
      </c>
      <c r="BC271" s="32"/>
    </row>
    <row r="272" spans="1:55" ht="16.5" customHeight="1">
      <c r="A272" s="560"/>
      <c r="B272" s="561"/>
      <c r="C272" s="9" t="s">
        <v>417</v>
      </c>
      <c r="D272" s="3"/>
      <c r="E272" s="9" t="s">
        <v>45</v>
      </c>
      <c r="F272" s="12"/>
      <c r="G272" s="356">
        <v>115</v>
      </c>
      <c r="H272" s="344"/>
      <c r="I272" s="345"/>
      <c r="J272" s="346"/>
      <c r="K272" s="9" t="s">
        <v>337</v>
      </c>
      <c r="L272" s="7"/>
      <c r="M272" s="20"/>
      <c r="N272" s="21"/>
      <c r="O272" s="9" t="s">
        <v>337</v>
      </c>
      <c r="P272" s="7"/>
      <c r="Q272" s="20"/>
      <c r="R272" s="21"/>
      <c r="S272" s="519" t="s">
        <v>52</v>
      </c>
      <c r="T272" s="527"/>
      <c r="U272" s="528"/>
      <c r="V272" s="529"/>
      <c r="W272" s="519"/>
      <c r="X272" s="527"/>
      <c r="Y272" s="528"/>
      <c r="Z272" s="529"/>
      <c r="AA272" s="9" t="s">
        <v>55</v>
      </c>
      <c r="AB272" s="7"/>
      <c r="AC272" s="20"/>
      <c r="AD272" s="21"/>
      <c r="AE272" s="547"/>
      <c r="AF272" s="545"/>
      <c r="AG272" s="545"/>
      <c r="AH272" s="545"/>
      <c r="AI272" s="545"/>
      <c r="AJ272" s="546"/>
      <c r="AK272" s="547"/>
      <c r="AL272" s="545"/>
      <c r="AM272" s="545"/>
      <c r="AN272" s="545"/>
      <c r="AO272" s="545"/>
      <c r="AP272" s="546"/>
      <c r="AQ272" s="530">
        <v>113</v>
      </c>
      <c r="AR272" s="515"/>
      <c r="AS272" s="517"/>
      <c r="AT272" s="556"/>
      <c r="AU272" s="27" t="s">
        <v>90</v>
      </c>
      <c r="AV272" s="30"/>
      <c r="AW272" s="27" t="s">
        <v>91</v>
      </c>
      <c r="AX272" s="33"/>
      <c r="AY272" s="556"/>
      <c r="AZ272" s="27" t="s">
        <v>90</v>
      </c>
      <c r="BA272" s="30"/>
      <c r="BB272" s="27" t="s">
        <v>91</v>
      </c>
      <c r="BC272" s="33"/>
    </row>
    <row r="273" spans="1:55" ht="16.5" customHeight="1">
      <c r="A273" s="560"/>
      <c r="B273" s="561"/>
      <c r="C273" s="9" t="s">
        <v>35</v>
      </c>
      <c r="D273" s="13"/>
      <c r="E273" s="9" t="s">
        <v>46</v>
      </c>
      <c r="F273" s="12"/>
      <c r="G273" s="5" t="s">
        <v>12</v>
      </c>
      <c r="H273" s="128" t="s">
        <v>13</v>
      </c>
      <c r="I273" s="4" t="s">
        <v>14</v>
      </c>
      <c r="J273" s="4" t="s">
        <v>15</v>
      </c>
      <c r="K273" s="9" t="s">
        <v>338</v>
      </c>
      <c r="L273" s="7"/>
      <c r="M273" s="20"/>
      <c r="N273" s="21"/>
      <c r="O273" s="9" t="s">
        <v>338</v>
      </c>
      <c r="P273" s="7"/>
      <c r="Q273" s="20"/>
      <c r="R273" s="21"/>
      <c r="S273" s="519"/>
      <c r="T273" s="527"/>
      <c r="U273" s="528"/>
      <c r="V273" s="529"/>
      <c r="W273" s="519"/>
      <c r="X273" s="539"/>
      <c r="Y273" s="540"/>
      <c r="Z273" s="541"/>
      <c r="AA273" s="9" t="s">
        <v>56</v>
      </c>
      <c r="AB273" s="7"/>
      <c r="AC273" s="20"/>
      <c r="AD273" s="21"/>
      <c r="AE273" s="547"/>
      <c r="AF273" s="545"/>
      <c r="AG273" s="545"/>
      <c r="AH273" s="545"/>
      <c r="AI273" s="545"/>
      <c r="AJ273" s="546"/>
      <c r="AK273" s="547"/>
      <c r="AL273" s="545"/>
      <c r="AM273" s="545"/>
      <c r="AN273" s="545"/>
      <c r="AO273" s="545"/>
      <c r="AP273" s="546"/>
      <c r="AQ273" s="530"/>
      <c r="AR273" s="515"/>
      <c r="AS273" s="517"/>
      <c r="AT273" s="554">
        <v>46</v>
      </c>
      <c r="AU273" s="25" t="s">
        <v>0</v>
      </c>
      <c r="AV273" s="557"/>
      <c r="AW273" s="558"/>
      <c r="AX273" s="559"/>
      <c r="AY273" s="554">
        <v>48</v>
      </c>
      <c r="AZ273" s="25" t="s">
        <v>0</v>
      </c>
      <c r="BA273" s="557"/>
      <c r="BB273" s="558"/>
      <c r="BC273" s="559"/>
    </row>
    <row r="274" spans="1:55" ht="16.5" customHeight="1">
      <c r="A274" s="560"/>
      <c r="B274" s="561"/>
      <c r="C274" s="9" t="s">
        <v>36</v>
      </c>
      <c r="D274" s="13"/>
      <c r="E274" s="9" t="s">
        <v>47</v>
      </c>
      <c r="F274" s="12"/>
      <c r="G274" s="354">
        <v>111</v>
      </c>
      <c r="H274" s="335"/>
      <c r="I274" s="336"/>
      <c r="J274" s="357"/>
      <c r="K274" s="9" t="s">
        <v>339</v>
      </c>
      <c r="L274" s="7"/>
      <c r="M274" s="20"/>
      <c r="N274" s="21"/>
      <c r="O274" s="9" t="s">
        <v>339</v>
      </c>
      <c r="P274" s="7"/>
      <c r="Q274" s="20"/>
      <c r="R274" s="21"/>
      <c r="S274" s="519"/>
      <c r="T274" s="527"/>
      <c r="U274" s="528"/>
      <c r="V274" s="529"/>
      <c r="W274" s="532" t="s">
        <v>344</v>
      </c>
      <c r="X274" s="533"/>
      <c r="Y274" s="535"/>
      <c r="Z274" s="537"/>
      <c r="AA274" s="9"/>
      <c r="AB274" s="7"/>
      <c r="AC274" s="20"/>
      <c r="AD274" s="21"/>
      <c r="AE274" s="547"/>
      <c r="AF274" s="545"/>
      <c r="AG274" s="545"/>
      <c r="AH274" s="545"/>
      <c r="AI274" s="545"/>
      <c r="AJ274" s="546"/>
      <c r="AK274" s="547"/>
      <c r="AL274" s="545"/>
      <c r="AM274" s="545"/>
      <c r="AN274" s="545"/>
      <c r="AO274" s="545"/>
      <c r="AP274" s="546"/>
      <c r="AQ274" s="530">
        <v>114</v>
      </c>
      <c r="AR274" s="515"/>
      <c r="AS274" s="517"/>
      <c r="AT274" s="555"/>
      <c r="AU274" s="26" t="s">
        <v>87</v>
      </c>
      <c r="AV274" s="124"/>
      <c r="AW274" s="127" t="s">
        <v>192</v>
      </c>
      <c r="AX274" s="125"/>
      <c r="AY274" s="555"/>
      <c r="AZ274" s="26" t="s">
        <v>87</v>
      </c>
      <c r="BA274" s="124"/>
      <c r="BB274" s="127" t="s">
        <v>192</v>
      </c>
      <c r="BC274" s="125"/>
    </row>
    <row r="275" spans="1:55" ht="16.5" customHeight="1">
      <c r="A275" s="560"/>
      <c r="B275" s="561"/>
      <c r="C275" s="9" t="s">
        <v>37</v>
      </c>
      <c r="D275" s="13"/>
      <c r="E275" s="9" t="s">
        <v>48</v>
      </c>
      <c r="F275" s="12"/>
      <c r="G275" s="355">
        <v>112</v>
      </c>
      <c r="H275" s="338"/>
      <c r="I275" s="339"/>
      <c r="J275" s="340"/>
      <c r="K275" s="353" t="s">
        <v>340</v>
      </c>
      <c r="L275" s="7"/>
      <c r="M275" s="20"/>
      <c r="N275" s="21"/>
      <c r="O275" s="353" t="s">
        <v>340</v>
      </c>
      <c r="P275" s="7"/>
      <c r="Q275" s="20"/>
      <c r="R275" s="21"/>
      <c r="S275" s="519"/>
      <c r="T275" s="539"/>
      <c r="U275" s="540"/>
      <c r="V275" s="541"/>
      <c r="W275" s="519"/>
      <c r="X275" s="527"/>
      <c r="Y275" s="528"/>
      <c r="Z275" s="529"/>
      <c r="AA275" s="9" t="s">
        <v>58</v>
      </c>
      <c r="AB275" s="7"/>
      <c r="AC275" s="20"/>
      <c r="AD275" s="21"/>
      <c r="AE275" s="547"/>
      <c r="AF275" s="545"/>
      <c r="AG275" s="545"/>
      <c r="AH275" s="545"/>
      <c r="AI275" s="545"/>
      <c r="AJ275" s="546"/>
      <c r="AK275" s="547"/>
      <c r="AL275" s="545"/>
      <c r="AM275" s="545"/>
      <c r="AN275" s="545"/>
      <c r="AO275" s="545"/>
      <c r="AP275" s="546"/>
      <c r="AQ275" s="530"/>
      <c r="AR275" s="515"/>
      <c r="AS275" s="517"/>
      <c r="AT275" s="555"/>
      <c r="AU275" s="26" t="s">
        <v>88</v>
      </c>
      <c r="AV275" s="28"/>
      <c r="AW275" s="26" t="s">
        <v>12</v>
      </c>
      <c r="AX275" s="31"/>
      <c r="AY275" s="555"/>
      <c r="AZ275" s="26" t="s">
        <v>88</v>
      </c>
      <c r="BA275" s="28"/>
      <c r="BB275" s="26" t="s">
        <v>12</v>
      </c>
      <c r="BC275" s="31"/>
    </row>
    <row r="276" spans="1:55" ht="16.5" customHeight="1">
      <c r="A276" s="560"/>
      <c r="B276" s="561"/>
      <c r="C276" s="9" t="s">
        <v>38</v>
      </c>
      <c r="D276" s="13"/>
      <c r="E276" s="9" t="s">
        <v>49</v>
      </c>
      <c r="F276" s="12"/>
      <c r="G276" s="355">
        <v>113</v>
      </c>
      <c r="H276" s="338"/>
      <c r="I276" s="339"/>
      <c r="J276" s="340"/>
      <c r="K276" s="9" t="s">
        <v>341</v>
      </c>
      <c r="L276" s="7"/>
      <c r="M276" s="20"/>
      <c r="N276" s="21"/>
      <c r="O276" s="9" t="s">
        <v>341</v>
      </c>
      <c r="P276" s="7"/>
      <c r="Q276" s="20"/>
      <c r="R276" s="21"/>
      <c r="S276" s="519" t="s">
        <v>344</v>
      </c>
      <c r="T276" s="521"/>
      <c r="U276" s="523"/>
      <c r="V276" s="525"/>
      <c r="W276" s="519"/>
      <c r="X276" s="539"/>
      <c r="Y276" s="540"/>
      <c r="Z276" s="541"/>
      <c r="AA276" s="9" t="s">
        <v>59</v>
      </c>
      <c r="AB276" s="7"/>
      <c r="AC276" s="20"/>
      <c r="AD276" s="21"/>
      <c r="AE276" s="547"/>
      <c r="AF276" s="545"/>
      <c r="AG276" s="545"/>
      <c r="AH276" s="545"/>
      <c r="AI276" s="545"/>
      <c r="AJ276" s="546"/>
      <c r="AK276" s="547"/>
      <c r="AL276" s="545"/>
      <c r="AM276" s="545"/>
      <c r="AN276" s="545"/>
      <c r="AO276" s="545"/>
      <c r="AP276" s="546"/>
      <c r="AQ276" s="530">
        <v>115</v>
      </c>
      <c r="AR276" s="515"/>
      <c r="AS276" s="517"/>
      <c r="AT276" s="555"/>
      <c r="AU276" s="26" t="s">
        <v>89</v>
      </c>
      <c r="AV276" s="29"/>
      <c r="AW276" s="26" t="s">
        <v>12</v>
      </c>
      <c r="AX276" s="32"/>
      <c r="AY276" s="555"/>
      <c r="AZ276" s="26" t="s">
        <v>89</v>
      </c>
      <c r="BA276" s="29"/>
      <c r="BB276" s="26" t="s">
        <v>12</v>
      </c>
      <c r="BC276" s="32"/>
    </row>
    <row r="277" spans="1:55" ht="16.5" customHeight="1">
      <c r="A277" s="560"/>
      <c r="B277" s="561"/>
      <c r="C277" s="9" t="s">
        <v>39</v>
      </c>
      <c r="D277" s="13"/>
      <c r="E277" s="9" t="s">
        <v>50</v>
      </c>
      <c r="F277" s="132"/>
      <c r="G277" s="355">
        <v>114</v>
      </c>
      <c r="H277" s="347"/>
      <c r="I277" s="348"/>
      <c r="J277" s="349"/>
      <c r="K277" s="9"/>
      <c r="L277" s="7"/>
      <c r="M277" s="20"/>
      <c r="N277" s="21"/>
      <c r="O277" s="9"/>
      <c r="P277" s="7"/>
      <c r="Q277" s="20"/>
      <c r="R277" s="21"/>
      <c r="S277" s="519"/>
      <c r="T277" s="527"/>
      <c r="U277" s="528"/>
      <c r="V277" s="529"/>
      <c r="W277" s="519" t="s">
        <v>60</v>
      </c>
      <c r="X277" s="521"/>
      <c r="Y277" s="523"/>
      <c r="Z277" s="525"/>
      <c r="AA277" s="9" t="s">
        <v>60</v>
      </c>
      <c r="AB277" s="7"/>
      <c r="AC277" s="20"/>
      <c r="AD277" s="21"/>
      <c r="AE277" s="553"/>
      <c r="AF277" s="548"/>
      <c r="AG277" s="548"/>
      <c r="AH277" s="548"/>
      <c r="AI277" s="548"/>
      <c r="AJ277" s="549"/>
      <c r="AK277" s="553"/>
      <c r="AL277" s="548"/>
      <c r="AM277" s="548"/>
      <c r="AN277" s="548"/>
      <c r="AO277" s="548"/>
      <c r="AP277" s="549"/>
      <c r="AQ277" s="531"/>
      <c r="AR277" s="516"/>
      <c r="AS277" s="518"/>
      <c r="AT277" s="556"/>
      <c r="AU277" s="27" t="s">
        <v>90</v>
      </c>
      <c r="AV277" s="30"/>
      <c r="AW277" s="27" t="s">
        <v>91</v>
      </c>
      <c r="AX277" s="33"/>
      <c r="AY277" s="556"/>
      <c r="AZ277" s="27" t="s">
        <v>90</v>
      </c>
      <c r="BA277" s="30"/>
      <c r="BB277" s="27" t="s">
        <v>91</v>
      </c>
      <c r="BC277" s="33"/>
    </row>
    <row r="278" spans="1:55" ht="16.5" customHeight="1">
      <c r="A278" s="560"/>
      <c r="B278" s="561"/>
      <c r="C278" s="10" t="s">
        <v>40</v>
      </c>
      <c r="D278" s="15"/>
      <c r="E278" s="130" t="s">
        <v>255</v>
      </c>
      <c r="F278" s="131"/>
      <c r="G278" s="356">
        <v>115</v>
      </c>
      <c r="H278" s="350"/>
      <c r="I278" s="351"/>
      <c r="J278" s="352"/>
      <c r="K278" s="17"/>
      <c r="L278" s="16"/>
      <c r="M278" s="22"/>
      <c r="N278" s="23"/>
      <c r="O278" s="17"/>
      <c r="P278" s="16"/>
      <c r="Q278" s="22"/>
      <c r="R278" s="23"/>
      <c r="S278" s="520"/>
      <c r="T278" s="522"/>
      <c r="U278" s="524"/>
      <c r="V278" s="526"/>
      <c r="W278" s="520"/>
      <c r="X278" s="522"/>
      <c r="Y278" s="524"/>
      <c r="Z278" s="526"/>
      <c r="AA278" s="17" t="s">
        <v>61</v>
      </c>
      <c r="AB278" s="16"/>
      <c r="AC278" s="22"/>
      <c r="AD278" s="23"/>
      <c r="AE278" s="115"/>
      <c r="AF278" s="116"/>
      <c r="AG278" s="116"/>
      <c r="AH278" s="116"/>
      <c r="AI278" s="117"/>
      <c r="AJ278" s="118"/>
      <c r="AK278" s="119"/>
      <c r="AL278" s="120"/>
      <c r="AM278" s="121"/>
      <c r="AN278" s="121"/>
      <c r="AO278" s="121"/>
      <c r="AP278" s="122"/>
      <c r="AQ278" s="115"/>
      <c r="AR278" s="116"/>
      <c r="AS278" s="118"/>
      <c r="AT278" s="123"/>
      <c r="AU278" s="113"/>
      <c r="AV278" s="113"/>
      <c r="AW278" s="113"/>
      <c r="AX278" s="114"/>
      <c r="AY278" s="123"/>
      <c r="AZ278" s="113"/>
      <c r="BA278" s="113"/>
      <c r="BB278" s="113"/>
      <c r="BC278" s="114"/>
    </row>
    <row r="279" spans="1:55" ht="16.5" customHeight="1"/>
    <row r="280" spans="1:55" ht="16.5" customHeight="1">
      <c r="A280" s="560">
        <v>24</v>
      </c>
      <c r="B280" s="561" t="s">
        <v>248</v>
      </c>
      <c r="C280" s="8" t="s">
        <v>42</v>
      </c>
      <c r="D280" s="24"/>
      <c r="E280" s="8" t="s">
        <v>43</v>
      </c>
      <c r="F280" s="11"/>
      <c r="G280" s="354">
        <v>116</v>
      </c>
      <c r="H280" s="335"/>
      <c r="I280" s="336"/>
      <c r="J280" s="357"/>
      <c r="K280" s="8" t="s">
        <v>333</v>
      </c>
      <c r="L280" s="6"/>
      <c r="M280" s="18"/>
      <c r="N280" s="19"/>
      <c r="O280" s="8" t="s">
        <v>333</v>
      </c>
      <c r="P280" s="6"/>
      <c r="Q280" s="18"/>
      <c r="R280" s="19"/>
      <c r="S280" s="532" t="s">
        <v>51</v>
      </c>
      <c r="T280" s="533"/>
      <c r="U280" s="535"/>
      <c r="V280" s="537"/>
      <c r="W280" s="532" t="s">
        <v>51</v>
      </c>
      <c r="X280" s="533"/>
      <c r="Y280" s="535"/>
      <c r="Z280" s="537"/>
      <c r="AA280" s="8" t="s">
        <v>51</v>
      </c>
      <c r="AB280" s="6"/>
      <c r="AC280" s="18"/>
      <c r="AD280" s="19"/>
      <c r="AE280" s="552"/>
      <c r="AF280" s="550"/>
      <c r="AG280" s="550"/>
      <c r="AH280" s="550"/>
      <c r="AI280" s="550"/>
      <c r="AJ280" s="551"/>
      <c r="AK280" s="552"/>
      <c r="AL280" s="550"/>
      <c r="AM280" s="550"/>
      <c r="AN280" s="550"/>
      <c r="AO280" s="550"/>
      <c r="AP280" s="551"/>
      <c r="AQ280" s="542">
        <v>116</v>
      </c>
      <c r="AR280" s="543"/>
      <c r="AS280" s="544"/>
      <c r="AT280" s="554">
        <v>47</v>
      </c>
      <c r="AU280" s="25" t="s">
        <v>0</v>
      </c>
      <c r="AV280" s="557"/>
      <c r="AW280" s="558"/>
      <c r="AX280" s="559"/>
      <c r="AY280" s="554">
        <v>49</v>
      </c>
      <c r="AZ280" s="25" t="s">
        <v>0</v>
      </c>
      <c r="BA280" s="557"/>
      <c r="BB280" s="558"/>
      <c r="BC280" s="559"/>
    </row>
    <row r="281" spans="1:55" ht="16.5" customHeight="1">
      <c r="A281" s="560"/>
      <c r="B281" s="561"/>
      <c r="C281" s="9" t="s">
        <v>33</v>
      </c>
      <c r="D281" s="13"/>
      <c r="E281" s="9" t="s">
        <v>70</v>
      </c>
      <c r="F281" s="12"/>
      <c r="G281" s="355">
        <v>117</v>
      </c>
      <c r="H281" s="338"/>
      <c r="I281" s="339"/>
      <c r="J281" s="340"/>
      <c r="K281" s="9" t="s">
        <v>334</v>
      </c>
      <c r="L281" s="7"/>
      <c r="M281" s="20"/>
      <c r="N281" s="21"/>
      <c r="O281" s="9" t="s">
        <v>334</v>
      </c>
      <c r="P281" s="7"/>
      <c r="Q281" s="20"/>
      <c r="R281" s="21"/>
      <c r="S281" s="519"/>
      <c r="T281" s="527"/>
      <c r="U281" s="528"/>
      <c r="V281" s="529"/>
      <c r="W281" s="519"/>
      <c r="X281" s="527"/>
      <c r="Y281" s="528"/>
      <c r="Z281" s="529"/>
      <c r="AA281" s="9" t="s">
        <v>52</v>
      </c>
      <c r="AB281" s="7"/>
      <c r="AC281" s="20"/>
      <c r="AD281" s="21"/>
      <c r="AE281" s="547"/>
      <c r="AF281" s="545"/>
      <c r="AG281" s="545"/>
      <c r="AH281" s="545"/>
      <c r="AI281" s="545"/>
      <c r="AJ281" s="546"/>
      <c r="AK281" s="547"/>
      <c r="AL281" s="545"/>
      <c r="AM281" s="545"/>
      <c r="AN281" s="545"/>
      <c r="AO281" s="545"/>
      <c r="AP281" s="546"/>
      <c r="AQ281" s="530"/>
      <c r="AR281" s="515"/>
      <c r="AS281" s="517"/>
      <c r="AT281" s="555"/>
      <c r="AU281" s="26" t="s">
        <v>87</v>
      </c>
      <c r="AV281" s="124"/>
      <c r="AW281" s="26" t="s">
        <v>192</v>
      </c>
      <c r="AX281" s="126"/>
      <c r="AY281" s="555"/>
      <c r="AZ281" s="26" t="s">
        <v>87</v>
      </c>
      <c r="BA281" s="124"/>
      <c r="BB281" s="127" t="s">
        <v>192</v>
      </c>
      <c r="BC281" s="125"/>
    </row>
    <row r="282" spans="1:55" ht="16.5" customHeight="1">
      <c r="A282" s="560"/>
      <c r="B282" s="561"/>
      <c r="C282" s="9" t="s">
        <v>34</v>
      </c>
      <c r="D282" s="14"/>
      <c r="E282" s="9" t="s">
        <v>44</v>
      </c>
      <c r="F282" s="12"/>
      <c r="G282" s="355">
        <v>118</v>
      </c>
      <c r="H282" s="338"/>
      <c r="I282" s="339"/>
      <c r="J282" s="340"/>
      <c r="K282" s="9" t="s">
        <v>335</v>
      </c>
      <c r="L282" s="7"/>
      <c r="M282" s="20"/>
      <c r="N282" s="21"/>
      <c r="O282" s="9" t="s">
        <v>335</v>
      </c>
      <c r="P282" s="7"/>
      <c r="Q282" s="20"/>
      <c r="R282" s="21"/>
      <c r="S282" s="519"/>
      <c r="T282" s="527"/>
      <c r="U282" s="528"/>
      <c r="V282" s="529"/>
      <c r="W282" s="519"/>
      <c r="X282" s="539"/>
      <c r="Y282" s="540"/>
      <c r="Z282" s="541"/>
      <c r="AA282" s="9" t="s">
        <v>53</v>
      </c>
      <c r="AB282" s="7"/>
      <c r="AC282" s="20"/>
      <c r="AD282" s="21"/>
      <c r="AE282" s="547"/>
      <c r="AF282" s="545"/>
      <c r="AG282" s="545"/>
      <c r="AH282" s="545"/>
      <c r="AI282" s="545"/>
      <c r="AJ282" s="546"/>
      <c r="AK282" s="547"/>
      <c r="AL282" s="545"/>
      <c r="AM282" s="545"/>
      <c r="AN282" s="545"/>
      <c r="AO282" s="545"/>
      <c r="AP282" s="546"/>
      <c r="AQ282" s="530">
        <v>117</v>
      </c>
      <c r="AR282" s="515"/>
      <c r="AS282" s="517"/>
      <c r="AT282" s="555"/>
      <c r="AU282" s="26" t="s">
        <v>88</v>
      </c>
      <c r="AV282" s="28"/>
      <c r="AW282" s="26" t="s">
        <v>12</v>
      </c>
      <c r="AX282" s="31"/>
      <c r="AY282" s="555"/>
      <c r="AZ282" s="26" t="s">
        <v>88</v>
      </c>
      <c r="BA282" s="28"/>
      <c r="BB282" s="26" t="s">
        <v>12</v>
      </c>
      <c r="BC282" s="31"/>
    </row>
    <row r="283" spans="1:55" ht="16.5" customHeight="1">
      <c r="A283" s="560"/>
      <c r="B283" s="561"/>
      <c r="C283" s="9" t="s">
        <v>41</v>
      </c>
      <c r="D283" s="13"/>
      <c r="E283" s="9" t="s">
        <v>62</v>
      </c>
      <c r="F283" s="12"/>
      <c r="G283" s="355">
        <v>119</v>
      </c>
      <c r="H283" s="341"/>
      <c r="I283" s="342"/>
      <c r="J283" s="343"/>
      <c r="K283" s="9" t="s">
        <v>336</v>
      </c>
      <c r="L283" s="7"/>
      <c r="M283" s="20"/>
      <c r="N283" s="21"/>
      <c r="O283" s="9" t="s">
        <v>336</v>
      </c>
      <c r="P283" s="7"/>
      <c r="Q283" s="20"/>
      <c r="R283" s="21"/>
      <c r="S283" s="519"/>
      <c r="T283" s="534"/>
      <c r="U283" s="536"/>
      <c r="V283" s="538"/>
      <c r="W283" s="532" t="s">
        <v>52</v>
      </c>
      <c r="X283" s="533"/>
      <c r="Y283" s="535"/>
      <c r="Z283" s="537"/>
      <c r="AA283" s="9" t="s">
        <v>54</v>
      </c>
      <c r="AB283" s="7"/>
      <c r="AC283" s="20"/>
      <c r="AD283" s="21"/>
      <c r="AE283" s="547"/>
      <c r="AF283" s="545"/>
      <c r="AG283" s="545"/>
      <c r="AH283" s="545"/>
      <c r="AI283" s="545"/>
      <c r="AJ283" s="546"/>
      <c r="AK283" s="547"/>
      <c r="AL283" s="545"/>
      <c r="AM283" s="545"/>
      <c r="AN283" s="545"/>
      <c r="AO283" s="545"/>
      <c r="AP283" s="546"/>
      <c r="AQ283" s="530"/>
      <c r="AR283" s="515"/>
      <c r="AS283" s="517"/>
      <c r="AT283" s="555"/>
      <c r="AU283" s="26" t="s">
        <v>89</v>
      </c>
      <c r="AV283" s="29"/>
      <c r="AW283" s="26" t="s">
        <v>12</v>
      </c>
      <c r="AX283" s="32"/>
      <c r="AY283" s="555"/>
      <c r="AZ283" s="26" t="s">
        <v>89</v>
      </c>
      <c r="BA283" s="29"/>
      <c r="BB283" s="26" t="s">
        <v>12</v>
      </c>
      <c r="BC283" s="32"/>
    </row>
    <row r="284" spans="1:55" ht="16.5" customHeight="1">
      <c r="A284" s="560"/>
      <c r="B284" s="561"/>
      <c r="C284" s="9" t="s">
        <v>417</v>
      </c>
      <c r="D284" s="3"/>
      <c r="E284" s="9" t="s">
        <v>45</v>
      </c>
      <c r="F284" s="12"/>
      <c r="G284" s="356">
        <v>120</v>
      </c>
      <c r="H284" s="344"/>
      <c r="I284" s="345"/>
      <c r="J284" s="346"/>
      <c r="K284" s="9" t="s">
        <v>337</v>
      </c>
      <c r="L284" s="7"/>
      <c r="M284" s="20"/>
      <c r="N284" s="21"/>
      <c r="O284" s="9" t="s">
        <v>337</v>
      </c>
      <c r="P284" s="7"/>
      <c r="Q284" s="20"/>
      <c r="R284" s="21"/>
      <c r="S284" s="519" t="s">
        <v>52</v>
      </c>
      <c r="T284" s="527"/>
      <c r="U284" s="528"/>
      <c r="V284" s="529"/>
      <c r="W284" s="519"/>
      <c r="X284" s="527"/>
      <c r="Y284" s="528"/>
      <c r="Z284" s="529"/>
      <c r="AA284" s="9" t="s">
        <v>55</v>
      </c>
      <c r="AB284" s="7"/>
      <c r="AC284" s="20"/>
      <c r="AD284" s="21"/>
      <c r="AE284" s="547"/>
      <c r="AF284" s="545"/>
      <c r="AG284" s="545"/>
      <c r="AH284" s="545"/>
      <c r="AI284" s="545"/>
      <c r="AJ284" s="546"/>
      <c r="AK284" s="547"/>
      <c r="AL284" s="545"/>
      <c r="AM284" s="545"/>
      <c r="AN284" s="545"/>
      <c r="AO284" s="545"/>
      <c r="AP284" s="546"/>
      <c r="AQ284" s="530">
        <v>118</v>
      </c>
      <c r="AR284" s="515"/>
      <c r="AS284" s="517"/>
      <c r="AT284" s="556"/>
      <c r="AU284" s="27" t="s">
        <v>90</v>
      </c>
      <c r="AV284" s="30"/>
      <c r="AW284" s="27" t="s">
        <v>91</v>
      </c>
      <c r="AX284" s="33"/>
      <c r="AY284" s="556"/>
      <c r="AZ284" s="27" t="s">
        <v>90</v>
      </c>
      <c r="BA284" s="30"/>
      <c r="BB284" s="27" t="s">
        <v>91</v>
      </c>
      <c r="BC284" s="33"/>
    </row>
    <row r="285" spans="1:55" ht="16.5" customHeight="1">
      <c r="A285" s="560"/>
      <c r="B285" s="561"/>
      <c r="C285" s="9" t="s">
        <v>35</v>
      </c>
      <c r="D285" s="13"/>
      <c r="E285" s="9" t="s">
        <v>46</v>
      </c>
      <c r="F285" s="12"/>
      <c r="G285" s="5" t="s">
        <v>12</v>
      </c>
      <c r="H285" s="128" t="s">
        <v>13</v>
      </c>
      <c r="I285" s="4" t="s">
        <v>14</v>
      </c>
      <c r="J285" s="4" t="s">
        <v>15</v>
      </c>
      <c r="K285" s="9" t="s">
        <v>338</v>
      </c>
      <c r="L285" s="7"/>
      <c r="M285" s="20"/>
      <c r="N285" s="21"/>
      <c r="O285" s="9" t="s">
        <v>338</v>
      </c>
      <c r="P285" s="7"/>
      <c r="Q285" s="20"/>
      <c r="R285" s="21"/>
      <c r="S285" s="519"/>
      <c r="T285" s="527"/>
      <c r="U285" s="528"/>
      <c r="V285" s="529"/>
      <c r="W285" s="519"/>
      <c r="X285" s="539"/>
      <c r="Y285" s="540"/>
      <c r="Z285" s="541"/>
      <c r="AA285" s="9" t="s">
        <v>56</v>
      </c>
      <c r="AB285" s="7"/>
      <c r="AC285" s="20"/>
      <c r="AD285" s="21"/>
      <c r="AE285" s="547"/>
      <c r="AF285" s="545"/>
      <c r="AG285" s="545"/>
      <c r="AH285" s="545"/>
      <c r="AI285" s="545"/>
      <c r="AJ285" s="546"/>
      <c r="AK285" s="547"/>
      <c r="AL285" s="545"/>
      <c r="AM285" s="545"/>
      <c r="AN285" s="545"/>
      <c r="AO285" s="545"/>
      <c r="AP285" s="546"/>
      <c r="AQ285" s="530"/>
      <c r="AR285" s="515"/>
      <c r="AS285" s="517"/>
      <c r="AT285" s="554">
        <v>48</v>
      </c>
      <c r="AU285" s="25" t="s">
        <v>0</v>
      </c>
      <c r="AV285" s="557"/>
      <c r="AW285" s="558"/>
      <c r="AX285" s="559"/>
      <c r="AY285" s="554">
        <v>50</v>
      </c>
      <c r="AZ285" s="25" t="s">
        <v>0</v>
      </c>
      <c r="BA285" s="557"/>
      <c r="BB285" s="558"/>
      <c r="BC285" s="559"/>
    </row>
    <row r="286" spans="1:55" ht="16.5" customHeight="1">
      <c r="A286" s="560"/>
      <c r="B286" s="561"/>
      <c r="C286" s="9" t="s">
        <v>36</v>
      </c>
      <c r="D286" s="13"/>
      <c r="E286" s="9" t="s">
        <v>47</v>
      </c>
      <c r="F286" s="12"/>
      <c r="G286" s="354">
        <v>116</v>
      </c>
      <c r="H286" s="335"/>
      <c r="I286" s="336"/>
      <c r="J286" s="357"/>
      <c r="K286" s="9" t="s">
        <v>339</v>
      </c>
      <c r="L286" s="7"/>
      <c r="M286" s="20"/>
      <c r="N286" s="21"/>
      <c r="O286" s="9" t="s">
        <v>339</v>
      </c>
      <c r="P286" s="7"/>
      <c r="Q286" s="20"/>
      <c r="R286" s="21"/>
      <c r="S286" s="519"/>
      <c r="T286" s="527"/>
      <c r="U286" s="528"/>
      <c r="V286" s="529"/>
      <c r="W286" s="532" t="s">
        <v>344</v>
      </c>
      <c r="X286" s="533"/>
      <c r="Y286" s="535"/>
      <c r="Z286" s="537"/>
      <c r="AA286" s="9"/>
      <c r="AB286" s="7"/>
      <c r="AC286" s="20"/>
      <c r="AD286" s="21"/>
      <c r="AE286" s="547"/>
      <c r="AF286" s="545"/>
      <c r="AG286" s="545"/>
      <c r="AH286" s="545"/>
      <c r="AI286" s="545"/>
      <c r="AJ286" s="546"/>
      <c r="AK286" s="547"/>
      <c r="AL286" s="545"/>
      <c r="AM286" s="545"/>
      <c r="AN286" s="545"/>
      <c r="AO286" s="545"/>
      <c r="AP286" s="546"/>
      <c r="AQ286" s="530">
        <v>119</v>
      </c>
      <c r="AR286" s="515"/>
      <c r="AS286" s="517"/>
      <c r="AT286" s="555"/>
      <c r="AU286" s="26" t="s">
        <v>87</v>
      </c>
      <c r="AV286" s="124"/>
      <c r="AW286" s="127" t="s">
        <v>192</v>
      </c>
      <c r="AX286" s="125"/>
      <c r="AY286" s="555"/>
      <c r="AZ286" s="26" t="s">
        <v>87</v>
      </c>
      <c r="BA286" s="124"/>
      <c r="BB286" s="127" t="s">
        <v>192</v>
      </c>
      <c r="BC286" s="125"/>
    </row>
    <row r="287" spans="1:55" ht="16.5" customHeight="1">
      <c r="A287" s="560"/>
      <c r="B287" s="561"/>
      <c r="C287" s="9" t="s">
        <v>37</v>
      </c>
      <c r="D287" s="13"/>
      <c r="E287" s="9" t="s">
        <v>48</v>
      </c>
      <c r="F287" s="12"/>
      <c r="G287" s="355">
        <v>117</v>
      </c>
      <c r="H287" s="338"/>
      <c r="I287" s="339"/>
      <c r="J287" s="340"/>
      <c r="K287" s="353" t="s">
        <v>340</v>
      </c>
      <c r="L287" s="7"/>
      <c r="M287" s="20"/>
      <c r="N287" s="21"/>
      <c r="O287" s="353" t="s">
        <v>340</v>
      </c>
      <c r="P287" s="7"/>
      <c r="Q287" s="20"/>
      <c r="R287" s="21"/>
      <c r="S287" s="519"/>
      <c r="T287" s="539"/>
      <c r="U287" s="540"/>
      <c r="V287" s="541"/>
      <c r="W287" s="519"/>
      <c r="X287" s="527"/>
      <c r="Y287" s="528"/>
      <c r="Z287" s="529"/>
      <c r="AA287" s="9" t="s">
        <v>58</v>
      </c>
      <c r="AB287" s="7"/>
      <c r="AC287" s="20"/>
      <c r="AD287" s="21"/>
      <c r="AE287" s="547"/>
      <c r="AF287" s="545"/>
      <c r="AG287" s="545"/>
      <c r="AH287" s="545"/>
      <c r="AI287" s="545"/>
      <c r="AJ287" s="546"/>
      <c r="AK287" s="547"/>
      <c r="AL287" s="545"/>
      <c r="AM287" s="545"/>
      <c r="AN287" s="545"/>
      <c r="AO287" s="545"/>
      <c r="AP287" s="546"/>
      <c r="AQ287" s="530"/>
      <c r="AR287" s="515"/>
      <c r="AS287" s="517"/>
      <c r="AT287" s="555"/>
      <c r="AU287" s="26" t="s">
        <v>88</v>
      </c>
      <c r="AV287" s="28"/>
      <c r="AW287" s="26" t="s">
        <v>12</v>
      </c>
      <c r="AX287" s="31"/>
      <c r="AY287" s="555"/>
      <c r="AZ287" s="26" t="s">
        <v>88</v>
      </c>
      <c r="BA287" s="28"/>
      <c r="BB287" s="26" t="s">
        <v>12</v>
      </c>
      <c r="BC287" s="31"/>
    </row>
    <row r="288" spans="1:55" ht="16.5" customHeight="1">
      <c r="A288" s="560"/>
      <c r="B288" s="561"/>
      <c r="C288" s="9" t="s">
        <v>38</v>
      </c>
      <c r="D288" s="13"/>
      <c r="E288" s="9" t="s">
        <v>49</v>
      </c>
      <c r="F288" s="12"/>
      <c r="G288" s="355">
        <v>118</v>
      </c>
      <c r="H288" s="338"/>
      <c r="I288" s="339"/>
      <c r="J288" s="340"/>
      <c r="K288" s="9" t="s">
        <v>341</v>
      </c>
      <c r="L288" s="7"/>
      <c r="M288" s="20"/>
      <c r="N288" s="21"/>
      <c r="O288" s="9" t="s">
        <v>341</v>
      </c>
      <c r="P288" s="7"/>
      <c r="Q288" s="20"/>
      <c r="R288" s="21"/>
      <c r="S288" s="519" t="s">
        <v>344</v>
      </c>
      <c r="T288" s="521"/>
      <c r="U288" s="523"/>
      <c r="V288" s="525"/>
      <c r="W288" s="519"/>
      <c r="X288" s="539"/>
      <c r="Y288" s="540"/>
      <c r="Z288" s="541"/>
      <c r="AA288" s="9" t="s">
        <v>59</v>
      </c>
      <c r="AB288" s="7"/>
      <c r="AC288" s="20"/>
      <c r="AD288" s="21"/>
      <c r="AE288" s="547"/>
      <c r="AF288" s="545"/>
      <c r="AG288" s="545"/>
      <c r="AH288" s="545"/>
      <c r="AI288" s="545"/>
      <c r="AJ288" s="546"/>
      <c r="AK288" s="547"/>
      <c r="AL288" s="545"/>
      <c r="AM288" s="545"/>
      <c r="AN288" s="545"/>
      <c r="AO288" s="545"/>
      <c r="AP288" s="546"/>
      <c r="AQ288" s="530">
        <v>120</v>
      </c>
      <c r="AR288" s="515"/>
      <c r="AS288" s="517"/>
      <c r="AT288" s="555"/>
      <c r="AU288" s="26" t="s">
        <v>89</v>
      </c>
      <c r="AV288" s="29"/>
      <c r="AW288" s="26" t="s">
        <v>12</v>
      </c>
      <c r="AX288" s="32"/>
      <c r="AY288" s="555"/>
      <c r="AZ288" s="26" t="s">
        <v>89</v>
      </c>
      <c r="BA288" s="29"/>
      <c r="BB288" s="26" t="s">
        <v>12</v>
      </c>
      <c r="BC288" s="32"/>
    </row>
    <row r="289" spans="1:55" ht="16.5" customHeight="1">
      <c r="A289" s="560"/>
      <c r="B289" s="561"/>
      <c r="C289" s="9" t="s">
        <v>39</v>
      </c>
      <c r="D289" s="13"/>
      <c r="E289" s="9" t="s">
        <v>50</v>
      </c>
      <c r="F289" s="132"/>
      <c r="G289" s="355">
        <v>119</v>
      </c>
      <c r="H289" s="347"/>
      <c r="I289" s="348"/>
      <c r="J289" s="349"/>
      <c r="K289" s="9"/>
      <c r="L289" s="7"/>
      <c r="M289" s="20"/>
      <c r="N289" s="21"/>
      <c r="O289" s="9"/>
      <c r="P289" s="7"/>
      <c r="Q289" s="20"/>
      <c r="R289" s="21"/>
      <c r="S289" s="519"/>
      <c r="T289" s="527"/>
      <c r="U289" s="528"/>
      <c r="V289" s="529"/>
      <c r="W289" s="519" t="s">
        <v>60</v>
      </c>
      <c r="X289" s="521"/>
      <c r="Y289" s="523"/>
      <c r="Z289" s="525"/>
      <c r="AA289" s="9" t="s">
        <v>60</v>
      </c>
      <c r="AB289" s="7"/>
      <c r="AC289" s="20"/>
      <c r="AD289" s="21"/>
      <c r="AE289" s="553"/>
      <c r="AF289" s="548"/>
      <c r="AG289" s="548"/>
      <c r="AH289" s="548"/>
      <c r="AI289" s="548"/>
      <c r="AJ289" s="549"/>
      <c r="AK289" s="553"/>
      <c r="AL289" s="548"/>
      <c r="AM289" s="548"/>
      <c r="AN289" s="548"/>
      <c r="AO289" s="548"/>
      <c r="AP289" s="549"/>
      <c r="AQ289" s="531"/>
      <c r="AR289" s="516"/>
      <c r="AS289" s="518"/>
      <c r="AT289" s="556"/>
      <c r="AU289" s="27" t="s">
        <v>90</v>
      </c>
      <c r="AV289" s="30"/>
      <c r="AW289" s="27" t="s">
        <v>91</v>
      </c>
      <c r="AX289" s="33"/>
      <c r="AY289" s="556"/>
      <c r="AZ289" s="27" t="s">
        <v>90</v>
      </c>
      <c r="BA289" s="30"/>
      <c r="BB289" s="27" t="s">
        <v>91</v>
      </c>
      <c r="BC289" s="33"/>
    </row>
    <row r="290" spans="1:55" ht="16.5" customHeight="1">
      <c r="A290" s="560"/>
      <c r="B290" s="561"/>
      <c r="C290" s="10" t="s">
        <v>40</v>
      </c>
      <c r="D290" s="15"/>
      <c r="E290" s="130" t="s">
        <v>255</v>
      </c>
      <c r="F290" s="131"/>
      <c r="G290" s="356">
        <v>120</v>
      </c>
      <c r="H290" s="350"/>
      <c r="I290" s="351"/>
      <c r="J290" s="352"/>
      <c r="K290" s="17"/>
      <c r="L290" s="16"/>
      <c r="M290" s="22"/>
      <c r="N290" s="23"/>
      <c r="O290" s="17"/>
      <c r="P290" s="16"/>
      <c r="Q290" s="22"/>
      <c r="R290" s="23"/>
      <c r="S290" s="520"/>
      <c r="T290" s="522"/>
      <c r="U290" s="524"/>
      <c r="V290" s="526"/>
      <c r="W290" s="520"/>
      <c r="X290" s="522"/>
      <c r="Y290" s="524"/>
      <c r="Z290" s="526"/>
      <c r="AA290" s="17" t="s">
        <v>61</v>
      </c>
      <c r="AB290" s="16"/>
      <c r="AC290" s="22"/>
      <c r="AD290" s="23"/>
      <c r="AE290" s="115"/>
      <c r="AF290" s="116"/>
      <c r="AG290" s="116"/>
      <c r="AH290" s="116"/>
      <c r="AI290" s="117"/>
      <c r="AJ290" s="118"/>
      <c r="AK290" s="119"/>
      <c r="AL290" s="120"/>
      <c r="AM290" s="121"/>
      <c r="AN290" s="121"/>
      <c r="AO290" s="121"/>
      <c r="AP290" s="122"/>
      <c r="AQ290" s="115"/>
      <c r="AR290" s="116"/>
      <c r="AS290" s="118"/>
      <c r="AT290" s="123"/>
      <c r="AU290" s="113"/>
      <c r="AV290" s="113"/>
      <c r="AW290" s="113"/>
      <c r="AX290" s="114"/>
      <c r="AY290" s="123"/>
      <c r="AZ290" s="113"/>
      <c r="BA290" s="113"/>
      <c r="BB290" s="113"/>
      <c r="BC290" s="114"/>
    </row>
    <row r="291" spans="1:55" ht="16.5" customHeight="1"/>
    <row r="292" spans="1:55" ht="16.5" customHeight="1">
      <c r="A292" s="560">
        <v>25</v>
      </c>
      <c r="B292" s="561" t="s">
        <v>249</v>
      </c>
      <c r="C292" s="8" t="s">
        <v>42</v>
      </c>
      <c r="D292" s="24"/>
      <c r="E292" s="8" t="s">
        <v>43</v>
      </c>
      <c r="F292" s="11"/>
      <c r="G292" s="354">
        <v>121</v>
      </c>
      <c r="H292" s="335"/>
      <c r="I292" s="336"/>
      <c r="J292" s="357"/>
      <c r="K292" s="8" t="s">
        <v>333</v>
      </c>
      <c r="L292" s="6"/>
      <c r="M292" s="18"/>
      <c r="N292" s="19"/>
      <c r="O292" s="8" t="s">
        <v>333</v>
      </c>
      <c r="P292" s="6"/>
      <c r="Q292" s="18"/>
      <c r="R292" s="19"/>
      <c r="S292" s="532" t="s">
        <v>51</v>
      </c>
      <c r="T292" s="533"/>
      <c r="U292" s="535"/>
      <c r="V292" s="537"/>
      <c r="W292" s="532" t="s">
        <v>51</v>
      </c>
      <c r="X292" s="533"/>
      <c r="Y292" s="535"/>
      <c r="Z292" s="537"/>
      <c r="AA292" s="8" t="s">
        <v>51</v>
      </c>
      <c r="AB292" s="6"/>
      <c r="AC292" s="18"/>
      <c r="AD292" s="19"/>
      <c r="AE292" s="552"/>
      <c r="AF292" s="550"/>
      <c r="AG292" s="550"/>
      <c r="AH292" s="550"/>
      <c r="AI292" s="550"/>
      <c r="AJ292" s="551"/>
      <c r="AK292" s="552"/>
      <c r="AL292" s="550"/>
      <c r="AM292" s="550"/>
      <c r="AN292" s="550"/>
      <c r="AO292" s="550"/>
      <c r="AP292" s="551"/>
      <c r="AQ292" s="542">
        <v>121</v>
      </c>
      <c r="AR292" s="543"/>
      <c r="AS292" s="544"/>
      <c r="AT292" s="554">
        <v>49</v>
      </c>
      <c r="AU292" s="25" t="s">
        <v>0</v>
      </c>
      <c r="AV292" s="557"/>
      <c r="AW292" s="558"/>
      <c r="AX292" s="559"/>
      <c r="AY292" s="554">
        <v>51</v>
      </c>
      <c r="AZ292" s="25" t="s">
        <v>0</v>
      </c>
      <c r="BA292" s="557"/>
      <c r="BB292" s="558"/>
      <c r="BC292" s="559"/>
    </row>
    <row r="293" spans="1:55" ht="16.5" customHeight="1">
      <c r="A293" s="560"/>
      <c r="B293" s="561"/>
      <c r="C293" s="9" t="s">
        <v>33</v>
      </c>
      <c r="D293" s="13"/>
      <c r="E293" s="9" t="s">
        <v>70</v>
      </c>
      <c r="F293" s="12"/>
      <c r="G293" s="355">
        <v>122</v>
      </c>
      <c r="H293" s="338"/>
      <c r="I293" s="339"/>
      <c r="J293" s="340"/>
      <c r="K293" s="9" t="s">
        <v>334</v>
      </c>
      <c r="L293" s="7"/>
      <c r="M293" s="20"/>
      <c r="N293" s="21"/>
      <c r="O293" s="9" t="s">
        <v>334</v>
      </c>
      <c r="P293" s="7"/>
      <c r="Q293" s="20"/>
      <c r="R293" s="21"/>
      <c r="S293" s="519"/>
      <c r="T293" s="527"/>
      <c r="U293" s="528"/>
      <c r="V293" s="529"/>
      <c r="W293" s="519"/>
      <c r="X293" s="527"/>
      <c r="Y293" s="528"/>
      <c r="Z293" s="529"/>
      <c r="AA293" s="9" t="s">
        <v>52</v>
      </c>
      <c r="AB293" s="7"/>
      <c r="AC293" s="20"/>
      <c r="AD293" s="21"/>
      <c r="AE293" s="547"/>
      <c r="AF293" s="545"/>
      <c r="AG293" s="545"/>
      <c r="AH293" s="545"/>
      <c r="AI293" s="545"/>
      <c r="AJ293" s="546"/>
      <c r="AK293" s="547"/>
      <c r="AL293" s="545"/>
      <c r="AM293" s="545"/>
      <c r="AN293" s="545"/>
      <c r="AO293" s="545"/>
      <c r="AP293" s="546"/>
      <c r="AQ293" s="530"/>
      <c r="AR293" s="515"/>
      <c r="AS293" s="517"/>
      <c r="AT293" s="555"/>
      <c r="AU293" s="26" t="s">
        <v>87</v>
      </c>
      <c r="AV293" s="124"/>
      <c r="AW293" s="26" t="s">
        <v>192</v>
      </c>
      <c r="AX293" s="126"/>
      <c r="AY293" s="555"/>
      <c r="AZ293" s="26" t="s">
        <v>87</v>
      </c>
      <c r="BA293" s="124"/>
      <c r="BB293" s="127" t="s">
        <v>192</v>
      </c>
      <c r="BC293" s="125"/>
    </row>
    <row r="294" spans="1:55" ht="16.5" customHeight="1">
      <c r="A294" s="560"/>
      <c r="B294" s="561"/>
      <c r="C294" s="9" t="s">
        <v>34</v>
      </c>
      <c r="D294" s="14"/>
      <c r="E294" s="9" t="s">
        <v>44</v>
      </c>
      <c r="F294" s="12"/>
      <c r="G294" s="355">
        <v>123</v>
      </c>
      <c r="H294" s="338"/>
      <c r="I294" s="339"/>
      <c r="J294" s="340"/>
      <c r="K294" s="9" t="s">
        <v>335</v>
      </c>
      <c r="L294" s="7"/>
      <c r="M294" s="20"/>
      <c r="N294" s="21"/>
      <c r="O294" s="9" t="s">
        <v>335</v>
      </c>
      <c r="P294" s="7"/>
      <c r="Q294" s="20"/>
      <c r="R294" s="21"/>
      <c r="S294" s="519"/>
      <c r="T294" s="527"/>
      <c r="U294" s="528"/>
      <c r="V294" s="529"/>
      <c r="W294" s="519"/>
      <c r="X294" s="539"/>
      <c r="Y294" s="540"/>
      <c r="Z294" s="541"/>
      <c r="AA294" s="9" t="s">
        <v>53</v>
      </c>
      <c r="AB294" s="7"/>
      <c r="AC294" s="20"/>
      <c r="AD294" s="21"/>
      <c r="AE294" s="547"/>
      <c r="AF294" s="545"/>
      <c r="AG294" s="545"/>
      <c r="AH294" s="545"/>
      <c r="AI294" s="545"/>
      <c r="AJ294" s="546"/>
      <c r="AK294" s="547"/>
      <c r="AL294" s="545"/>
      <c r="AM294" s="545"/>
      <c r="AN294" s="545"/>
      <c r="AO294" s="545"/>
      <c r="AP294" s="546"/>
      <c r="AQ294" s="530">
        <v>122</v>
      </c>
      <c r="AR294" s="515"/>
      <c r="AS294" s="517"/>
      <c r="AT294" s="555"/>
      <c r="AU294" s="26" t="s">
        <v>88</v>
      </c>
      <c r="AV294" s="28"/>
      <c r="AW294" s="26" t="s">
        <v>12</v>
      </c>
      <c r="AX294" s="31"/>
      <c r="AY294" s="555"/>
      <c r="AZ294" s="26" t="s">
        <v>88</v>
      </c>
      <c r="BA294" s="28"/>
      <c r="BB294" s="26" t="s">
        <v>12</v>
      </c>
      <c r="BC294" s="31"/>
    </row>
    <row r="295" spans="1:55" ht="16.5" customHeight="1">
      <c r="A295" s="560"/>
      <c r="B295" s="561"/>
      <c r="C295" s="9" t="s">
        <v>41</v>
      </c>
      <c r="D295" s="13"/>
      <c r="E295" s="9" t="s">
        <v>62</v>
      </c>
      <c r="F295" s="12"/>
      <c r="G295" s="355">
        <v>124</v>
      </c>
      <c r="H295" s="341"/>
      <c r="I295" s="342"/>
      <c r="J295" s="343"/>
      <c r="K295" s="9" t="s">
        <v>336</v>
      </c>
      <c r="L295" s="7"/>
      <c r="M295" s="20"/>
      <c r="N295" s="21"/>
      <c r="O295" s="9" t="s">
        <v>336</v>
      </c>
      <c r="P295" s="7"/>
      <c r="Q295" s="20"/>
      <c r="R295" s="21"/>
      <c r="S295" s="519"/>
      <c r="T295" s="534"/>
      <c r="U295" s="536"/>
      <c r="V295" s="538"/>
      <c r="W295" s="532" t="s">
        <v>52</v>
      </c>
      <c r="X295" s="533"/>
      <c r="Y295" s="535"/>
      <c r="Z295" s="537"/>
      <c r="AA295" s="9" t="s">
        <v>54</v>
      </c>
      <c r="AB295" s="7"/>
      <c r="AC295" s="20"/>
      <c r="AD295" s="21"/>
      <c r="AE295" s="547"/>
      <c r="AF295" s="545"/>
      <c r="AG295" s="545"/>
      <c r="AH295" s="545"/>
      <c r="AI295" s="545"/>
      <c r="AJ295" s="546"/>
      <c r="AK295" s="547"/>
      <c r="AL295" s="545"/>
      <c r="AM295" s="545"/>
      <c r="AN295" s="545"/>
      <c r="AO295" s="545"/>
      <c r="AP295" s="546"/>
      <c r="AQ295" s="530"/>
      <c r="AR295" s="515"/>
      <c r="AS295" s="517"/>
      <c r="AT295" s="555"/>
      <c r="AU295" s="26" t="s">
        <v>89</v>
      </c>
      <c r="AV295" s="29"/>
      <c r="AW295" s="26" t="s">
        <v>12</v>
      </c>
      <c r="AX295" s="32"/>
      <c r="AY295" s="555"/>
      <c r="AZ295" s="26" t="s">
        <v>89</v>
      </c>
      <c r="BA295" s="29"/>
      <c r="BB295" s="26" t="s">
        <v>12</v>
      </c>
      <c r="BC295" s="32"/>
    </row>
    <row r="296" spans="1:55" ht="16.5" customHeight="1">
      <c r="A296" s="560"/>
      <c r="B296" s="561"/>
      <c r="C296" s="9" t="s">
        <v>417</v>
      </c>
      <c r="D296" s="3"/>
      <c r="E296" s="9" t="s">
        <v>45</v>
      </c>
      <c r="F296" s="12"/>
      <c r="G296" s="356">
        <v>125</v>
      </c>
      <c r="H296" s="344"/>
      <c r="I296" s="345"/>
      <c r="J296" s="346"/>
      <c r="K296" s="9" t="s">
        <v>337</v>
      </c>
      <c r="L296" s="7"/>
      <c r="M296" s="20"/>
      <c r="N296" s="21"/>
      <c r="O296" s="9" t="s">
        <v>337</v>
      </c>
      <c r="P296" s="7"/>
      <c r="Q296" s="20"/>
      <c r="R296" s="21"/>
      <c r="S296" s="519" t="s">
        <v>52</v>
      </c>
      <c r="T296" s="527"/>
      <c r="U296" s="528"/>
      <c r="V296" s="529"/>
      <c r="W296" s="519"/>
      <c r="X296" s="527"/>
      <c r="Y296" s="528"/>
      <c r="Z296" s="529"/>
      <c r="AA296" s="9" t="s">
        <v>55</v>
      </c>
      <c r="AB296" s="7"/>
      <c r="AC296" s="20"/>
      <c r="AD296" s="21"/>
      <c r="AE296" s="547"/>
      <c r="AF296" s="545"/>
      <c r="AG296" s="545"/>
      <c r="AH296" s="545"/>
      <c r="AI296" s="545"/>
      <c r="AJ296" s="546"/>
      <c r="AK296" s="547"/>
      <c r="AL296" s="545"/>
      <c r="AM296" s="545"/>
      <c r="AN296" s="545"/>
      <c r="AO296" s="545"/>
      <c r="AP296" s="546"/>
      <c r="AQ296" s="530">
        <v>123</v>
      </c>
      <c r="AR296" s="515"/>
      <c r="AS296" s="517"/>
      <c r="AT296" s="556"/>
      <c r="AU296" s="27" t="s">
        <v>90</v>
      </c>
      <c r="AV296" s="30"/>
      <c r="AW296" s="27" t="s">
        <v>91</v>
      </c>
      <c r="AX296" s="33"/>
      <c r="AY296" s="556"/>
      <c r="AZ296" s="27" t="s">
        <v>90</v>
      </c>
      <c r="BA296" s="30"/>
      <c r="BB296" s="27" t="s">
        <v>91</v>
      </c>
      <c r="BC296" s="33"/>
    </row>
    <row r="297" spans="1:55" ht="16.5" customHeight="1">
      <c r="A297" s="560"/>
      <c r="B297" s="561"/>
      <c r="C297" s="9" t="s">
        <v>35</v>
      </c>
      <c r="D297" s="13"/>
      <c r="E297" s="9" t="s">
        <v>46</v>
      </c>
      <c r="F297" s="12"/>
      <c r="G297" s="5" t="s">
        <v>12</v>
      </c>
      <c r="H297" s="128" t="s">
        <v>13</v>
      </c>
      <c r="I297" s="4" t="s">
        <v>14</v>
      </c>
      <c r="J297" s="4" t="s">
        <v>15</v>
      </c>
      <c r="K297" s="9" t="s">
        <v>338</v>
      </c>
      <c r="L297" s="7"/>
      <c r="M297" s="20"/>
      <c r="N297" s="21"/>
      <c r="O297" s="9" t="s">
        <v>338</v>
      </c>
      <c r="P297" s="7"/>
      <c r="Q297" s="20"/>
      <c r="R297" s="21"/>
      <c r="S297" s="519"/>
      <c r="T297" s="527"/>
      <c r="U297" s="528"/>
      <c r="V297" s="529"/>
      <c r="W297" s="519"/>
      <c r="X297" s="539"/>
      <c r="Y297" s="540"/>
      <c r="Z297" s="541"/>
      <c r="AA297" s="9" t="s">
        <v>56</v>
      </c>
      <c r="AB297" s="7"/>
      <c r="AC297" s="20"/>
      <c r="AD297" s="21"/>
      <c r="AE297" s="547"/>
      <c r="AF297" s="545"/>
      <c r="AG297" s="545"/>
      <c r="AH297" s="545"/>
      <c r="AI297" s="545"/>
      <c r="AJ297" s="546"/>
      <c r="AK297" s="547"/>
      <c r="AL297" s="545"/>
      <c r="AM297" s="545"/>
      <c r="AN297" s="545"/>
      <c r="AO297" s="545"/>
      <c r="AP297" s="546"/>
      <c r="AQ297" s="530"/>
      <c r="AR297" s="515"/>
      <c r="AS297" s="517"/>
      <c r="AT297" s="554">
        <v>50</v>
      </c>
      <c r="AU297" s="25" t="s">
        <v>0</v>
      </c>
      <c r="AV297" s="557"/>
      <c r="AW297" s="558"/>
      <c r="AX297" s="559"/>
      <c r="AY297" s="554">
        <v>52</v>
      </c>
      <c r="AZ297" s="25" t="s">
        <v>0</v>
      </c>
      <c r="BA297" s="557"/>
      <c r="BB297" s="558"/>
      <c r="BC297" s="559"/>
    </row>
    <row r="298" spans="1:55" ht="16.5" customHeight="1">
      <c r="A298" s="560"/>
      <c r="B298" s="561"/>
      <c r="C298" s="9" t="s">
        <v>36</v>
      </c>
      <c r="D298" s="13"/>
      <c r="E298" s="9" t="s">
        <v>47</v>
      </c>
      <c r="F298" s="12"/>
      <c r="G298" s="354">
        <v>121</v>
      </c>
      <c r="H298" s="335"/>
      <c r="I298" s="336"/>
      <c r="J298" s="357"/>
      <c r="K298" s="9" t="s">
        <v>339</v>
      </c>
      <c r="L298" s="7"/>
      <c r="M298" s="20"/>
      <c r="N298" s="21"/>
      <c r="O298" s="9" t="s">
        <v>339</v>
      </c>
      <c r="P298" s="7"/>
      <c r="Q298" s="20"/>
      <c r="R298" s="21"/>
      <c r="S298" s="519"/>
      <c r="T298" s="527"/>
      <c r="U298" s="528"/>
      <c r="V298" s="529"/>
      <c r="W298" s="532" t="s">
        <v>344</v>
      </c>
      <c r="X298" s="533"/>
      <c r="Y298" s="535"/>
      <c r="Z298" s="537"/>
      <c r="AA298" s="9"/>
      <c r="AB298" s="7"/>
      <c r="AC298" s="20"/>
      <c r="AD298" s="21"/>
      <c r="AE298" s="547"/>
      <c r="AF298" s="545"/>
      <c r="AG298" s="545"/>
      <c r="AH298" s="545"/>
      <c r="AI298" s="545"/>
      <c r="AJ298" s="546"/>
      <c r="AK298" s="547"/>
      <c r="AL298" s="545"/>
      <c r="AM298" s="545"/>
      <c r="AN298" s="545"/>
      <c r="AO298" s="545"/>
      <c r="AP298" s="546"/>
      <c r="AQ298" s="530">
        <v>124</v>
      </c>
      <c r="AR298" s="515"/>
      <c r="AS298" s="517"/>
      <c r="AT298" s="555"/>
      <c r="AU298" s="26" t="s">
        <v>87</v>
      </c>
      <c r="AV298" s="124"/>
      <c r="AW298" s="127" t="s">
        <v>192</v>
      </c>
      <c r="AX298" s="125"/>
      <c r="AY298" s="555"/>
      <c r="AZ298" s="26" t="s">
        <v>87</v>
      </c>
      <c r="BA298" s="124"/>
      <c r="BB298" s="127" t="s">
        <v>192</v>
      </c>
      <c r="BC298" s="125"/>
    </row>
    <row r="299" spans="1:55" ht="16.5" customHeight="1">
      <c r="A299" s="560"/>
      <c r="B299" s="561"/>
      <c r="C299" s="9" t="s">
        <v>37</v>
      </c>
      <c r="D299" s="13"/>
      <c r="E299" s="9" t="s">
        <v>48</v>
      </c>
      <c r="F299" s="12"/>
      <c r="G299" s="355">
        <v>122</v>
      </c>
      <c r="H299" s="338"/>
      <c r="I299" s="339"/>
      <c r="J299" s="340"/>
      <c r="K299" s="353" t="s">
        <v>340</v>
      </c>
      <c r="L299" s="7"/>
      <c r="M299" s="20"/>
      <c r="N299" s="21"/>
      <c r="O299" s="353" t="s">
        <v>340</v>
      </c>
      <c r="P299" s="7"/>
      <c r="Q299" s="20"/>
      <c r="R299" s="21"/>
      <c r="S299" s="519"/>
      <c r="T299" s="539"/>
      <c r="U299" s="540"/>
      <c r="V299" s="541"/>
      <c r="W299" s="519"/>
      <c r="X299" s="527"/>
      <c r="Y299" s="528"/>
      <c r="Z299" s="529"/>
      <c r="AA299" s="9" t="s">
        <v>58</v>
      </c>
      <c r="AB299" s="7"/>
      <c r="AC299" s="20"/>
      <c r="AD299" s="21"/>
      <c r="AE299" s="547"/>
      <c r="AF299" s="545"/>
      <c r="AG299" s="545"/>
      <c r="AH299" s="545"/>
      <c r="AI299" s="545"/>
      <c r="AJ299" s="546"/>
      <c r="AK299" s="547"/>
      <c r="AL299" s="545"/>
      <c r="AM299" s="545"/>
      <c r="AN299" s="545"/>
      <c r="AO299" s="545"/>
      <c r="AP299" s="546"/>
      <c r="AQ299" s="530"/>
      <c r="AR299" s="515"/>
      <c r="AS299" s="517"/>
      <c r="AT299" s="555"/>
      <c r="AU299" s="26" t="s">
        <v>88</v>
      </c>
      <c r="AV299" s="28"/>
      <c r="AW299" s="26" t="s">
        <v>12</v>
      </c>
      <c r="AX299" s="31"/>
      <c r="AY299" s="555"/>
      <c r="AZ299" s="26" t="s">
        <v>88</v>
      </c>
      <c r="BA299" s="28"/>
      <c r="BB299" s="26" t="s">
        <v>12</v>
      </c>
      <c r="BC299" s="31"/>
    </row>
    <row r="300" spans="1:55" ht="16.5" customHeight="1">
      <c r="A300" s="560"/>
      <c r="B300" s="561"/>
      <c r="C300" s="9" t="s">
        <v>38</v>
      </c>
      <c r="D300" s="13"/>
      <c r="E300" s="9" t="s">
        <v>49</v>
      </c>
      <c r="F300" s="12"/>
      <c r="G300" s="355">
        <v>123</v>
      </c>
      <c r="H300" s="338"/>
      <c r="I300" s="339"/>
      <c r="J300" s="340"/>
      <c r="K300" s="9" t="s">
        <v>341</v>
      </c>
      <c r="L300" s="7"/>
      <c r="M300" s="20"/>
      <c r="N300" s="21"/>
      <c r="O300" s="9" t="s">
        <v>341</v>
      </c>
      <c r="P300" s="7"/>
      <c r="Q300" s="20"/>
      <c r="R300" s="21"/>
      <c r="S300" s="519" t="s">
        <v>344</v>
      </c>
      <c r="T300" s="521"/>
      <c r="U300" s="523"/>
      <c r="V300" s="525"/>
      <c r="W300" s="519"/>
      <c r="X300" s="539"/>
      <c r="Y300" s="540"/>
      <c r="Z300" s="541"/>
      <c r="AA300" s="9" t="s">
        <v>59</v>
      </c>
      <c r="AB300" s="7"/>
      <c r="AC300" s="20"/>
      <c r="AD300" s="21"/>
      <c r="AE300" s="547"/>
      <c r="AF300" s="545"/>
      <c r="AG300" s="545"/>
      <c r="AH300" s="545"/>
      <c r="AI300" s="545"/>
      <c r="AJ300" s="546"/>
      <c r="AK300" s="547"/>
      <c r="AL300" s="545"/>
      <c r="AM300" s="545"/>
      <c r="AN300" s="545"/>
      <c r="AO300" s="545"/>
      <c r="AP300" s="546"/>
      <c r="AQ300" s="530">
        <v>125</v>
      </c>
      <c r="AR300" s="515"/>
      <c r="AS300" s="517"/>
      <c r="AT300" s="555"/>
      <c r="AU300" s="26" t="s">
        <v>89</v>
      </c>
      <c r="AV300" s="29"/>
      <c r="AW300" s="26" t="s">
        <v>12</v>
      </c>
      <c r="AX300" s="32"/>
      <c r="AY300" s="555"/>
      <c r="AZ300" s="26" t="s">
        <v>89</v>
      </c>
      <c r="BA300" s="29"/>
      <c r="BB300" s="26" t="s">
        <v>12</v>
      </c>
      <c r="BC300" s="32"/>
    </row>
    <row r="301" spans="1:55" ht="16.5" customHeight="1">
      <c r="A301" s="560"/>
      <c r="B301" s="561"/>
      <c r="C301" s="9" t="s">
        <v>39</v>
      </c>
      <c r="D301" s="13"/>
      <c r="E301" s="9" t="s">
        <v>50</v>
      </c>
      <c r="F301" s="132"/>
      <c r="G301" s="355">
        <v>124</v>
      </c>
      <c r="H301" s="347"/>
      <c r="I301" s="348"/>
      <c r="J301" s="349"/>
      <c r="K301" s="9"/>
      <c r="L301" s="7"/>
      <c r="M301" s="20"/>
      <c r="N301" s="21"/>
      <c r="O301" s="9"/>
      <c r="P301" s="7"/>
      <c r="Q301" s="20"/>
      <c r="R301" s="21"/>
      <c r="S301" s="519"/>
      <c r="T301" s="527"/>
      <c r="U301" s="528"/>
      <c r="V301" s="529"/>
      <c r="W301" s="519" t="s">
        <v>60</v>
      </c>
      <c r="X301" s="521"/>
      <c r="Y301" s="523"/>
      <c r="Z301" s="525"/>
      <c r="AA301" s="9" t="s">
        <v>60</v>
      </c>
      <c r="AB301" s="7"/>
      <c r="AC301" s="20"/>
      <c r="AD301" s="21"/>
      <c r="AE301" s="553"/>
      <c r="AF301" s="548"/>
      <c r="AG301" s="548"/>
      <c r="AH301" s="548"/>
      <c r="AI301" s="548"/>
      <c r="AJ301" s="549"/>
      <c r="AK301" s="553"/>
      <c r="AL301" s="548"/>
      <c r="AM301" s="548"/>
      <c r="AN301" s="548"/>
      <c r="AO301" s="548"/>
      <c r="AP301" s="549"/>
      <c r="AQ301" s="531"/>
      <c r="AR301" s="516"/>
      <c r="AS301" s="518"/>
      <c r="AT301" s="556"/>
      <c r="AU301" s="27" t="s">
        <v>90</v>
      </c>
      <c r="AV301" s="30"/>
      <c r="AW301" s="27" t="s">
        <v>91</v>
      </c>
      <c r="AX301" s="33"/>
      <c r="AY301" s="556"/>
      <c r="AZ301" s="27" t="s">
        <v>90</v>
      </c>
      <c r="BA301" s="30"/>
      <c r="BB301" s="27" t="s">
        <v>91</v>
      </c>
      <c r="BC301" s="33"/>
    </row>
    <row r="302" spans="1:55" ht="16.5" customHeight="1">
      <c r="A302" s="560"/>
      <c r="B302" s="561"/>
      <c r="C302" s="10" t="s">
        <v>40</v>
      </c>
      <c r="D302" s="15"/>
      <c r="E302" s="130" t="s">
        <v>255</v>
      </c>
      <c r="F302" s="131"/>
      <c r="G302" s="356">
        <v>125</v>
      </c>
      <c r="H302" s="350"/>
      <c r="I302" s="351"/>
      <c r="J302" s="352"/>
      <c r="K302" s="17"/>
      <c r="L302" s="16"/>
      <c r="M302" s="22"/>
      <c r="N302" s="23"/>
      <c r="O302" s="17"/>
      <c r="P302" s="16"/>
      <c r="Q302" s="22"/>
      <c r="R302" s="23"/>
      <c r="S302" s="520"/>
      <c r="T302" s="522"/>
      <c r="U302" s="524"/>
      <c r="V302" s="526"/>
      <c r="W302" s="520"/>
      <c r="X302" s="522"/>
      <c r="Y302" s="524"/>
      <c r="Z302" s="526"/>
      <c r="AA302" s="17" t="s">
        <v>61</v>
      </c>
      <c r="AB302" s="16"/>
      <c r="AC302" s="22"/>
      <c r="AD302" s="23"/>
      <c r="AE302" s="115"/>
      <c r="AF302" s="116"/>
      <c r="AG302" s="116"/>
      <c r="AH302" s="116"/>
      <c r="AI302" s="117"/>
      <c r="AJ302" s="118"/>
      <c r="AK302" s="119"/>
      <c r="AL302" s="120"/>
      <c r="AM302" s="121"/>
      <c r="AN302" s="121"/>
      <c r="AO302" s="121"/>
      <c r="AP302" s="122"/>
      <c r="AQ302" s="115"/>
      <c r="AR302" s="116"/>
      <c r="AS302" s="118"/>
      <c r="AT302" s="123"/>
      <c r="AU302" s="113"/>
      <c r="AV302" s="113"/>
      <c r="AW302" s="113"/>
      <c r="AX302" s="114"/>
      <c r="AY302" s="123"/>
      <c r="AZ302" s="113"/>
      <c r="BA302" s="113"/>
      <c r="BB302" s="113"/>
      <c r="BC302" s="114"/>
    </row>
    <row r="303" spans="1:55" ht="16.5" customHeight="1"/>
    <row r="304" spans="1:55" ht="16.5" customHeight="1">
      <c r="A304" s="560">
        <v>26</v>
      </c>
      <c r="B304" s="561" t="s">
        <v>250</v>
      </c>
      <c r="C304" s="8" t="s">
        <v>42</v>
      </c>
      <c r="D304" s="24"/>
      <c r="E304" s="8" t="s">
        <v>43</v>
      </c>
      <c r="F304" s="11"/>
      <c r="G304" s="354">
        <v>126</v>
      </c>
      <c r="H304" s="335"/>
      <c r="I304" s="336"/>
      <c r="J304" s="357"/>
      <c r="K304" s="8" t="s">
        <v>333</v>
      </c>
      <c r="L304" s="6"/>
      <c r="M304" s="18"/>
      <c r="N304" s="19"/>
      <c r="O304" s="8" t="s">
        <v>333</v>
      </c>
      <c r="P304" s="6"/>
      <c r="Q304" s="18"/>
      <c r="R304" s="19"/>
      <c r="S304" s="532" t="s">
        <v>51</v>
      </c>
      <c r="T304" s="533"/>
      <c r="U304" s="535"/>
      <c r="V304" s="537"/>
      <c r="W304" s="532" t="s">
        <v>51</v>
      </c>
      <c r="X304" s="533"/>
      <c r="Y304" s="535"/>
      <c r="Z304" s="537"/>
      <c r="AA304" s="8" t="s">
        <v>51</v>
      </c>
      <c r="AB304" s="6"/>
      <c r="AC304" s="18"/>
      <c r="AD304" s="19"/>
      <c r="AE304" s="552"/>
      <c r="AF304" s="550"/>
      <c r="AG304" s="550"/>
      <c r="AH304" s="550"/>
      <c r="AI304" s="550"/>
      <c r="AJ304" s="551"/>
      <c r="AK304" s="552"/>
      <c r="AL304" s="550"/>
      <c r="AM304" s="550"/>
      <c r="AN304" s="550"/>
      <c r="AO304" s="550"/>
      <c r="AP304" s="551"/>
      <c r="AQ304" s="542">
        <v>126</v>
      </c>
      <c r="AR304" s="543"/>
      <c r="AS304" s="544"/>
      <c r="AT304" s="554">
        <v>51</v>
      </c>
      <c r="AU304" s="25" t="s">
        <v>0</v>
      </c>
      <c r="AV304" s="557"/>
      <c r="AW304" s="558"/>
      <c r="AX304" s="559"/>
      <c r="AY304" s="554">
        <v>53</v>
      </c>
      <c r="AZ304" s="25" t="s">
        <v>0</v>
      </c>
      <c r="BA304" s="557"/>
      <c r="BB304" s="558"/>
      <c r="BC304" s="559"/>
    </row>
    <row r="305" spans="1:55" ht="16.5" customHeight="1">
      <c r="A305" s="560"/>
      <c r="B305" s="561"/>
      <c r="C305" s="9" t="s">
        <v>33</v>
      </c>
      <c r="D305" s="13"/>
      <c r="E305" s="9" t="s">
        <v>70</v>
      </c>
      <c r="F305" s="12"/>
      <c r="G305" s="355">
        <v>127</v>
      </c>
      <c r="H305" s="338"/>
      <c r="I305" s="339"/>
      <c r="J305" s="340"/>
      <c r="K305" s="9" t="s">
        <v>334</v>
      </c>
      <c r="L305" s="7"/>
      <c r="M305" s="20"/>
      <c r="N305" s="21"/>
      <c r="O305" s="9" t="s">
        <v>334</v>
      </c>
      <c r="P305" s="7"/>
      <c r="Q305" s="20"/>
      <c r="R305" s="21"/>
      <c r="S305" s="519"/>
      <c r="T305" s="527"/>
      <c r="U305" s="528"/>
      <c r="V305" s="529"/>
      <c r="W305" s="519"/>
      <c r="X305" s="527"/>
      <c r="Y305" s="528"/>
      <c r="Z305" s="529"/>
      <c r="AA305" s="9" t="s">
        <v>52</v>
      </c>
      <c r="AB305" s="7"/>
      <c r="AC305" s="20"/>
      <c r="AD305" s="21"/>
      <c r="AE305" s="547"/>
      <c r="AF305" s="545"/>
      <c r="AG305" s="545"/>
      <c r="AH305" s="545"/>
      <c r="AI305" s="545"/>
      <c r="AJ305" s="546"/>
      <c r="AK305" s="547"/>
      <c r="AL305" s="545"/>
      <c r="AM305" s="545"/>
      <c r="AN305" s="545"/>
      <c r="AO305" s="545"/>
      <c r="AP305" s="546"/>
      <c r="AQ305" s="530"/>
      <c r="AR305" s="515"/>
      <c r="AS305" s="517"/>
      <c r="AT305" s="555"/>
      <c r="AU305" s="26" t="s">
        <v>87</v>
      </c>
      <c r="AV305" s="124"/>
      <c r="AW305" s="26" t="s">
        <v>192</v>
      </c>
      <c r="AX305" s="126"/>
      <c r="AY305" s="555"/>
      <c r="AZ305" s="26" t="s">
        <v>87</v>
      </c>
      <c r="BA305" s="124"/>
      <c r="BB305" s="127" t="s">
        <v>192</v>
      </c>
      <c r="BC305" s="125"/>
    </row>
    <row r="306" spans="1:55" ht="16.5" customHeight="1">
      <c r="A306" s="560"/>
      <c r="B306" s="561"/>
      <c r="C306" s="9" t="s">
        <v>34</v>
      </c>
      <c r="D306" s="14"/>
      <c r="E306" s="9" t="s">
        <v>44</v>
      </c>
      <c r="F306" s="12"/>
      <c r="G306" s="355">
        <v>128</v>
      </c>
      <c r="H306" s="338"/>
      <c r="I306" s="339"/>
      <c r="J306" s="340"/>
      <c r="K306" s="9" t="s">
        <v>335</v>
      </c>
      <c r="L306" s="7"/>
      <c r="M306" s="20"/>
      <c r="N306" s="21"/>
      <c r="O306" s="9" t="s">
        <v>335</v>
      </c>
      <c r="P306" s="7"/>
      <c r="Q306" s="20"/>
      <c r="R306" s="21"/>
      <c r="S306" s="519"/>
      <c r="T306" s="527"/>
      <c r="U306" s="528"/>
      <c r="V306" s="529"/>
      <c r="W306" s="519"/>
      <c r="X306" s="539"/>
      <c r="Y306" s="540"/>
      <c r="Z306" s="541"/>
      <c r="AA306" s="9" t="s">
        <v>53</v>
      </c>
      <c r="AB306" s="7"/>
      <c r="AC306" s="20"/>
      <c r="AD306" s="21"/>
      <c r="AE306" s="547"/>
      <c r="AF306" s="545"/>
      <c r="AG306" s="545"/>
      <c r="AH306" s="545"/>
      <c r="AI306" s="545"/>
      <c r="AJ306" s="546"/>
      <c r="AK306" s="547"/>
      <c r="AL306" s="545"/>
      <c r="AM306" s="545"/>
      <c r="AN306" s="545"/>
      <c r="AO306" s="545"/>
      <c r="AP306" s="546"/>
      <c r="AQ306" s="530">
        <v>127</v>
      </c>
      <c r="AR306" s="515"/>
      <c r="AS306" s="517"/>
      <c r="AT306" s="555"/>
      <c r="AU306" s="26" t="s">
        <v>88</v>
      </c>
      <c r="AV306" s="28"/>
      <c r="AW306" s="26" t="s">
        <v>12</v>
      </c>
      <c r="AX306" s="31"/>
      <c r="AY306" s="555"/>
      <c r="AZ306" s="26" t="s">
        <v>88</v>
      </c>
      <c r="BA306" s="28"/>
      <c r="BB306" s="26" t="s">
        <v>12</v>
      </c>
      <c r="BC306" s="31"/>
    </row>
    <row r="307" spans="1:55" ht="16.5" customHeight="1">
      <c r="A307" s="560"/>
      <c r="B307" s="561"/>
      <c r="C307" s="9" t="s">
        <v>41</v>
      </c>
      <c r="D307" s="13"/>
      <c r="E307" s="9" t="s">
        <v>62</v>
      </c>
      <c r="F307" s="12"/>
      <c r="G307" s="355">
        <v>129</v>
      </c>
      <c r="H307" s="341"/>
      <c r="I307" s="342"/>
      <c r="J307" s="343"/>
      <c r="K307" s="9" t="s">
        <v>336</v>
      </c>
      <c r="L307" s="7"/>
      <c r="M307" s="20"/>
      <c r="N307" s="21"/>
      <c r="O307" s="9" t="s">
        <v>336</v>
      </c>
      <c r="P307" s="7"/>
      <c r="Q307" s="20"/>
      <c r="R307" s="21"/>
      <c r="S307" s="519"/>
      <c r="T307" s="534"/>
      <c r="U307" s="536"/>
      <c r="V307" s="538"/>
      <c r="W307" s="532" t="s">
        <v>52</v>
      </c>
      <c r="X307" s="533"/>
      <c r="Y307" s="535"/>
      <c r="Z307" s="537"/>
      <c r="AA307" s="9" t="s">
        <v>54</v>
      </c>
      <c r="AB307" s="7"/>
      <c r="AC307" s="20"/>
      <c r="AD307" s="21"/>
      <c r="AE307" s="547"/>
      <c r="AF307" s="545"/>
      <c r="AG307" s="545"/>
      <c r="AH307" s="545"/>
      <c r="AI307" s="545"/>
      <c r="AJ307" s="546"/>
      <c r="AK307" s="547"/>
      <c r="AL307" s="545"/>
      <c r="AM307" s="545"/>
      <c r="AN307" s="545"/>
      <c r="AO307" s="545"/>
      <c r="AP307" s="546"/>
      <c r="AQ307" s="530"/>
      <c r="AR307" s="515"/>
      <c r="AS307" s="517"/>
      <c r="AT307" s="555"/>
      <c r="AU307" s="26" t="s">
        <v>89</v>
      </c>
      <c r="AV307" s="29"/>
      <c r="AW307" s="26" t="s">
        <v>12</v>
      </c>
      <c r="AX307" s="32"/>
      <c r="AY307" s="555"/>
      <c r="AZ307" s="26" t="s">
        <v>89</v>
      </c>
      <c r="BA307" s="29"/>
      <c r="BB307" s="26" t="s">
        <v>12</v>
      </c>
      <c r="BC307" s="32"/>
    </row>
    <row r="308" spans="1:55" ht="16.5" customHeight="1">
      <c r="A308" s="560"/>
      <c r="B308" s="561"/>
      <c r="C308" s="9" t="s">
        <v>417</v>
      </c>
      <c r="D308" s="3"/>
      <c r="E308" s="9" t="s">
        <v>45</v>
      </c>
      <c r="F308" s="12"/>
      <c r="G308" s="356">
        <v>130</v>
      </c>
      <c r="H308" s="344"/>
      <c r="I308" s="345"/>
      <c r="J308" s="346"/>
      <c r="K308" s="9" t="s">
        <v>337</v>
      </c>
      <c r="L308" s="7"/>
      <c r="M308" s="20"/>
      <c r="N308" s="21"/>
      <c r="O308" s="9" t="s">
        <v>337</v>
      </c>
      <c r="P308" s="7"/>
      <c r="Q308" s="20"/>
      <c r="R308" s="21"/>
      <c r="S308" s="519" t="s">
        <v>52</v>
      </c>
      <c r="T308" s="527"/>
      <c r="U308" s="528"/>
      <c r="V308" s="529"/>
      <c r="W308" s="519"/>
      <c r="X308" s="527"/>
      <c r="Y308" s="528"/>
      <c r="Z308" s="529"/>
      <c r="AA308" s="9" t="s">
        <v>55</v>
      </c>
      <c r="AB308" s="7"/>
      <c r="AC308" s="20"/>
      <c r="AD308" s="21"/>
      <c r="AE308" s="547"/>
      <c r="AF308" s="545"/>
      <c r="AG308" s="545"/>
      <c r="AH308" s="545"/>
      <c r="AI308" s="545"/>
      <c r="AJ308" s="546"/>
      <c r="AK308" s="547"/>
      <c r="AL308" s="545"/>
      <c r="AM308" s="545"/>
      <c r="AN308" s="545"/>
      <c r="AO308" s="545"/>
      <c r="AP308" s="546"/>
      <c r="AQ308" s="530">
        <v>128</v>
      </c>
      <c r="AR308" s="515"/>
      <c r="AS308" s="517"/>
      <c r="AT308" s="556"/>
      <c r="AU308" s="27" t="s">
        <v>90</v>
      </c>
      <c r="AV308" s="30"/>
      <c r="AW308" s="27" t="s">
        <v>91</v>
      </c>
      <c r="AX308" s="33"/>
      <c r="AY308" s="556"/>
      <c r="AZ308" s="27" t="s">
        <v>90</v>
      </c>
      <c r="BA308" s="30"/>
      <c r="BB308" s="27" t="s">
        <v>91</v>
      </c>
      <c r="BC308" s="33"/>
    </row>
    <row r="309" spans="1:55" ht="16.5" customHeight="1">
      <c r="A309" s="560"/>
      <c r="B309" s="561"/>
      <c r="C309" s="9" t="s">
        <v>35</v>
      </c>
      <c r="D309" s="13"/>
      <c r="E309" s="9" t="s">
        <v>46</v>
      </c>
      <c r="F309" s="12"/>
      <c r="G309" s="5" t="s">
        <v>12</v>
      </c>
      <c r="H309" s="128" t="s">
        <v>13</v>
      </c>
      <c r="I309" s="4" t="s">
        <v>14</v>
      </c>
      <c r="J309" s="4" t="s">
        <v>15</v>
      </c>
      <c r="K309" s="9" t="s">
        <v>338</v>
      </c>
      <c r="L309" s="7"/>
      <c r="M309" s="20"/>
      <c r="N309" s="21"/>
      <c r="O309" s="9" t="s">
        <v>338</v>
      </c>
      <c r="P309" s="7"/>
      <c r="Q309" s="20"/>
      <c r="R309" s="21"/>
      <c r="S309" s="519"/>
      <c r="T309" s="527"/>
      <c r="U309" s="528"/>
      <c r="V309" s="529"/>
      <c r="W309" s="519"/>
      <c r="X309" s="539"/>
      <c r="Y309" s="540"/>
      <c r="Z309" s="541"/>
      <c r="AA309" s="9" t="s">
        <v>56</v>
      </c>
      <c r="AB309" s="7"/>
      <c r="AC309" s="20"/>
      <c r="AD309" s="21"/>
      <c r="AE309" s="547"/>
      <c r="AF309" s="545"/>
      <c r="AG309" s="545"/>
      <c r="AH309" s="545"/>
      <c r="AI309" s="545"/>
      <c r="AJ309" s="546"/>
      <c r="AK309" s="547"/>
      <c r="AL309" s="545"/>
      <c r="AM309" s="545"/>
      <c r="AN309" s="545"/>
      <c r="AO309" s="545"/>
      <c r="AP309" s="546"/>
      <c r="AQ309" s="530"/>
      <c r="AR309" s="515"/>
      <c r="AS309" s="517"/>
      <c r="AT309" s="554">
        <v>52</v>
      </c>
      <c r="AU309" s="25" t="s">
        <v>0</v>
      </c>
      <c r="AV309" s="557"/>
      <c r="AW309" s="558"/>
      <c r="AX309" s="559"/>
      <c r="AY309" s="554">
        <v>54</v>
      </c>
      <c r="AZ309" s="25" t="s">
        <v>0</v>
      </c>
      <c r="BA309" s="557"/>
      <c r="BB309" s="558"/>
      <c r="BC309" s="559"/>
    </row>
    <row r="310" spans="1:55" ht="16.5" customHeight="1">
      <c r="A310" s="560"/>
      <c r="B310" s="561"/>
      <c r="C310" s="9" t="s">
        <v>36</v>
      </c>
      <c r="D310" s="13"/>
      <c r="E310" s="9" t="s">
        <v>47</v>
      </c>
      <c r="F310" s="12"/>
      <c r="G310" s="354">
        <v>126</v>
      </c>
      <c r="H310" s="335"/>
      <c r="I310" s="336"/>
      <c r="J310" s="357"/>
      <c r="K310" s="9" t="s">
        <v>339</v>
      </c>
      <c r="L310" s="7"/>
      <c r="M310" s="20"/>
      <c r="N310" s="21"/>
      <c r="O310" s="9" t="s">
        <v>339</v>
      </c>
      <c r="P310" s="7"/>
      <c r="Q310" s="20"/>
      <c r="R310" s="21"/>
      <c r="S310" s="519"/>
      <c r="T310" s="527"/>
      <c r="U310" s="528"/>
      <c r="V310" s="529"/>
      <c r="W310" s="532" t="s">
        <v>344</v>
      </c>
      <c r="X310" s="533"/>
      <c r="Y310" s="535"/>
      <c r="Z310" s="537"/>
      <c r="AA310" s="9"/>
      <c r="AB310" s="7"/>
      <c r="AC310" s="20"/>
      <c r="AD310" s="21"/>
      <c r="AE310" s="547"/>
      <c r="AF310" s="545"/>
      <c r="AG310" s="545"/>
      <c r="AH310" s="545"/>
      <c r="AI310" s="545"/>
      <c r="AJ310" s="546"/>
      <c r="AK310" s="547"/>
      <c r="AL310" s="545"/>
      <c r="AM310" s="545"/>
      <c r="AN310" s="545"/>
      <c r="AO310" s="545"/>
      <c r="AP310" s="546"/>
      <c r="AQ310" s="530">
        <v>129</v>
      </c>
      <c r="AR310" s="515"/>
      <c r="AS310" s="517"/>
      <c r="AT310" s="555"/>
      <c r="AU310" s="26" t="s">
        <v>87</v>
      </c>
      <c r="AV310" s="124"/>
      <c r="AW310" s="127" t="s">
        <v>192</v>
      </c>
      <c r="AX310" s="125"/>
      <c r="AY310" s="555"/>
      <c r="AZ310" s="26" t="s">
        <v>87</v>
      </c>
      <c r="BA310" s="124"/>
      <c r="BB310" s="127" t="s">
        <v>192</v>
      </c>
      <c r="BC310" s="125"/>
    </row>
    <row r="311" spans="1:55" ht="16.5" customHeight="1">
      <c r="A311" s="560"/>
      <c r="B311" s="561"/>
      <c r="C311" s="9" t="s">
        <v>37</v>
      </c>
      <c r="D311" s="13"/>
      <c r="E311" s="9" t="s">
        <v>48</v>
      </c>
      <c r="F311" s="12"/>
      <c r="G311" s="355">
        <v>127</v>
      </c>
      <c r="H311" s="338"/>
      <c r="I311" s="339"/>
      <c r="J311" s="340"/>
      <c r="K311" s="353" t="s">
        <v>340</v>
      </c>
      <c r="L311" s="7"/>
      <c r="M311" s="20"/>
      <c r="N311" s="21"/>
      <c r="O311" s="353" t="s">
        <v>340</v>
      </c>
      <c r="P311" s="7"/>
      <c r="Q311" s="20"/>
      <c r="R311" s="21"/>
      <c r="S311" s="519"/>
      <c r="T311" s="539"/>
      <c r="U311" s="540"/>
      <c r="V311" s="541"/>
      <c r="W311" s="519"/>
      <c r="X311" s="527"/>
      <c r="Y311" s="528"/>
      <c r="Z311" s="529"/>
      <c r="AA311" s="9" t="s">
        <v>58</v>
      </c>
      <c r="AB311" s="7"/>
      <c r="AC311" s="20"/>
      <c r="AD311" s="21"/>
      <c r="AE311" s="547"/>
      <c r="AF311" s="545"/>
      <c r="AG311" s="545"/>
      <c r="AH311" s="545"/>
      <c r="AI311" s="545"/>
      <c r="AJ311" s="546"/>
      <c r="AK311" s="547"/>
      <c r="AL311" s="545"/>
      <c r="AM311" s="545"/>
      <c r="AN311" s="545"/>
      <c r="AO311" s="545"/>
      <c r="AP311" s="546"/>
      <c r="AQ311" s="530"/>
      <c r="AR311" s="515"/>
      <c r="AS311" s="517"/>
      <c r="AT311" s="555"/>
      <c r="AU311" s="26" t="s">
        <v>88</v>
      </c>
      <c r="AV311" s="28"/>
      <c r="AW311" s="26" t="s">
        <v>12</v>
      </c>
      <c r="AX311" s="31"/>
      <c r="AY311" s="555"/>
      <c r="AZ311" s="26" t="s">
        <v>88</v>
      </c>
      <c r="BA311" s="28"/>
      <c r="BB311" s="26" t="s">
        <v>12</v>
      </c>
      <c r="BC311" s="31"/>
    </row>
    <row r="312" spans="1:55" ht="16.5" customHeight="1">
      <c r="A312" s="560"/>
      <c r="B312" s="561"/>
      <c r="C312" s="9" t="s">
        <v>38</v>
      </c>
      <c r="D312" s="13"/>
      <c r="E312" s="9" t="s">
        <v>49</v>
      </c>
      <c r="F312" s="12"/>
      <c r="G312" s="355">
        <v>128</v>
      </c>
      <c r="H312" s="338"/>
      <c r="I312" s="339"/>
      <c r="J312" s="340"/>
      <c r="K312" s="9" t="s">
        <v>341</v>
      </c>
      <c r="L312" s="7"/>
      <c r="M312" s="20"/>
      <c r="N312" s="21"/>
      <c r="O312" s="9" t="s">
        <v>341</v>
      </c>
      <c r="P312" s="7"/>
      <c r="Q312" s="20"/>
      <c r="R312" s="21"/>
      <c r="S312" s="519" t="s">
        <v>344</v>
      </c>
      <c r="T312" s="521"/>
      <c r="U312" s="523"/>
      <c r="V312" s="525"/>
      <c r="W312" s="519"/>
      <c r="X312" s="539"/>
      <c r="Y312" s="540"/>
      <c r="Z312" s="541"/>
      <c r="AA312" s="9" t="s">
        <v>59</v>
      </c>
      <c r="AB312" s="7"/>
      <c r="AC312" s="20"/>
      <c r="AD312" s="21"/>
      <c r="AE312" s="547"/>
      <c r="AF312" s="545"/>
      <c r="AG312" s="545"/>
      <c r="AH312" s="545"/>
      <c r="AI312" s="545"/>
      <c r="AJ312" s="546"/>
      <c r="AK312" s="547"/>
      <c r="AL312" s="545"/>
      <c r="AM312" s="545"/>
      <c r="AN312" s="545"/>
      <c r="AO312" s="545"/>
      <c r="AP312" s="546"/>
      <c r="AQ312" s="530">
        <v>130</v>
      </c>
      <c r="AR312" s="515"/>
      <c r="AS312" s="517"/>
      <c r="AT312" s="555"/>
      <c r="AU312" s="26" t="s">
        <v>89</v>
      </c>
      <c r="AV312" s="29"/>
      <c r="AW312" s="26" t="s">
        <v>12</v>
      </c>
      <c r="AX312" s="32"/>
      <c r="AY312" s="555"/>
      <c r="AZ312" s="26" t="s">
        <v>89</v>
      </c>
      <c r="BA312" s="29"/>
      <c r="BB312" s="26" t="s">
        <v>12</v>
      </c>
      <c r="BC312" s="32"/>
    </row>
    <row r="313" spans="1:55" ht="16.5" customHeight="1">
      <c r="A313" s="560"/>
      <c r="B313" s="561"/>
      <c r="C313" s="9" t="s">
        <v>39</v>
      </c>
      <c r="D313" s="13"/>
      <c r="E313" s="9" t="s">
        <v>50</v>
      </c>
      <c r="F313" s="132"/>
      <c r="G313" s="355">
        <v>129</v>
      </c>
      <c r="H313" s="347"/>
      <c r="I313" s="348"/>
      <c r="J313" s="349"/>
      <c r="K313" s="9"/>
      <c r="L313" s="7"/>
      <c r="M313" s="20"/>
      <c r="N313" s="21"/>
      <c r="O313" s="9"/>
      <c r="P313" s="7"/>
      <c r="Q313" s="20"/>
      <c r="R313" s="21"/>
      <c r="S313" s="519"/>
      <c r="T313" s="527"/>
      <c r="U313" s="528"/>
      <c r="V313" s="529"/>
      <c r="W313" s="519" t="s">
        <v>60</v>
      </c>
      <c r="X313" s="521"/>
      <c r="Y313" s="523"/>
      <c r="Z313" s="525"/>
      <c r="AA313" s="9" t="s">
        <v>60</v>
      </c>
      <c r="AB313" s="7"/>
      <c r="AC313" s="20"/>
      <c r="AD313" s="21"/>
      <c r="AE313" s="553"/>
      <c r="AF313" s="548"/>
      <c r="AG313" s="548"/>
      <c r="AH313" s="548"/>
      <c r="AI313" s="548"/>
      <c r="AJ313" s="549"/>
      <c r="AK313" s="553"/>
      <c r="AL313" s="548"/>
      <c r="AM313" s="548"/>
      <c r="AN313" s="548"/>
      <c r="AO313" s="548"/>
      <c r="AP313" s="549"/>
      <c r="AQ313" s="531"/>
      <c r="AR313" s="516"/>
      <c r="AS313" s="518"/>
      <c r="AT313" s="556"/>
      <c r="AU313" s="27" t="s">
        <v>90</v>
      </c>
      <c r="AV313" s="30"/>
      <c r="AW313" s="27" t="s">
        <v>91</v>
      </c>
      <c r="AX313" s="33"/>
      <c r="AY313" s="556"/>
      <c r="AZ313" s="27" t="s">
        <v>90</v>
      </c>
      <c r="BA313" s="30"/>
      <c r="BB313" s="27" t="s">
        <v>91</v>
      </c>
      <c r="BC313" s="33"/>
    </row>
    <row r="314" spans="1:55" ht="16.5" customHeight="1">
      <c r="A314" s="560"/>
      <c r="B314" s="561"/>
      <c r="C314" s="10" t="s">
        <v>40</v>
      </c>
      <c r="D314" s="15"/>
      <c r="E314" s="130" t="s">
        <v>255</v>
      </c>
      <c r="F314" s="131"/>
      <c r="G314" s="356">
        <v>130</v>
      </c>
      <c r="H314" s="350"/>
      <c r="I314" s="351"/>
      <c r="J314" s="352"/>
      <c r="K314" s="17"/>
      <c r="L314" s="16"/>
      <c r="M314" s="22"/>
      <c r="N314" s="23"/>
      <c r="O314" s="17"/>
      <c r="P314" s="16"/>
      <c r="Q314" s="22"/>
      <c r="R314" s="23"/>
      <c r="S314" s="520"/>
      <c r="T314" s="522"/>
      <c r="U314" s="524"/>
      <c r="V314" s="526"/>
      <c r="W314" s="520"/>
      <c r="X314" s="522"/>
      <c r="Y314" s="524"/>
      <c r="Z314" s="526"/>
      <c r="AA314" s="17" t="s">
        <v>61</v>
      </c>
      <c r="AB314" s="16"/>
      <c r="AC314" s="22"/>
      <c r="AD314" s="23"/>
      <c r="AE314" s="115"/>
      <c r="AF314" s="116"/>
      <c r="AG314" s="116"/>
      <c r="AH314" s="116"/>
      <c r="AI314" s="117"/>
      <c r="AJ314" s="118"/>
      <c r="AK314" s="119"/>
      <c r="AL314" s="120"/>
      <c r="AM314" s="121"/>
      <c r="AN314" s="121"/>
      <c r="AO314" s="121"/>
      <c r="AP314" s="122"/>
      <c r="AQ314" s="115"/>
      <c r="AR314" s="116"/>
      <c r="AS314" s="118"/>
      <c r="AT314" s="123"/>
      <c r="AU314" s="113"/>
      <c r="AV314" s="113"/>
      <c r="AW314" s="113"/>
      <c r="AX314" s="114"/>
      <c r="AY314" s="123"/>
      <c r="AZ314" s="113"/>
      <c r="BA314" s="113"/>
      <c r="BB314" s="113"/>
      <c r="BC314" s="114"/>
    </row>
    <row r="315" spans="1:55" ht="16.5" customHeight="1"/>
    <row r="316" spans="1:55" ht="16.5" customHeight="1">
      <c r="A316" s="560">
        <v>27</v>
      </c>
      <c r="B316" s="561" t="s">
        <v>251</v>
      </c>
      <c r="C316" s="8" t="s">
        <v>42</v>
      </c>
      <c r="D316" s="24"/>
      <c r="E316" s="8" t="s">
        <v>43</v>
      </c>
      <c r="F316" s="11"/>
      <c r="G316" s="354">
        <v>131</v>
      </c>
      <c r="H316" s="335"/>
      <c r="I316" s="336"/>
      <c r="J316" s="357"/>
      <c r="K316" s="8" t="s">
        <v>333</v>
      </c>
      <c r="L316" s="6"/>
      <c r="M316" s="18"/>
      <c r="N316" s="19"/>
      <c r="O316" s="8" t="s">
        <v>333</v>
      </c>
      <c r="P316" s="6"/>
      <c r="Q316" s="18"/>
      <c r="R316" s="19"/>
      <c r="S316" s="532" t="s">
        <v>51</v>
      </c>
      <c r="T316" s="533"/>
      <c r="U316" s="535"/>
      <c r="V316" s="537"/>
      <c r="W316" s="532" t="s">
        <v>51</v>
      </c>
      <c r="X316" s="533"/>
      <c r="Y316" s="535"/>
      <c r="Z316" s="537"/>
      <c r="AA316" s="8" t="s">
        <v>51</v>
      </c>
      <c r="AB316" s="6"/>
      <c r="AC316" s="18"/>
      <c r="AD316" s="19"/>
      <c r="AE316" s="552"/>
      <c r="AF316" s="550"/>
      <c r="AG316" s="550"/>
      <c r="AH316" s="550"/>
      <c r="AI316" s="550"/>
      <c r="AJ316" s="551"/>
      <c r="AK316" s="552"/>
      <c r="AL316" s="550"/>
      <c r="AM316" s="550"/>
      <c r="AN316" s="550"/>
      <c r="AO316" s="550"/>
      <c r="AP316" s="551"/>
      <c r="AQ316" s="542">
        <v>131</v>
      </c>
      <c r="AR316" s="543"/>
      <c r="AS316" s="544"/>
      <c r="AT316" s="554">
        <v>53</v>
      </c>
      <c r="AU316" s="25" t="s">
        <v>0</v>
      </c>
      <c r="AV316" s="557"/>
      <c r="AW316" s="558"/>
      <c r="AX316" s="559"/>
      <c r="AY316" s="554">
        <v>55</v>
      </c>
      <c r="AZ316" s="25" t="s">
        <v>0</v>
      </c>
      <c r="BA316" s="557"/>
      <c r="BB316" s="558"/>
      <c r="BC316" s="559"/>
    </row>
    <row r="317" spans="1:55" ht="16.5" customHeight="1">
      <c r="A317" s="560"/>
      <c r="B317" s="561"/>
      <c r="C317" s="9" t="s">
        <v>33</v>
      </c>
      <c r="D317" s="13"/>
      <c r="E317" s="9" t="s">
        <v>70</v>
      </c>
      <c r="F317" s="12"/>
      <c r="G317" s="355">
        <v>132</v>
      </c>
      <c r="H317" s="338"/>
      <c r="I317" s="339"/>
      <c r="J317" s="340"/>
      <c r="K317" s="9" t="s">
        <v>334</v>
      </c>
      <c r="L317" s="7"/>
      <c r="M317" s="20"/>
      <c r="N317" s="21"/>
      <c r="O317" s="9" t="s">
        <v>334</v>
      </c>
      <c r="P317" s="7"/>
      <c r="Q317" s="20"/>
      <c r="R317" s="21"/>
      <c r="S317" s="519"/>
      <c r="T317" s="527"/>
      <c r="U317" s="528"/>
      <c r="V317" s="529"/>
      <c r="W317" s="519"/>
      <c r="X317" s="527"/>
      <c r="Y317" s="528"/>
      <c r="Z317" s="529"/>
      <c r="AA317" s="9" t="s">
        <v>52</v>
      </c>
      <c r="AB317" s="7"/>
      <c r="AC317" s="20"/>
      <c r="AD317" s="21"/>
      <c r="AE317" s="547"/>
      <c r="AF317" s="545"/>
      <c r="AG317" s="545"/>
      <c r="AH317" s="545"/>
      <c r="AI317" s="545"/>
      <c r="AJ317" s="546"/>
      <c r="AK317" s="547"/>
      <c r="AL317" s="545"/>
      <c r="AM317" s="545"/>
      <c r="AN317" s="545"/>
      <c r="AO317" s="545"/>
      <c r="AP317" s="546"/>
      <c r="AQ317" s="530"/>
      <c r="AR317" s="515"/>
      <c r="AS317" s="517"/>
      <c r="AT317" s="555"/>
      <c r="AU317" s="26" t="s">
        <v>87</v>
      </c>
      <c r="AV317" s="124"/>
      <c r="AW317" s="26" t="s">
        <v>192</v>
      </c>
      <c r="AX317" s="126"/>
      <c r="AY317" s="555"/>
      <c r="AZ317" s="26" t="s">
        <v>87</v>
      </c>
      <c r="BA317" s="124"/>
      <c r="BB317" s="127" t="s">
        <v>192</v>
      </c>
      <c r="BC317" s="125"/>
    </row>
    <row r="318" spans="1:55" ht="16.5" customHeight="1">
      <c r="A318" s="560"/>
      <c r="B318" s="561"/>
      <c r="C318" s="9" t="s">
        <v>34</v>
      </c>
      <c r="D318" s="14"/>
      <c r="E318" s="9" t="s">
        <v>44</v>
      </c>
      <c r="F318" s="12"/>
      <c r="G318" s="355">
        <v>133</v>
      </c>
      <c r="H318" s="338"/>
      <c r="I318" s="339"/>
      <c r="J318" s="340"/>
      <c r="K318" s="9" t="s">
        <v>335</v>
      </c>
      <c r="L318" s="7"/>
      <c r="M318" s="20"/>
      <c r="N318" s="21"/>
      <c r="O318" s="9" t="s">
        <v>335</v>
      </c>
      <c r="P318" s="7"/>
      <c r="Q318" s="20"/>
      <c r="R318" s="21"/>
      <c r="S318" s="519"/>
      <c r="T318" s="527"/>
      <c r="U318" s="528"/>
      <c r="V318" s="529"/>
      <c r="W318" s="519"/>
      <c r="X318" s="539"/>
      <c r="Y318" s="540"/>
      <c r="Z318" s="541"/>
      <c r="AA318" s="9" t="s">
        <v>53</v>
      </c>
      <c r="AB318" s="7"/>
      <c r="AC318" s="20"/>
      <c r="AD318" s="21"/>
      <c r="AE318" s="547"/>
      <c r="AF318" s="545"/>
      <c r="AG318" s="545"/>
      <c r="AH318" s="545"/>
      <c r="AI318" s="545"/>
      <c r="AJ318" s="546"/>
      <c r="AK318" s="547"/>
      <c r="AL318" s="545"/>
      <c r="AM318" s="545"/>
      <c r="AN318" s="545"/>
      <c r="AO318" s="545"/>
      <c r="AP318" s="546"/>
      <c r="AQ318" s="530">
        <v>132</v>
      </c>
      <c r="AR318" s="515"/>
      <c r="AS318" s="517"/>
      <c r="AT318" s="555"/>
      <c r="AU318" s="26" t="s">
        <v>88</v>
      </c>
      <c r="AV318" s="28"/>
      <c r="AW318" s="26" t="s">
        <v>12</v>
      </c>
      <c r="AX318" s="31"/>
      <c r="AY318" s="555"/>
      <c r="AZ318" s="26" t="s">
        <v>88</v>
      </c>
      <c r="BA318" s="28"/>
      <c r="BB318" s="26" t="s">
        <v>12</v>
      </c>
      <c r="BC318" s="31"/>
    </row>
    <row r="319" spans="1:55" ht="16.5" customHeight="1">
      <c r="A319" s="560"/>
      <c r="B319" s="561"/>
      <c r="C319" s="9" t="s">
        <v>41</v>
      </c>
      <c r="D319" s="13"/>
      <c r="E319" s="9" t="s">
        <v>62</v>
      </c>
      <c r="F319" s="12"/>
      <c r="G319" s="355">
        <v>134</v>
      </c>
      <c r="H319" s="341"/>
      <c r="I319" s="342"/>
      <c r="J319" s="343"/>
      <c r="K319" s="9" t="s">
        <v>336</v>
      </c>
      <c r="L319" s="7"/>
      <c r="M319" s="20"/>
      <c r="N319" s="21"/>
      <c r="O319" s="9" t="s">
        <v>336</v>
      </c>
      <c r="P319" s="7"/>
      <c r="Q319" s="20"/>
      <c r="R319" s="21"/>
      <c r="S319" s="519"/>
      <c r="T319" s="534"/>
      <c r="U319" s="536"/>
      <c r="V319" s="538"/>
      <c r="W319" s="532" t="s">
        <v>52</v>
      </c>
      <c r="X319" s="533"/>
      <c r="Y319" s="535"/>
      <c r="Z319" s="537"/>
      <c r="AA319" s="9" t="s">
        <v>54</v>
      </c>
      <c r="AB319" s="7"/>
      <c r="AC319" s="20"/>
      <c r="AD319" s="21"/>
      <c r="AE319" s="547"/>
      <c r="AF319" s="545"/>
      <c r="AG319" s="545"/>
      <c r="AH319" s="545"/>
      <c r="AI319" s="545"/>
      <c r="AJ319" s="546"/>
      <c r="AK319" s="547"/>
      <c r="AL319" s="545"/>
      <c r="AM319" s="545"/>
      <c r="AN319" s="545"/>
      <c r="AO319" s="545"/>
      <c r="AP319" s="546"/>
      <c r="AQ319" s="530"/>
      <c r="AR319" s="515"/>
      <c r="AS319" s="517"/>
      <c r="AT319" s="555"/>
      <c r="AU319" s="26" t="s">
        <v>89</v>
      </c>
      <c r="AV319" s="29"/>
      <c r="AW319" s="26" t="s">
        <v>12</v>
      </c>
      <c r="AX319" s="32"/>
      <c r="AY319" s="555"/>
      <c r="AZ319" s="26" t="s">
        <v>89</v>
      </c>
      <c r="BA319" s="29"/>
      <c r="BB319" s="26" t="s">
        <v>12</v>
      </c>
      <c r="BC319" s="32"/>
    </row>
    <row r="320" spans="1:55" ht="16.5" customHeight="1">
      <c r="A320" s="560"/>
      <c r="B320" s="561"/>
      <c r="C320" s="9" t="s">
        <v>417</v>
      </c>
      <c r="D320" s="3"/>
      <c r="E320" s="9" t="s">
        <v>45</v>
      </c>
      <c r="F320" s="12"/>
      <c r="G320" s="356">
        <v>135</v>
      </c>
      <c r="H320" s="344"/>
      <c r="I320" s="345"/>
      <c r="J320" s="346"/>
      <c r="K320" s="9" t="s">
        <v>337</v>
      </c>
      <c r="L320" s="7"/>
      <c r="M320" s="20"/>
      <c r="N320" s="21"/>
      <c r="O320" s="9" t="s">
        <v>337</v>
      </c>
      <c r="P320" s="7"/>
      <c r="Q320" s="20"/>
      <c r="R320" s="21"/>
      <c r="S320" s="519" t="s">
        <v>52</v>
      </c>
      <c r="T320" s="527"/>
      <c r="U320" s="528"/>
      <c r="V320" s="529"/>
      <c r="W320" s="519"/>
      <c r="X320" s="527"/>
      <c r="Y320" s="528"/>
      <c r="Z320" s="529"/>
      <c r="AA320" s="9" t="s">
        <v>55</v>
      </c>
      <c r="AB320" s="7"/>
      <c r="AC320" s="20"/>
      <c r="AD320" s="21"/>
      <c r="AE320" s="547"/>
      <c r="AF320" s="545"/>
      <c r="AG320" s="545"/>
      <c r="AH320" s="545"/>
      <c r="AI320" s="545"/>
      <c r="AJ320" s="546"/>
      <c r="AK320" s="547"/>
      <c r="AL320" s="545"/>
      <c r="AM320" s="545"/>
      <c r="AN320" s="545"/>
      <c r="AO320" s="545"/>
      <c r="AP320" s="546"/>
      <c r="AQ320" s="530">
        <v>133</v>
      </c>
      <c r="AR320" s="515"/>
      <c r="AS320" s="517"/>
      <c r="AT320" s="556"/>
      <c r="AU320" s="27" t="s">
        <v>90</v>
      </c>
      <c r="AV320" s="30"/>
      <c r="AW320" s="27" t="s">
        <v>91</v>
      </c>
      <c r="AX320" s="33"/>
      <c r="AY320" s="556"/>
      <c r="AZ320" s="27" t="s">
        <v>90</v>
      </c>
      <c r="BA320" s="30"/>
      <c r="BB320" s="27" t="s">
        <v>91</v>
      </c>
      <c r="BC320" s="33"/>
    </row>
    <row r="321" spans="1:55" ht="16.5" customHeight="1">
      <c r="A321" s="560"/>
      <c r="B321" s="561"/>
      <c r="C321" s="9" t="s">
        <v>35</v>
      </c>
      <c r="D321" s="13"/>
      <c r="E321" s="9" t="s">
        <v>46</v>
      </c>
      <c r="F321" s="12"/>
      <c r="G321" s="5" t="s">
        <v>12</v>
      </c>
      <c r="H321" s="128" t="s">
        <v>13</v>
      </c>
      <c r="I321" s="4" t="s">
        <v>14</v>
      </c>
      <c r="J321" s="4" t="s">
        <v>15</v>
      </c>
      <c r="K321" s="9" t="s">
        <v>338</v>
      </c>
      <c r="L321" s="7"/>
      <c r="M321" s="20"/>
      <c r="N321" s="21"/>
      <c r="O321" s="9" t="s">
        <v>338</v>
      </c>
      <c r="P321" s="7"/>
      <c r="Q321" s="20"/>
      <c r="R321" s="21"/>
      <c r="S321" s="519"/>
      <c r="T321" s="527"/>
      <c r="U321" s="528"/>
      <c r="V321" s="529"/>
      <c r="W321" s="519"/>
      <c r="X321" s="539"/>
      <c r="Y321" s="540"/>
      <c r="Z321" s="541"/>
      <c r="AA321" s="9" t="s">
        <v>56</v>
      </c>
      <c r="AB321" s="7"/>
      <c r="AC321" s="20"/>
      <c r="AD321" s="21"/>
      <c r="AE321" s="547"/>
      <c r="AF321" s="545"/>
      <c r="AG321" s="545"/>
      <c r="AH321" s="545"/>
      <c r="AI321" s="545"/>
      <c r="AJ321" s="546"/>
      <c r="AK321" s="547"/>
      <c r="AL321" s="545"/>
      <c r="AM321" s="545"/>
      <c r="AN321" s="545"/>
      <c r="AO321" s="545"/>
      <c r="AP321" s="546"/>
      <c r="AQ321" s="530"/>
      <c r="AR321" s="515"/>
      <c r="AS321" s="517"/>
      <c r="AT321" s="554">
        <v>54</v>
      </c>
      <c r="AU321" s="25" t="s">
        <v>0</v>
      </c>
      <c r="AV321" s="557"/>
      <c r="AW321" s="558"/>
      <c r="AX321" s="559"/>
      <c r="AY321" s="554">
        <v>56</v>
      </c>
      <c r="AZ321" s="25" t="s">
        <v>0</v>
      </c>
      <c r="BA321" s="557"/>
      <c r="BB321" s="558"/>
      <c r="BC321" s="559"/>
    </row>
    <row r="322" spans="1:55" ht="16.5" customHeight="1">
      <c r="A322" s="560"/>
      <c r="B322" s="561"/>
      <c r="C322" s="9" t="s">
        <v>36</v>
      </c>
      <c r="D322" s="13"/>
      <c r="E322" s="9" t="s">
        <v>47</v>
      </c>
      <c r="F322" s="12"/>
      <c r="G322" s="354">
        <v>131</v>
      </c>
      <c r="H322" s="335"/>
      <c r="I322" s="336"/>
      <c r="J322" s="357"/>
      <c r="K322" s="9" t="s">
        <v>339</v>
      </c>
      <c r="L322" s="7"/>
      <c r="M322" s="20"/>
      <c r="N322" s="21"/>
      <c r="O322" s="9" t="s">
        <v>339</v>
      </c>
      <c r="P322" s="7"/>
      <c r="Q322" s="20"/>
      <c r="R322" s="21"/>
      <c r="S322" s="519"/>
      <c r="T322" s="527"/>
      <c r="U322" s="528"/>
      <c r="V322" s="529"/>
      <c r="W322" s="532" t="s">
        <v>344</v>
      </c>
      <c r="X322" s="533"/>
      <c r="Y322" s="535"/>
      <c r="Z322" s="537"/>
      <c r="AA322" s="9"/>
      <c r="AB322" s="7"/>
      <c r="AC322" s="20"/>
      <c r="AD322" s="21"/>
      <c r="AE322" s="547"/>
      <c r="AF322" s="545"/>
      <c r="AG322" s="545"/>
      <c r="AH322" s="545"/>
      <c r="AI322" s="545"/>
      <c r="AJ322" s="546"/>
      <c r="AK322" s="547"/>
      <c r="AL322" s="545"/>
      <c r="AM322" s="545"/>
      <c r="AN322" s="545"/>
      <c r="AO322" s="545"/>
      <c r="AP322" s="546"/>
      <c r="AQ322" s="530">
        <v>134</v>
      </c>
      <c r="AR322" s="515"/>
      <c r="AS322" s="517"/>
      <c r="AT322" s="555"/>
      <c r="AU322" s="26" t="s">
        <v>87</v>
      </c>
      <c r="AV322" s="124"/>
      <c r="AW322" s="127" t="s">
        <v>192</v>
      </c>
      <c r="AX322" s="125"/>
      <c r="AY322" s="555"/>
      <c r="AZ322" s="26" t="s">
        <v>87</v>
      </c>
      <c r="BA322" s="124"/>
      <c r="BB322" s="127" t="s">
        <v>192</v>
      </c>
      <c r="BC322" s="125"/>
    </row>
    <row r="323" spans="1:55" ht="16.5" customHeight="1">
      <c r="A323" s="560"/>
      <c r="B323" s="561"/>
      <c r="C323" s="9" t="s">
        <v>37</v>
      </c>
      <c r="D323" s="13"/>
      <c r="E323" s="9" t="s">
        <v>48</v>
      </c>
      <c r="F323" s="12"/>
      <c r="G323" s="355">
        <v>132</v>
      </c>
      <c r="H323" s="338"/>
      <c r="I323" s="339"/>
      <c r="J323" s="340"/>
      <c r="K323" s="353" t="s">
        <v>340</v>
      </c>
      <c r="L323" s="7"/>
      <c r="M323" s="20"/>
      <c r="N323" s="21"/>
      <c r="O323" s="353" t="s">
        <v>340</v>
      </c>
      <c r="P323" s="7"/>
      <c r="Q323" s="20"/>
      <c r="R323" s="21"/>
      <c r="S323" s="519"/>
      <c r="T323" s="539"/>
      <c r="U323" s="540"/>
      <c r="V323" s="541"/>
      <c r="W323" s="519"/>
      <c r="X323" s="527"/>
      <c r="Y323" s="528"/>
      <c r="Z323" s="529"/>
      <c r="AA323" s="9" t="s">
        <v>58</v>
      </c>
      <c r="AB323" s="7"/>
      <c r="AC323" s="20"/>
      <c r="AD323" s="21"/>
      <c r="AE323" s="547"/>
      <c r="AF323" s="545"/>
      <c r="AG323" s="545"/>
      <c r="AH323" s="545"/>
      <c r="AI323" s="545"/>
      <c r="AJ323" s="546"/>
      <c r="AK323" s="547"/>
      <c r="AL323" s="545"/>
      <c r="AM323" s="545"/>
      <c r="AN323" s="545"/>
      <c r="AO323" s="545"/>
      <c r="AP323" s="546"/>
      <c r="AQ323" s="530"/>
      <c r="AR323" s="515"/>
      <c r="AS323" s="517"/>
      <c r="AT323" s="555"/>
      <c r="AU323" s="26" t="s">
        <v>88</v>
      </c>
      <c r="AV323" s="28"/>
      <c r="AW323" s="26" t="s">
        <v>12</v>
      </c>
      <c r="AX323" s="31"/>
      <c r="AY323" s="555"/>
      <c r="AZ323" s="26" t="s">
        <v>88</v>
      </c>
      <c r="BA323" s="28"/>
      <c r="BB323" s="26" t="s">
        <v>12</v>
      </c>
      <c r="BC323" s="31"/>
    </row>
    <row r="324" spans="1:55" ht="16.5" customHeight="1">
      <c r="A324" s="560"/>
      <c r="B324" s="561"/>
      <c r="C324" s="9" t="s">
        <v>38</v>
      </c>
      <c r="D324" s="13"/>
      <c r="E324" s="9" t="s">
        <v>49</v>
      </c>
      <c r="F324" s="12"/>
      <c r="G324" s="355">
        <v>133</v>
      </c>
      <c r="H324" s="338"/>
      <c r="I324" s="339"/>
      <c r="J324" s="340"/>
      <c r="K324" s="9" t="s">
        <v>341</v>
      </c>
      <c r="L324" s="7"/>
      <c r="M324" s="20"/>
      <c r="N324" s="21"/>
      <c r="O324" s="9" t="s">
        <v>341</v>
      </c>
      <c r="P324" s="7"/>
      <c r="Q324" s="20"/>
      <c r="R324" s="21"/>
      <c r="S324" s="519" t="s">
        <v>344</v>
      </c>
      <c r="T324" s="521"/>
      <c r="U324" s="523"/>
      <c r="V324" s="525"/>
      <c r="W324" s="519"/>
      <c r="X324" s="539"/>
      <c r="Y324" s="540"/>
      <c r="Z324" s="541"/>
      <c r="AA324" s="9" t="s">
        <v>59</v>
      </c>
      <c r="AB324" s="7"/>
      <c r="AC324" s="20"/>
      <c r="AD324" s="21"/>
      <c r="AE324" s="547"/>
      <c r="AF324" s="545"/>
      <c r="AG324" s="545"/>
      <c r="AH324" s="545"/>
      <c r="AI324" s="545"/>
      <c r="AJ324" s="546"/>
      <c r="AK324" s="547"/>
      <c r="AL324" s="545"/>
      <c r="AM324" s="545"/>
      <c r="AN324" s="545"/>
      <c r="AO324" s="545"/>
      <c r="AP324" s="546"/>
      <c r="AQ324" s="530">
        <v>135</v>
      </c>
      <c r="AR324" s="515"/>
      <c r="AS324" s="517"/>
      <c r="AT324" s="555"/>
      <c r="AU324" s="26" t="s">
        <v>89</v>
      </c>
      <c r="AV324" s="29"/>
      <c r="AW324" s="26" t="s">
        <v>12</v>
      </c>
      <c r="AX324" s="32"/>
      <c r="AY324" s="555"/>
      <c r="AZ324" s="26" t="s">
        <v>89</v>
      </c>
      <c r="BA324" s="29"/>
      <c r="BB324" s="26" t="s">
        <v>12</v>
      </c>
      <c r="BC324" s="32"/>
    </row>
    <row r="325" spans="1:55" ht="16.5" customHeight="1">
      <c r="A325" s="560"/>
      <c r="B325" s="561"/>
      <c r="C325" s="9" t="s">
        <v>39</v>
      </c>
      <c r="D325" s="13"/>
      <c r="E325" s="9" t="s">
        <v>50</v>
      </c>
      <c r="F325" s="132"/>
      <c r="G325" s="355">
        <v>134</v>
      </c>
      <c r="H325" s="347"/>
      <c r="I325" s="348"/>
      <c r="J325" s="349"/>
      <c r="K325" s="9"/>
      <c r="L325" s="7"/>
      <c r="M325" s="20"/>
      <c r="N325" s="21"/>
      <c r="O325" s="9"/>
      <c r="P325" s="7"/>
      <c r="Q325" s="20"/>
      <c r="R325" s="21"/>
      <c r="S325" s="519"/>
      <c r="T325" s="527"/>
      <c r="U325" s="528"/>
      <c r="V325" s="529"/>
      <c r="W325" s="519" t="s">
        <v>60</v>
      </c>
      <c r="X325" s="521"/>
      <c r="Y325" s="523"/>
      <c r="Z325" s="525"/>
      <c r="AA325" s="9" t="s">
        <v>60</v>
      </c>
      <c r="AB325" s="7"/>
      <c r="AC325" s="20"/>
      <c r="AD325" s="21"/>
      <c r="AE325" s="553"/>
      <c r="AF325" s="548"/>
      <c r="AG325" s="548"/>
      <c r="AH325" s="548"/>
      <c r="AI325" s="548"/>
      <c r="AJ325" s="549"/>
      <c r="AK325" s="553"/>
      <c r="AL325" s="548"/>
      <c r="AM325" s="548"/>
      <c r="AN325" s="548"/>
      <c r="AO325" s="548"/>
      <c r="AP325" s="549"/>
      <c r="AQ325" s="531"/>
      <c r="AR325" s="516"/>
      <c r="AS325" s="518"/>
      <c r="AT325" s="556"/>
      <c r="AU325" s="27" t="s">
        <v>90</v>
      </c>
      <c r="AV325" s="30"/>
      <c r="AW325" s="27" t="s">
        <v>91</v>
      </c>
      <c r="AX325" s="33"/>
      <c r="AY325" s="556"/>
      <c r="AZ325" s="27" t="s">
        <v>90</v>
      </c>
      <c r="BA325" s="30"/>
      <c r="BB325" s="27" t="s">
        <v>91</v>
      </c>
      <c r="BC325" s="33"/>
    </row>
    <row r="326" spans="1:55" ht="16.5" customHeight="1">
      <c r="A326" s="560"/>
      <c r="B326" s="561"/>
      <c r="C326" s="10" t="s">
        <v>40</v>
      </c>
      <c r="D326" s="15"/>
      <c r="E326" s="130" t="s">
        <v>255</v>
      </c>
      <c r="F326" s="131"/>
      <c r="G326" s="356">
        <v>135</v>
      </c>
      <c r="H326" s="350"/>
      <c r="I326" s="351"/>
      <c r="J326" s="352"/>
      <c r="K326" s="17"/>
      <c r="L326" s="16"/>
      <c r="M326" s="22"/>
      <c r="N326" s="23"/>
      <c r="O326" s="17"/>
      <c r="P326" s="16"/>
      <c r="Q326" s="22"/>
      <c r="R326" s="23"/>
      <c r="S326" s="520"/>
      <c r="T326" s="522"/>
      <c r="U326" s="524"/>
      <c r="V326" s="526"/>
      <c r="W326" s="520"/>
      <c r="X326" s="522"/>
      <c r="Y326" s="524"/>
      <c r="Z326" s="526"/>
      <c r="AA326" s="17" t="s">
        <v>61</v>
      </c>
      <c r="AB326" s="16"/>
      <c r="AC326" s="22"/>
      <c r="AD326" s="23"/>
      <c r="AE326" s="115"/>
      <c r="AF326" s="116"/>
      <c r="AG326" s="116"/>
      <c r="AH326" s="116"/>
      <c r="AI326" s="117"/>
      <c r="AJ326" s="118"/>
      <c r="AK326" s="119"/>
      <c r="AL326" s="120"/>
      <c r="AM326" s="121"/>
      <c r="AN326" s="121"/>
      <c r="AO326" s="121"/>
      <c r="AP326" s="122"/>
      <c r="AQ326" s="115"/>
      <c r="AR326" s="116"/>
      <c r="AS326" s="118"/>
      <c r="AT326" s="123"/>
      <c r="AU326" s="113"/>
      <c r="AV326" s="113"/>
      <c r="AW326" s="113"/>
      <c r="AX326" s="114"/>
      <c r="AY326" s="123"/>
      <c r="AZ326" s="113"/>
      <c r="BA326" s="113"/>
      <c r="BB326" s="113"/>
      <c r="BC326" s="114"/>
    </row>
    <row r="327" spans="1:55" ht="16.5" customHeight="1"/>
    <row r="328" spans="1:55" ht="16.5" customHeight="1">
      <c r="A328" s="560">
        <v>28</v>
      </c>
      <c r="B328" s="561" t="s">
        <v>252</v>
      </c>
      <c r="C328" s="8" t="s">
        <v>42</v>
      </c>
      <c r="D328" s="24"/>
      <c r="E328" s="8" t="s">
        <v>43</v>
      </c>
      <c r="F328" s="11"/>
      <c r="G328" s="354">
        <v>136</v>
      </c>
      <c r="H328" s="335"/>
      <c r="I328" s="336"/>
      <c r="J328" s="357"/>
      <c r="K328" s="8" t="s">
        <v>333</v>
      </c>
      <c r="L328" s="6"/>
      <c r="M328" s="18"/>
      <c r="N328" s="19"/>
      <c r="O328" s="8" t="s">
        <v>333</v>
      </c>
      <c r="P328" s="6"/>
      <c r="Q328" s="18"/>
      <c r="R328" s="19"/>
      <c r="S328" s="532" t="s">
        <v>51</v>
      </c>
      <c r="T328" s="533"/>
      <c r="U328" s="535"/>
      <c r="V328" s="537"/>
      <c r="W328" s="532" t="s">
        <v>51</v>
      </c>
      <c r="X328" s="533"/>
      <c r="Y328" s="535"/>
      <c r="Z328" s="537"/>
      <c r="AA328" s="8" t="s">
        <v>51</v>
      </c>
      <c r="AB328" s="6"/>
      <c r="AC328" s="18"/>
      <c r="AD328" s="19"/>
      <c r="AE328" s="552"/>
      <c r="AF328" s="550"/>
      <c r="AG328" s="550"/>
      <c r="AH328" s="550"/>
      <c r="AI328" s="550"/>
      <c r="AJ328" s="551"/>
      <c r="AK328" s="552"/>
      <c r="AL328" s="550"/>
      <c r="AM328" s="550"/>
      <c r="AN328" s="550"/>
      <c r="AO328" s="550"/>
      <c r="AP328" s="551"/>
      <c r="AQ328" s="542">
        <v>136</v>
      </c>
      <c r="AR328" s="543"/>
      <c r="AS328" s="544"/>
      <c r="AT328" s="554">
        <v>55</v>
      </c>
      <c r="AU328" s="25" t="s">
        <v>0</v>
      </c>
      <c r="AV328" s="557"/>
      <c r="AW328" s="558"/>
      <c r="AX328" s="559"/>
      <c r="AY328" s="554">
        <v>57</v>
      </c>
      <c r="AZ328" s="25" t="s">
        <v>0</v>
      </c>
      <c r="BA328" s="557"/>
      <c r="BB328" s="558"/>
      <c r="BC328" s="559"/>
    </row>
    <row r="329" spans="1:55" ht="16.5" customHeight="1">
      <c r="A329" s="560"/>
      <c r="B329" s="561"/>
      <c r="C329" s="9" t="s">
        <v>33</v>
      </c>
      <c r="D329" s="13"/>
      <c r="E329" s="9" t="s">
        <v>70</v>
      </c>
      <c r="F329" s="12"/>
      <c r="G329" s="355">
        <v>137</v>
      </c>
      <c r="H329" s="338"/>
      <c r="I329" s="339"/>
      <c r="J329" s="340"/>
      <c r="K329" s="9" t="s">
        <v>334</v>
      </c>
      <c r="L329" s="7"/>
      <c r="M329" s="20"/>
      <c r="N329" s="21"/>
      <c r="O329" s="9" t="s">
        <v>334</v>
      </c>
      <c r="P329" s="7"/>
      <c r="Q329" s="20"/>
      <c r="R329" s="21"/>
      <c r="S329" s="519"/>
      <c r="T329" s="527"/>
      <c r="U329" s="528"/>
      <c r="V329" s="529"/>
      <c r="W329" s="519"/>
      <c r="X329" s="527"/>
      <c r="Y329" s="528"/>
      <c r="Z329" s="529"/>
      <c r="AA329" s="9" t="s">
        <v>52</v>
      </c>
      <c r="AB329" s="7"/>
      <c r="AC329" s="20"/>
      <c r="AD329" s="21"/>
      <c r="AE329" s="547"/>
      <c r="AF329" s="545"/>
      <c r="AG329" s="545"/>
      <c r="AH329" s="545"/>
      <c r="AI329" s="545"/>
      <c r="AJ329" s="546"/>
      <c r="AK329" s="547"/>
      <c r="AL329" s="545"/>
      <c r="AM329" s="545"/>
      <c r="AN329" s="545"/>
      <c r="AO329" s="545"/>
      <c r="AP329" s="546"/>
      <c r="AQ329" s="530"/>
      <c r="AR329" s="515"/>
      <c r="AS329" s="517"/>
      <c r="AT329" s="555"/>
      <c r="AU329" s="26" t="s">
        <v>87</v>
      </c>
      <c r="AV329" s="124"/>
      <c r="AW329" s="26" t="s">
        <v>192</v>
      </c>
      <c r="AX329" s="126"/>
      <c r="AY329" s="555"/>
      <c r="AZ329" s="26" t="s">
        <v>87</v>
      </c>
      <c r="BA329" s="124"/>
      <c r="BB329" s="127" t="s">
        <v>192</v>
      </c>
      <c r="BC329" s="125"/>
    </row>
    <row r="330" spans="1:55" ht="16.5" customHeight="1">
      <c r="A330" s="560"/>
      <c r="B330" s="561"/>
      <c r="C330" s="9" t="s">
        <v>34</v>
      </c>
      <c r="D330" s="14"/>
      <c r="E330" s="9" t="s">
        <v>44</v>
      </c>
      <c r="F330" s="12"/>
      <c r="G330" s="355">
        <v>138</v>
      </c>
      <c r="H330" s="338"/>
      <c r="I330" s="339"/>
      <c r="J330" s="340"/>
      <c r="K330" s="9" t="s">
        <v>335</v>
      </c>
      <c r="L330" s="7"/>
      <c r="M330" s="20"/>
      <c r="N330" s="21"/>
      <c r="O330" s="9" t="s">
        <v>335</v>
      </c>
      <c r="P330" s="7"/>
      <c r="Q330" s="20"/>
      <c r="R330" s="21"/>
      <c r="S330" s="519"/>
      <c r="T330" s="527"/>
      <c r="U330" s="528"/>
      <c r="V330" s="529"/>
      <c r="W330" s="519"/>
      <c r="X330" s="539"/>
      <c r="Y330" s="540"/>
      <c r="Z330" s="541"/>
      <c r="AA330" s="9" t="s">
        <v>53</v>
      </c>
      <c r="AB330" s="7"/>
      <c r="AC330" s="20"/>
      <c r="AD330" s="21"/>
      <c r="AE330" s="547"/>
      <c r="AF330" s="545"/>
      <c r="AG330" s="545"/>
      <c r="AH330" s="545"/>
      <c r="AI330" s="545"/>
      <c r="AJ330" s="546"/>
      <c r="AK330" s="547"/>
      <c r="AL330" s="545"/>
      <c r="AM330" s="545"/>
      <c r="AN330" s="545"/>
      <c r="AO330" s="545"/>
      <c r="AP330" s="546"/>
      <c r="AQ330" s="530">
        <v>137</v>
      </c>
      <c r="AR330" s="515"/>
      <c r="AS330" s="517"/>
      <c r="AT330" s="555"/>
      <c r="AU330" s="26" t="s">
        <v>88</v>
      </c>
      <c r="AV330" s="28"/>
      <c r="AW330" s="26" t="s">
        <v>12</v>
      </c>
      <c r="AX330" s="31"/>
      <c r="AY330" s="555"/>
      <c r="AZ330" s="26" t="s">
        <v>88</v>
      </c>
      <c r="BA330" s="28"/>
      <c r="BB330" s="26" t="s">
        <v>12</v>
      </c>
      <c r="BC330" s="31"/>
    </row>
    <row r="331" spans="1:55" ht="16.5" customHeight="1">
      <c r="A331" s="560"/>
      <c r="B331" s="561"/>
      <c r="C331" s="9" t="s">
        <v>41</v>
      </c>
      <c r="D331" s="13"/>
      <c r="E331" s="9" t="s">
        <v>62</v>
      </c>
      <c r="F331" s="12"/>
      <c r="G331" s="355">
        <v>139</v>
      </c>
      <c r="H331" s="341"/>
      <c r="I331" s="342"/>
      <c r="J331" s="343"/>
      <c r="K331" s="9" t="s">
        <v>336</v>
      </c>
      <c r="L331" s="7"/>
      <c r="M331" s="20"/>
      <c r="N331" s="21"/>
      <c r="O331" s="9" t="s">
        <v>336</v>
      </c>
      <c r="P331" s="7"/>
      <c r="Q331" s="20"/>
      <c r="R331" s="21"/>
      <c r="S331" s="519"/>
      <c r="T331" s="534"/>
      <c r="U331" s="536"/>
      <c r="V331" s="538"/>
      <c r="W331" s="532" t="s">
        <v>52</v>
      </c>
      <c r="X331" s="533"/>
      <c r="Y331" s="535"/>
      <c r="Z331" s="537"/>
      <c r="AA331" s="9" t="s">
        <v>54</v>
      </c>
      <c r="AB331" s="7"/>
      <c r="AC331" s="20"/>
      <c r="AD331" s="21"/>
      <c r="AE331" s="547"/>
      <c r="AF331" s="545"/>
      <c r="AG331" s="545"/>
      <c r="AH331" s="545"/>
      <c r="AI331" s="545"/>
      <c r="AJ331" s="546"/>
      <c r="AK331" s="547"/>
      <c r="AL331" s="545"/>
      <c r="AM331" s="545"/>
      <c r="AN331" s="545"/>
      <c r="AO331" s="545"/>
      <c r="AP331" s="546"/>
      <c r="AQ331" s="530"/>
      <c r="AR331" s="515"/>
      <c r="AS331" s="517"/>
      <c r="AT331" s="555"/>
      <c r="AU331" s="26" t="s">
        <v>89</v>
      </c>
      <c r="AV331" s="29"/>
      <c r="AW331" s="26" t="s">
        <v>12</v>
      </c>
      <c r="AX331" s="32"/>
      <c r="AY331" s="555"/>
      <c r="AZ331" s="26" t="s">
        <v>89</v>
      </c>
      <c r="BA331" s="29"/>
      <c r="BB331" s="26" t="s">
        <v>12</v>
      </c>
      <c r="BC331" s="32"/>
    </row>
    <row r="332" spans="1:55" ht="16.5" customHeight="1">
      <c r="A332" s="560"/>
      <c r="B332" s="561"/>
      <c r="C332" s="9" t="s">
        <v>417</v>
      </c>
      <c r="D332" s="3"/>
      <c r="E332" s="9" t="s">
        <v>45</v>
      </c>
      <c r="F332" s="12"/>
      <c r="G332" s="356">
        <v>140</v>
      </c>
      <c r="H332" s="344"/>
      <c r="I332" s="345"/>
      <c r="J332" s="346"/>
      <c r="K332" s="9" t="s">
        <v>337</v>
      </c>
      <c r="L332" s="7"/>
      <c r="M332" s="20"/>
      <c r="N332" s="21"/>
      <c r="O332" s="9" t="s">
        <v>337</v>
      </c>
      <c r="P332" s="7"/>
      <c r="Q332" s="20"/>
      <c r="R332" s="21"/>
      <c r="S332" s="519" t="s">
        <v>52</v>
      </c>
      <c r="T332" s="527"/>
      <c r="U332" s="528"/>
      <c r="V332" s="529"/>
      <c r="W332" s="519"/>
      <c r="X332" s="527"/>
      <c r="Y332" s="528"/>
      <c r="Z332" s="529"/>
      <c r="AA332" s="9" t="s">
        <v>55</v>
      </c>
      <c r="AB332" s="7"/>
      <c r="AC332" s="20"/>
      <c r="AD332" s="21"/>
      <c r="AE332" s="547"/>
      <c r="AF332" s="545"/>
      <c r="AG332" s="545"/>
      <c r="AH332" s="545"/>
      <c r="AI332" s="545"/>
      <c r="AJ332" s="546"/>
      <c r="AK332" s="547"/>
      <c r="AL332" s="545"/>
      <c r="AM332" s="545"/>
      <c r="AN332" s="545"/>
      <c r="AO332" s="545"/>
      <c r="AP332" s="546"/>
      <c r="AQ332" s="530">
        <v>138</v>
      </c>
      <c r="AR332" s="515"/>
      <c r="AS332" s="517"/>
      <c r="AT332" s="556"/>
      <c r="AU332" s="27" t="s">
        <v>90</v>
      </c>
      <c r="AV332" s="30"/>
      <c r="AW332" s="27" t="s">
        <v>91</v>
      </c>
      <c r="AX332" s="33"/>
      <c r="AY332" s="556"/>
      <c r="AZ332" s="27" t="s">
        <v>90</v>
      </c>
      <c r="BA332" s="30"/>
      <c r="BB332" s="27" t="s">
        <v>91</v>
      </c>
      <c r="BC332" s="33"/>
    </row>
    <row r="333" spans="1:55" ht="16.5" customHeight="1">
      <c r="A333" s="560"/>
      <c r="B333" s="561"/>
      <c r="C333" s="9" t="s">
        <v>35</v>
      </c>
      <c r="D333" s="13"/>
      <c r="E333" s="9" t="s">
        <v>46</v>
      </c>
      <c r="F333" s="12"/>
      <c r="G333" s="5" t="s">
        <v>12</v>
      </c>
      <c r="H333" s="128" t="s">
        <v>13</v>
      </c>
      <c r="I333" s="4" t="s">
        <v>14</v>
      </c>
      <c r="J333" s="4" t="s">
        <v>15</v>
      </c>
      <c r="K333" s="9" t="s">
        <v>338</v>
      </c>
      <c r="L333" s="7"/>
      <c r="M333" s="20"/>
      <c r="N333" s="21"/>
      <c r="O333" s="9" t="s">
        <v>338</v>
      </c>
      <c r="P333" s="7"/>
      <c r="Q333" s="20"/>
      <c r="R333" s="21"/>
      <c r="S333" s="519"/>
      <c r="T333" s="527"/>
      <c r="U333" s="528"/>
      <c r="V333" s="529"/>
      <c r="W333" s="519"/>
      <c r="X333" s="539"/>
      <c r="Y333" s="540"/>
      <c r="Z333" s="541"/>
      <c r="AA333" s="9" t="s">
        <v>56</v>
      </c>
      <c r="AB333" s="7"/>
      <c r="AC333" s="20"/>
      <c r="AD333" s="21"/>
      <c r="AE333" s="547"/>
      <c r="AF333" s="545"/>
      <c r="AG333" s="545"/>
      <c r="AH333" s="545"/>
      <c r="AI333" s="545"/>
      <c r="AJ333" s="546"/>
      <c r="AK333" s="547"/>
      <c r="AL333" s="545"/>
      <c r="AM333" s="545"/>
      <c r="AN333" s="545"/>
      <c r="AO333" s="545"/>
      <c r="AP333" s="546"/>
      <c r="AQ333" s="530"/>
      <c r="AR333" s="515"/>
      <c r="AS333" s="517"/>
      <c r="AT333" s="554">
        <v>56</v>
      </c>
      <c r="AU333" s="25" t="s">
        <v>0</v>
      </c>
      <c r="AV333" s="557"/>
      <c r="AW333" s="558"/>
      <c r="AX333" s="559"/>
      <c r="AY333" s="554">
        <v>58</v>
      </c>
      <c r="AZ333" s="25" t="s">
        <v>0</v>
      </c>
      <c r="BA333" s="557"/>
      <c r="BB333" s="558"/>
      <c r="BC333" s="559"/>
    </row>
    <row r="334" spans="1:55" ht="16.5" customHeight="1">
      <c r="A334" s="560"/>
      <c r="B334" s="561"/>
      <c r="C334" s="9" t="s">
        <v>36</v>
      </c>
      <c r="D334" s="13"/>
      <c r="E334" s="9" t="s">
        <v>47</v>
      </c>
      <c r="F334" s="12"/>
      <c r="G334" s="354">
        <v>136</v>
      </c>
      <c r="H334" s="335"/>
      <c r="I334" s="336"/>
      <c r="J334" s="357"/>
      <c r="K334" s="9" t="s">
        <v>339</v>
      </c>
      <c r="L334" s="7"/>
      <c r="M334" s="20"/>
      <c r="N334" s="21"/>
      <c r="O334" s="9" t="s">
        <v>339</v>
      </c>
      <c r="P334" s="7"/>
      <c r="Q334" s="20"/>
      <c r="R334" s="21"/>
      <c r="S334" s="519"/>
      <c r="T334" s="527"/>
      <c r="U334" s="528"/>
      <c r="V334" s="529"/>
      <c r="W334" s="532" t="s">
        <v>344</v>
      </c>
      <c r="X334" s="533"/>
      <c r="Y334" s="535"/>
      <c r="Z334" s="537"/>
      <c r="AA334" s="9"/>
      <c r="AB334" s="7"/>
      <c r="AC334" s="20"/>
      <c r="AD334" s="21"/>
      <c r="AE334" s="547"/>
      <c r="AF334" s="545"/>
      <c r="AG334" s="545"/>
      <c r="AH334" s="545"/>
      <c r="AI334" s="545"/>
      <c r="AJ334" s="546"/>
      <c r="AK334" s="547"/>
      <c r="AL334" s="545"/>
      <c r="AM334" s="545"/>
      <c r="AN334" s="545"/>
      <c r="AO334" s="545"/>
      <c r="AP334" s="546"/>
      <c r="AQ334" s="530">
        <v>139</v>
      </c>
      <c r="AR334" s="515"/>
      <c r="AS334" s="517"/>
      <c r="AT334" s="555"/>
      <c r="AU334" s="26" t="s">
        <v>87</v>
      </c>
      <c r="AV334" s="124"/>
      <c r="AW334" s="127" t="s">
        <v>192</v>
      </c>
      <c r="AX334" s="125"/>
      <c r="AY334" s="555"/>
      <c r="AZ334" s="26" t="s">
        <v>87</v>
      </c>
      <c r="BA334" s="124"/>
      <c r="BB334" s="127" t="s">
        <v>192</v>
      </c>
      <c r="BC334" s="125"/>
    </row>
    <row r="335" spans="1:55" ht="16.5" customHeight="1">
      <c r="A335" s="560"/>
      <c r="B335" s="561"/>
      <c r="C335" s="9" t="s">
        <v>37</v>
      </c>
      <c r="D335" s="13"/>
      <c r="E335" s="9" t="s">
        <v>48</v>
      </c>
      <c r="F335" s="12"/>
      <c r="G335" s="355">
        <v>137</v>
      </c>
      <c r="H335" s="338"/>
      <c r="I335" s="339"/>
      <c r="J335" s="340"/>
      <c r="K335" s="353" t="s">
        <v>340</v>
      </c>
      <c r="L335" s="7"/>
      <c r="M335" s="20"/>
      <c r="N335" s="21"/>
      <c r="O335" s="353" t="s">
        <v>340</v>
      </c>
      <c r="P335" s="7"/>
      <c r="Q335" s="20"/>
      <c r="R335" s="21"/>
      <c r="S335" s="519"/>
      <c r="T335" s="539"/>
      <c r="U335" s="540"/>
      <c r="V335" s="541"/>
      <c r="W335" s="519"/>
      <c r="X335" s="527"/>
      <c r="Y335" s="528"/>
      <c r="Z335" s="529"/>
      <c r="AA335" s="9" t="s">
        <v>58</v>
      </c>
      <c r="AB335" s="7"/>
      <c r="AC335" s="20"/>
      <c r="AD335" s="21"/>
      <c r="AE335" s="547"/>
      <c r="AF335" s="545"/>
      <c r="AG335" s="545"/>
      <c r="AH335" s="545"/>
      <c r="AI335" s="545"/>
      <c r="AJ335" s="546"/>
      <c r="AK335" s="547"/>
      <c r="AL335" s="545"/>
      <c r="AM335" s="545"/>
      <c r="AN335" s="545"/>
      <c r="AO335" s="545"/>
      <c r="AP335" s="546"/>
      <c r="AQ335" s="530"/>
      <c r="AR335" s="515"/>
      <c r="AS335" s="517"/>
      <c r="AT335" s="555"/>
      <c r="AU335" s="26" t="s">
        <v>88</v>
      </c>
      <c r="AV335" s="28"/>
      <c r="AW335" s="26" t="s">
        <v>12</v>
      </c>
      <c r="AX335" s="31"/>
      <c r="AY335" s="555"/>
      <c r="AZ335" s="26" t="s">
        <v>88</v>
      </c>
      <c r="BA335" s="28"/>
      <c r="BB335" s="26" t="s">
        <v>12</v>
      </c>
      <c r="BC335" s="31"/>
    </row>
    <row r="336" spans="1:55" ht="16.5" customHeight="1">
      <c r="A336" s="560"/>
      <c r="B336" s="561"/>
      <c r="C336" s="9" t="s">
        <v>38</v>
      </c>
      <c r="D336" s="13"/>
      <c r="E336" s="9" t="s">
        <v>49</v>
      </c>
      <c r="F336" s="12"/>
      <c r="G336" s="355">
        <v>138</v>
      </c>
      <c r="H336" s="338"/>
      <c r="I336" s="339"/>
      <c r="J336" s="340"/>
      <c r="K336" s="9" t="s">
        <v>341</v>
      </c>
      <c r="L336" s="7"/>
      <c r="M336" s="20"/>
      <c r="N336" s="21"/>
      <c r="O336" s="9" t="s">
        <v>341</v>
      </c>
      <c r="P336" s="7"/>
      <c r="Q336" s="20"/>
      <c r="R336" s="21"/>
      <c r="S336" s="519" t="s">
        <v>344</v>
      </c>
      <c r="T336" s="521"/>
      <c r="U336" s="523"/>
      <c r="V336" s="525"/>
      <c r="W336" s="519"/>
      <c r="X336" s="539"/>
      <c r="Y336" s="540"/>
      <c r="Z336" s="541"/>
      <c r="AA336" s="9" t="s">
        <v>59</v>
      </c>
      <c r="AB336" s="7"/>
      <c r="AC336" s="20"/>
      <c r="AD336" s="21"/>
      <c r="AE336" s="547"/>
      <c r="AF336" s="545"/>
      <c r="AG336" s="545"/>
      <c r="AH336" s="545"/>
      <c r="AI336" s="545"/>
      <c r="AJ336" s="546"/>
      <c r="AK336" s="547"/>
      <c r="AL336" s="545"/>
      <c r="AM336" s="545"/>
      <c r="AN336" s="545"/>
      <c r="AO336" s="545"/>
      <c r="AP336" s="546"/>
      <c r="AQ336" s="530">
        <v>140</v>
      </c>
      <c r="AR336" s="515"/>
      <c r="AS336" s="517"/>
      <c r="AT336" s="555"/>
      <c r="AU336" s="26" t="s">
        <v>89</v>
      </c>
      <c r="AV336" s="29"/>
      <c r="AW336" s="26" t="s">
        <v>12</v>
      </c>
      <c r="AX336" s="32"/>
      <c r="AY336" s="555"/>
      <c r="AZ336" s="26" t="s">
        <v>89</v>
      </c>
      <c r="BA336" s="29"/>
      <c r="BB336" s="26" t="s">
        <v>12</v>
      </c>
      <c r="BC336" s="32"/>
    </row>
    <row r="337" spans="1:55" ht="16.5" customHeight="1">
      <c r="A337" s="560"/>
      <c r="B337" s="561"/>
      <c r="C337" s="9" t="s">
        <v>39</v>
      </c>
      <c r="D337" s="13"/>
      <c r="E337" s="9" t="s">
        <v>50</v>
      </c>
      <c r="F337" s="132"/>
      <c r="G337" s="355">
        <v>139</v>
      </c>
      <c r="H337" s="347"/>
      <c r="I337" s="348"/>
      <c r="J337" s="349"/>
      <c r="K337" s="9"/>
      <c r="L337" s="7"/>
      <c r="M337" s="20"/>
      <c r="N337" s="21"/>
      <c r="O337" s="9"/>
      <c r="P337" s="7"/>
      <c r="Q337" s="20"/>
      <c r="R337" s="21"/>
      <c r="S337" s="519"/>
      <c r="T337" s="527"/>
      <c r="U337" s="528"/>
      <c r="V337" s="529"/>
      <c r="W337" s="519" t="s">
        <v>60</v>
      </c>
      <c r="X337" s="521"/>
      <c r="Y337" s="523"/>
      <c r="Z337" s="525"/>
      <c r="AA337" s="9" t="s">
        <v>60</v>
      </c>
      <c r="AB337" s="7"/>
      <c r="AC337" s="20"/>
      <c r="AD337" s="21"/>
      <c r="AE337" s="553"/>
      <c r="AF337" s="548"/>
      <c r="AG337" s="548"/>
      <c r="AH337" s="548"/>
      <c r="AI337" s="548"/>
      <c r="AJ337" s="549"/>
      <c r="AK337" s="553"/>
      <c r="AL337" s="548"/>
      <c r="AM337" s="548"/>
      <c r="AN337" s="548"/>
      <c r="AO337" s="548"/>
      <c r="AP337" s="549"/>
      <c r="AQ337" s="531"/>
      <c r="AR337" s="516"/>
      <c r="AS337" s="518"/>
      <c r="AT337" s="556"/>
      <c r="AU337" s="27" t="s">
        <v>90</v>
      </c>
      <c r="AV337" s="30"/>
      <c r="AW337" s="27" t="s">
        <v>91</v>
      </c>
      <c r="AX337" s="33"/>
      <c r="AY337" s="556"/>
      <c r="AZ337" s="27" t="s">
        <v>90</v>
      </c>
      <c r="BA337" s="30"/>
      <c r="BB337" s="27" t="s">
        <v>91</v>
      </c>
      <c r="BC337" s="33"/>
    </row>
    <row r="338" spans="1:55" ht="16.5" customHeight="1">
      <c r="A338" s="560"/>
      <c r="B338" s="561"/>
      <c r="C338" s="10" t="s">
        <v>40</v>
      </c>
      <c r="D338" s="15"/>
      <c r="E338" s="130" t="s">
        <v>255</v>
      </c>
      <c r="F338" s="131"/>
      <c r="G338" s="356">
        <v>140</v>
      </c>
      <c r="H338" s="350"/>
      <c r="I338" s="351"/>
      <c r="J338" s="352"/>
      <c r="K338" s="17"/>
      <c r="L338" s="16"/>
      <c r="M338" s="22"/>
      <c r="N338" s="23"/>
      <c r="O338" s="17"/>
      <c r="P338" s="16"/>
      <c r="Q338" s="22"/>
      <c r="R338" s="23"/>
      <c r="S338" s="520"/>
      <c r="T338" s="522"/>
      <c r="U338" s="524"/>
      <c r="V338" s="526"/>
      <c r="W338" s="520"/>
      <c r="X338" s="522"/>
      <c r="Y338" s="524"/>
      <c r="Z338" s="526"/>
      <c r="AA338" s="17" t="s">
        <v>61</v>
      </c>
      <c r="AB338" s="16"/>
      <c r="AC338" s="22"/>
      <c r="AD338" s="23"/>
      <c r="AE338" s="115"/>
      <c r="AF338" s="116"/>
      <c r="AG338" s="116"/>
      <c r="AH338" s="116"/>
      <c r="AI338" s="117"/>
      <c r="AJ338" s="118"/>
      <c r="AK338" s="119"/>
      <c r="AL338" s="120"/>
      <c r="AM338" s="121"/>
      <c r="AN338" s="121"/>
      <c r="AO338" s="121"/>
      <c r="AP338" s="122"/>
      <c r="AQ338" s="115"/>
      <c r="AR338" s="116"/>
      <c r="AS338" s="118"/>
      <c r="AT338" s="123"/>
      <c r="AU338" s="113"/>
      <c r="AV338" s="113"/>
      <c r="AW338" s="113"/>
      <c r="AX338" s="114"/>
      <c r="AY338" s="123"/>
      <c r="AZ338" s="113"/>
      <c r="BA338" s="113"/>
      <c r="BB338" s="113"/>
      <c r="BC338" s="114"/>
    </row>
    <row r="339" spans="1:55" ht="16.5" customHeight="1"/>
    <row r="340" spans="1:55" ht="16.5" customHeight="1">
      <c r="A340" s="560">
        <v>29</v>
      </c>
      <c r="B340" s="561" t="s">
        <v>253</v>
      </c>
      <c r="C340" s="8" t="s">
        <v>42</v>
      </c>
      <c r="D340" s="24"/>
      <c r="E340" s="8" t="s">
        <v>43</v>
      </c>
      <c r="F340" s="11"/>
      <c r="G340" s="354">
        <v>141</v>
      </c>
      <c r="H340" s="335"/>
      <c r="I340" s="336"/>
      <c r="J340" s="357"/>
      <c r="K340" s="8" t="s">
        <v>333</v>
      </c>
      <c r="L340" s="6"/>
      <c r="M340" s="18"/>
      <c r="N340" s="19"/>
      <c r="O340" s="8" t="s">
        <v>333</v>
      </c>
      <c r="P340" s="6"/>
      <c r="Q340" s="18"/>
      <c r="R340" s="19"/>
      <c r="S340" s="532" t="s">
        <v>51</v>
      </c>
      <c r="T340" s="533"/>
      <c r="U340" s="535"/>
      <c r="V340" s="537"/>
      <c r="W340" s="532" t="s">
        <v>51</v>
      </c>
      <c r="X340" s="533"/>
      <c r="Y340" s="535"/>
      <c r="Z340" s="537"/>
      <c r="AA340" s="8" t="s">
        <v>51</v>
      </c>
      <c r="AB340" s="6"/>
      <c r="AC340" s="18"/>
      <c r="AD340" s="19"/>
      <c r="AE340" s="552"/>
      <c r="AF340" s="550"/>
      <c r="AG340" s="550"/>
      <c r="AH340" s="550"/>
      <c r="AI340" s="550"/>
      <c r="AJ340" s="551"/>
      <c r="AK340" s="552"/>
      <c r="AL340" s="550"/>
      <c r="AM340" s="550"/>
      <c r="AN340" s="550"/>
      <c r="AO340" s="550"/>
      <c r="AP340" s="551"/>
      <c r="AQ340" s="542">
        <v>141</v>
      </c>
      <c r="AR340" s="543"/>
      <c r="AS340" s="544"/>
      <c r="AT340" s="554">
        <v>57</v>
      </c>
      <c r="AU340" s="25" t="s">
        <v>0</v>
      </c>
      <c r="AV340" s="557"/>
      <c r="AW340" s="558"/>
      <c r="AX340" s="559"/>
      <c r="AY340" s="554">
        <v>59</v>
      </c>
      <c r="AZ340" s="25" t="s">
        <v>0</v>
      </c>
      <c r="BA340" s="557"/>
      <c r="BB340" s="558"/>
      <c r="BC340" s="559"/>
    </row>
    <row r="341" spans="1:55" ht="16.5" customHeight="1">
      <c r="A341" s="560"/>
      <c r="B341" s="561"/>
      <c r="C341" s="9" t="s">
        <v>33</v>
      </c>
      <c r="D341" s="13"/>
      <c r="E341" s="9" t="s">
        <v>70</v>
      </c>
      <c r="F341" s="12"/>
      <c r="G341" s="355">
        <v>142</v>
      </c>
      <c r="H341" s="338"/>
      <c r="I341" s="339"/>
      <c r="J341" s="340"/>
      <c r="K341" s="9" t="s">
        <v>334</v>
      </c>
      <c r="L341" s="7"/>
      <c r="M341" s="20"/>
      <c r="N341" s="21"/>
      <c r="O341" s="9" t="s">
        <v>334</v>
      </c>
      <c r="P341" s="7"/>
      <c r="Q341" s="20"/>
      <c r="R341" s="21"/>
      <c r="S341" s="519"/>
      <c r="T341" s="527"/>
      <c r="U341" s="528"/>
      <c r="V341" s="529"/>
      <c r="W341" s="519"/>
      <c r="X341" s="527"/>
      <c r="Y341" s="528"/>
      <c r="Z341" s="529"/>
      <c r="AA341" s="9" t="s">
        <v>52</v>
      </c>
      <c r="AB341" s="7"/>
      <c r="AC341" s="20"/>
      <c r="AD341" s="21"/>
      <c r="AE341" s="547"/>
      <c r="AF341" s="545"/>
      <c r="AG341" s="545"/>
      <c r="AH341" s="545"/>
      <c r="AI341" s="545"/>
      <c r="AJ341" s="546"/>
      <c r="AK341" s="547"/>
      <c r="AL341" s="545"/>
      <c r="AM341" s="545"/>
      <c r="AN341" s="545"/>
      <c r="AO341" s="545"/>
      <c r="AP341" s="546"/>
      <c r="AQ341" s="530"/>
      <c r="AR341" s="515"/>
      <c r="AS341" s="517"/>
      <c r="AT341" s="555"/>
      <c r="AU341" s="26" t="s">
        <v>87</v>
      </c>
      <c r="AV341" s="124"/>
      <c r="AW341" s="26" t="s">
        <v>192</v>
      </c>
      <c r="AX341" s="126"/>
      <c r="AY341" s="555"/>
      <c r="AZ341" s="26" t="s">
        <v>87</v>
      </c>
      <c r="BA341" s="124"/>
      <c r="BB341" s="127" t="s">
        <v>192</v>
      </c>
      <c r="BC341" s="125"/>
    </row>
    <row r="342" spans="1:55" ht="16.5" customHeight="1">
      <c r="A342" s="560"/>
      <c r="B342" s="561"/>
      <c r="C342" s="9" t="s">
        <v>34</v>
      </c>
      <c r="D342" s="14"/>
      <c r="E342" s="9" t="s">
        <v>44</v>
      </c>
      <c r="F342" s="12"/>
      <c r="G342" s="355">
        <v>143</v>
      </c>
      <c r="H342" s="338"/>
      <c r="I342" s="339"/>
      <c r="J342" s="340"/>
      <c r="K342" s="9" t="s">
        <v>335</v>
      </c>
      <c r="L342" s="7"/>
      <c r="M342" s="20"/>
      <c r="N342" s="21"/>
      <c r="O342" s="9" t="s">
        <v>335</v>
      </c>
      <c r="P342" s="7"/>
      <c r="Q342" s="20"/>
      <c r="R342" s="21"/>
      <c r="S342" s="519"/>
      <c r="T342" s="527"/>
      <c r="U342" s="528"/>
      <c r="V342" s="529"/>
      <c r="W342" s="519"/>
      <c r="X342" s="539"/>
      <c r="Y342" s="540"/>
      <c r="Z342" s="541"/>
      <c r="AA342" s="9" t="s">
        <v>53</v>
      </c>
      <c r="AB342" s="7"/>
      <c r="AC342" s="20"/>
      <c r="AD342" s="21"/>
      <c r="AE342" s="547"/>
      <c r="AF342" s="545"/>
      <c r="AG342" s="545"/>
      <c r="AH342" s="545"/>
      <c r="AI342" s="545"/>
      <c r="AJ342" s="546"/>
      <c r="AK342" s="547"/>
      <c r="AL342" s="545"/>
      <c r="AM342" s="545"/>
      <c r="AN342" s="545"/>
      <c r="AO342" s="545"/>
      <c r="AP342" s="546"/>
      <c r="AQ342" s="530">
        <v>142</v>
      </c>
      <c r="AR342" s="515"/>
      <c r="AS342" s="517"/>
      <c r="AT342" s="555"/>
      <c r="AU342" s="26" t="s">
        <v>88</v>
      </c>
      <c r="AV342" s="28"/>
      <c r="AW342" s="26" t="s">
        <v>12</v>
      </c>
      <c r="AX342" s="31"/>
      <c r="AY342" s="555"/>
      <c r="AZ342" s="26" t="s">
        <v>88</v>
      </c>
      <c r="BA342" s="28"/>
      <c r="BB342" s="26" t="s">
        <v>12</v>
      </c>
      <c r="BC342" s="31"/>
    </row>
    <row r="343" spans="1:55" ht="16.5" customHeight="1">
      <c r="A343" s="560"/>
      <c r="B343" s="561"/>
      <c r="C343" s="9" t="s">
        <v>41</v>
      </c>
      <c r="D343" s="13"/>
      <c r="E343" s="9" t="s">
        <v>62</v>
      </c>
      <c r="F343" s="12"/>
      <c r="G343" s="355">
        <v>144</v>
      </c>
      <c r="H343" s="341"/>
      <c r="I343" s="342"/>
      <c r="J343" s="343"/>
      <c r="K343" s="9" t="s">
        <v>336</v>
      </c>
      <c r="L343" s="7"/>
      <c r="M343" s="20"/>
      <c r="N343" s="21"/>
      <c r="O343" s="9" t="s">
        <v>336</v>
      </c>
      <c r="P343" s="7"/>
      <c r="Q343" s="20"/>
      <c r="R343" s="21"/>
      <c r="S343" s="519"/>
      <c r="T343" s="534"/>
      <c r="U343" s="536"/>
      <c r="V343" s="538"/>
      <c r="W343" s="532" t="s">
        <v>52</v>
      </c>
      <c r="X343" s="533"/>
      <c r="Y343" s="535"/>
      <c r="Z343" s="537"/>
      <c r="AA343" s="9" t="s">
        <v>54</v>
      </c>
      <c r="AB343" s="7"/>
      <c r="AC343" s="20"/>
      <c r="AD343" s="21"/>
      <c r="AE343" s="547"/>
      <c r="AF343" s="545"/>
      <c r="AG343" s="545"/>
      <c r="AH343" s="545"/>
      <c r="AI343" s="545"/>
      <c r="AJ343" s="546"/>
      <c r="AK343" s="547"/>
      <c r="AL343" s="545"/>
      <c r="AM343" s="545"/>
      <c r="AN343" s="545"/>
      <c r="AO343" s="545"/>
      <c r="AP343" s="546"/>
      <c r="AQ343" s="530"/>
      <c r="AR343" s="515"/>
      <c r="AS343" s="517"/>
      <c r="AT343" s="555"/>
      <c r="AU343" s="26" t="s">
        <v>89</v>
      </c>
      <c r="AV343" s="29"/>
      <c r="AW343" s="26" t="s">
        <v>12</v>
      </c>
      <c r="AX343" s="32"/>
      <c r="AY343" s="555"/>
      <c r="AZ343" s="26" t="s">
        <v>89</v>
      </c>
      <c r="BA343" s="29"/>
      <c r="BB343" s="26" t="s">
        <v>12</v>
      </c>
      <c r="BC343" s="32"/>
    </row>
    <row r="344" spans="1:55" ht="16.5" customHeight="1">
      <c r="A344" s="560"/>
      <c r="B344" s="561"/>
      <c r="C344" s="9" t="s">
        <v>417</v>
      </c>
      <c r="D344" s="3"/>
      <c r="E344" s="9" t="s">
        <v>45</v>
      </c>
      <c r="F344" s="12"/>
      <c r="G344" s="356">
        <v>145</v>
      </c>
      <c r="H344" s="344"/>
      <c r="I344" s="345"/>
      <c r="J344" s="346"/>
      <c r="K344" s="9" t="s">
        <v>337</v>
      </c>
      <c r="L344" s="7"/>
      <c r="M344" s="20"/>
      <c r="N344" s="21"/>
      <c r="O344" s="9" t="s">
        <v>337</v>
      </c>
      <c r="P344" s="7"/>
      <c r="Q344" s="20"/>
      <c r="R344" s="21"/>
      <c r="S344" s="519" t="s">
        <v>52</v>
      </c>
      <c r="T344" s="527"/>
      <c r="U344" s="528"/>
      <c r="V344" s="529"/>
      <c r="W344" s="519"/>
      <c r="X344" s="527"/>
      <c r="Y344" s="528"/>
      <c r="Z344" s="529"/>
      <c r="AA344" s="9" t="s">
        <v>55</v>
      </c>
      <c r="AB344" s="7"/>
      <c r="AC344" s="20"/>
      <c r="AD344" s="21"/>
      <c r="AE344" s="547"/>
      <c r="AF344" s="545"/>
      <c r="AG344" s="545"/>
      <c r="AH344" s="545"/>
      <c r="AI344" s="545"/>
      <c r="AJ344" s="546"/>
      <c r="AK344" s="547"/>
      <c r="AL344" s="545"/>
      <c r="AM344" s="545"/>
      <c r="AN344" s="545"/>
      <c r="AO344" s="545"/>
      <c r="AP344" s="546"/>
      <c r="AQ344" s="530">
        <v>143</v>
      </c>
      <c r="AR344" s="515"/>
      <c r="AS344" s="517"/>
      <c r="AT344" s="556"/>
      <c r="AU344" s="27" t="s">
        <v>90</v>
      </c>
      <c r="AV344" s="30"/>
      <c r="AW344" s="27" t="s">
        <v>91</v>
      </c>
      <c r="AX344" s="33"/>
      <c r="AY344" s="556"/>
      <c r="AZ344" s="27" t="s">
        <v>90</v>
      </c>
      <c r="BA344" s="30"/>
      <c r="BB344" s="27" t="s">
        <v>91</v>
      </c>
      <c r="BC344" s="33"/>
    </row>
    <row r="345" spans="1:55" ht="16.5" customHeight="1">
      <c r="A345" s="560"/>
      <c r="B345" s="561"/>
      <c r="C345" s="9" t="s">
        <v>35</v>
      </c>
      <c r="D345" s="13"/>
      <c r="E345" s="9" t="s">
        <v>46</v>
      </c>
      <c r="F345" s="12"/>
      <c r="G345" s="5" t="s">
        <v>12</v>
      </c>
      <c r="H345" s="128" t="s">
        <v>13</v>
      </c>
      <c r="I345" s="4" t="s">
        <v>14</v>
      </c>
      <c r="J345" s="4" t="s">
        <v>15</v>
      </c>
      <c r="K345" s="9" t="s">
        <v>338</v>
      </c>
      <c r="L345" s="7"/>
      <c r="M345" s="20"/>
      <c r="N345" s="21"/>
      <c r="O345" s="9" t="s">
        <v>338</v>
      </c>
      <c r="P345" s="7"/>
      <c r="Q345" s="20"/>
      <c r="R345" s="21"/>
      <c r="S345" s="519"/>
      <c r="T345" s="527"/>
      <c r="U345" s="528"/>
      <c r="V345" s="529"/>
      <c r="W345" s="519"/>
      <c r="X345" s="539"/>
      <c r="Y345" s="540"/>
      <c r="Z345" s="541"/>
      <c r="AA345" s="9" t="s">
        <v>56</v>
      </c>
      <c r="AB345" s="7"/>
      <c r="AC345" s="20"/>
      <c r="AD345" s="21"/>
      <c r="AE345" s="547"/>
      <c r="AF345" s="545"/>
      <c r="AG345" s="545"/>
      <c r="AH345" s="545"/>
      <c r="AI345" s="545"/>
      <c r="AJ345" s="546"/>
      <c r="AK345" s="547"/>
      <c r="AL345" s="545"/>
      <c r="AM345" s="545"/>
      <c r="AN345" s="545"/>
      <c r="AO345" s="545"/>
      <c r="AP345" s="546"/>
      <c r="AQ345" s="530"/>
      <c r="AR345" s="515"/>
      <c r="AS345" s="517"/>
      <c r="AT345" s="554">
        <v>58</v>
      </c>
      <c r="AU345" s="25" t="s">
        <v>0</v>
      </c>
      <c r="AV345" s="557"/>
      <c r="AW345" s="558"/>
      <c r="AX345" s="559"/>
      <c r="AY345" s="554">
        <v>60</v>
      </c>
      <c r="AZ345" s="25" t="s">
        <v>0</v>
      </c>
      <c r="BA345" s="557"/>
      <c r="BB345" s="558"/>
      <c r="BC345" s="559"/>
    </row>
    <row r="346" spans="1:55" ht="16.5" customHeight="1">
      <c r="A346" s="560"/>
      <c r="B346" s="561"/>
      <c r="C346" s="9" t="s">
        <v>36</v>
      </c>
      <c r="D346" s="13"/>
      <c r="E346" s="9" t="s">
        <v>47</v>
      </c>
      <c r="F346" s="12"/>
      <c r="G346" s="354">
        <v>141</v>
      </c>
      <c r="H346" s="335"/>
      <c r="I346" s="336"/>
      <c r="J346" s="357"/>
      <c r="K346" s="9" t="s">
        <v>339</v>
      </c>
      <c r="L346" s="7"/>
      <c r="M346" s="20"/>
      <c r="N346" s="21"/>
      <c r="O346" s="9" t="s">
        <v>339</v>
      </c>
      <c r="P346" s="7"/>
      <c r="Q346" s="20"/>
      <c r="R346" s="21"/>
      <c r="S346" s="519"/>
      <c r="T346" s="527"/>
      <c r="U346" s="528"/>
      <c r="V346" s="529"/>
      <c r="W346" s="532" t="s">
        <v>344</v>
      </c>
      <c r="X346" s="533"/>
      <c r="Y346" s="535"/>
      <c r="Z346" s="537"/>
      <c r="AA346" s="9"/>
      <c r="AB346" s="7"/>
      <c r="AC346" s="20"/>
      <c r="AD346" s="21"/>
      <c r="AE346" s="547"/>
      <c r="AF346" s="545"/>
      <c r="AG346" s="545"/>
      <c r="AH346" s="545"/>
      <c r="AI346" s="545"/>
      <c r="AJ346" s="546"/>
      <c r="AK346" s="547"/>
      <c r="AL346" s="545"/>
      <c r="AM346" s="545"/>
      <c r="AN346" s="545"/>
      <c r="AO346" s="545"/>
      <c r="AP346" s="546"/>
      <c r="AQ346" s="530">
        <v>144</v>
      </c>
      <c r="AR346" s="515"/>
      <c r="AS346" s="517"/>
      <c r="AT346" s="555"/>
      <c r="AU346" s="26" t="s">
        <v>87</v>
      </c>
      <c r="AV346" s="124"/>
      <c r="AW346" s="127" t="s">
        <v>192</v>
      </c>
      <c r="AX346" s="125"/>
      <c r="AY346" s="555"/>
      <c r="AZ346" s="26" t="s">
        <v>87</v>
      </c>
      <c r="BA346" s="124"/>
      <c r="BB346" s="127" t="s">
        <v>192</v>
      </c>
      <c r="BC346" s="125"/>
    </row>
    <row r="347" spans="1:55" ht="16.5" customHeight="1">
      <c r="A347" s="560"/>
      <c r="B347" s="561"/>
      <c r="C347" s="9" t="s">
        <v>37</v>
      </c>
      <c r="D347" s="13"/>
      <c r="E347" s="9" t="s">
        <v>48</v>
      </c>
      <c r="F347" s="12"/>
      <c r="G347" s="355">
        <v>142</v>
      </c>
      <c r="H347" s="338"/>
      <c r="I347" s="339"/>
      <c r="J347" s="340"/>
      <c r="K347" s="353" t="s">
        <v>340</v>
      </c>
      <c r="L347" s="7"/>
      <c r="M347" s="20"/>
      <c r="N347" s="21"/>
      <c r="O347" s="353" t="s">
        <v>340</v>
      </c>
      <c r="P347" s="7"/>
      <c r="Q347" s="20"/>
      <c r="R347" s="21"/>
      <c r="S347" s="519"/>
      <c r="T347" s="539"/>
      <c r="U347" s="540"/>
      <c r="V347" s="541"/>
      <c r="W347" s="519"/>
      <c r="X347" s="527"/>
      <c r="Y347" s="528"/>
      <c r="Z347" s="529"/>
      <c r="AA347" s="9" t="s">
        <v>58</v>
      </c>
      <c r="AB347" s="7"/>
      <c r="AC347" s="20"/>
      <c r="AD347" s="21"/>
      <c r="AE347" s="547"/>
      <c r="AF347" s="545"/>
      <c r="AG347" s="545"/>
      <c r="AH347" s="545"/>
      <c r="AI347" s="545"/>
      <c r="AJ347" s="546"/>
      <c r="AK347" s="547"/>
      <c r="AL347" s="545"/>
      <c r="AM347" s="545"/>
      <c r="AN347" s="545"/>
      <c r="AO347" s="545"/>
      <c r="AP347" s="546"/>
      <c r="AQ347" s="530"/>
      <c r="AR347" s="515"/>
      <c r="AS347" s="517"/>
      <c r="AT347" s="555"/>
      <c r="AU347" s="26" t="s">
        <v>88</v>
      </c>
      <c r="AV347" s="28"/>
      <c r="AW347" s="26" t="s">
        <v>12</v>
      </c>
      <c r="AX347" s="31"/>
      <c r="AY347" s="555"/>
      <c r="AZ347" s="26" t="s">
        <v>88</v>
      </c>
      <c r="BA347" s="28"/>
      <c r="BB347" s="26" t="s">
        <v>12</v>
      </c>
      <c r="BC347" s="31"/>
    </row>
    <row r="348" spans="1:55" ht="16.5" customHeight="1">
      <c r="A348" s="560"/>
      <c r="B348" s="561"/>
      <c r="C348" s="9" t="s">
        <v>38</v>
      </c>
      <c r="D348" s="13"/>
      <c r="E348" s="9" t="s">
        <v>49</v>
      </c>
      <c r="F348" s="12"/>
      <c r="G348" s="355">
        <v>143</v>
      </c>
      <c r="H348" s="338"/>
      <c r="I348" s="339"/>
      <c r="J348" s="340"/>
      <c r="K348" s="9" t="s">
        <v>341</v>
      </c>
      <c r="L348" s="7"/>
      <c r="M348" s="20"/>
      <c r="N348" s="21"/>
      <c r="O348" s="9" t="s">
        <v>341</v>
      </c>
      <c r="P348" s="7"/>
      <c r="Q348" s="20"/>
      <c r="R348" s="21"/>
      <c r="S348" s="519" t="s">
        <v>344</v>
      </c>
      <c r="T348" s="521"/>
      <c r="U348" s="523"/>
      <c r="V348" s="525"/>
      <c r="W348" s="519"/>
      <c r="X348" s="539"/>
      <c r="Y348" s="540"/>
      <c r="Z348" s="541"/>
      <c r="AA348" s="9" t="s">
        <v>59</v>
      </c>
      <c r="AB348" s="7"/>
      <c r="AC348" s="20"/>
      <c r="AD348" s="21"/>
      <c r="AE348" s="547"/>
      <c r="AF348" s="545"/>
      <c r="AG348" s="545"/>
      <c r="AH348" s="545"/>
      <c r="AI348" s="545"/>
      <c r="AJ348" s="546"/>
      <c r="AK348" s="547"/>
      <c r="AL348" s="545"/>
      <c r="AM348" s="545"/>
      <c r="AN348" s="545"/>
      <c r="AO348" s="545"/>
      <c r="AP348" s="546"/>
      <c r="AQ348" s="530">
        <v>145</v>
      </c>
      <c r="AR348" s="515"/>
      <c r="AS348" s="517"/>
      <c r="AT348" s="555"/>
      <c r="AU348" s="26" t="s">
        <v>89</v>
      </c>
      <c r="AV348" s="29"/>
      <c r="AW348" s="26" t="s">
        <v>12</v>
      </c>
      <c r="AX348" s="32"/>
      <c r="AY348" s="555"/>
      <c r="AZ348" s="26" t="s">
        <v>89</v>
      </c>
      <c r="BA348" s="29"/>
      <c r="BB348" s="26" t="s">
        <v>12</v>
      </c>
      <c r="BC348" s="32"/>
    </row>
    <row r="349" spans="1:55" ht="16.5" customHeight="1">
      <c r="A349" s="560"/>
      <c r="B349" s="561"/>
      <c r="C349" s="9" t="s">
        <v>39</v>
      </c>
      <c r="D349" s="13"/>
      <c r="E349" s="9" t="s">
        <v>50</v>
      </c>
      <c r="F349" s="132"/>
      <c r="G349" s="355">
        <v>144</v>
      </c>
      <c r="H349" s="347"/>
      <c r="I349" s="348"/>
      <c r="J349" s="349"/>
      <c r="K349" s="9"/>
      <c r="L349" s="7"/>
      <c r="M349" s="20"/>
      <c r="N349" s="21"/>
      <c r="O349" s="9"/>
      <c r="P349" s="7"/>
      <c r="Q349" s="20"/>
      <c r="R349" s="21"/>
      <c r="S349" s="519"/>
      <c r="T349" s="527"/>
      <c r="U349" s="528"/>
      <c r="V349" s="529"/>
      <c r="W349" s="519" t="s">
        <v>60</v>
      </c>
      <c r="X349" s="521"/>
      <c r="Y349" s="523"/>
      <c r="Z349" s="525"/>
      <c r="AA349" s="9" t="s">
        <v>60</v>
      </c>
      <c r="AB349" s="7"/>
      <c r="AC349" s="20"/>
      <c r="AD349" s="21"/>
      <c r="AE349" s="553"/>
      <c r="AF349" s="548"/>
      <c r="AG349" s="548"/>
      <c r="AH349" s="548"/>
      <c r="AI349" s="548"/>
      <c r="AJ349" s="549"/>
      <c r="AK349" s="553"/>
      <c r="AL349" s="548"/>
      <c r="AM349" s="548"/>
      <c r="AN349" s="548"/>
      <c r="AO349" s="548"/>
      <c r="AP349" s="549"/>
      <c r="AQ349" s="531"/>
      <c r="AR349" s="516"/>
      <c r="AS349" s="518"/>
      <c r="AT349" s="556"/>
      <c r="AU349" s="27" t="s">
        <v>90</v>
      </c>
      <c r="AV349" s="30"/>
      <c r="AW349" s="27" t="s">
        <v>91</v>
      </c>
      <c r="AX349" s="33"/>
      <c r="AY349" s="556"/>
      <c r="AZ349" s="27" t="s">
        <v>90</v>
      </c>
      <c r="BA349" s="30"/>
      <c r="BB349" s="27" t="s">
        <v>91</v>
      </c>
      <c r="BC349" s="33"/>
    </row>
    <row r="350" spans="1:55" ht="16.5" customHeight="1">
      <c r="A350" s="560"/>
      <c r="B350" s="561"/>
      <c r="C350" s="10" t="s">
        <v>40</v>
      </c>
      <c r="D350" s="15"/>
      <c r="E350" s="130" t="s">
        <v>255</v>
      </c>
      <c r="F350" s="131"/>
      <c r="G350" s="356">
        <v>145</v>
      </c>
      <c r="H350" s="350"/>
      <c r="I350" s="351"/>
      <c r="J350" s="352"/>
      <c r="K350" s="17"/>
      <c r="L350" s="16"/>
      <c r="M350" s="22"/>
      <c r="N350" s="23"/>
      <c r="O350" s="17"/>
      <c r="P350" s="16"/>
      <c r="Q350" s="22"/>
      <c r="R350" s="23"/>
      <c r="S350" s="520"/>
      <c r="T350" s="522"/>
      <c r="U350" s="524"/>
      <c r="V350" s="526"/>
      <c r="W350" s="520"/>
      <c r="X350" s="522"/>
      <c r="Y350" s="524"/>
      <c r="Z350" s="526"/>
      <c r="AA350" s="17" t="s">
        <v>61</v>
      </c>
      <c r="AB350" s="16"/>
      <c r="AC350" s="22"/>
      <c r="AD350" s="23"/>
      <c r="AE350" s="115"/>
      <c r="AF350" s="116"/>
      <c r="AG350" s="116"/>
      <c r="AH350" s="116"/>
      <c r="AI350" s="117"/>
      <c r="AJ350" s="118"/>
      <c r="AK350" s="119"/>
      <c r="AL350" s="120"/>
      <c r="AM350" s="121"/>
      <c r="AN350" s="121"/>
      <c r="AO350" s="121"/>
      <c r="AP350" s="122"/>
      <c r="AQ350" s="115"/>
      <c r="AR350" s="116"/>
      <c r="AS350" s="118"/>
      <c r="AT350" s="123"/>
      <c r="AU350" s="113"/>
      <c r="AV350" s="113"/>
      <c r="AW350" s="113"/>
      <c r="AX350" s="114"/>
      <c r="AY350" s="123"/>
      <c r="AZ350" s="113"/>
      <c r="BA350" s="113"/>
      <c r="BB350" s="113"/>
      <c r="BC350" s="114"/>
    </row>
    <row r="351" spans="1:55" ht="16.5" customHeight="1"/>
    <row r="352" spans="1:55" ht="16.5" customHeight="1">
      <c r="A352" s="560">
        <v>30</v>
      </c>
      <c r="B352" s="561" t="s">
        <v>254</v>
      </c>
      <c r="C352" s="8" t="s">
        <v>42</v>
      </c>
      <c r="D352" s="24"/>
      <c r="E352" s="8" t="s">
        <v>43</v>
      </c>
      <c r="F352" s="11"/>
      <c r="G352" s="354">
        <v>146</v>
      </c>
      <c r="H352" s="335"/>
      <c r="I352" s="336"/>
      <c r="J352" s="357"/>
      <c r="K352" s="8" t="s">
        <v>333</v>
      </c>
      <c r="L352" s="6"/>
      <c r="M352" s="18"/>
      <c r="N352" s="19"/>
      <c r="O352" s="8" t="s">
        <v>333</v>
      </c>
      <c r="P352" s="6"/>
      <c r="Q352" s="18"/>
      <c r="R352" s="19"/>
      <c r="S352" s="532" t="s">
        <v>51</v>
      </c>
      <c r="T352" s="533"/>
      <c r="U352" s="535"/>
      <c r="V352" s="537"/>
      <c r="W352" s="532" t="s">
        <v>51</v>
      </c>
      <c r="X352" s="533"/>
      <c r="Y352" s="535"/>
      <c r="Z352" s="537"/>
      <c r="AA352" s="8" t="s">
        <v>51</v>
      </c>
      <c r="AB352" s="6"/>
      <c r="AC352" s="18"/>
      <c r="AD352" s="19"/>
      <c r="AE352" s="552"/>
      <c r="AF352" s="550"/>
      <c r="AG352" s="550"/>
      <c r="AH352" s="550"/>
      <c r="AI352" s="550"/>
      <c r="AJ352" s="551"/>
      <c r="AK352" s="552"/>
      <c r="AL352" s="550"/>
      <c r="AM352" s="550"/>
      <c r="AN352" s="550"/>
      <c r="AO352" s="550"/>
      <c r="AP352" s="551"/>
      <c r="AQ352" s="542">
        <v>146</v>
      </c>
      <c r="AR352" s="543"/>
      <c r="AS352" s="544"/>
      <c r="AT352" s="554">
        <v>59</v>
      </c>
      <c r="AU352" s="25" t="s">
        <v>0</v>
      </c>
      <c r="AV352" s="557"/>
      <c r="AW352" s="558"/>
      <c r="AX352" s="559"/>
      <c r="AY352" s="554">
        <v>61</v>
      </c>
      <c r="AZ352" s="25" t="s">
        <v>0</v>
      </c>
      <c r="BA352" s="557"/>
      <c r="BB352" s="558"/>
      <c r="BC352" s="559"/>
    </row>
    <row r="353" spans="1:55" ht="16.5" customHeight="1">
      <c r="A353" s="560"/>
      <c r="B353" s="561"/>
      <c r="C353" s="9" t="s">
        <v>33</v>
      </c>
      <c r="D353" s="13"/>
      <c r="E353" s="9" t="s">
        <v>70</v>
      </c>
      <c r="F353" s="12"/>
      <c r="G353" s="355">
        <v>147</v>
      </c>
      <c r="H353" s="338"/>
      <c r="I353" s="339"/>
      <c r="J353" s="340"/>
      <c r="K353" s="9" t="s">
        <v>334</v>
      </c>
      <c r="L353" s="7"/>
      <c r="M353" s="20"/>
      <c r="N353" s="21"/>
      <c r="O353" s="9" t="s">
        <v>334</v>
      </c>
      <c r="P353" s="7"/>
      <c r="Q353" s="20"/>
      <c r="R353" s="21"/>
      <c r="S353" s="519"/>
      <c r="T353" s="527"/>
      <c r="U353" s="528"/>
      <c r="V353" s="529"/>
      <c r="W353" s="519"/>
      <c r="X353" s="527"/>
      <c r="Y353" s="528"/>
      <c r="Z353" s="529"/>
      <c r="AA353" s="9" t="s">
        <v>52</v>
      </c>
      <c r="AB353" s="7"/>
      <c r="AC353" s="20"/>
      <c r="AD353" s="21"/>
      <c r="AE353" s="547"/>
      <c r="AF353" s="545"/>
      <c r="AG353" s="545"/>
      <c r="AH353" s="545"/>
      <c r="AI353" s="545"/>
      <c r="AJ353" s="546"/>
      <c r="AK353" s="547"/>
      <c r="AL353" s="545"/>
      <c r="AM353" s="545"/>
      <c r="AN353" s="545"/>
      <c r="AO353" s="545"/>
      <c r="AP353" s="546"/>
      <c r="AQ353" s="530"/>
      <c r="AR353" s="515"/>
      <c r="AS353" s="517"/>
      <c r="AT353" s="555"/>
      <c r="AU353" s="26" t="s">
        <v>87</v>
      </c>
      <c r="AV353" s="124"/>
      <c r="AW353" s="26" t="s">
        <v>192</v>
      </c>
      <c r="AX353" s="126"/>
      <c r="AY353" s="555"/>
      <c r="AZ353" s="26" t="s">
        <v>87</v>
      </c>
      <c r="BA353" s="124"/>
      <c r="BB353" s="127" t="s">
        <v>192</v>
      </c>
      <c r="BC353" s="125"/>
    </row>
    <row r="354" spans="1:55" ht="16.5" customHeight="1">
      <c r="A354" s="560"/>
      <c r="B354" s="561"/>
      <c r="C354" s="9" t="s">
        <v>34</v>
      </c>
      <c r="D354" s="14"/>
      <c r="E354" s="9" t="s">
        <v>44</v>
      </c>
      <c r="F354" s="12"/>
      <c r="G354" s="355">
        <v>148</v>
      </c>
      <c r="H354" s="338"/>
      <c r="I354" s="339"/>
      <c r="J354" s="340"/>
      <c r="K354" s="9" t="s">
        <v>335</v>
      </c>
      <c r="L354" s="7"/>
      <c r="M354" s="20"/>
      <c r="N354" s="21"/>
      <c r="O354" s="9" t="s">
        <v>335</v>
      </c>
      <c r="P354" s="7"/>
      <c r="Q354" s="20"/>
      <c r="R354" s="21"/>
      <c r="S354" s="519"/>
      <c r="T354" s="527"/>
      <c r="U354" s="528"/>
      <c r="V354" s="529"/>
      <c r="W354" s="519"/>
      <c r="X354" s="539"/>
      <c r="Y354" s="540"/>
      <c r="Z354" s="541"/>
      <c r="AA354" s="9" t="s">
        <v>53</v>
      </c>
      <c r="AB354" s="7"/>
      <c r="AC354" s="20"/>
      <c r="AD354" s="21"/>
      <c r="AE354" s="547"/>
      <c r="AF354" s="545"/>
      <c r="AG354" s="545"/>
      <c r="AH354" s="545"/>
      <c r="AI354" s="545"/>
      <c r="AJ354" s="546"/>
      <c r="AK354" s="547"/>
      <c r="AL354" s="545"/>
      <c r="AM354" s="545"/>
      <c r="AN354" s="545"/>
      <c r="AO354" s="545"/>
      <c r="AP354" s="546"/>
      <c r="AQ354" s="530">
        <v>147</v>
      </c>
      <c r="AR354" s="515"/>
      <c r="AS354" s="517"/>
      <c r="AT354" s="555"/>
      <c r="AU354" s="26" t="s">
        <v>88</v>
      </c>
      <c r="AV354" s="28"/>
      <c r="AW354" s="26" t="s">
        <v>12</v>
      </c>
      <c r="AX354" s="31"/>
      <c r="AY354" s="555"/>
      <c r="AZ354" s="26" t="s">
        <v>88</v>
      </c>
      <c r="BA354" s="28"/>
      <c r="BB354" s="26" t="s">
        <v>12</v>
      </c>
      <c r="BC354" s="31"/>
    </row>
    <row r="355" spans="1:55" ht="16.5" customHeight="1">
      <c r="A355" s="560"/>
      <c r="B355" s="561"/>
      <c r="C355" s="9" t="s">
        <v>41</v>
      </c>
      <c r="D355" s="13"/>
      <c r="E355" s="9" t="s">
        <v>62</v>
      </c>
      <c r="F355" s="12"/>
      <c r="G355" s="355">
        <v>149</v>
      </c>
      <c r="H355" s="341"/>
      <c r="I355" s="342"/>
      <c r="J355" s="343"/>
      <c r="K355" s="9" t="s">
        <v>336</v>
      </c>
      <c r="L355" s="7"/>
      <c r="M355" s="20"/>
      <c r="N355" s="21"/>
      <c r="O355" s="9" t="s">
        <v>336</v>
      </c>
      <c r="P355" s="7"/>
      <c r="Q355" s="20"/>
      <c r="R355" s="21"/>
      <c r="S355" s="519"/>
      <c r="T355" s="534"/>
      <c r="U355" s="536"/>
      <c r="V355" s="538"/>
      <c r="W355" s="532" t="s">
        <v>52</v>
      </c>
      <c r="X355" s="533"/>
      <c r="Y355" s="535"/>
      <c r="Z355" s="537"/>
      <c r="AA355" s="9" t="s">
        <v>54</v>
      </c>
      <c r="AB355" s="7"/>
      <c r="AC355" s="20"/>
      <c r="AD355" s="21"/>
      <c r="AE355" s="547"/>
      <c r="AF355" s="545"/>
      <c r="AG355" s="545"/>
      <c r="AH355" s="545"/>
      <c r="AI355" s="545"/>
      <c r="AJ355" s="546"/>
      <c r="AK355" s="547"/>
      <c r="AL355" s="545"/>
      <c r="AM355" s="545"/>
      <c r="AN355" s="545"/>
      <c r="AO355" s="545"/>
      <c r="AP355" s="546"/>
      <c r="AQ355" s="530"/>
      <c r="AR355" s="515"/>
      <c r="AS355" s="517"/>
      <c r="AT355" s="555"/>
      <c r="AU355" s="26" t="s">
        <v>89</v>
      </c>
      <c r="AV355" s="29"/>
      <c r="AW355" s="26" t="s">
        <v>12</v>
      </c>
      <c r="AX355" s="32"/>
      <c r="AY355" s="555"/>
      <c r="AZ355" s="26" t="s">
        <v>89</v>
      </c>
      <c r="BA355" s="29"/>
      <c r="BB355" s="26" t="s">
        <v>12</v>
      </c>
      <c r="BC355" s="32"/>
    </row>
    <row r="356" spans="1:55" ht="16.5" customHeight="1">
      <c r="A356" s="560"/>
      <c r="B356" s="561"/>
      <c r="C356" s="9" t="s">
        <v>417</v>
      </c>
      <c r="D356" s="3"/>
      <c r="E356" s="9" t="s">
        <v>45</v>
      </c>
      <c r="F356" s="12"/>
      <c r="G356" s="356">
        <v>150</v>
      </c>
      <c r="H356" s="344"/>
      <c r="I356" s="345"/>
      <c r="J356" s="346"/>
      <c r="K356" s="9" t="s">
        <v>337</v>
      </c>
      <c r="L356" s="7"/>
      <c r="M356" s="20"/>
      <c r="N356" s="21"/>
      <c r="O356" s="9" t="s">
        <v>337</v>
      </c>
      <c r="P356" s="7"/>
      <c r="Q356" s="20"/>
      <c r="R356" s="21"/>
      <c r="S356" s="519" t="s">
        <v>52</v>
      </c>
      <c r="T356" s="527"/>
      <c r="U356" s="528"/>
      <c r="V356" s="529"/>
      <c r="W356" s="519"/>
      <c r="X356" s="527"/>
      <c r="Y356" s="528"/>
      <c r="Z356" s="529"/>
      <c r="AA356" s="9" t="s">
        <v>55</v>
      </c>
      <c r="AB356" s="7"/>
      <c r="AC356" s="20"/>
      <c r="AD356" s="21"/>
      <c r="AE356" s="547"/>
      <c r="AF356" s="545"/>
      <c r="AG356" s="545"/>
      <c r="AH356" s="545"/>
      <c r="AI356" s="545"/>
      <c r="AJ356" s="546"/>
      <c r="AK356" s="547"/>
      <c r="AL356" s="545"/>
      <c r="AM356" s="545"/>
      <c r="AN356" s="545"/>
      <c r="AO356" s="545"/>
      <c r="AP356" s="546"/>
      <c r="AQ356" s="530">
        <v>148</v>
      </c>
      <c r="AR356" s="515"/>
      <c r="AS356" s="517"/>
      <c r="AT356" s="556"/>
      <c r="AU356" s="27" t="s">
        <v>90</v>
      </c>
      <c r="AV356" s="30"/>
      <c r="AW356" s="27" t="s">
        <v>91</v>
      </c>
      <c r="AX356" s="33"/>
      <c r="AY356" s="556"/>
      <c r="AZ356" s="27" t="s">
        <v>90</v>
      </c>
      <c r="BA356" s="30"/>
      <c r="BB356" s="27" t="s">
        <v>91</v>
      </c>
      <c r="BC356" s="33"/>
    </row>
    <row r="357" spans="1:55" ht="16.5" customHeight="1">
      <c r="A357" s="560"/>
      <c r="B357" s="561"/>
      <c r="C357" s="9" t="s">
        <v>35</v>
      </c>
      <c r="D357" s="13"/>
      <c r="E357" s="9" t="s">
        <v>46</v>
      </c>
      <c r="F357" s="12"/>
      <c r="G357" s="5" t="s">
        <v>12</v>
      </c>
      <c r="H357" s="128" t="s">
        <v>13</v>
      </c>
      <c r="I357" s="4" t="s">
        <v>14</v>
      </c>
      <c r="J357" s="4" t="s">
        <v>15</v>
      </c>
      <c r="K357" s="9" t="s">
        <v>338</v>
      </c>
      <c r="L357" s="7"/>
      <c r="M357" s="20"/>
      <c r="N357" s="21"/>
      <c r="O357" s="9" t="s">
        <v>338</v>
      </c>
      <c r="P357" s="7"/>
      <c r="Q357" s="20"/>
      <c r="R357" s="21"/>
      <c r="S357" s="519"/>
      <c r="T357" s="527"/>
      <c r="U357" s="528"/>
      <c r="V357" s="529"/>
      <c r="W357" s="519"/>
      <c r="X357" s="539"/>
      <c r="Y357" s="540"/>
      <c r="Z357" s="541"/>
      <c r="AA357" s="9" t="s">
        <v>56</v>
      </c>
      <c r="AB357" s="7"/>
      <c r="AC357" s="20"/>
      <c r="AD357" s="21"/>
      <c r="AE357" s="547"/>
      <c r="AF357" s="545"/>
      <c r="AG357" s="545"/>
      <c r="AH357" s="545"/>
      <c r="AI357" s="545"/>
      <c r="AJ357" s="546"/>
      <c r="AK357" s="547"/>
      <c r="AL357" s="545"/>
      <c r="AM357" s="545"/>
      <c r="AN357" s="545"/>
      <c r="AO357" s="545"/>
      <c r="AP357" s="546"/>
      <c r="AQ357" s="530"/>
      <c r="AR357" s="515"/>
      <c r="AS357" s="517"/>
      <c r="AT357" s="554">
        <v>60</v>
      </c>
      <c r="AU357" s="25" t="s">
        <v>0</v>
      </c>
      <c r="AV357" s="557"/>
      <c r="AW357" s="558"/>
      <c r="AX357" s="559"/>
      <c r="AY357" s="554">
        <v>62</v>
      </c>
      <c r="AZ357" s="25" t="s">
        <v>0</v>
      </c>
      <c r="BA357" s="557"/>
      <c r="BB357" s="558"/>
      <c r="BC357" s="559"/>
    </row>
    <row r="358" spans="1:55" ht="16.5" customHeight="1">
      <c r="A358" s="560"/>
      <c r="B358" s="561"/>
      <c r="C358" s="9" t="s">
        <v>36</v>
      </c>
      <c r="D358" s="13"/>
      <c r="E358" s="9" t="s">
        <v>47</v>
      </c>
      <c r="F358" s="12"/>
      <c r="G358" s="354">
        <v>146</v>
      </c>
      <c r="H358" s="335"/>
      <c r="I358" s="336"/>
      <c r="J358" s="357"/>
      <c r="K358" s="9" t="s">
        <v>339</v>
      </c>
      <c r="L358" s="7"/>
      <c r="M358" s="20"/>
      <c r="N358" s="21"/>
      <c r="O358" s="9" t="s">
        <v>339</v>
      </c>
      <c r="P358" s="7"/>
      <c r="Q358" s="20"/>
      <c r="R358" s="21"/>
      <c r="S358" s="519"/>
      <c r="T358" s="527"/>
      <c r="U358" s="528"/>
      <c r="V358" s="529"/>
      <c r="W358" s="532" t="s">
        <v>344</v>
      </c>
      <c r="X358" s="533"/>
      <c r="Y358" s="535"/>
      <c r="Z358" s="537"/>
      <c r="AA358" s="9"/>
      <c r="AB358" s="7"/>
      <c r="AC358" s="20"/>
      <c r="AD358" s="21"/>
      <c r="AE358" s="547"/>
      <c r="AF358" s="545"/>
      <c r="AG358" s="545"/>
      <c r="AH358" s="545"/>
      <c r="AI358" s="545"/>
      <c r="AJ358" s="546"/>
      <c r="AK358" s="547"/>
      <c r="AL358" s="545"/>
      <c r="AM358" s="545"/>
      <c r="AN358" s="545"/>
      <c r="AO358" s="545"/>
      <c r="AP358" s="546"/>
      <c r="AQ358" s="530">
        <v>149</v>
      </c>
      <c r="AR358" s="515"/>
      <c r="AS358" s="517"/>
      <c r="AT358" s="555"/>
      <c r="AU358" s="26" t="s">
        <v>87</v>
      </c>
      <c r="AV358" s="124"/>
      <c r="AW358" s="127" t="s">
        <v>192</v>
      </c>
      <c r="AX358" s="125"/>
      <c r="AY358" s="555"/>
      <c r="AZ358" s="26" t="s">
        <v>87</v>
      </c>
      <c r="BA358" s="124"/>
      <c r="BB358" s="127" t="s">
        <v>192</v>
      </c>
      <c r="BC358" s="125"/>
    </row>
    <row r="359" spans="1:55" ht="16.5" customHeight="1">
      <c r="A359" s="560"/>
      <c r="B359" s="561"/>
      <c r="C359" s="9" t="s">
        <v>37</v>
      </c>
      <c r="D359" s="13"/>
      <c r="E359" s="9" t="s">
        <v>48</v>
      </c>
      <c r="F359" s="12"/>
      <c r="G359" s="355">
        <v>147</v>
      </c>
      <c r="H359" s="338"/>
      <c r="I359" s="339"/>
      <c r="J359" s="340"/>
      <c r="K359" s="353" t="s">
        <v>340</v>
      </c>
      <c r="L359" s="7"/>
      <c r="M359" s="20"/>
      <c r="N359" s="21"/>
      <c r="O359" s="353" t="s">
        <v>340</v>
      </c>
      <c r="P359" s="7"/>
      <c r="Q359" s="20"/>
      <c r="R359" s="21"/>
      <c r="S359" s="519"/>
      <c r="T359" s="539"/>
      <c r="U359" s="540"/>
      <c r="V359" s="541"/>
      <c r="W359" s="519"/>
      <c r="X359" s="527"/>
      <c r="Y359" s="528"/>
      <c r="Z359" s="529"/>
      <c r="AA359" s="9" t="s">
        <v>58</v>
      </c>
      <c r="AB359" s="7"/>
      <c r="AC359" s="20"/>
      <c r="AD359" s="21"/>
      <c r="AE359" s="547"/>
      <c r="AF359" s="545"/>
      <c r="AG359" s="545"/>
      <c r="AH359" s="545"/>
      <c r="AI359" s="545"/>
      <c r="AJ359" s="546"/>
      <c r="AK359" s="547"/>
      <c r="AL359" s="545"/>
      <c r="AM359" s="545"/>
      <c r="AN359" s="545"/>
      <c r="AO359" s="545"/>
      <c r="AP359" s="546"/>
      <c r="AQ359" s="530"/>
      <c r="AR359" s="515"/>
      <c r="AS359" s="517"/>
      <c r="AT359" s="555"/>
      <c r="AU359" s="26" t="s">
        <v>88</v>
      </c>
      <c r="AV359" s="28"/>
      <c r="AW359" s="26" t="s">
        <v>12</v>
      </c>
      <c r="AX359" s="31"/>
      <c r="AY359" s="555"/>
      <c r="AZ359" s="26" t="s">
        <v>88</v>
      </c>
      <c r="BA359" s="28"/>
      <c r="BB359" s="26" t="s">
        <v>12</v>
      </c>
      <c r="BC359" s="31"/>
    </row>
    <row r="360" spans="1:55" ht="16.5" customHeight="1">
      <c r="A360" s="560"/>
      <c r="B360" s="561"/>
      <c r="C360" s="9" t="s">
        <v>38</v>
      </c>
      <c r="D360" s="13"/>
      <c r="E360" s="9" t="s">
        <v>49</v>
      </c>
      <c r="F360" s="12"/>
      <c r="G360" s="355">
        <v>148</v>
      </c>
      <c r="H360" s="338"/>
      <c r="I360" s="339"/>
      <c r="J360" s="340"/>
      <c r="K360" s="9" t="s">
        <v>341</v>
      </c>
      <c r="L360" s="7"/>
      <c r="M360" s="20"/>
      <c r="N360" s="21"/>
      <c r="O360" s="9" t="s">
        <v>341</v>
      </c>
      <c r="P360" s="7"/>
      <c r="Q360" s="20"/>
      <c r="R360" s="21"/>
      <c r="S360" s="519" t="s">
        <v>344</v>
      </c>
      <c r="T360" s="521"/>
      <c r="U360" s="523"/>
      <c r="V360" s="525"/>
      <c r="W360" s="519"/>
      <c r="X360" s="539"/>
      <c r="Y360" s="540"/>
      <c r="Z360" s="541"/>
      <c r="AA360" s="9" t="s">
        <v>59</v>
      </c>
      <c r="AB360" s="7"/>
      <c r="AC360" s="20"/>
      <c r="AD360" s="21"/>
      <c r="AE360" s="547"/>
      <c r="AF360" s="545"/>
      <c r="AG360" s="545"/>
      <c r="AH360" s="545"/>
      <c r="AI360" s="545"/>
      <c r="AJ360" s="546"/>
      <c r="AK360" s="547"/>
      <c r="AL360" s="545"/>
      <c r="AM360" s="545"/>
      <c r="AN360" s="545"/>
      <c r="AO360" s="545"/>
      <c r="AP360" s="546"/>
      <c r="AQ360" s="530">
        <v>150</v>
      </c>
      <c r="AR360" s="515"/>
      <c r="AS360" s="517"/>
      <c r="AT360" s="555"/>
      <c r="AU360" s="26" t="s">
        <v>89</v>
      </c>
      <c r="AV360" s="29"/>
      <c r="AW360" s="26" t="s">
        <v>12</v>
      </c>
      <c r="AX360" s="32"/>
      <c r="AY360" s="555"/>
      <c r="AZ360" s="26" t="s">
        <v>89</v>
      </c>
      <c r="BA360" s="29"/>
      <c r="BB360" s="26" t="s">
        <v>12</v>
      </c>
      <c r="BC360" s="32"/>
    </row>
    <row r="361" spans="1:55" ht="16.5" customHeight="1">
      <c r="A361" s="560"/>
      <c r="B361" s="561"/>
      <c r="C361" s="9" t="s">
        <v>39</v>
      </c>
      <c r="D361" s="13"/>
      <c r="E361" s="9" t="s">
        <v>50</v>
      </c>
      <c r="F361" s="132"/>
      <c r="G361" s="355">
        <v>149</v>
      </c>
      <c r="H361" s="347"/>
      <c r="I361" s="348"/>
      <c r="J361" s="349"/>
      <c r="K361" s="9"/>
      <c r="L361" s="7"/>
      <c r="M361" s="20"/>
      <c r="N361" s="21"/>
      <c r="O361" s="9"/>
      <c r="P361" s="7"/>
      <c r="Q361" s="20"/>
      <c r="R361" s="21"/>
      <c r="S361" s="519"/>
      <c r="T361" s="527"/>
      <c r="U361" s="528"/>
      <c r="V361" s="529"/>
      <c r="W361" s="519" t="s">
        <v>60</v>
      </c>
      <c r="X361" s="521"/>
      <c r="Y361" s="523"/>
      <c r="Z361" s="525"/>
      <c r="AA361" s="9" t="s">
        <v>60</v>
      </c>
      <c r="AB361" s="7"/>
      <c r="AC361" s="20"/>
      <c r="AD361" s="21"/>
      <c r="AE361" s="553"/>
      <c r="AF361" s="548"/>
      <c r="AG361" s="548"/>
      <c r="AH361" s="548"/>
      <c r="AI361" s="548"/>
      <c r="AJ361" s="549"/>
      <c r="AK361" s="553"/>
      <c r="AL361" s="548"/>
      <c r="AM361" s="548"/>
      <c r="AN361" s="548"/>
      <c r="AO361" s="548"/>
      <c r="AP361" s="549"/>
      <c r="AQ361" s="531"/>
      <c r="AR361" s="516"/>
      <c r="AS361" s="518"/>
      <c r="AT361" s="556"/>
      <c r="AU361" s="27" t="s">
        <v>90</v>
      </c>
      <c r="AV361" s="30"/>
      <c r="AW361" s="27" t="s">
        <v>91</v>
      </c>
      <c r="AX361" s="33"/>
      <c r="AY361" s="556"/>
      <c r="AZ361" s="27" t="s">
        <v>90</v>
      </c>
      <c r="BA361" s="30"/>
      <c r="BB361" s="27" t="s">
        <v>91</v>
      </c>
      <c r="BC361" s="33"/>
    </row>
    <row r="362" spans="1:55" ht="16.5" customHeight="1">
      <c r="A362" s="560"/>
      <c r="B362" s="561"/>
      <c r="C362" s="10" t="s">
        <v>40</v>
      </c>
      <c r="D362" s="15"/>
      <c r="E362" s="130" t="s">
        <v>255</v>
      </c>
      <c r="F362" s="131"/>
      <c r="G362" s="356">
        <v>150</v>
      </c>
      <c r="H362" s="350"/>
      <c r="I362" s="351"/>
      <c r="J362" s="352"/>
      <c r="K362" s="17"/>
      <c r="L362" s="16"/>
      <c r="M362" s="22"/>
      <c r="N362" s="23"/>
      <c r="O362" s="17"/>
      <c r="P362" s="16"/>
      <c r="Q362" s="22"/>
      <c r="R362" s="23"/>
      <c r="S362" s="520"/>
      <c r="T362" s="522"/>
      <c r="U362" s="524"/>
      <c r="V362" s="526"/>
      <c r="W362" s="520"/>
      <c r="X362" s="522"/>
      <c r="Y362" s="524"/>
      <c r="Z362" s="526"/>
      <c r="AA362" s="17" t="s">
        <v>61</v>
      </c>
      <c r="AB362" s="16"/>
      <c r="AC362" s="22"/>
      <c r="AD362" s="23"/>
      <c r="AE362" s="115"/>
      <c r="AF362" s="116"/>
      <c r="AG362" s="116"/>
      <c r="AH362" s="116"/>
      <c r="AI362" s="117"/>
      <c r="AJ362" s="118"/>
      <c r="AK362" s="119"/>
      <c r="AL362" s="120"/>
      <c r="AM362" s="121"/>
      <c r="AN362" s="121"/>
      <c r="AO362" s="121"/>
      <c r="AP362" s="122"/>
      <c r="AQ362" s="115"/>
      <c r="AR362" s="116"/>
      <c r="AS362" s="118"/>
      <c r="AT362" s="123"/>
      <c r="AU362" s="113"/>
      <c r="AV362" s="113"/>
      <c r="AW362" s="113"/>
      <c r="AX362" s="114"/>
      <c r="AY362" s="123"/>
      <c r="AZ362" s="113"/>
      <c r="BA362" s="113"/>
      <c r="BB362" s="113"/>
      <c r="BC362" s="114"/>
    </row>
    <row r="363" spans="1:55" ht="16.5" customHeight="1"/>
    <row r="364" spans="1:55" ht="16.5" customHeight="1">
      <c r="A364" s="560">
        <v>31</v>
      </c>
      <c r="B364" s="561"/>
      <c r="C364" s="8" t="s">
        <v>42</v>
      </c>
      <c r="D364" s="24"/>
      <c r="E364" s="8" t="s">
        <v>43</v>
      </c>
      <c r="F364" s="11"/>
      <c r="G364" s="354">
        <v>151</v>
      </c>
      <c r="H364" s="335"/>
      <c r="I364" s="336"/>
      <c r="J364" s="357"/>
      <c r="K364" s="8" t="s">
        <v>333</v>
      </c>
      <c r="L364" s="6"/>
      <c r="M364" s="18"/>
      <c r="N364" s="19"/>
      <c r="O364" s="8" t="s">
        <v>333</v>
      </c>
      <c r="P364" s="6"/>
      <c r="Q364" s="18"/>
      <c r="R364" s="19"/>
      <c r="S364" s="532" t="s">
        <v>51</v>
      </c>
      <c r="T364" s="533"/>
      <c r="U364" s="535"/>
      <c r="V364" s="537"/>
      <c r="W364" s="532" t="s">
        <v>51</v>
      </c>
      <c r="X364" s="533"/>
      <c r="Y364" s="535"/>
      <c r="Z364" s="537"/>
      <c r="AA364" s="8" t="s">
        <v>51</v>
      </c>
      <c r="AB364" s="6"/>
      <c r="AC364" s="18"/>
      <c r="AD364" s="19"/>
      <c r="AE364" s="552"/>
      <c r="AF364" s="550"/>
      <c r="AG364" s="550"/>
      <c r="AH364" s="550"/>
      <c r="AI364" s="550"/>
      <c r="AJ364" s="551"/>
      <c r="AK364" s="552"/>
      <c r="AL364" s="550"/>
      <c r="AM364" s="550"/>
      <c r="AN364" s="550"/>
      <c r="AO364" s="550"/>
      <c r="AP364" s="551"/>
      <c r="AQ364" s="542">
        <v>151</v>
      </c>
      <c r="AR364" s="543"/>
      <c r="AS364" s="544"/>
      <c r="AT364" s="554">
        <v>61</v>
      </c>
      <c r="AU364" s="25" t="s">
        <v>0</v>
      </c>
      <c r="AV364" s="557"/>
      <c r="AW364" s="558"/>
      <c r="AX364" s="559"/>
      <c r="AY364" s="554">
        <v>63</v>
      </c>
      <c r="AZ364" s="25" t="s">
        <v>0</v>
      </c>
      <c r="BA364" s="557"/>
      <c r="BB364" s="558"/>
      <c r="BC364" s="559"/>
    </row>
    <row r="365" spans="1:55" ht="16.5" customHeight="1">
      <c r="A365" s="560"/>
      <c r="B365" s="561"/>
      <c r="C365" s="9" t="s">
        <v>33</v>
      </c>
      <c r="D365" s="13"/>
      <c r="E365" s="9" t="s">
        <v>70</v>
      </c>
      <c r="F365" s="12"/>
      <c r="G365" s="355">
        <v>152</v>
      </c>
      <c r="H365" s="338"/>
      <c r="I365" s="339"/>
      <c r="J365" s="340"/>
      <c r="K365" s="9" t="s">
        <v>334</v>
      </c>
      <c r="L365" s="7"/>
      <c r="M365" s="20"/>
      <c r="N365" s="21"/>
      <c r="O365" s="9" t="s">
        <v>334</v>
      </c>
      <c r="P365" s="7"/>
      <c r="Q365" s="20"/>
      <c r="R365" s="21"/>
      <c r="S365" s="519"/>
      <c r="T365" s="527"/>
      <c r="U365" s="528"/>
      <c r="V365" s="529"/>
      <c r="W365" s="519"/>
      <c r="X365" s="527"/>
      <c r="Y365" s="528"/>
      <c r="Z365" s="529"/>
      <c r="AA365" s="9" t="s">
        <v>52</v>
      </c>
      <c r="AB365" s="7"/>
      <c r="AC365" s="20"/>
      <c r="AD365" s="21"/>
      <c r="AE365" s="547"/>
      <c r="AF365" s="545"/>
      <c r="AG365" s="545"/>
      <c r="AH365" s="545"/>
      <c r="AI365" s="545"/>
      <c r="AJ365" s="546"/>
      <c r="AK365" s="547"/>
      <c r="AL365" s="545"/>
      <c r="AM365" s="545"/>
      <c r="AN365" s="545"/>
      <c r="AO365" s="545"/>
      <c r="AP365" s="546"/>
      <c r="AQ365" s="530"/>
      <c r="AR365" s="515"/>
      <c r="AS365" s="517"/>
      <c r="AT365" s="555"/>
      <c r="AU365" s="26" t="s">
        <v>87</v>
      </c>
      <c r="AV365" s="124"/>
      <c r="AW365" s="26" t="s">
        <v>192</v>
      </c>
      <c r="AX365" s="126"/>
      <c r="AY365" s="555"/>
      <c r="AZ365" s="26" t="s">
        <v>87</v>
      </c>
      <c r="BA365" s="124"/>
      <c r="BB365" s="127" t="s">
        <v>192</v>
      </c>
      <c r="BC365" s="125"/>
    </row>
    <row r="366" spans="1:55" ht="16.5" customHeight="1">
      <c r="A366" s="560"/>
      <c r="B366" s="561"/>
      <c r="C366" s="9" t="s">
        <v>34</v>
      </c>
      <c r="D366" s="14"/>
      <c r="E366" s="9" t="s">
        <v>44</v>
      </c>
      <c r="F366" s="12"/>
      <c r="G366" s="355">
        <v>153</v>
      </c>
      <c r="H366" s="338"/>
      <c r="I366" s="339"/>
      <c r="J366" s="340"/>
      <c r="K366" s="9" t="s">
        <v>335</v>
      </c>
      <c r="L366" s="7"/>
      <c r="M366" s="20"/>
      <c r="N366" s="21"/>
      <c r="O366" s="9" t="s">
        <v>335</v>
      </c>
      <c r="P366" s="7"/>
      <c r="Q366" s="20"/>
      <c r="R366" s="21"/>
      <c r="S366" s="519"/>
      <c r="T366" s="527"/>
      <c r="U366" s="528"/>
      <c r="V366" s="529"/>
      <c r="W366" s="519"/>
      <c r="X366" s="539"/>
      <c r="Y366" s="540"/>
      <c r="Z366" s="541"/>
      <c r="AA366" s="9" t="s">
        <v>53</v>
      </c>
      <c r="AB366" s="7"/>
      <c r="AC366" s="20"/>
      <c r="AD366" s="21"/>
      <c r="AE366" s="547"/>
      <c r="AF366" s="545"/>
      <c r="AG366" s="545"/>
      <c r="AH366" s="545"/>
      <c r="AI366" s="545"/>
      <c r="AJ366" s="546"/>
      <c r="AK366" s="547"/>
      <c r="AL366" s="545"/>
      <c r="AM366" s="545"/>
      <c r="AN366" s="545"/>
      <c r="AO366" s="545"/>
      <c r="AP366" s="546"/>
      <c r="AQ366" s="530">
        <v>152</v>
      </c>
      <c r="AR366" s="515"/>
      <c r="AS366" s="517"/>
      <c r="AT366" s="555"/>
      <c r="AU366" s="26" t="s">
        <v>88</v>
      </c>
      <c r="AV366" s="28"/>
      <c r="AW366" s="26" t="s">
        <v>12</v>
      </c>
      <c r="AX366" s="31"/>
      <c r="AY366" s="555"/>
      <c r="AZ366" s="26" t="s">
        <v>88</v>
      </c>
      <c r="BA366" s="28"/>
      <c r="BB366" s="26" t="s">
        <v>12</v>
      </c>
      <c r="BC366" s="31"/>
    </row>
    <row r="367" spans="1:55" ht="16.5" customHeight="1">
      <c r="A367" s="560"/>
      <c r="B367" s="561"/>
      <c r="C367" s="9" t="s">
        <v>41</v>
      </c>
      <c r="D367" s="13"/>
      <c r="E367" s="9" t="s">
        <v>62</v>
      </c>
      <c r="F367" s="12"/>
      <c r="G367" s="355">
        <v>154</v>
      </c>
      <c r="H367" s="341"/>
      <c r="I367" s="342"/>
      <c r="J367" s="343"/>
      <c r="K367" s="9" t="s">
        <v>336</v>
      </c>
      <c r="L367" s="7"/>
      <c r="M367" s="20"/>
      <c r="N367" s="21"/>
      <c r="O367" s="9" t="s">
        <v>336</v>
      </c>
      <c r="P367" s="7"/>
      <c r="Q367" s="20"/>
      <c r="R367" s="21"/>
      <c r="S367" s="519"/>
      <c r="T367" s="534"/>
      <c r="U367" s="536"/>
      <c r="V367" s="538"/>
      <c r="W367" s="532" t="s">
        <v>52</v>
      </c>
      <c r="X367" s="533"/>
      <c r="Y367" s="535"/>
      <c r="Z367" s="537"/>
      <c r="AA367" s="9" t="s">
        <v>54</v>
      </c>
      <c r="AB367" s="7"/>
      <c r="AC367" s="20"/>
      <c r="AD367" s="21"/>
      <c r="AE367" s="547"/>
      <c r="AF367" s="545"/>
      <c r="AG367" s="545"/>
      <c r="AH367" s="545"/>
      <c r="AI367" s="545"/>
      <c r="AJ367" s="546"/>
      <c r="AK367" s="547"/>
      <c r="AL367" s="545"/>
      <c r="AM367" s="545"/>
      <c r="AN367" s="545"/>
      <c r="AO367" s="545"/>
      <c r="AP367" s="546"/>
      <c r="AQ367" s="530"/>
      <c r="AR367" s="515"/>
      <c r="AS367" s="517"/>
      <c r="AT367" s="555"/>
      <c r="AU367" s="26" t="s">
        <v>89</v>
      </c>
      <c r="AV367" s="29"/>
      <c r="AW367" s="26" t="s">
        <v>12</v>
      </c>
      <c r="AX367" s="32"/>
      <c r="AY367" s="555"/>
      <c r="AZ367" s="26" t="s">
        <v>89</v>
      </c>
      <c r="BA367" s="29"/>
      <c r="BB367" s="26" t="s">
        <v>12</v>
      </c>
      <c r="BC367" s="32"/>
    </row>
    <row r="368" spans="1:55" ht="16.5" customHeight="1">
      <c r="A368" s="560"/>
      <c r="B368" s="561"/>
      <c r="C368" s="9" t="s">
        <v>417</v>
      </c>
      <c r="D368" s="3"/>
      <c r="E368" s="9" t="s">
        <v>45</v>
      </c>
      <c r="F368" s="12"/>
      <c r="G368" s="356">
        <v>155</v>
      </c>
      <c r="H368" s="344"/>
      <c r="I368" s="345"/>
      <c r="J368" s="346"/>
      <c r="K368" s="9" t="s">
        <v>337</v>
      </c>
      <c r="L368" s="7"/>
      <c r="M368" s="20"/>
      <c r="N368" s="21"/>
      <c r="O368" s="9" t="s">
        <v>337</v>
      </c>
      <c r="P368" s="7"/>
      <c r="Q368" s="20"/>
      <c r="R368" s="21"/>
      <c r="S368" s="519" t="s">
        <v>52</v>
      </c>
      <c r="T368" s="527"/>
      <c r="U368" s="528"/>
      <c r="V368" s="529"/>
      <c r="W368" s="519"/>
      <c r="X368" s="527"/>
      <c r="Y368" s="528"/>
      <c r="Z368" s="529"/>
      <c r="AA368" s="9" t="s">
        <v>55</v>
      </c>
      <c r="AB368" s="7"/>
      <c r="AC368" s="20"/>
      <c r="AD368" s="21"/>
      <c r="AE368" s="547"/>
      <c r="AF368" s="545"/>
      <c r="AG368" s="545"/>
      <c r="AH368" s="545"/>
      <c r="AI368" s="545"/>
      <c r="AJ368" s="546"/>
      <c r="AK368" s="547"/>
      <c r="AL368" s="545"/>
      <c r="AM368" s="545"/>
      <c r="AN368" s="545"/>
      <c r="AO368" s="545"/>
      <c r="AP368" s="546"/>
      <c r="AQ368" s="530">
        <v>153</v>
      </c>
      <c r="AR368" s="515"/>
      <c r="AS368" s="517"/>
      <c r="AT368" s="556"/>
      <c r="AU368" s="27" t="s">
        <v>90</v>
      </c>
      <c r="AV368" s="30"/>
      <c r="AW368" s="27" t="s">
        <v>91</v>
      </c>
      <c r="AX368" s="33"/>
      <c r="AY368" s="556"/>
      <c r="AZ368" s="27" t="s">
        <v>90</v>
      </c>
      <c r="BA368" s="30"/>
      <c r="BB368" s="27" t="s">
        <v>91</v>
      </c>
      <c r="BC368" s="33"/>
    </row>
    <row r="369" spans="1:55" ht="16.5" customHeight="1">
      <c r="A369" s="560"/>
      <c r="B369" s="561"/>
      <c r="C369" s="9" t="s">
        <v>35</v>
      </c>
      <c r="D369" s="13"/>
      <c r="E369" s="9" t="s">
        <v>46</v>
      </c>
      <c r="F369" s="12"/>
      <c r="G369" s="5" t="s">
        <v>12</v>
      </c>
      <c r="H369" s="128" t="s">
        <v>13</v>
      </c>
      <c r="I369" s="4" t="s">
        <v>14</v>
      </c>
      <c r="J369" s="4" t="s">
        <v>15</v>
      </c>
      <c r="K369" s="9" t="s">
        <v>338</v>
      </c>
      <c r="L369" s="7"/>
      <c r="M369" s="20"/>
      <c r="N369" s="21"/>
      <c r="O369" s="9" t="s">
        <v>338</v>
      </c>
      <c r="P369" s="7"/>
      <c r="Q369" s="20"/>
      <c r="R369" s="21"/>
      <c r="S369" s="519"/>
      <c r="T369" s="527"/>
      <c r="U369" s="528"/>
      <c r="V369" s="529"/>
      <c r="W369" s="519"/>
      <c r="X369" s="539"/>
      <c r="Y369" s="540"/>
      <c r="Z369" s="541"/>
      <c r="AA369" s="9" t="s">
        <v>56</v>
      </c>
      <c r="AB369" s="7"/>
      <c r="AC369" s="20"/>
      <c r="AD369" s="21"/>
      <c r="AE369" s="547"/>
      <c r="AF369" s="545"/>
      <c r="AG369" s="545"/>
      <c r="AH369" s="545"/>
      <c r="AI369" s="545"/>
      <c r="AJ369" s="546"/>
      <c r="AK369" s="547"/>
      <c r="AL369" s="545"/>
      <c r="AM369" s="545"/>
      <c r="AN369" s="545"/>
      <c r="AO369" s="545"/>
      <c r="AP369" s="546"/>
      <c r="AQ369" s="530"/>
      <c r="AR369" s="515"/>
      <c r="AS369" s="517"/>
      <c r="AT369" s="554">
        <v>62</v>
      </c>
      <c r="AU369" s="25" t="s">
        <v>0</v>
      </c>
      <c r="AV369" s="557"/>
      <c r="AW369" s="558"/>
      <c r="AX369" s="559"/>
      <c r="AY369" s="554">
        <v>64</v>
      </c>
      <c r="AZ369" s="25" t="s">
        <v>0</v>
      </c>
      <c r="BA369" s="557"/>
      <c r="BB369" s="558"/>
      <c r="BC369" s="559"/>
    </row>
    <row r="370" spans="1:55" ht="16.5" customHeight="1">
      <c r="A370" s="560"/>
      <c r="B370" s="561"/>
      <c r="C370" s="9" t="s">
        <v>36</v>
      </c>
      <c r="D370" s="13"/>
      <c r="E370" s="9" t="s">
        <v>47</v>
      </c>
      <c r="F370" s="12"/>
      <c r="G370" s="354">
        <v>151</v>
      </c>
      <c r="H370" s="335"/>
      <c r="I370" s="336"/>
      <c r="J370" s="357"/>
      <c r="K370" s="9" t="s">
        <v>339</v>
      </c>
      <c r="L370" s="7"/>
      <c r="M370" s="20"/>
      <c r="N370" s="21"/>
      <c r="O370" s="9" t="s">
        <v>339</v>
      </c>
      <c r="P370" s="7"/>
      <c r="Q370" s="20"/>
      <c r="R370" s="21"/>
      <c r="S370" s="519"/>
      <c r="T370" s="527"/>
      <c r="U370" s="528"/>
      <c r="V370" s="529"/>
      <c r="W370" s="532" t="s">
        <v>344</v>
      </c>
      <c r="X370" s="533"/>
      <c r="Y370" s="535"/>
      <c r="Z370" s="537"/>
      <c r="AA370" s="9"/>
      <c r="AB370" s="7"/>
      <c r="AC370" s="20"/>
      <c r="AD370" s="21"/>
      <c r="AE370" s="547"/>
      <c r="AF370" s="545"/>
      <c r="AG370" s="545"/>
      <c r="AH370" s="545"/>
      <c r="AI370" s="545"/>
      <c r="AJ370" s="546"/>
      <c r="AK370" s="547"/>
      <c r="AL370" s="545"/>
      <c r="AM370" s="545"/>
      <c r="AN370" s="545"/>
      <c r="AO370" s="545"/>
      <c r="AP370" s="546"/>
      <c r="AQ370" s="530">
        <v>154</v>
      </c>
      <c r="AR370" s="515"/>
      <c r="AS370" s="517"/>
      <c r="AT370" s="555"/>
      <c r="AU370" s="26" t="s">
        <v>87</v>
      </c>
      <c r="AV370" s="124"/>
      <c r="AW370" s="127" t="s">
        <v>192</v>
      </c>
      <c r="AX370" s="125"/>
      <c r="AY370" s="555"/>
      <c r="AZ370" s="26" t="s">
        <v>87</v>
      </c>
      <c r="BA370" s="124"/>
      <c r="BB370" s="127" t="s">
        <v>192</v>
      </c>
      <c r="BC370" s="125"/>
    </row>
    <row r="371" spans="1:55" ht="16.5" customHeight="1">
      <c r="A371" s="560"/>
      <c r="B371" s="561"/>
      <c r="C371" s="9" t="s">
        <v>37</v>
      </c>
      <c r="D371" s="13"/>
      <c r="E371" s="9" t="s">
        <v>48</v>
      </c>
      <c r="F371" s="12"/>
      <c r="G371" s="355">
        <v>152</v>
      </c>
      <c r="H371" s="338"/>
      <c r="I371" s="339"/>
      <c r="J371" s="340"/>
      <c r="K371" s="353" t="s">
        <v>340</v>
      </c>
      <c r="L371" s="7"/>
      <c r="M371" s="20"/>
      <c r="N371" s="21"/>
      <c r="O371" s="353" t="s">
        <v>340</v>
      </c>
      <c r="P371" s="7"/>
      <c r="Q371" s="20"/>
      <c r="R371" s="21"/>
      <c r="S371" s="519"/>
      <c r="T371" s="539"/>
      <c r="U371" s="540"/>
      <c r="V371" s="541"/>
      <c r="W371" s="519"/>
      <c r="X371" s="527"/>
      <c r="Y371" s="528"/>
      <c r="Z371" s="529"/>
      <c r="AA371" s="9" t="s">
        <v>58</v>
      </c>
      <c r="AB371" s="7"/>
      <c r="AC371" s="20"/>
      <c r="AD371" s="21"/>
      <c r="AE371" s="547"/>
      <c r="AF371" s="545"/>
      <c r="AG371" s="545"/>
      <c r="AH371" s="545"/>
      <c r="AI371" s="545"/>
      <c r="AJ371" s="546"/>
      <c r="AK371" s="547"/>
      <c r="AL371" s="545"/>
      <c r="AM371" s="545"/>
      <c r="AN371" s="545"/>
      <c r="AO371" s="545"/>
      <c r="AP371" s="546"/>
      <c r="AQ371" s="530"/>
      <c r="AR371" s="515"/>
      <c r="AS371" s="517"/>
      <c r="AT371" s="555"/>
      <c r="AU371" s="26" t="s">
        <v>88</v>
      </c>
      <c r="AV371" s="28"/>
      <c r="AW371" s="26" t="s">
        <v>12</v>
      </c>
      <c r="AX371" s="31"/>
      <c r="AY371" s="555"/>
      <c r="AZ371" s="26" t="s">
        <v>88</v>
      </c>
      <c r="BA371" s="28"/>
      <c r="BB371" s="26" t="s">
        <v>12</v>
      </c>
      <c r="BC371" s="31"/>
    </row>
    <row r="372" spans="1:55" ht="16.5" customHeight="1">
      <c r="A372" s="560"/>
      <c r="B372" s="561"/>
      <c r="C372" s="9" t="s">
        <v>38</v>
      </c>
      <c r="D372" s="13"/>
      <c r="E372" s="9" t="s">
        <v>49</v>
      </c>
      <c r="F372" s="12"/>
      <c r="G372" s="355">
        <v>153</v>
      </c>
      <c r="H372" s="338"/>
      <c r="I372" s="339"/>
      <c r="J372" s="340"/>
      <c r="K372" s="9" t="s">
        <v>341</v>
      </c>
      <c r="L372" s="7"/>
      <c r="M372" s="20"/>
      <c r="N372" s="21"/>
      <c r="O372" s="9" t="s">
        <v>341</v>
      </c>
      <c r="P372" s="7"/>
      <c r="Q372" s="20"/>
      <c r="R372" s="21"/>
      <c r="S372" s="519" t="s">
        <v>344</v>
      </c>
      <c r="T372" s="521"/>
      <c r="U372" s="523"/>
      <c r="V372" s="525"/>
      <c r="W372" s="519"/>
      <c r="X372" s="539"/>
      <c r="Y372" s="540"/>
      <c r="Z372" s="541"/>
      <c r="AA372" s="9" t="s">
        <v>59</v>
      </c>
      <c r="AB372" s="7"/>
      <c r="AC372" s="20"/>
      <c r="AD372" s="21"/>
      <c r="AE372" s="547"/>
      <c r="AF372" s="545"/>
      <c r="AG372" s="545"/>
      <c r="AH372" s="545"/>
      <c r="AI372" s="545"/>
      <c r="AJ372" s="546"/>
      <c r="AK372" s="547"/>
      <c r="AL372" s="545"/>
      <c r="AM372" s="545"/>
      <c r="AN372" s="545"/>
      <c r="AO372" s="545"/>
      <c r="AP372" s="546"/>
      <c r="AQ372" s="530">
        <v>155</v>
      </c>
      <c r="AR372" s="515"/>
      <c r="AS372" s="517"/>
      <c r="AT372" s="555"/>
      <c r="AU372" s="26" t="s">
        <v>89</v>
      </c>
      <c r="AV372" s="29"/>
      <c r="AW372" s="26" t="s">
        <v>12</v>
      </c>
      <c r="AX372" s="32"/>
      <c r="AY372" s="555"/>
      <c r="AZ372" s="26" t="s">
        <v>89</v>
      </c>
      <c r="BA372" s="29"/>
      <c r="BB372" s="26" t="s">
        <v>12</v>
      </c>
      <c r="BC372" s="32"/>
    </row>
    <row r="373" spans="1:55" ht="16.5" customHeight="1">
      <c r="A373" s="560"/>
      <c r="B373" s="561"/>
      <c r="C373" s="9" t="s">
        <v>39</v>
      </c>
      <c r="D373" s="13"/>
      <c r="E373" s="9" t="s">
        <v>50</v>
      </c>
      <c r="F373" s="132"/>
      <c r="G373" s="355">
        <v>154</v>
      </c>
      <c r="H373" s="347"/>
      <c r="I373" s="348"/>
      <c r="J373" s="349"/>
      <c r="K373" s="9"/>
      <c r="L373" s="7"/>
      <c r="M373" s="20"/>
      <c r="N373" s="21"/>
      <c r="O373" s="9"/>
      <c r="P373" s="7"/>
      <c r="Q373" s="20"/>
      <c r="R373" s="21"/>
      <c r="S373" s="519"/>
      <c r="T373" s="527"/>
      <c r="U373" s="528"/>
      <c r="V373" s="529"/>
      <c r="W373" s="519" t="s">
        <v>60</v>
      </c>
      <c r="X373" s="521"/>
      <c r="Y373" s="523"/>
      <c r="Z373" s="525"/>
      <c r="AA373" s="9" t="s">
        <v>60</v>
      </c>
      <c r="AB373" s="7"/>
      <c r="AC373" s="20"/>
      <c r="AD373" s="21"/>
      <c r="AE373" s="553"/>
      <c r="AF373" s="548"/>
      <c r="AG373" s="548"/>
      <c r="AH373" s="548"/>
      <c r="AI373" s="548"/>
      <c r="AJ373" s="549"/>
      <c r="AK373" s="553"/>
      <c r="AL373" s="548"/>
      <c r="AM373" s="548"/>
      <c r="AN373" s="548"/>
      <c r="AO373" s="548"/>
      <c r="AP373" s="549"/>
      <c r="AQ373" s="531"/>
      <c r="AR373" s="516"/>
      <c r="AS373" s="518"/>
      <c r="AT373" s="556"/>
      <c r="AU373" s="27" t="s">
        <v>90</v>
      </c>
      <c r="AV373" s="30"/>
      <c r="AW373" s="27" t="s">
        <v>91</v>
      </c>
      <c r="AX373" s="33"/>
      <c r="AY373" s="556"/>
      <c r="AZ373" s="27" t="s">
        <v>90</v>
      </c>
      <c r="BA373" s="30"/>
      <c r="BB373" s="27" t="s">
        <v>91</v>
      </c>
      <c r="BC373" s="33"/>
    </row>
    <row r="374" spans="1:55" ht="16.5" customHeight="1">
      <c r="A374" s="560"/>
      <c r="B374" s="561"/>
      <c r="C374" s="10" t="s">
        <v>40</v>
      </c>
      <c r="D374" s="15"/>
      <c r="E374" s="130" t="s">
        <v>255</v>
      </c>
      <c r="F374" s="131"/>
      <c r="G374" s="356">
        <v>155</v>
      </c>
      <c r="H374" s="350"/>
      <c r="I374" s="351"/>
      <c r="J374" s="352"/>
      <c r="K374" s="17"/>
      <c r="L374" s="16"/>
      <c r="M374" s="22"/>
      <c r="N374" s="23"/>
      <c r="O374" s="17"/>
      <c r="P374" s="16"/>
      <c r="Q374" s="22"/>
      <c r="R374" s="23"/>
      <c r="S374" s="520"/>
      <c r="T374" s="522"/>
      <c r="U374" s="524"/>
      <c r="V374" s="526"/>
      <c r="W374" s="520"/>
      <c r="X374" s="522"/>
      <c r="Y374" s="524"/>
      <c r="Z374" s="526"/>
      <c r="AA374" s="17" t="s">
        <v>61</v>
      </c>
      <c r="AB374" s="16"/>
      <c r="AC374" s="22"/>
      <c r="AD374" s="23"/>
      <c r="AE374" s="115"/>
      <c r="AF374" s="116"/>
      <c r="AG374" s="116"/>
      <c r="AH374" s="116"/>
      <c r="AI374" s="117"/>
      <c r="AJ374" s="118"/>
      <c r="AK374" s="119"/>
      <c r="AL374" s="120"/>
      <c r="AM374" s="121"/>
      <c r="AN374" s="121"/>
      <c r="AO374" s="121"/>
      <c r="AP374" s="122"/>
      <c r="AQ374" s="115"/>
      <c r="AR374" s="116"/>
      <c r="AS374" s="118"/>
      <c r="AT374" s="123"/>
      <c r="AU374" s="113"/>
      <c r="AV374" s="113"/>
      <c r="AW374" s="113"/>
      <c r="AX374" s="114"/>
      <c r="AY374" s="123"/>
      <c r="AZ374" s="113"/>
      <c r="BA374" s="113"/>
      <c r="BB374" s="113"/>
      <c r="BC374" s="114"/>
    </row>
    <row r="375" spans="1:55" ht="16.5" customHeight="1"/>
    <row r="376" spans="1:55" ht="16.5" customHeight="1">
      <c r="A376" s="560">
        <v>32</v>
      </c>
      <c r="B376" s="561"/>
      <c r="C376" s="8" t="s">
        <v>42</v>
      </c>
      <c r="D376" s="24"/>
      <c r="E376" s="8" t="s">
        <v>43</v>
      </c>
      <c r="F376" s="11"/>
      <c r="G376" s="354">
        <v>156</v>
      </c>
      <c r="H376" s="335"/>
      <c r="I376" s="336"/>
      <c r="J376" s="357"/>
      <c r="K376" s="8" t="s">
        <v>333</v>
      </c>
      <c r="L376" s="6"/>
      <c r="M376" s="18"/>
      <c r="N376" s="19"/>
      <c r="O376" s="8" t="s">
        <v>333</v>
      </c>
      <c r="P376" s="6"/>
      <c r="Q376" s="18"/>
      <c r="R376" s="19"/>
      <c r="S376" s="532" t="s">
        <v>51</v>
      </c>
      <c r="T376" s="533"/>
      <c r="U376" s="535"/>
      <c r="V376" s="537"/>
      <c r="W376" s="532" t="s">
        <v>51</v>
      </c>
      <c r="X376" s="533"/>
      <c r="Y376" s="535"/>
      <c r="Z376" s="537"/>
      <c r="AA376" s="8" t="s">
        <v>51</v>
      </c>
      <c r="AB376" s="6"/>
      <c r="AC376" s="18"/>
      <c r="AD376" s="19"/>
      <c r="AE376" s="552"/>
      <c r="AF376" s="550"/>
      <c r="AG376" s="550"/>
      <c r="AH376" s="550"/>
      <c r="AI376" s="550"/>
      <c r="AJ376" s="551"/>
      <c r="AK376" s="552"/>
      <c r="AL376" s="550"/>
      <c r="AM376" s="550"/>
      <c r="AN376" s="550"/>
      <c r="AO376" s="550"/>
      <c r="AP376" s="551"/>
      <c r="AQ376" s="542">
        <v>156</v>
      </c>
      <c r="AR376" s="543"/>
      <c r="AS376" s="544"/>
      <c r="AT376" s="554">
        <v>63</v>
      </c>
      <c r="AU376" s="25" t="s">
        <v>0</v>
      </c>
      <c r="AV376" s="557"/>
      <c r="AW376" s="558"/>
      <c r="AX376" s="559"/>
      <c r="AY376" s="554">
        <v>65</v>
      </c>
      <c r="AZ376" s="25" t="s">
        <v>0</v>
      </c>
      <c r="BA376" s="557"/>
      <c r="BB376" s="558"/>
      <c r="BC376" s="559"/>
    </row>
    <row r="377" spans="1:55" ht="16.5" customHeight="1">
      <c r="A377" s="560"/>
      <c r="B377" s="561"/>
      <c r="C377" s="9" t="s">
        <v>33</v>
      </c>
      <c r="D377" s="13"/>
      <c r="E377" s="9" t="s">
        <v>70</v>
      </c>
      <c r="F377" s="12"/>
      <c r="G377" s="355">
        <v>157</v>
      </c>
      <c r="H377" s="338"/>
      <c r="I377" s="339"/>
      <c r="J377" s="340"/>
      <c r="K377" s="9" t="s">
        <v>334</v>
      </c>
      <c r="L377" s="7"/>
      <c r="M377" s="20"/>
      <c r="N377" s="21"/>
      <c r="O377" s="9" t="s">
        <v>334</v>
      </c>
      <c r="P377" s="7"/>
      <c r="Q377" s="20"/>
      <c r="R377" s="21"/>
      <c r="S377" s="519"/>
      <c r="T377" s="527"/>
      <c r="U377" s="528"/>
      <c r="V377" s="529"/>
      <c r="W377" s="519"/>
      <c r="X377" s="527"/>
      <c r="Y377" s="528"/>
      <c r="Z377" s="529"/>
      <c r="AA377" s="9" t="s">
        <v>52</v>
      </c>
      <c r="AB377" s="7"/>
      <c r="AC377" s="20"/>
      <c r="AD377" s="21"/>
      <c r="AE377" s="547"/>
      <c r="AF377" s="545"/>
      <c r="AG377" s="545"/>
      <c r="AH377" s="545"/>
      <c r="AI377" s="545"/>
      <c r="AJ377" s="546"/>
      <c r="AK377" s="547"/>
      <c r="AL377" s="545"/>
      <c r="AM377" s="545"/>
      <c r="AN377" s="545"/>
      <c r="AO377" s="545"/>
      <c r="AP377" s="546"/>
      <c r="AQ377" s="530"/>
      <c r="AR377" s="515"/>
      <c r="AS377" s="517"/>
      <c r="AT377" s="555"/>
      <c r="AU377" s="26" t="s">
        <v>87</v>
      </c>
      <c r="AV377" s="124"/>
      <c r="AW377" s="26" t="s">
        <v>192</v>
      </c>
      <c r="AX377" s="126"/>
      <c r="AY377" s="555"/>
      <c r="AZ377" s="26" t="s">
        <v>87</v>
      </c>
      <c r="BA377" s="124"/>
      <c r="BB377" s="127" t="s">
        <v>192</v>
      </c>
      <c r="BC377" s="125"/>
    </row>
    <row r="378" spans="1:55" ht="16.5" customHeight="1">
      <c r="A378" s="560"/>
      <c r="B378" s="561"/>
      <c r="C378" s="9" t="s">
        <v>34</v>
      </c>
      <c r="D378" s="14"/>
      <c r="E378" s="9" t="s">
        <v>44</v>
      </c>
      <c r="F378" s="12"/>
      <c r="G378" s="355">
        <v>158</v>
      </c>
      <c r="H378" s="338"/>
      <c r="I378" s="339"/>
      <c r="J378" s="340"/>
      <c r="K378" s="9" t="s">
        <v>335</v>
      </c>
      <c r="L378" s="7"/>
      <c r="M378" s="20"/>
      <c r="N378" s="21"/>
      <c r="O378" s="9" t="s">
        <v>335</v>
      </c>
      <c r="P378" s="7"/>
      <c r="Q378" s="20"/>
      <c r="R378" s="21"/>
      <c r="S378" s="519"/>
      <c r="T378" s="527"/>
      <c r="U378" s="528"/>
      <c r="V378" s="529"/>
      <c r="W378" s="519"/>
      <c r="X378" s="539"/>
      <c r="Y378" s="540"/>
      <c r="Z378" s="541"/>
      <c r="AA378" s="9" t="s">
        <v>53</v>
      </c>
      <c r="AB378" s="7"/>
      <c r="AC378" s="20"/>
      <c r="AD378" s="21"/>
      <c r="AE378" s="547"/>
      <c r="AF378" s="545"/>
      <c r="AG378" s="545"/>
      <c r="AH378" s="545"/>
      <c r="AI378" s="545"/>
      <c r="AJ378" s="546"/>
      <c r="AK378" s="547"/>
      <c r="AL378" s="545"/>
      <c r="AM378" s="545"/>
      <c r="AN378" s="545"/>
      <c r="AO378" s="545"/>
      <c r="AP378" s="546"/>
      <c r="AQ378" s="530">
        <v>157</v>
      </c>
      <c r="AR378" s="515"/>
      <c r="AS378" s="517"/>
      <c r="AT378" s="555"/>
      <c r="AU378" s="26" t="s">
        <v>88</v>
      </c>
      <c r="AV378" s="28"/>
      <c r="AW378" s="26" t="s">
        <v>12</v>
      </c>
      <c r="AX378" s="31"/>
      <c r="AY378" s="555"/>
      <c r="AZ378" s="26" t="s">
        <v>88</v>
      </c>
      <c r="BA378" s="28"/>
      <c r="BB378" s="26" t="s">
        <v>12</v>
      </c>
      <c r="BC378" s="31"/>
    </row>
    <row r="379" spans="1:55" ht="16.5" customHeight="1">
      <c r="A379" s="560"/>
      <c r="B379" s="561"/>
      <c r="C379" s="9" t="s">
        <v>41</v>
      </c>
      <c r="D379" s="13"/>
      <c r="E379" s="9" t="s">
        <v>62</v>
      </c>
      <c r="F379" s="12"/>
      <c r="G379" s="355">
        <v>159</v>
      </c>
      <c r="H379" s="341"/>
      <c r="I379" s="342"/>
      <c r="J379" s="343"/>
      <c r="K379" s="9" t="s">
        <v>336</v>
      </c>
      <c r="L379" s="7"/>
      <c r="M379" s="20"/>
      <c r="N379" s="21"/>
      <c r="O379" s="9" t="s">
        <v>336</v>
      </c>
      <c r="P379" s="7"/>
      <c r="Q379" s="20"/>
      <c r="R379" s="21"/>
      <c r="S379" s="519"/>
      <c r="T379" s="534"/>
      <c r="U379" s="536"/>
      <c r="V379" s="538"/>
      <c r="W379" s="532" t="s">
        <v>52</v>
      </c>
      <c r="X379" s="533"/>
      <c r="Y379" s="535"/>
      <c r="Z379" s="537"/>
      <c r="AA379" s="9" t="s">
        <v>54</v>
      </c>
      <c r="AB379" s="7"/>
      <c r="AC379" s="20"/>
      <c r="AD379" s="21"/>
      <c r="AE379" s="547"/>
      <c r="AF379" s="545"/>
      <c r="AG379" s="545"/>
      <c r="AH379" s="545"/>
      <c r="AI379" s="545"/>
      <c r="AJ379" s="546"/>
      <c r="AK379" s="547"/>
      <c r="AL379" s="545"/>
      <c r="AM379" s="545"/>
      <c r="AN379" s="545"/>
      <c r="AO379" s="545"/>
      <c r="AP379" s="546"/>
      <c r="AQ379" s="530"/>
      <c r="AR379" s="515"/>
      <c r="AS379" s="517"/>
      <c r="AT379" s="555"/>
      <c r="AU379" s="26" t="s">
        <v>89</v>
      </c>
      <c r="AV379" s="29"/>
      <c r="AW379" s="26" t="s">
        <v>12</v>
      </c>
      <c r="AX379" s="32"/>
      <c r="AY379" s="555"/>
      <c r="AZ379" s="26" t="s">
        <v>89</v>
      </c>
      <c r="BA379" s="29"/>
      <c r="BB379" s="26" t="s">
        <v>12</v>
      </c>
      <c r="BC379" s="32"/>
    </row>
    <row r="380" spans="1:55" ht="16.5" customHeight="1">
      <c r="A380" s="560"/>
      <c r="B380" s="561"/>
      <c r="C380" s="9" t="s">
        <v>417</v>
      </c>
      <c r="D380" s="3"/>
      <c r="E380" s="9" t="s">
        <v>45</v>
      </c>
      <c r="F380" s="12"/>
      <c r="G380" s="356">
        <v>160</v>
      </c>
      <c r="H380" s="344"/>
      <c r="I380" s="345"/>
      <c r="J380" s="346"/>
      <c r="K380" s="9" t="s">
        <v>337</v>
      </c>
      <c r="L380" s="7"/>
      <c r="M380" s="20"/>
      <c r="N380" s="21"/>
      <c r="O380" s="9" t="s">
        <v>337</v>
      </c>
      <c r="P380" s="7"/>
      <c r="Q380" s="20"/>
      <c r="R380" s="21"/>
      <c r="S380" s="519" t="s">
        <v>52</v>
      </c>
      <c r="T380" s="527"/>
      <c r="U380" s="528"/>
      <c r="V380" s="529"/>
      <c r="W380" s="519"/>
      <c r="X380" s="527"/>
      <c r="Y380" s="528"/>
      <c r="Z380" s="529"/>
      <c r="AA380" s="9" t="s">
        <v>55</v>
      </c>
      <c r="AB380" s="7"/>
      <c r="AC380" s="20"/>
      <c r="AD380" s="21"/>
      <c r="AE380" s="547"/>
      <c r="AF380" s="545"/>
      <c r="AG380" s="545"/>
      <c r="AH380" s="545"/>
      <c r="AI380" s="545"/>
      <c r="AJ380" s="546"/>
      <c r="AK380" s="547"/>
      <c r="AL380" s="545"/>
      <c r="AM380" s="545"/>
      <c r="AN380" s="545"/>
      <c r="AO380" s="545"/>
      <c r="AP380" s="546"/>
      <c r="AQ380" s="530">
        <v>158</v>
      </c>
      <c r="AR380" s="515"/>
      <c r="AS380" s="517"/>
      <c r="AT380" s="556"/>
      <c r="AU380" s="27" t="s">
        <v>90</v>
      </c>
      <c r="AV380" s="30"/>
      <c r="AW380" s="27" t="s">
        <v>91</v>
      </c>
      <c r="AX380" s="33"/>
      <c r="AY380" s="556"/>
      <c r="AZ380" s="27" t="s">
        <v>90</v>
      </c>
      <c r="BA380" s="30"/>
      <c r="BB380" s="27" t="s">
        <v>91</v>
      </c>
      <c r="BC380" s="33"/>
    </row>
    <row r="381" spans="1:55" ht="16.5" customHeight="1">
      <c r="A381" s="560"/>
      <c r="B381" s="561"/>
      <c r="C381" s="9" t="s">
        <v>35</v>
      </c>
      <c r="D381" s="13"/>
      <c r="E381" s="9" t="s">
        <v>46</v>
      </c>
      <c r="F381" s="12"/>
      <c r="G381" s="5" t="s">
        <v>12</v>
      </c>
      <c r="H381" s="128" t="s">
        <v>13</v>
      </c>
      <c r="I381" s="4" t="s">
        <v>14</v>
      </c>
      <c r="J381" s="4" t="s">
        <v>15</v>
      </c>
      <c r="K381" s="9" t="s">
        <v>338</v>
      </c>
      <c r="L381" s="7"/>
      <c r="M381" s="20"/>
      <c r="N381" s="21"/>
      <c r="O381" s="9" t="s">
        <v>338</v>
      </c>
      <c r="P381" s="7"/>
      <c r="Q381" s="20"/>
      <c r="R381" s="21"/>
      <c r="S381" s="519"/>
      <c r="T381" s="527"/>
      <c r="U381" s="528"/>
      <c r="V381" s="529"/>
      <c r="W381" s="519"/>
      <c r="X381" s="539"/>
      <c r="Y381" s="540"/>
      <c r="Z381" s="541"/>
      <c r="AA381" s="9" t="s">
        <v>56</v>
      </c>
      <c r="AB381" s="7"/>
      <c r="AC381" s="20"/>
      <c r="AD381" s="21"/>
      <c r="AE381" s="547"/>
      <c r="AF381" s="545"/>
      <c r="AG381" s="545"/>
      <c r="AH381" s="545"/>
      <c r="AI381" s="545"/>
      <c r="AJ381" s="546"/>
      <c r="AK381" s="547"/>
      <c r="AL381" s="545"/>
      <c r="AM381" s="545"/>
      <c r="AN381" s="545"/>
      <c r="AO381" s="545"/>
      <c r="AP381" s="546"/>
      <c r="AQ381" s="530"/>
      <c r="AR381" s="515"/>
      <c r="AS381" s="517"/>
      <c r="AT381" s="554">
        <v>64</v>
      </c>
      <c r="AU381" s="25" t="s">
        <v>0</v>
      </c>
      <c r="AV381" s="557"/>
      <c r="AW381" s="558"/>
      <c r="AX381" s="559"/>
      <c r="AY381" s="554">
        <v>66</v>
      </c>
      <c r="AZ381" s="25" t="s">
        <v>0</v>
      </c>
      <c r="BA381" s="557"/>
      <c r="BB381" s="558"/>
      <c r="BC381" s="559"/>
    </row>
    <row r="382" spans="1:55" ht="16.5" customHeight="1">
      <c r="A382" s="560"/>
      <c r="B382" s="561"/>
      <c r="C382" s="9" t="s">
        <v>36</v>
      </c>
      <c r="D382" s="13"/>
      <c r="E382" s="9" t="s">
        <v>47</v>
      </c>
      <c r="F382" s="12"/>
      <c r="G382" s="354">
        <v>156</v>
      </c>
      <c r="H382" s="335"/>
      <c r="I382" s="336"/>
      <c r="J382" s="357"/>
      <c r="K382" s="9" t="s">
        <v>339</v>
      </c>
      <c r="L382" s="7"/>
      <c r="M382" s="20"/>
      <c r="N382" s="21"/>
      <c r="O382" s="9" t="s">
        <v>339</v>
      </c>
      <c r="P382" s="7"/>
      <c r="Q382" s="20"/>
      <c r="R382" s="21"/>
      <c r="S382" s="519"/>
      <c r="T382" s="527"/>
      <c r="U382" s="528"/>
      <c r="V382" s="529"/>
      <c r="W382" s="532" t="s">
        <v>344</v>
      </c>
      <c r="X382" s="533"/>
      <c r="Y382" s="535"/>
      <c r="Z382" s="537"/>
      <c r="AA382" s="9"/>
      <c r="AB382" s="7"/>
      <c r="AC382" s="20"/>
      <c r="AD382" s="21"/>
      <c r="AE382" s="547"/>
      <c r="AF382" s="545"/>
      <c r="AG382" s="545"/>
      <c r="AH382" s="545"/>
      <c r="AI382" s="545"/>
      <c r="AJ382" s="546"/>
      <c r="AK382" s="547"/>
      <c r="AL382" s="545"/>
      <c r="AM382" s="545"/>
      <c r="AN382" s="545"/>
      <c r="AO382" s="545"/>
      <c r="AP382" s="546"/>
      <c r="AQ382" s="530">
        <v>159</v>
      </c>
      <c r="AR382" s="515"/>
      <c r="AS382" s="517"/>
      <c r="AT382" s="555"/>
      <c r="AU382" s="26" t="s">
        <v>87</v>
      </c>
      <c r="AV382" s="124"/>
      <c r="AW382" s="127" t="s">
        <v>192</v>
      </c>
      <c r="AX382" s="125"/>
      <c r="AY382" s="555"/>
      <c r="AZ382" s="26" t="s">
        <v>87</v>
      </c>
      <c r="BA382" s="124"/>
      <c r="BB382" s="127" t="s">
        <v>192</v>
      </c>
      <c r="BC382" s="125"/>
    </row>
    <row r="383" spans="1:55" ht="16.5" customHeight="1">
      <c r="A383" s="560"/>
      <c r="B383" s="561"/>
      <c r="C383" s="9" t="s">
        <v>37</v>
      </c>
      <c r="D383" s="13"/>
      <c r="E383" s="9" t="s">
        <v>48</v>
      </c>
      <c r="F383" s="12"/>
      <c r="G383" s="355">
        <v>157</v>
      </c>
      <c r="H383" s="338"/>
      <c r="I383" s="339"/>
      <c r="J383" s="340"/>
      <c r="K383" s="353" t="s">
        <v>340</v>
      </c>
      <c r="L383" s="7"/>
      <c r="M383" s="20"/>
      <c r="N383" s="21"/>
      <c r="O383" s="353" t="s">
        <v>340</v>
      </c>
      <c r="P383" s="7"/>
      <c r="Q383" s="20"/>
      <c r="R383" s="21"/>
      <c r="S383" s="519"/>
      <c r="T383" s="539"/>
      <c r="U383" s="540"/>
      <c r="V383" s="541"/>
      <c r="W383" s="519"/>
      <c r="X383" s="527"/>
      <c r="Y383" s="528"/>
      <c r="Z383" s="529"/>
      <c r="AA383" s="9" t="s">
        <v>58</v>
      </c>
      <c r="AB383" s="7"/>
      <c r="AC383" s="20"/>
      <c r="AD383" s="21"/>
      <c r="AE383" s="547"/>
      <c r="AF383" s="545"/>
      <c r="AG383" s="545"/>
      <c r="AH383" s="545"/>
      <c r="AI383" s="545"/>
      <c r="AJ383" s="546"/>
      <c r="AK383" s="547"/>
      <c r="AL383" s="545"/>
      <c r="AM383" s="545"/>
      <c r="AN383" s="545"/>
      <c r="AO383" s="545"/>
      <c r="AP383" s="546"/>
      <c r="AQ383" s="530"/>
      <c r="AR383" s="515"/>
      <c r="AS383" s="517"/>
      <c r="AT383" s="555"/>
      <c r="AU383" s="26" t="s">
        <v>88</v>
      </c>
      <c r="AV383" s="28"/>
      <c r="AW383" s="26" t="s">
        <v>12</v>
      </c>
      <c r="AX383" s="31"/>
      <c r="AY383" s="555"/>
      <c r="AZ383" s="26" t="s">
        <v>88</v>
      </c>
      <c r="BA383" s="28"/>
      <c r="BB383" s="26" t="s">
        <v>12</v>
      </c>
      <c r="BC383" s="31"/>
    </row>
    <row r="384" spans="1:55" ht="16.5" customHeight="1">
      <c r="A384" s="560"/>
      <c r="B384" s="561"/>
      <c r="C384" s="9" t="s">
        <v>38</v>
      </c>
      <c r="D384" s="13"/>
      <c r="E384" s="9" t="s">
        <v>49</v>
      </c>
      <c r="F384" s="12"/>
      <c r="G384" s="355">
        <v>158</v>
      </c>
      <c r="H384" s="338"/>
      <c r="I384" s="339"/>
      <c r="J384" s="340"/>
      <c r="K384" s="9" t="s">
        <v>341</v>
      </c>
      <c r="L384" s="7"/>
      <c r="M384" s="20"/>
      <c r="N384" s="21"/>
      <c r="O384" s="9" t="s">
        <v>341</v>
      </c>
      <c r="P384" s="7"/>
      <c r="Q384" s="20"/>
      <c r="R384" s="21"/>
      <c r="S384" s="519" t="s">
        <v>344</v>
      </c>
      <c r="T384" s="521"/>
      <c r="U384" s="523"/>
      <c r="V384" s="525"/>
      <c r="W384" s="519"/>
      <c r="X384" s="539"/>
      <c r="Y384" s="540"/>
      <c r="Z384" s="541"/>
      <c r="AA384" s="9" t="s">
        <v>59</v>
      </c>
      <c r="AB384" s="7"/>
      <c r="AC384" s="20"/>
      <c r="AD384" s="21"/>
      <c r="AE384" s="547"/>
      <c r="AF384" s="545"/>
      <c r="AG384" s="545"/>
      <c r="AH384" s="545"/>
      <c r="AI384" s="545"/>
      <c r="AJ384" s="546"/>
      <c r="AK384" s="547"/>
      <c r="AL384" s="545"/>
      <c r="AM384" s="545"/>
      <c r="AN384" s="545"/>
      <c r="AO384" s="545"/>
      <c r="AP384" s="546"/>
      <c r="AQ384" s="530">
        <v>160</v>
      </c>
      <c r="AR384" s="515"/>
      <c r="AS384" s="517"/>
      <c r="AT384" s="555"/>
      <c r="AU384" s="26" t="s">
        <v>89</v>
      </c>
      <c r="AV384" s="29"/>
      <c r="AW384" s="26" t="s">
        <v>12</v>
      </c>
      <c r="AX384" s="32"/>
      <c r="AY384" s="555"/>
      <c r="AZ384" s="26" t="s">
        <v>89</v>
      </c>
      <c r="BA384" s="29"/>
      <c r="BB384" s="26" t="s">
        <v>12</v>
      </c>
      <c r="BC384" s="32"/>
    </row>
    <row r="385" spans="1:55" ht="16.5" customHeight="1">
      <c r="A385" s="560"/>
      <c r="B385" s="561"/>
      <c r="C385" s="9" t="s">
        <v>39</v>
      </c>
      <c r="D385" s="13"/>
      <c r="E385" s="9" t="s">
        <v>50</v>
      </c>
      <c r="F385" s="132"/>
      <c r="G385" s="355">
        <v>159</v>
      </c>
      <c r="H385" s="347"/>
      <c r="I385" s="348"/>
      <c r="J385" s="349"/>
      <c r="K385" s="9"/>
      <c r="L385" s="7"/>
      <c r="M385" s="20"/>
      <c r="N385" s="21"/>
      <c r="O385" s="9"/>
      <c r="P385" s="7"/>
      <c r="Q385" s="20"/>
      <c r="R385" s="21"/>
      <c r="S385" s="519"/>
      <c r="T385" s="527"/>
      <c r="U385" s="528"/>
      <c r="V385" s="529"/>
      <c r="W385" s="519" t="s">
        <v>60</v>
      </c>
      <c r="X385" s="521"/>
      <c r="Y385" s="523"/>
      <c r="Z385" s="525"/>
      <c r="AA385" s="9" t="s">
        <v>60</v>
      </c>
      <c r="AB385" s="7"/>
      <c r="AC385" s="20"/>
      <c r="AD385" s="21"/>
      <c r="AE385" s="553"/>
      <c r="AF385" s="548"/>
      <c r="AG385" s="548"/>
      <c r="AH385" s="548"/>
      <c r="AI385" s="548"/>
      <c r="AJ385" s="549"/>
      <c r="AK385" s="553"/>
      <c r="AL385" s="548"/>
      <c r="AM385" s="548"/>
      <c r="AN385" s="548"/>
      <c r="AO385" s="548"/>
      <c r="AP385" s="549"/>
      <c r="AQ385" s="531"/>
      <c r="AR385" s="516"/>
      <c r="AS385" s="518"/>
      <c r="AT385" s="556"/>
      <c r="AU385" s="27" t="s">
        <v>90</v>
      </c>
      <c r="AV385" s="30"/>
      <c r="AW385" s="27" t="s">
        <v>91</v>
      </c>
      <c r="AX385" s="33"/>
      <c r="AY385" s="556"/>
      <c r="AZ385" s="27" t="s">
        <v>90</v>
      </c>
      <c r="BA385" s="30"/>
      <c r="BB385" s="27" t="s">
        <v>91</v>
      </c>
      <c r="BC385" s="33"/>
    </row>
    <row r="386" spans="1:55" ht="16.5" customHeight="1">
      <c r="A386" s="560"/>
      <c r="B386" s="561"/>
      <c r="C386" s="10" t="s">
        <v>40</v>
      </c>
      <c r="D386" s="15"/>
      <c r="E386" s="130" t="s">
        <v>255</v>
      </c>
      <c r="F386" s="131"/>
      <c r="G386" s="356">
        <v>160</v>
      </c>
      <c r="H386" s="350"/>
      <c r="I386" s="351"/>
      <c r="J386" s="352"/>
      <c r="K386" s="17"/>
      <c r="L386" s="16"/>
      <c r="M386" s="22"/>
      <c r="N386" s="23"/>
      <c r="O386" s="17"/>
      <c r="P386" s="16"/>
      <c r="Q386" s="22"/>
      <c r="R386" s="23"/>
      <c r="S386" s="520"/>
      <c r="T386" s="522"/>
      <c r="U386" s="524"/>
      <c r="V386" s="526"/>
      <c r="W386" s="520"/>
      <c r="X386" s="522"/>
      <c r="Y386" s="524"/>
      <c r="Z386" s="526"/>
      <c r="AA386" s="17" t="s">
        <v>61</v>
      </c>
      <c r="AB386" s="16"/>
      <c r="AC386" s="22"/>
      <c r="AD386" s="23"/>
      <c r="AE386" s="115"/>
      <c r="AF386" s="116"/>
      <c r="AG386" s="116"/>
      <c r="AH386" s="116"/>
      <c r="AI386" s="117"/>
      <c r="AJ386" s="118"/>
      <c r="AK386" s="119"/>
      <c r="AL386" s="120"/>
      <c r="AM386" s="121"/>
      <c r="AN386" s="121"/>
      <c r="AO386" s="121"/>
      <c r="AP386" s="122"/>
      <c r="AQ386" s="115"/>
      <c r="AR386" s="116"/>
      <c r="AS386" s="118"/>
      <c r="AT386" s="123"/>
      <c r="AU386" s="113"/>
      <c r="AV386" s="113"/>
      <c r="AW386" s="113"/>
      <c r="AX386" s="114"/>
      <c r="AY386" s="123"/>
      <c r="AZ386" s="113"/>
      <c r="BA386" s="113"/>
      <c r="BB386" s="113"/>
      <c r="BC386" s="114"/>
    </row>
    <row r="387" spans="1:55" ht="16.5" customHeight="1"/>
    <row r="388" spans="1:55" ht="16.5" customHeight="1">
      <c r="A388" s="560">
        <v>33</v>
      </c>
      <c r="B388" s="561"/>
      <c r="C388" s="8" t="s">
        <v>42</v>
      </c>
      <c r="D388" s="24"/>
      <c r="E388" s="8" t="s">
        <v>43</v>
      </c>
      <c r="F388" s="11"/>
      <c r="G388" s="354">
        <v>161</v>
      </c>
      <c r="H388" s="335"/>
      <c r="I388" s="336"/>
      <c r="J388" s="357"/>
      <c r="K388" s="8" t="s">
        <v>333</v>
      </c>
      <c r="L388" s="6"/>
      <c r="M388" s="18"/>
      <c r="N388" s="19"/>
      <c r="O388" s="8" t="s">
        <v>333</v>
      </c>
      <c r="P388" s="6"/>
      <c r="Q388" s="18"/>
      <c r="R388" s="19"/>
      <c r="S388" s="532" t="s">
        <v>51</v>
      </c>
      <c r="T388" s="533"/>
      <c r="U388" s="535"/>
      <c r="V388" s="537"/>
      <c r="W388" s="532" t="s">
        <v>51</v>
      </c>
      <c r="X388" s="533"/>
      <c r="Y388" s="535"/>
      <c r="Z388" s="537"/>
      <c r="AA388" s="8" t="s">
        <v>51</v>
      </c>
      <c r="AB388" s="6"/>
      <c r="AC388" s="18"/>
      <c r="AD388" s="19"/>
      <c r="AE388" s="552"/>
      <c r="AF388" s="550"/>
      <c r="AG388" s="550"/>
      <c r="AH388" s="550"/>
      <c r="AI388" s="550"/>
      <c r="AJ388" s="551"/>
      <c r="AK388" s="552"/>
      <c r="AL388" s="550"/>
      <c r="AM388" s="550"/>
      <c r="AN388" s="550"/>
      <c r="AO388" s="550"/>
      <c r="AP388" s="551"/>
      <c r="AQ388" s="542">
        <v>161</v>
      </c>
      <c r="AR388" s="543"/>
      <c r="AS388" s="544"/>
      <c r="AT388" s="554">
        <v>65</v>
      </c>
      <c r="AU388" s="25" t="s">
        <v>0</v>
      </c>
      <c r="AV388" s="557"/>
      <c r="AW388" s="558"/>
      <c r="AX388" s="559"/>
      <c r="AY388" s="554">
        <v>67</v>
      </c>
      <c r="AZ388" s="25" t="s">
        <v>0</v>
      </c>
      <c r="BA388" s="557"/>
      <c r="BB388" s="558"/>
      <c r="BC388" s="559"/>
    </row>
    <row r="389" spans="1:55" ht="16.5" customHeight="1">
      <c r="A389" s="560"/>
      <c r="B389" s="561"/>
      <c r="C389" s="9" t="s">
        <v>33</v>
      </c>
      <c r="D389" s="13"/>
      <c r="E389" s="9" t="s">
        <v>70</v>
      </c>
      <c r="F389" s="12"/>
      <c r="G389" s="355">
        <v>162</v>
      </c>
      <c r="H389" s="338"/>
      <c r="I389" s="339"/>
      <c r="J389" s="340"/>
      <c r="K389" s="9" t="s">
        <v>334</v>
      </c>
      <c r="L389" s="7"/>
      <c r="M389" s="20"/>
      <c r="N389" s="21"/>
      <c r="O389" s="9" t="s">
        <v>334</v>
      </c>
      <c r="P389" s="7"/>
      <c r="Q389" s="20"/>
      <c r="R389" s="21"/>
      <c r="S389" s="519"/>
      <c r="T389" s="527"/>
      <c r="U389" s="528"/>
      <c r="V389" s="529"/>
      <c r="W389" s="519"/>
      <c r="X389" s="527"/>
      <c r="Y389" s="528"/>
      <c r="Z389" s="529"/>
      <c r="AA389" s="9" t="s">
        <v>52</v>
      </c>
      <c r="AB389" s="7"/>
      <c r="AC389" s="20"/>
      <c r="AD389" s="21"/>
      <c r="AE389" s="547"/>
      <c r="AF389" s="545"/>
      <c r="AG389" s="545"/>
      <c r="AH389" s="545"/>
      <c r="AI389" s="545"/>
      <c r="AJ389" s="546"/>
      <c r="AK389" s="547"/>
      <c r="AL389" s="545"/>
      <c r="AM389" s="545"/>
      <c r="AN389" s="545"/>
      <c r="AO389" s="545"/>
      <c r="AP389" s="546"/>
      <c r="AQ389" s="530"/>
      <c r="AR389" s="515"/>
      <c r="AS389" s="517"/>
      <c r="AT389" s="555"/>
      <c r="AU389" s="26" t="s">
        <v>87</v>
      </c>
      <c r="AV389" s="124"/>
      <c r="AW389" s="26" t="s">
        <v>192</v>
      </c>
      <c r="AX389" s="126"/>
      <c r="AY389" s="555"/>
      <c r="AZ389" s="26" t="s">
        <v>87</v>
      </c>
      <c r="BA389" s="124"/>
      <c r="BB389" s="127" t="s">
        <v>192</v>
      </c>
      <c r="BC389" s="125"/>
    </row>
    <row r="390" spans="1:55" ht="16.5" customHeight="1">
      <c r="A390" s="560"/>
      <c r="B390" s="561"/>
      <c r="C390" s="9" t="s">
        <v>34</v>
      </c>
      <c r="D390" s="14"/>
      <c r="E390" s="9" t="s">
        <v>44</v>
      </c>
      <c r="F390" s="12"/>
      <c r="G390" s="355">
        <v>163</v>
      </c>
      <c r="H390" s="338"/>
      <c r="I390" s="339"/>
      <c r="J390" s="340"/>
      <c r="K390" s="9" t="s">
        <v>335</v>
      </c>
      <c r="L390" s="7"/>
      <c r="M390" s="20"/>
      <c r="N390" s="21"/>
      <c r="O390" s="9" t="s">
        <v>335</v>
      </c>
      <c r="P390" s="7"/>
      <c r="Q390" s="20"/>
      <c r="R390" s="21"/>
      <c r="S390" s="519"/>
      <c r="T390" s="527"/>
      <c r="U390" s="528"/>
      <c r="V390" s="529"/>
      <c r="W390" s="519"/>
      <c r="X390" s="539"/>
      <c r="Y390" s="540"/>
      <c r="Z390" s="541"/>
      <c r="AA390" s="9" t="s">
        <v>53</v>
      </c>
      <c r="AB390" s="7"/>
      <c r="AC390" s="20"/>
      <c r="AD390" s="21"/>
      <c r="AE390" s="547"/>
      <c r="AF390" s="545"/>
      <c r="AG390" s="545"/>
      <c r="AH390" s="545"/>
      <c r="AI390" s="545"/>
      <c r="AJ390" s="546"/>
      <c r="AK390" s="547"/>
      <c r="AL390" s="545"/>
      <c r="AM390" s="545"/>
      <c r="AN390" s="545"/>
      <c r="AO390" s="545"/>
      <c r="AP390" s="546"/>
      <c r="AQ390" s="530">
        <v>162</v>
      </c>
      <c r="AR390" s="515"/>
      <c r="AS390" s="517"/>
      <c r="AT390" s="555"/>
      <c r="AU390" s="26" t="s">
        <v>88</v>
      </c>
      <c r="AV390" s="28"/>
      <c r="AW390" s="26" t="s">
        <v>12</v>
      </c>
      <c r="AX390" s="31"/>
      <c r="AY390" s="555"/>
      <c r="AZ390" s="26" t="s">
        <v>88</v>
      </c>
      <c r="BA390" s="28"/>
      <c r="BB390" s="26" t="s">
        <v>12</v>
      </c>
      <c r="BC390" s="31"/>
    </row>
    <row r="391" spans="1:55" ht="16.5" customHeight="1">
      <c r="A391" s="560"/>
      <c r="B391" s="561"/>
      <c r="C391" s="9" t="s">
        <v>41</v>
      </c>
      <c r="D391" s="13"/>
      <c r="E391" s="9" t="s">
        <v>62</v>
      </c>
      <c r="F391" s="12"/>
      <c r="G391" s="355">
        <v>164</v>
      </c>
      <c r="H391" s="341"/>
      <c r="I391" s="342"/>
      <c r="J391" s="343"/>
      <c r="K391" s="9" t="s">
        <v>336</v>
      </c>
      <c r="L391" s="7"/>
      <c r="M391" s="20"/>
      <c r="N391" s="21"/>
      <c r="O391" s="9" t="s">
        <v>336</v>
      </c>
      <c r="P391" s="7"/>
      <c r="Q391" s="20"/>
      <c r="R391" s="21"/>
      <c r="S391" s="519"/>
      <c r="T391" s="534"/>
      <c r="U391" s="536"/>
      <c r="V391" s="538"/>
      <c r="W391" s="532" t="s">
        <v>52</v>
      </c>
      <c r="X391" s="533"/>
      <c r="Y391" s="535"/>
      <c r="Z391" s="537"/>
      <c r="AA391" s="9" t="s">
        <v>54</v>
      </c>
      <c r="AB391" s="7"/>
      <c r="AC391" s="20"/>
      <c r="AD391" s="21"/>
      <c r="AE391" s="547"/>
      <c r="AF391" s="545"/>
      <c r="AG391" s="545"/>
      <c r="AH391" s="545"/>
      <c r="AI391" s="545"/>
      <c r="AJ391" s="546"/>
      <c r="AK391" s="547"/>
      <c r="AL391" s="545"/>
      <c r="AM391" s="545"/>
      <c r="AN391" s="545"/>
      <c r="AO391" s="545"/>
      <c r="AP391" s="546"/>
      <c r="AQ391" s="530"/>
      <c r="AR391" s="515"/>
      <c r="AS391" s="517"/>
      <c r="AT391" s="555"/>
      <c r="AU391" s="26" t="s">
        <v>89</v>
      </c>
      <c r="AV391" s="29"/>
      <c r="AW391" s="26" t="s">
        <v>12</v>
      </c>
      <c r="AX391" s="32"/>
      <c r="AY391" s="555"/>
      <c r="AZ391" s="26" t="s">
        <v>89</v>
      </c>
      <c r="BA391" s="29"/>
      <c r="BB391" s="26" t="s">
        <v>12</v>
      </c>
      <c r="BC391" s="32"/>
    </row>
    <row r="392" spans="1:55" ht="16.5" customHeight="1">
      <c r="A392" s="560"/>
      <c r="B392" s="561"/>
      <c r="C392" s="9" t="s">
        <v>417</v>
      </c>
      <c r="D392" s="3"/>
      <c r="E392" s="9" t="s">
        <v>45</v>
      </c>
      <c r="F392" s="12"/>
      <c r="G392" s="356">
        <v>165</v>
      </c>
      <c r="H392" s="344"/>
      <c r="I392" s="345"/>
      <c r="J392" s="346"/>
      <c r="K392" s="9" t="s">
        <v>337</v>
      </c>
      <c r="L392" s="7"/>
      <c r="M392" s="20"/>
      <c r="N392" s="21"/>
      <c r="O392" s="9" t="s">
        <v>337</v>
      </c>
      <c r="P392" s="7"/>
      <c r="Q392" s="20"/>
      <c r="R392" s="21"/>
      <c r="S392" s="519" t="s">
        <v>52</v>
      </c>
      <c r="T392" s="527"/>
      <c r="U392" s="528"/>
      <c r="V392" s="529"/>
      <c r="W392" s="519"/>
      <c r="X392" s="527"/>
      <c r="Y392" s="528"/>
      <c r="Z392" s="529"/>
      <c r="AA392" s="9" t="s">
        <v>55</v>
      </c>
      <c r="AB392" s="7"/>
      <c r="AC392" s="20"/>
      <c r="AD392" s="21"/>
      <c r="AE392" s="547"/>
      <c r="AF392" s="545"/>
      <c r="AG392" s="545"/>
      <c r="AH392" s="545"/>
      <c r="AI392" s="545"/>
      <c r="AJ392" s="546"/>
      <c r="AK392" s="547"/>
      <c r="AL392" s="545"/>
      <c r="AM392" s="545"/>
      <c r="AN392" s="545"/>
      <c r="AO392" s="545"/>
      <c r="AP392" s="546"/>
      <c r="AQ392" s="530">
        <v>163</v>
      </c>
      <c r="AR392" s="515"/>
      <c r="AS392" s="517"/>
      <c r="AT392" s="556"/>
      <c r="AU392" s="27" t="s">
        <v>90</v>
      </c>
      <c r="AV392" s="30"/>
      <c r="AW392" s="27" t="s">
        <v>91</v>
      </c>
      <c r="AX392" s="33"/>
      <c r="AY392" s="556"/>
      <c r="AZ392" s="27" t="s">
        <v>90</v>
      </c>
      <c r="BA392" s="30"/>
      <c r="BB392" s="27" t="s">
        <v>91</v>
      </c>
      <c r="BC392" s="33"/>
    </row>
    <row r="393" spans="1:55" ht="16.5" customHeight="1">
      <c r="A393" s="560"/>
      <c r="B393" s="561"/>
      <c r="C393" s="9" t="s">
        <v>35</v>
      </c>
      <c r="D393" s="13"/>
      <c r="E393" s="9" t="s">
        <v>46</v>
      </c>
      <c r="F393" s="12"/>
      <c r="G393" s="5" t="s">
        <v>12</v>
      </c>
      <c r="H393" s="128" t="s">
        <v>13</v>
      </c>
      <c r="I393" s="4" t="s">
        <v>14</v>
      </c>
      <c r="J393" s="4" t="s">
        <v>15</v>
      </c>
      <c r="K393" s="9" t="s">
        <v>338</v>
      </c>
      <c r="L393" s="7"/>
      <c r="M393" s="20"/>
      <c r="N393" s="21"/>
      <c r="O393" s="9" t="s">
        <v>338</v>
      </c>
      <c r="P393" s="7"/>
      <c r="Q393" s="20"/>
      <c r="R393" s="21"/>
      <c r="S393" s="519"/>
      <c r="T393" s="527"/>
      <c r="U393" s="528"/>
      <c r="V393" s="529"/>
      <c r="W393" s="519"/>
      <c r="X393" s="539"/>
      <c r="Y393" s="540"/>
      <c r="Z393" s="541"/>
      <c r="AA393" s="9" t="s">
        <v>56</v>
      </c>
      <c r="AB393" s="7"/>
      <c r="AC393" s="20"/>
      <c r="AD393" s="21"/>
      <c r="AE393" s="547"/>
      <c r="AF393" s="545"/>
      <c r="AG393" s="545"/>
      <c r="AH393" s="545"/>
      <c r="AI393" s="545"/>
      <c r="AJ393" s="546"/>
      <c r="AK393" s="547"/>
      <c r="AL393" s="545"/>
      <c r="AM393" s="545"/>
      <c r="AN393" s="545"/>
      <c r="AO393" s="545"/>
      <c r="AP393" s="546"/>
      <c r="AQ393" s="530"/>
      <c r="AR393" s="515"/>
      <c r="AS393" s="517"/>
      <c r="AT393" s="554">
        <v>66</v>
      </c>
      <c r="AU393" s="25" t="s">
        <v>0</v>
      </c>
      <c r="AV393" s="557"/>
      <c r="AW393" s="558"/>
      <c r="AX393" s="559"/>
      <c r="AY393" s="554">
        <v>68</v>
      </c>
      <c r="AZ393" s="25" t="s">
        <v>0</v>
      </c>
      <c r="BA393" s="557"/>
      <c r="BB393" s="558"/>
      <c r="BC393" s="559"/>
    </row>
    <row r="394" spans="1:55" ht="16.5" customHeight="1">
      <c r="A394" s="560"/>
      <c r="B394" s="561"/>
      <c r="C394" s="9" t="s">
        <v>36</v>
      </c>
      <c r="D394" s="13"/>
      <c r="E394" s="9" t="s">
        <v>47</v>
      </c>
      <c r="F394" s="12"/>
      <c r="G394" s="354">
        <v>161</v>
      </c>
      <c r="H394" s="335"/>
      <c r="I394" s="336"/>
      <c r="J394" s="357"/>
      <c r="K394" s="9" t="s">
        <v>339</v>
      </c>
      <c r="L394" s="7"/>
      <c r="M394" s="20"/>
      <c r="N394" s="21"/>
      <c r="O394" s="9" t="s">
        <v>339</v>
      </c>
      <c r="P394" s="7"/>
      <c r="Q394" s="20"/>
      <c r="R394" s="21"/>
      <c r="S394" s="519"/>
      <c r="T394" s="527"/>
      <c r="U394" s="528"/>
      <c r="V394" s="529"/>
      <c r="W394" s="532" t="s">
        <v>344</v>
      </c>
      <c r="X394" s="533"/>
      <c r="Y394" s="535"/>
      <c r="Z394" s="537"/>
      <c r="AA394" s="9"/>
      <c r="AB394" s="7"/>
      <c r="AC394" s="20"/>
      <c r="AD394" s="21"/>
      <c r="AE394" s="547"/>
      <c r="AF394" s="545"/>
      <c r="AG394" s="545"/>
      <c r="AH394" s="545"/>
      <c r="AI394" s="545"/>
      <c r="AJ394" s="546"/>
      <c r="AK394" s="547"/>
      <c r="AL394" s="545"/>
      <c r="AM394" s="545"/>
      <c r="AN394" s="545"/>
      <c r="AO394" s="545"/>
      <c r="AP394" s="546"/>
      <c r="AQ394" s="530">
        <v>164</v>
      </c>
      <c r="AR394" s="515"/>
      <c r="AS394" s="517"/>
      <c r="AT394" s="555"/>
      <c r="AU394" s="26" t="s">
        <v>87</v>
      </c>
      <c r="AV394" s="124"/>
      <c r="AW394" s="127" t="s">
        <v>192</v>
      </c>
      <c r="AX394" s="125"/>
      <c r="AY394" s="555"/>
      <c r="AZ394" s="26" t="s">
        <v>87</v>
      </c>
      <c r="BA394" s="124"/>
      <c r="BB394" s="127" t="s">
        <v>192</v>
      </c>
      <c r="BC394" s="125"/>
    </row>
    <row r="395" spans="1:55" ht="16.5" customHeight="1">
      <c r="A395" s="560"/>
      <c r="B395" s="561"/>
      <c r="C395" s="9" t="s">
        <v>37</v>
      </c>
      <c r="D395" s="13"/>
      <c r="E395" s="9" t="s">
        <v>48</v>
      </c>
      <c r="F395" s="12"/>
      <c r="G395" s="355">
        <v>162</v>
      </c>
      <c r="H395" s="338"/>
      <c r="I395" s="339"/>
      <c r="J395" s="340"/>
      <c r="K395" s="353" t="s">
        <v>340</v>
      </c>
      <c r="L395" s="7"/>
      <c r="M395" s="20"/>
      <c r="N395" s="21"/>
      <c r="O395" s="353" t="s">
        <v>340</v>
      </c>
      <c r="P395" s="7"/>
      <c r="Q395" s="20"/>
      <c r="R395" s="21"/>
      <c r="S395" s="519"/>
      <c r="T395" s="539"/>
      <c r="U395" s="540"/>
      <c r="V395" s="541"/>
      <c r="W395" s="519"/>
      <c r="X395" s="527"/>
      <c r="Y395" s="528"/>
      <c r="Z395" s="529"/>
      <c r="AA395" s="9" t="s">
        <v>58</v>
      </c>
      <c r="AB395" s="7"/>
      <c r="AC395" s="20"/>
      <c r="AD395" s="21"/>
      <c r="AE395" s="547"/>
      <c r="AF395" s="545"/>
      <c r="AG395" s="545"/>
      <c r="AH395" s="545"/>
      <c r="AI395" s="545"/>
      <c r="AJ395" s="546"/>
      <c r="AK395" s="547"/>
      <c r="AL395" s="545"/>
      <c r="AM395" s="545"/>
      <c r="AN395" s="545"/>
      <c r="AO395" s="545"/>
      <c r="AP395" s="546"/>
      <c r="AQ395" s="530"/>
      <c r="AR395" s="515"/>
      <c r="AS395" s="517"/>
      <c r="AT395" s="555"/>
      <c r="AU395" s="26" t="s">
        <v>88</v>
      </c>
      <c r="AV395" s="28"/>
      <c r="AW395" s="26" t="s">
        <v>12</v>
      </c>
      <c r="AX395" s="31"/>
      <c r="AY395" s="555"/>
      <c r="AZ395" s="26" t="s">
        <v>88</v>
      </c>
      <c r="BA395" s="28"/>
      <c r="BB395" s="26" t="s">
        <v>12</v>
      </c>
      <c r="BC395" s="31"/>
    </row>
    <row r="396" spans="1:55" ht="16.5" customHeight="1">
      <c r="A396" s="560"/>
      <c r="B396" s="561"/>
      <c r="C396" s="9" t="s">
        <v>38</v>
      </c>
      <c r="D396" s="13"/>
      <c r="E396" s="9" t="s">
        <v>49</v>
      </c>
      <c r="F396" s="12"/>
      <c r="G396" s="355">
        <v>163</v>
      </c>
      <c r="H396" s="338"/>
      <c r="I396" s="339"/>
      <c r="J396" s="340"/>
      <c r="K396" s="9" t="s">
        <v>341</v>
      </c>
      <c r="L396" s="7"/>
      <c r="M396" s="20"/>
      <c r="N396" s="21"/>
      <c r="O396" s="9" t="s">
        <v>341</v>
      </c>
      <c r="P396" s="7"/>
      <c r="Q396" s="20"/>
      <c r="R396" s="21"/>
      <c r="S396" s="519" t="s">
        <v>344</v>
      </c>
      <c r="T396" s="521"/>
      <c r="U396" s="523"/>
      <c r="V396" s="525"/>
      <c r="W396" s="519"/>
      <c r="X396" s="539"/>
      <c r="Y396" s="540"/>
      <c r="Z396" s="541"/>
      <c r="AA396" s="9" t="s">
        <v>59</v>
      </c>
      <c r="AB396" s="7"/>
      <c r="AC396" s="20"/>
      <c r="AD396" s="21"/>
      <c r="AE396" s="547"/>
      <c r="AF396" s="545"/>
      <c r="AG396" s="545"/>
      <c r="AH396" s="545"/>
      <c r="AI396" s="545"/>
      <c r="AJ396" s="546"/>
      <c r="AK396" s="547"/>
      <c r="AL396" s="545"/>
      <c r="AM396" s="545"/>
      <c r="AN396" s="545"/>
      <c r="AO396" s="545"/>
      <c r="AP396" s="546"/>
      <c r="AQ396" s="530">
        <v>165</v>
      </c>
      <c r="AR396" s="515"/>
      <c r="AS396" s="517"/>
      <c r="AT396" s="555"/>
      <c r="AU396" s="26" t="s">
        <v>89</v>
      </c>
      <c r="AV396" s="29"/>
      <c r="AW396" s="26" t="s">
        <v>12</v>
      </c>
      <c r="AX396" s="32"/>
      <c r="AY396" s="555"/>
      <c r="AZ396" s="26" t="s">
        <v>89</v>
      </c>
      <c r="BA396" s="29"/>
      <c r="BB396" s="26" t="s">
        <v>12</v>
      </c>
      <c r="BC396" s="32"/>
    </row>
    <row r="397" spans="1:55" ht="16.5" customHeight="1">
      <c r="A397" s="560"/>
      <c r="B397" s="561"/>
      <c r="C397" s="9" t="s">
        <v>39</v>
      </c>
      <c r="D397" s="13"/>
      <c r="E397" s="9" t="s">
        <v>50</v>
      </c>
      <c r="F397" s="132"/>
      <c r="G397" s="355">
        <v>164</v>
      </c>
      <c r="H397" s="347"/>
      <c r="I397" s="348"/>
      <c r="J397" s="349"/>
      <c r="K397" s="9"/>
      <c r="L397" s="7"/>
      <c r="M397" s="20"/>
      <c r="N397" s="21"/>
      <c r="O397" s="9"/>
      <c r="P397" s="7"/>
      <c r="Q397" s="20"/>
      <c r="R397" s="21"/>
      <c r="S397" s="519"/>
      <c r="T397" s="527"/>
      <c r="U397" s="528"/>
      <c r="V397" s="529"/>
      <c r="W397" s="519" t="s">
        <v>60</v>
      </c>
      <c r="X397" s="521"/>
      <c r="Y397" s="523"/>
      <c r="Z397" s="525"/>
      <c r="AA397" s="9" t="s">
        <v>60</v>
      </c>
      <c r="AB397" s="7"/>
      <c r="AC397" s="20"/>
      <c r="AD397" s="21"/>
      <c r="AE397" s="553"/>
      <c r="AF397" s="548"/>
      <c r="AG397" s="548"/>
      <c r="AH397" s="548"/>
      <c r="AI397" s="548"/>
      <c r="AJ397" s="549"/>
      <c r="AK397" s="553"/>
      <c r="AL397" s="548"/>
      <c r="AM397" s="548"/>
      <c r="AN397" s="548"/>
      <c r="AO397" s="548"/>
      <c r="AP397" s="549"/>
      <c r="AQ397" s="531"/>
      <c r="AR397" s="516"/>
      <c r="AS397" s="518"/>
      <c r="AT397" s="556"/>
      <c r="AU397" s="27" t="s">
        <v>90</v>
      </c>
      <c r="AV397" s="30"/>
      <c r="AW397" s="27" t="s">
        <v>91</v>
      </c>
      <c r="AX397" s="33"/>
      <c r="AY397" s="556"/>
      <c r="AZ397" s="27" t="s">
        <v>90</v>
      </c>
      <c r="BA397" s="30"/>
      <c r="BB397" s="27" t="s">
        <v>91</v>
      </c>
      <c r="BC397" s="33"/>
    </row>
    <row r="398" spans="1:55" ht="16.5" customHeight="1">
      <c r="A398" s="560"/>
      <c r="B398" s="561"/>
      <c r="C398" s="10" t="s">
        <v>40</v>
      </c>
      <c r="D398" s="15"/>
      <c r="E398" s="130" t="s">
        <v>255</v>
      </c>
      <c r="F398" s="131"/>
      <c r="G398" s="356">
        <v>165</v>
      </c>
      <c r="H398" s="350"/>
      <c r="I398" s="351"/>
      <c r="J398" s="352"/>
      <c r="K398" s="17"/>
      <c r="L398" s="16"/>
      <c r="M398" s="22"/>
      <c r="N398" s="23"/>
      <c r="O398" s="17"/>
      <c r="P398" s="16"/>
      <c r="Q398" s="22"/>
      <c r="R398" s="23"/>
      <c r="S398" s="520"/>
      <c r="T398" s="522"/>
      <c r="U398" s="524"/>
      <c r="V398" s="526"/>
      <c r="W398" s="520"/>
      <c r="X398" s="522"/>
      <c r="Y398" s="524"/>
      <c r="Z398" s="526"/>
      <c r="AA398" s="17" t="s">
        <v>61</v>
      </c>
      <c r="AB398" s="16"/>
      <c r="AC398" s="22"/>
      <c r="AD398" s="23"/>
      <c r="AE398" s="115"/>
      <c r="AF398" s="116"/>
      <c r="AG398" s="116"/>
      <c r="AH398" s="116"/>
      <c r="AI398" s="117"/>
      <c r="AJ398" s="118"/>
      <c r="AK398" s="119"/>
      <c r="AL398" s="120"/>
      <c r="AM398" s="121"/>
      <c r="AN398" s="121"/>
      <c r="AO398" s="121"/>
      <c r="AP398" s="122"/>
      <c r="AQ398" s="115"/>
      <c r="AR398" s="116"/>
      <c r="AS398" s="118"/>
      <c r="AT398" s="123"/>
      <c r="AU398" s="113"/>
      <c r="AV398" s="113"/>
      <c r="AW398" s="113"/>
      <c r="AX398" s="114"/>
      <c r="AY398" s="123"/>
      <c r="AZ398" s="113"/>
      <c r="BA398" s="113"/>
      <c r="BB398" s="113"/>
      <c r="BC398" s="114"/>
    </row>
    <row r="399" spans="1:55" ht="16.5" customHeight="1"/>
    <row r="400" spans="1:55" ht="16.5" customHeight="1">
      <c r="A400" s="560">
        <v>34</v>
      </c>
      <c r="B400" s="561"/>
      <c r="C400" s="8" t="s">
        <v>42</v>
      </c>
      <c r="D400" s="24"/>
      <c r="E400" s="8" t="s">
        <v>43</v>
      </c>
      <c r="F400" s="11"/>
      <c r="G400" s="354">
        <v>166</v>
      </c>
      <c r="H400" s="335"/>
      <c r="I400" s="336"/>
      <c r="J400" s="357"/>
      <c r="K400" s="8" t="s">
        <v>333</v>
      </c>
      <c r="L400" s="6"/>
      <c r="M400" s="18"/>
      <c r="N400" s="19"/>
      <c r="O400" s="8" t="s">
        <v>333</v>
      </c>
      <c r="P400" s="6"/>
      <c r="Q400" s="18"/>
      <c r="R400" s="19"/>
      <c r="S400" s="532" t="s">
        <v>51</v>
      </c>
      <c r="T400" s="533"/>
      <c r="U400" s="535"/>
      <c r="V400" s="537"/>
      <c r="W400" s="532" t="s">
        <v>51</v>
      </c>
      <c r="X400" s="533"/>
      <c r="Y400" s="535"/>
      <c r="Z400" s="537"/>
      <c r="AA400" s="8" t="s">
        <v>51</v>
      </c>
      <c r="AB400" s="6"/>
      <c r="AC400" s="18"/>
      <c r="AD400" s="19"/>
      <c r="AE400" s="552"/>
      <c r="AF400" s="550"/>
      <c r="AG400" s="550"/>
      <c r="AH400" s="550"/>
      <c r="AI400" s="550"/>
      <c r="AJ400" s="551"/>
      <c r="AK400" s="552"/>
      <c r="AL400" s="550"/>
      <c r="AM400" s="550"/>
      <c r="AN400" s="550"/>
      <c r="AO400" s="550"/>
      <c r="AP400" s="551"/>
      <c r="AQ400" s="542">
        <v>166</v>
      </c>
      <c r="AR400" s="543"/>
      <c r="AS400" s="544"/>
      <c r="AT400" s="554">
        <v>67</v>
      </c>
      <c r="AU400" s="25" t="s">
        <v>0</v>
      </c>
      <c r="AV400" s="557"/>
      <c r="AW400" s="558"/>
      <c r="AX400" s="559"/>
      <c r="AY400" s="554">
        <v>69</v>
      </c>
      <c r="AZ400" s="25" t="s">
        <v>0</v>
      </c>
      <c r="BA400" s="557"/>
      <c r="BB400" s="558"/>
      <c r="BC400" s="559"/>
    </row>
    <row r="401" spans="1:55" ht="16.5" customHeight="1">
      <c r="A401" s="560"/>
      <c r="B401" s="561"/>
      <c r="C401" s="9" t="s">
        <v>33</v>
      </c>
      <c r="D401" s="13"/>
      <c r="E401" s="9" t="s">
        <v>70</v>
      </c>
      <c r="F401" s="12"/>
      <c r="G401" s="355">
        <v>167</v>
      </c>
      <c r="H401" s="338"/>
      <c r="I401" s="339"/>
      <c r="J401" s="340"/>
      <c r="K401" s="9" t="s">
        <v>334</v>
      </c>
      <c r="L401" s="7"/>
      <c r="M401" s="20"/>
      <c r="N401" s="21"/>
      <c r="O401" s="9" t="s">
        <v>334</v>
      </c>
      <c r="P401" s="7"/>
      <c r="Q401" s="20"/>
      <c r="R401" s="21"/>
      <c r="S401" s="519"/>
      <c r="T401" s="527"/>
      <c r="U401" s="528"/>
      <c r="V401" s="529"/>
      <c r="W401" s="519"/>
      <c r="X401" s="527"/>
      <c r="Y401" s="528"/>
      <c r="Z401" s="529"/>
      <c r="AA401" s="9" t="s">
        <v>52</v>
      </c>
      <c r="AB401" s="7"/>
      <c r="AC401" s="20"/>
      <c r="AD401" s="21"/>
      <c r="AE401" s="547"/>
      <c r="AF401" s="545"/>
      <c r="AG401" s="545"/>
      <c r="AH401" s="545"/>
      <c r="AI401" s="545"/>
      <c r="AJ401" s="546"/>
      <c r="AK401" s="547"/>
      <c r="AL401" s="545"/>
      <c r="AM401" s="545"/>
      <c r="AN401" s="545"/>
      <c r="AO401" s="545"/>
      <c r="AP401" s="546"/>
      <c r="AQ401" s="530"/>
      <c r="AR401" s="515"/>
      <c r="AS401" s="517"/>
      <c r="AT401" s="555"/>
      <c r="AU401" s="26" t="s">
        <v>87</v>
      </c>
      <c r="AV401" s="124"/>
      <c r="AW401" s="26" t="s">
        <v>192</v>
      </c>
      <c r="AX401" s="126"/>
      <c r="AY401" s="555"/>
      <c r="AZ401" s="26" t="s">
        <v>87</v>
      </c>
      <c r="BA401" s="124"/>
      <c r="BB401" s="127" t="s">
        <v>192</v>
      </c>
      <c r="BC401" s="125"/>
    </row>
    <row r="402" spans="1:55" ht="16.5" customHeight="1">
      <c r="A402" s="560"/>
      <c r="B402" s="561"/>
      <c r="C402" s="9" t="s">
        <v>34</v>
      </c>
      <c r="D402" s="14"/>
      <c r="E402" s="9" t="s">
        <v>44</v>
      </c>
      <c r="F402" s="12"/>
      <c r="G402" s="355">
        <v>168</v>
      </c>
      <c r="H402" s="338"/>
      <c r="I402" s="339"/>
      <c r="J402" s="340"/>
      <c r="K402" s="9" t="s">
        <v>335</v>
      </c>
      <c r="L402" s="7"/>
      <c r="M402" s="20"/>
      <c r="N402" s="21"/>
      <c r="O402" s="9" t="s">
        <v>335</v>
      </c>
      <c r="P402" s="7"/>
      <c r="Q402" s="20"/>
      <c r="R402" s="21"/>
      <c r="S402" s="519"/>
      <c r="T402" s="527"/>
      <c r="U402" s="528"/>
      <c r="V402" s="529"/>
      <c r="W402" s="519"/>
      <c r="X402" s="539"/>
      <c r="Y402" s="540"/>
      <c r="Z402" s="541"/>
      <c r="AA402" s="9" t="s">
        <v>53</v>
      </c>
      <c r="AB402" s="7"/>
      <c r="AC402" s="20"/>
      <c r="AD402" s="21"/>
      <c r="AE402" s="547"/>
      <c r="AF402" s="545"/>
      <c r="AG402" s="545"/>
      <c r="AH402" s="545"/>
      <c r="AI402" s="545"/>
      <c r="AJ402" s="546"/>
      <c r="AK402" s="547"/>
      <c r="AL402" s="545"/>
      <c r="AM402" s="545"/>
      <c r="AN402" s="545"/>
      <c r="AO402" s="545"/>
      <c r="AP402" s="546"/>
      <c r="AQ402" s="530">
        <v>167</v>
      </c>
      <c r="AR402" s="515"/>
      <c r="AS402" s="517"/>
      <c r="AT402" s="555"/>
      <c r="AU402" s="26" t="s">
        <v>88</v>
      </c>
      <c r="AV402" s="28"/>
      <c r="AW402" s="26" t="s">
        <v>12</v>
      </c>
      <c r="AX402" s="31"/>
      <c r="AY402" s="555"/>
      <c r="AZ402" s="26" t="s">
        <v>88</v>
      </c>
      <c r="BA402" s="28"/>
      <c r="BB402" s="26" t="s">
        <v>12</v>
      </c>
      <c r="BC402" s="31"/>
    </row>
    <row r="403" spans="1:55" ht="16.5" customHeight="1">
      <c r="A403" s="560"/>
      <c r="B403" s="561"/>
      <c r="C403" s="9" t="s">
        <v>41</v>
      </c>
      <c r="D403" s="13"/>
      <c r="E403" s="9" t="s">
        <v>62</v>
      </c>
      <c r="F403" s="12"/>
      <c r="G403" s="355">
        <v>169</v>
      </c>
      <c r="H403" s="341"/>
      <c r="I403" s="342"/>
      <c r="J403" s="343"/>
      <c r="K403" s="9" t="s">
        <v>336</v>
      </c>
      <c r="L403" s="7"/>
      <c r="M403" s="20"/>
      <c r="N403" s="21"/>
      <c r="O403" s="9" t="s">
        <v>336</v>
      </c>
      <c r="P403" s="7"/>
      <c r="Q403" s="20"/>
      <c r="R403" s="21"/>
      <c r="S403" s="519"/>
      <c r="T403" s="534"/>
      <c r="U403" s="536"/>
      <c r="V403" s="538"/>
      <c r="W403" s="532" t="s">
        <v>52</v>
      </c>
      <c r="X403" s="533"/>
      <c r="Y403" s="535"/>
      <c r="Z403" s="537"/>
      <c r="AA403" s="9" t="s">
        <v>54</v>
      </c>
      <c r="AB403" s="7"/>
      <c r="AC403" s="20"/>
      <c r="AD403" s="21"/>
      <c r="AE403" s="547"/>
      <c r="AF403" s="545"/>
      <c r="AG403" s="545"/>
      <c r="AH403" s="545"/>
      <c r="AI403" s="545"/>
      <c r="AJ403" s="546"/>
      <c r="AK403" s="547"/>
      <c r="AL403" s="545"/>
      <c r="AM403" s="545"/>
      <c r="AN403" s="545"/>
      <c r="AO403" s="545"/>
      <c r="AP403" s="546"/>
      <c r="AQ403" s="530"/>
      <c r="AR403" s="515"/>
      <c r="AS403" s="517"/>
      <c r="AT403" s="555"/>
      <c r="AU403" s="26" t="s">
        <v>89</v>
      </c>
      <c r="AV403" s="29"/>
      <c r="AW403" s="26" t="s">
        <v>12</v>
      </c>
      <c r="AX403" s="32"/>
      <c r="AY403" s="555"/>
      <c r="AZ403" s="26" t="s">
        <v>89</v>
      </c>
      <c r="BA403" s="29"/>
      <c r="BB403" s="26" t="s">
        <v>12</v>
      </c>
      <c r="BC403" s="32"/>
    </row>
    <row r="404" spans="1:55" ht="16.5" customHeight="1">
      <c r="A404" s="560"/>
      <c r="B404" s="561"/>
      <c r="C404" s="9" t="s">
        <v>417</v>
      </c>
      <c r="D404" s="3"/>
      <c r="E404" s="9" t="s">
        <v>45</v>
      </c>
      <c r="F404" s="12"/>
      <c r="G404" s="356">
        <v>170</v>
      </c>
      <c r="H404" s="344"/>
      <c r="I404" s="345"/>
      <c r="J404" s="346"/>
      <c r="K404" s="9" t="s">
        <v>337</v>
      </c>
      <c r="L404" s="7"/>
      <c r="M404" s="20"/>
      <c r="N404" s="21"/>
      <c r="O404" s="9" t="s">
        <v>337</v>
      </c>
      <c r="P404" s="7"/>
      <c r="Q404" s="20"/>
      <c r="R404" s="21"/>
      <c r="S404" s="519" t="s">
        <v>52</v>
      </c>
      <c r="T404" s="527"/>
      <c r="U404" s="528"/>
      <c r="V404" s="529"/>
      <c r="W404" s="519"/>
      <c r="X404" s="527"/>
      <c r="Y404" s="528"/>
      <c r="Z404" s="529"/>
      <c r="AA404" s="9" t="s">
        <v>55</v>
      </c>
      <c r="AB404" s="7"/>
      <c r="AC404" s="20"/>
      <c r="AD404" s="21"/>
      <c r="AE404" s="547"/>
      <c r="AF404" s="545"/>
      <c r="AG404" s="545"/>
      <c r="AH404" s="545"/>
      <c r="AI404" s="545"/>
      <c r="AJ404" s="546"/>
      <c r="AK404" s="547"/>
      <c r="AL404" s="545"/>
      <c r="AM404" s="545"/>
      <c r="AN404" s="545"/>
      <c r="AO404" s="545"/>
      <c r="AP404" s="546"/>
      <c r="AQ404" s="530">
        <v>168</v>
      </c>
      <c r="AR404" s="515"/>
      <c r="AS404" s="517"/>
      <c r="AT404" s="556"/>
      <c r="AU404" s="27" t="s">
        <v>90</v>
      </c>
      <c r="AV404" s="30"/>
      <c r="AW404" s="27" t="s">
        <v>91</v>
      </c>
      <c r="AX404" s="33"/>
      <c r="AY404" s="556"/>
      <c r="AZ404" s="27" t="s">
        <v>90</v>
      </c>
      <c r="BA404" s="30"/>
      <c r="BB404" s="27" t="s">
        <v>91</v>
      </c>
      <c r="BC404" s="33"/>
    </row>
    <row r="405" spans="1:55" ht="16.5" customHeight="1">
      <c r="A405" s="560"/>
      <c r="B405" s="561"/>
      <c r="C405" s="9" t="s">
        <v>35</v>
      </c>
      <c r="D405" s="13"/>
      <c r="E405" s="9" t="s">
        <v>46</v>
      </c>
      <c r="F405" s="12"/>
      <c r="G405" s="5" t="s">
        <v>12</v>
      </c>
      <c r="H405" s="128" t="s">
        <v>13</v>
      </c>
      <c r="I405" s="4" t="s">
        <v>14</v>
      </c>
      <c r="J405" s="4" t="s">
        <v>15</v>
      </c>
      <c r="K405" s="9" t="s">
        <v>338</v>
      </c>
      <c r="L405" s="7"/>
      <c r="M405" s="20"/>
      <c r="N405" s="21"/>
      <c r="O405" s="9" t="s">
        <v>338</v>
      </c>
      <c r="P405" s="7"/>
      <c r="Q405" s="20"/>
      <c r="R405" s="21"/>
      <c r="S405" s="519"/>
      <c r="T405" s="527"/>
      <c r="U405" s="528"/>
      <c r="V405" s="529"/>
      <c r="W405" s="519"/>
      <c r="X405" s="539"/>
      <c r="Y405" s="540"/>
      <c r="Z405" s="541"/>
      <c r="AA405" s="9" t="s">
        <v>56</v>
      </c>
      <c r="AB405" s="7"/>
      <c r="AC405" s="20"/>
      <c r="AD405" s="21"/>
      <c r="AE405" s="547"/>
      <c r="AF405" s="545"/>
      <c r="AG405" s="545"/>
      <c r="AH405" s="545"/>
      <c r="AI405" s="545"/>
      <c r="AJ405" s="546"/>
      <c r="AK405" s="547"/>
      <c r="AL405" s="545"/>
      <c r="AM405" s="545"/>
      <c r="AN405" s="545"/>
      <c r="AO405" s="545"/>
      <c r="AP405" s="546"/>
      <c r="AQ405" s="530"/>
      <c r="AR405" s="515"/>
      <c r="AS405" s="517"/>
      <c r="AT405" s="554">
        <v>68</v>
      </c>
      <c r="AU405" s="25" t="s">
        <v>0</v>
      </c>
      <c r="AV405" s="557"/>
      <c r="AW405" s="558"/>
      <c r="AX405" s="559"/>
      <c r="AY405" s="554">
        <v>70</v>
      </c>
      <c r="AZ405" s="25" t="s">
        <v>0</v>
      </c>
      <c r="BA405" s="557"/>
      <c r="BB405" s="558"/>
      <c r="BC405" s="559"/>
    </row>
    <row r="406" spans="1:55" ht="16.5" customHeight="1">
      <c r="A406" s="560"/>
      <c r="B406" s="561"/>
      <c r="C406" s="9" t="s">
        <v>36</v>
      </c>
      <c r="D406" s="13"/>
      <c r="E406" s="9" t="s">
        <v>47</v>
      </c>
      <c r="F406" s="12"/>
      <c r="G406" s="354">
        <v>166</v>
      </c>
      <c r="H406" s="335"/>
      <c r="I406" s="336"/>
      <c r="J406" s="357"/>
      <c r="K406" s="9" t="s">
        <v>339</v>
      </c>
      <c r="L406" s="7"/>
      <c r="M406" s="20"/>
      <c r="N406" s="21"/>
      <c r="O406" s="9" t="s">
        <v>339</v>
      </c>
      <c r="P406" s="7"/>
      <c r="Q406" s="20"/>
      <c r="R406" s="21"/>
      <c r="S406" s="519"/>
      <c r="T406" s="527"/>
      <c r="U406" s="528"/>
      <c r="V406" s="529"/>
      <c r="W406" s="532" t="s">
        <v>344</v>
      </c>
      <c r="X406" s="533"/>
      <c r="Y406" s="535"/>
      <c r="Z406" s="537"/>
      <c r="AA406" s="9"/>
      <c r="AB406" s="7"/>
      <c r="AC406" s="20"/>
      <c r="AD406" s="21"/>
      <c r="AE406" s="547"/>
      <c r="AF406" s="545"/>
      <c r="AG406" s="545"/>
      <c r="AH406" s="545"/>
      <c r="AI406" s="545"/>
      <c r="AJ406" s="546"/>
      <c r="AK406" s="547"/>
      <c r="AL406" s="545"/>
      <c r="AM406" s="545"/>
      <c r="AN406" s="545"/>
      <c r="AO406" s="545"/>
      <c r="AP406" s="546"/>
      <c r="AQ406" s="530">
        <v>169</v>
      </c>
      <c r="AR406" s="515"/>
      <c r="AS406" s="517"/>
      <c r="AT406" s="555"/>
      <c r="AU406" s="26" t="s">
        <v>87</v>
      </c>
      <c r="AV406" s="124"/>
      <c r="AW406" s="127" t="s">
        <v>192</v>
      </c>
      <c r="AX406" s="125"/>
      <c r="AY406" s="555"/>
      <c r="AZ406" s="26" t="s">
        <v>87</v>
      </c>
      <c r="BA406" s="124"/>
      <c r="BB406" s="127" t="s">
        <v>192</v>
      </c>
      <c r="BC406" s="125"/>
    </row>
    <row r="407" spans="1:55" ht="16.5" customHeight="1">
      <c r="A407" s="560"/>
      <c r="B407" s="561"/>
      <c r="C407" s="9" t="s">
        <v>37</v>
      </c>
      <c r="D407" s="13"/>
      <c r="E407" s="9" t="s">
        <v>48</v>
      </c>
      <c r="F407" s="12"/>
      <c r="G407" s="355">
        <v>167</v>
      </c>
      <c r="H407" s="338"/>
      <c r="I407" s="339"/>
      <c r="J407" s="340"/>
      <c r="K407" s="353" t="s">
        <v>340</v>
      </c>
      <c r="L407" s="7"/>
      <c r="M407" s="20"/>
      <c r="N407" s="21"/>
      <c r="O407" s="353" t="s">
        <v>340</v>
      </c>
      <c r="P407" s="7"/>
      <c r="Q407" s="20"/>
      <c r="R407" s="21"/>
      <c r="S407" s="519"/>
      <c r="T407" s="539"/>
      <c r="U407" s="540"/>
      <c r="V407" s="541"/>
      <c r="W407" s="519"/>
      <c r="X407" s="527"/>
      <c r="Y407" s="528"/>
      <c r="Z407" s="529"/>
      <c r="AA407" s="9" t="s">
        <v>58</v>
      </c>
      <c r="AB407" s="7"/>
      <c r="AC407" s="20"/>
      <c r="AD407" s="21"/>
      <c r="AE407" s="547"/>
      <c r="AF407" s="545"/>
      <c r="AG407" s="545"/>
      <c r="AH407" s="545"/>
      <c r="AI407" s="545"/>
      <c r="AJ407" s="546"/>
      <c r="AK407" s="547"/>
      <c r="AL407" s="545"/>
      <c r="AM407" s="545"/>
      <c r="AN407" s="545"/>
      <c r="AO407" s="545"/>
      <c r="AP407" s="546"/>
      <c r="AQ407" s="530"/>
      <c r="AR407" s="515"/>
      <c r="AS407" s="517"/>
      <c r="AT407" s="555"/>
      <c r="AU407" s="26" t="s">
        <v>88</v>
      </c>
      <c r="AV407" s="28"/>
      <c r="AW407" s="26" t="s">
        <v>12</v>
      </c>
      <c r="AX407" s="31"/>
      <c r="AY407" s="555"/>
      <c r="AZ407" s="26" t="s">
        <v>88</v>
      </c>
      <c r="BA407" s="28"/>
      <c r="BB407" s="26" t="s">
        <v>12</v>
      </c>
      <c r="BC407" s="31"/>
    </row>
    <row r="408" spans="1:55" ht="16.5" customHeight="1">
      <c r="A408" s="560"/>
      <c r="B408" s="561"/>
      <c r="C408" s="9" t="s">
        <v>38</v>
      </c>
      <c r="D408" s="13"/>
      <c r="E408" s="9" t="s">
        <v>49</v>
      </c>
      <c r="F408" s="12"/>
      <c r="G408" s="355">
        <v>168</v>
      </c>
      <c r="H408" s="338"/>
      <c r="I408" s="339"/>
      <c r="J408" s="340"/>
      <c r="K408" s="9" t="s">
        <v>341</v>
      </c>
      <c r="L408" s="7"/>
      <c r="M408" s="20"/>
      <c r="N408" s="21"/>
      <c r="O408" s="9" t="s">
        <v>341</v>
      </c>
      <c r="P408" s="7"/>
      <c r="Q408" s="20"/>
      <c r="R408" s="21"/>
      <c r="S408" s="519" t="s">
        <v>344</v>
      </c>
      <c r="T408" s="521"/>
      <c r="U408" s="523"/>
      <c r="V408" s="525"/>
      <c r="W408" s="519"/>
      <c r="X408" s="539"/>
      <c r="Y408" s="540"/>
      <c r="Z408" s="541"/>
      <c r="AA408" s="9" t="s">
        <v>59</v>
      </c>
      <c r="AB408" s="7"/>
      <c r="AC408" s="20"/>
      <c r="AD408" s="21"/>
      <c r="AE408" s="547"/>
      <c r="AF408" s="545"/>
      <c r="AG408" s="545"/>
      <c r="AH408" s="545"/>
      <c r="AI408" s="545"/>
      <c r="AJ408" s="546"/>
      <c r="AK408" s="547"/>
      <c r="AL408" s="545"/>
      <c r="AM408" s="545"/>
      <c r="AN408" s="545"/>
      <c r="AO408" s="545"/>
      <c r="AP408" s="546"/>
      <c r="AQ408" s="530">
        <v>170</v>
      </c>
      <c r="AR408" s="515"/>
      <c r="AS408" s="517"/>
      <c r="AT408" s="555"/>
      <c r="AU408" s="26" t="s">
        <v>89</v>
      </c>
      <c r="AV408" s="29"/>
      <c r="AW408" s="26" t="s">
        <v>12</v>
      </c>
      <c r="AX408" s="32"/>
      <c r="AY408" s="555"/>
      <c r="AZ408" s="26" t="s">
        <v>89</v>
      </c>
      <c r="BA408" s="29"/>
      <c r="BB408" s="26" t="s">
        <v>12</v>
      </c>
      <c r="BC408" s="32"/>
    </row>
    <row r="409" spans="1:55" ht="16.5" customHeight="1">
      <c r="A409" s="560"/>
      <c r="B409" s="561"/>
      <c r="C409" s="9" t="s">
        <v>39</v>
      </c>
      <c r="D409" s="13"/>
      <c r="E409" s="9" t="s">
        <v>50</v>
      </c>
      <c r="F409" s="132"/>
      <c r="G409" s="355">
        <v>169</v>
      </c>
      <c r="H409" s="347"/>
      <c r="I409" s="348"/>
      <c r="J409" s="349"/>
      <c r="K409" s="9"/>
      <c r="L409" s="7"/>
      <c r="M409" s="20"/>
      <c r="N409" s="21"/>
      <c r="O409" s="9"/>
      <c r="P409" s="7"/>
      <c r="Q409" s="20"/>
      <c r="R409" s="21"/>
      <c r="S409" s="519"/>
      <c r="T409" s="527"/>
      <c r="U409" s="528"/>
      <c r="V409" s="529"/>
      <c r="W409" s="519" t="s">
        <v>60</v>
      </c>
      <c r="X409" s="521"/>
      <c r="Y409" s="523"/>
      <c r="Z409" s="525"/>
      <c r="AA409" s="9" t="s">
        <v>60</v>
      </c>
      <c r="AB409" s="7"/>
      <c r="AC409" s="20"/>
      <c r="AD409" s="21"/>
      <c r="AE409" s="553"/>
      <c r="AF409" s="548"/>
      <c r="AG409" s="548"/>
      <c r="AH409" s="548"/>
      <c r="AI409" s="548"/>
      <c r="AJ409" s="549"/>
      <c r="AK409" s="553"/>
      <c r="AL409" s="548"/>
      <c r="AM409" s="548"/>
      <c r="AN409" s="548"/>
      <c r="AO409" s="548"/>
      <c r="AP409" s="549"/>
      <c r="AQ409" s="531"/>
      <c r="AR409" s="516"/>
      <c r="AS409" s="518"/>
      <c r="AT409" s="556"/>
      <c r="AU409" s="27" t="s">
        <v>90</v>
      </c>
      <c r="AV409" s="30"/>
      <c r="AW409" s="27" t="s">
        <v>91</v>
      </c>
      <c r="AX409" s="33"/>
      <c r="AY409" s="556"/>
      <c r="AZ409" s="27" t="s">
        <v>90</v>
      </c>
      <c r="BA409" s="30"/>
      <c r="BB409" s="27" t="s">
        <v>91</v>
      </c>
      <c r="BC409" s="33"/>
    </row>
    <row r="410" spans="1:55" ht="16.5" customHeight="1">
      <c r="A410" s="560"/>
      <c r="B410" s="561"/>
      <c r="C410" s="10" t="s">
        <v>40</v>
      </c>
      <c r="D410" s="15"/>
      <c r="E410" s="130" t="s">
        <v>255</v>
      </c>
      <c r="F410" s="131"/>
      <c r="G410" s="356">
        <v>170</v>
      </c>
      <c r="H410" s="350"/>
      <c r="I410" s="351"/>
      <c r="J410" s="352"/>
      <c r="K410" s="17"/>
      <c r="L410" s="16"/>
      <c r="M410" s="22"/>
      <c r="N410" s="23"/>
      <c r="O410" s="17"/>
      <c r="P410" s="16"/>
      <c r="Q410" s="22"/>
      <c r="R410" s="23"/>
      <c r="S410" s="520"/>
      <c r="T410" s="522"/>
      <c r="U410" s="524"/>
      <c r="V410" s="526"/>
      <c r="W410" s="520"/>
      <c r="X410" s="522"/>
      <c r="Y410" s="524"/>
      <c r="Z410" s="526"/>
      <c r="AA410" s="17" t="s">
        <v>61</v>
      </c>
      <c r="AB410" s="16"/>
      <c r="AC410" s="22"/>
      <c r="AD410" s="23"/>
      <c r="AE410" s="115"/>
      <c r="AF410" s="116"/>
      <c r="AG410" s="116"/>
      <c r="AH410" s="116"/>
      <c r="AI410" s="117"/>
      <c r="AJ410" s="118"/>
      <c r="AK410" s="119"/>
      <c r="AL410" s="120"/>
      <c r="AM410" s="121"/>
      <c r="AN410" s="121"/>
      <c r="AO410" s="121"/>
      <c r="AP410" s="122"/>
      <c r="AQ410" s="115"/>
      <c r="AR410" s="116"/>
      <c r="AS410" s="118"/>
      <c r="AT410" s="123"/>
      <c r="AU410" s="113"/>
      <c r="AV410" s="113"/>
      <c r="AW410" s="113"/>
      <c r="AX410" s="114"/>
      <c r="AY410" s="123"/>
      <c r="AZ410" s="113"/>
      <c r="BA410" s="113"/>
      <c r="BB410" s="113"/>
      <c r="BC410" s="114"/>
    </row>
    <row r="411" spans="1:55" ht="16.5" customHeight="1"/>
    <row r="412" spans="1:55" ht="16.5" customHeight="1">
      <c r="A412" s="560">
        <v>35</v>
      </c>
      <c r="B412" s="561"/>
      <c r="C412" s="8" t="s">
        <v>42</v>
      </c>
      <c r="D412" s="24"/>
      <c r="E412" s="8" t="s">
        <v>43</v>
      </c>
      <c r="F412" s="11"/>
      <c r="G412" s="354">
        <v>171</v>
      </c>
      <c r="H412" s="335"/>
      <c r="I412" s="336"/>
      <c r="J412" s="357"/>
      <c r="K412" s="8" t="s">
        <v>333</v>
      </c>
      <c r="L412" s="6"/>
      <c r="M412" s="18"/>
      <c r="N412" s="19"/>
      <c r="O412" s="8" t="s">
        <v>333</v>
      </c>
      <c r="P412" s="6"/>
      <c r="Q412" s="18"/>
      <c r="R412" s="19"/>
      <c r="S412" s="532" t="s">
        <v>51</v>
      </c>
      <c r="T412" s="533"/>
      <c r="U412" s="535"/>
      <c r="V412" s="537"/>
      <c r="W412" s="532" t="s">
        <v>51</v>
      </c>
      <c r="X412" s="533"/>
      <c r="Y412" s="535"/>
      <c r="Z412" s="537"/>
      <c r="AA412" s="8" t="s">
        <v>51</v>
      </c>
      <c r="AB412" s="6"/>
      <c r="AC412" s="18"/>
      <c r="AD412" s="19"/>
      <c r="AE412" s="552"/>
      <c r="AF412" s="550"/>
      <c r="AG412" s="550"/>
      <c r="AH412" s="550"/>
      <c r="AI412" s="550"/>
      <c r="AJ412" s="551"/>
      <c r="AK412" s="552"/>
      <c r="AL412" s="550"/>
      <c r="AM412" s="550"/>
      <c r="AN412" s="550"/>
      <c r="AO412" s="550"/>
      <c r="AP412" s="551"/>
      <c r="AQ412" s="542">
        <v>171</v>
      </c>
      <c r="AR412" s="543"/>
      <c r="AS412" s="544"/>
      <c r="AT412" s="554">
        <v>69</v>
      </c>
      <c r="AU412" s="25" t="s">
        <v>0</v>
      </c>
      <c r="AV412" s="557"/>
      <c r="AW412" s="558"/>
      <c r="AX412" s="559"/>
      <c r="AY412" s="554">
        <v>71</v>
      </c>
      <c r="AZ412" s="25" t="s">
        <v>0</v>
      </c>
      <c r="BA412" s="557"/>
      <c r="BB412" s="558"/>
      <c r="BC412" s="559"/>
    </row>
    <row r="413" spans="1:55" ht="16.5" customHeight="1">
      <c r="A413" s="560"/>
      <c r="B413" s="561"/>
      <c r="C413" s="9" t="s">
        <v>33</v>
      </c>
      <c r="D413" s="13"/>
      <c r="E413" s="9" t="s">
        <v>70</v>
      </c>
      <c r="F413" s="12"/>
      <c r="G413" s="355">
        <v>172</v>
      </c>
      <c r="H413" s="338"/>
      <c r="I413" s="339"/>
      <c r="J413" s="340"/>
      <c r="K413" s="9" t="s">
        <v>334</v>
      </c>
      <c r="L413" s="7"/>
      <c r="M413" s="20"/>
      <c r="N413" s="21"/>
      <c r="O413" s="9" t="s">
        <v>334</v>
      </c>
      <c r="P413" s="7"/>
      <c r="Q413" s="20"/>
      <c r="R413" s="21"/>
      <c r="S413" s="519"/>
      <c r="T413" s="527"/>
      <c r="U413" s="528"/>
      <c r="V413" s="529"/>
      <c r="W413" s="519"/>
      <c r="X413" s="527"/>
      <c r="Y413" s="528"/>
      <c r="Z413" s="529"/>
      <c r="AA413" s="9" t="s">
        <v>52</v>
      </c>
      <c r="AB413" s="7"/>
      <c r="AC413" s="20"/>
      <c r="AD413" s="21"/>
      <c r="AE413" s="547"/>
      <c r="AF413" s="545"/>
      <c r="AG413" s="545"/>
      <c r="AH413" s="545"/>
      <c r="AI413" s="545"/>
      <c r="AJ413" s="546"/>
      <c r="AK413" s="547"/>
      <c r="AL413" s="545"/>
      <c r="AM413" s="545"/>
      <c r="AN413" s="545"/>
      <c r="AO413" s="545"/>
      <c r="AP413" s="546"/>
      <c r="AQ413" s="530"/>
      <c r="AR413" s="515"/>
      <c r="AS413" s="517"/>
      <c r="AT413" s="555"/>
      <c r="AU413" s="26" t="s">
        <v>87</v>
      </c>
      <c r="AV413" s="124"/>
      <c r="AW413" s="26" t="s">
        <v>192</v>
      </c>
      <c r="AX413" s="126"/>
      <c r="AY413" s="555"/>
      <c r="AZ413" s="26" t="s">
        <v>87</v>
      </c>
      <c r="BA413" s="124"/>
      <c r="BB413" s="127" t="s">
        <v>192</v>
      </c>
      <c r="BC413" s="125"/>
    </row>
    <row r="414" spans="1:55" ht="16.5" customHeight="1">
      <c r="A414" s="560"/>
      <c r="B414" s="561"/>
      <c r="C414" s="9" t="s">
        <v>34</v>
      </c>
      <c r="D414" s="14"/>
      <c r="E414" s="9" t="s">
        <v>44</v>
      </c>
      <c r="F414" s="12"/>
      <c r="G414" s="355">
        <v>173</v>
      </c>
      <c r="H414" s="338"/>
      <c r="I414" s="339"/>
      <c r="J414" s="340"/>
      <c r="K414" s="9" t="s">
        <v>335</v>
      </c>
      <c r="L414" s="7"/>
      <c r="M414" s="20"/>
      <c r="N414" s="21"/>
      <c r="O414" s="9" t="s">
        <v>335</v>
      </c>
      <c r="P414" s="7"/>
      <c r="Q414" s="20"/>
      <c r="R414" s="21"/>
      <c r="S414" s="519"/>
      <c r="T414" s="527"/>
      <c r="U414" s="528"/>
      <c r="V414" s="529"/>
      <c r="W414" s="519"/>
      <c r="X414" s="539"/>
      <c r="Y414" s="540"/>
      <c r="Z414" s="541"/>
      <c r="AA414" s="9" t="s">
        <v>53</v>
      </c>
      <c r="AB414" s="7"/>
      <c r="AC414" s="20"/>
      <c r="AD414" s="21"/>
      <c r="AE414" s="547"/>
      <c r="AF414" s="545"/>
      <c r="AG414" s="545"/>
      <c r="AH414" s="545"/>
      <c r="AI414" s="545"/>
      <c r="AJ414" s="546"/>
      <c r="AK414" s="547"/>
      <c r="AL414" s="545"/>
      <c r="AM414" s="545"/>
      <c r="AN414" s="545"/>
      <c r="AO414" s="545"/>
      <c r="AP414" s="546"/>
      <c r="AQ414" s="530">
        <v>172</v>
      </c>
      <c r="AR414" s="515"/>
      <c r="AS414" s="517"/>
      <c r="AT414" s="555"/>
      <c r="AU414" s="26" t="s">
        <v>88</v>
      </c>
      <c r="AV414" s="28"/>
      <c r="AW414" s="26" t="s">
        <v>12</v>
      </c>
      <c r="AX414" s="31"/>
      <c r="AY414" s="555"/>
      <c r="AZ414" s="26" t="s">
        <v>88</v>
      </c>
      <c r="BA414" s="28"/>
      <c r="BB414" s="26" t="s">
        <v>12</v>
      </c>
      <c r="BC414" s="31"/>
    </row>
    <row r="415" spans="1:55" ht="16.5" customHeight="1">
      <c r="A415" s="560"/>
      <c r="B415" s="561"/>
      <c r="C415" s="9" t="s">
        <v>41</v>
      </c>
      <c r="D415" s="13"/>
      <c r="E415" s="9" t="s">
        <v>62</v>
      </c>
      <c r="F415" s="12"/>
      <c r="G415" s="355">
        <v>174</v>
      </c>
      <c r="H415" s="341"/>
      <c r="I415" s="342"/>
      <c r="J415" s="343"/>
      <c r="K415" s="9" t="s">
        <v>336</v>
      </c>
      <c r="L415" s="7"/>
      <c r="M415" s="20"/>
      <c r="N415" s="21"/>
      <c r="O415" s="9" t="s">
        <v>336</v>
      </c>
      <c r="P415" s="7"/>
      <c r="Q415" s="20"/>
      <c r="R415" s="21"/>
      <c r="S415" s="519"/>
      <c r="T415" s="534"/>
      <c r="U415" s="536"/>
      <c r="V415" s="538"/>
      <c r="W415" s="532" t="s">
        <v>52</v>
      </c>
      <c r="X415" s="533"/>
      <c r="Y415" s="535"/>
      <c r="Z415" s="537"/>
      <c r="AA415" s="9" t="s">
        <v>54</v>
      </c>
      <c r="AB415" s="7"/>
      <c r="AC415" s="20"/>
      <c r="AD415" s="21"/>
      <c r="AE415" s="547"/>
      <c r="AF415" s="545"/>
      <c r="AG415" s="545"/>
      <c r="AH415" s="545"/>
      <c r="AI415" s="545"/>
      <c r="AJ415" s="546"/>
      <c r="AK415" s="547"/>
      <c r="AL415" s="545"/>
      <c r="AM415" s="545"/>
      <c r="AN415" s="545"/>
      <c r="AO415" s="545"/>
      <c r="AP415" s="546"/>
      <c r="AQ415" s="530"/>
      <c r="AR415" s="515"/>
      <c r="AS415" s="517"/>
      <c r="AT415" s="555"/>
      <c r="AU415" s="26" t="s">
        <v>89</v>
      </c>
      <c r="AV415" s="29"/>
      <c r="AW415" s="26" t="s">
        <v>12</v>
      </c>
      <c r="AX415" s="32"/>
      <c r="AY415" s="555"/>
      <c r="AZ415" s="26" t="s">
        <v>89</v>
      </c>
      <c r="BA415" s="29"/>
      <c r="BB415" s="26" t="s">
        <v>12</v>
      </c>
      <c r="BC415" s="32"/>
    </row>
    <row r="416" spans="1:55" ht="16.5" customHeight="1">
      <c r="A416" s="560"/>
      <c r="B416" s="561"/>
      <c r="C416" s="9" t="s">
        <v>417</v>
      </c>
      <c r="D416" s="3"/>
      <c r="E416" s="9" t="s">
        <v>45</v>
      </c>
      <c r="F416" s="12"/>
      <c r="G416" s="356">
        <v>175</v>
      </c>
      <c r="H416" s="344"/>
      <c r="I416" s="345"/>
      <c r="J416" s="346"/>
      <c r="K416" s="9" t="s">
        <v>337</v>
      </c>
      <c r="L416" s="7"/>
      <c r="M416" s="20"/>
      <c r="N416" s="21"/>
      <c r="O416" s="9" t="s">
        <v>337</v>
      </c>
      <c r="P416" s="7"/>
      <c r="Q416" s="20"/>
      <c r="R416" s="21"/>
      <c r="S416" s="519" t="s">
        <v>52</v>
      </c>
      <c r="T416" s="527"/>
      <c r="U416" s="528"/>
      <c r="V416" s="529"/>
      <c r="W416" s="519"/>
      <c r="X416" s="527"/>
      <c r="Y416" s="528"/>
      <c r="Z416" s="529"/>
      <c r="AA416" s="9" t="s">
        <v>55</v>
      </c>
      <c r="AB416" s="7"/>
      <c r="AC416" s="20"/>
      <c r="AD416" s="21"/>
      <c r="AE416" s="547"/>
      <c r="AF416" s="545"/>
      <c r="AG416" s="545"/>
      <c r="AH416" s="545"/>
      <c r="AI416" s="545"/>
      <c r="AJ416" s="546"/>
      <c r="AK416" s="547"/>
      <c r="AL416" s="545"/>
      <c r="AM416" s="545"/>
      <c r="AN416" s="545"/>
      <c r="AO416" s="545"/>
      <c r="AP416" s="546"/>
      <c r="AQ416" s="530">
        <v>173</v>
      </c>
      <c r="AR416" s="515"/>
      <c r="AS416" s="517"/>
      <c r="AT416" s="556"/>
      <c r="AU416" s="27" t="s">
        <v>90</v>
      </c>
      <c r="AV416" s="30"/>
      <c r="AW416" s="27" t="s">
        <v>91</v>
      </c>
      <c r="AX416" s="33"/>
      <c r="AY416" s="556"/>
      <c r="AZ416" s="27" t="s">
        <v>90</v>
      </c>
      <c r="BA416" s="30"/>
      <c r="BB416" s="27" t="s">
        <v>91</v>
      </c>
      <c r="BC416" s="33"/>
    </row>
    <row r="417" spans="1:55" ht="16.5" customHeight="1">
      <c r="A417" s="560"/>
      <c r="B417" s="561"/>
      <c r="C417" s="9" t="s">
        <v>35</v>
      </c>
      <c r="D417" s="13"/>
      <c r="E417" s="9" t="s">
        <v>46</v>
      </c>
      <c r="F417" s="12"/>
      <c r="G417" s="5" t="s">
        <v>12</v>
      </c>
      <c r="H417" s="128" t="s">
        <v>13</v>
      </c>
      <c r="I417" s="4" t="s">
        <v>14</v>
      </c>
      <c r="J417" s="4" t="s">
        <v>15</v>
      </c>
      <c r="K417" s="9" t="s">
        <v>338</v>
      </c>
      <c r="L417" s="7"/>
      <c r="M417" s="20"/>
      <c r="N417" s="21"/>
      <c r="O417" s="9" t="s">
        <v>338</v>
      </c>
      <c r="P417" s="7"/>
      <c r="Q417" s="20"/>
      <c r="R417" s="21"/>
      <c r="S417" s="519"/>
      <c r="T417" s="527"/>
      <c r="U417" s="528"/>
      <c r="V417" s="529"/>
      <c r="W417" s="519"/>
      <c r="X417" s="539"/>
      <c r="Y417" s="540"/>
      <c r="Z417" s="541"/>
      <c r="AA417" s="9" t="s">
        <v>56</v>
      </c>
      <c r="AB417" s="7"/>
      <c r="AC417" s="20"/>
      <c r="AD417" s="21"/>
      <c r="AE417" s="547"/>
      <c r="AF417" s="545"/>
      <c r="AG417" s="545"/>
      <c r="AH417" s="545"/>
      <c r="AI417" s="545"/>
      <c r="AJ417" s="546"/>
      <c r="AK417" s="547"/>
      <c r="AL417" s="545"/>
      <c r="AM417" s="545"/>
      <c r="AN417" s="545"/>
      <c r="AO417" s="545"/>
      <c r="AP417" s="546"/>
      <c r="AQ417" s="530"/>
      <c r="AR417" s="515"/>
      <c r="AS417" s="517"/>
      <c r="AT417" s="554">
        <v>70</v>
      </c>
      <c r="AU417" s="25" t="s">
        <v>0</v>
      </c>
      <c r="AV417" s="557"/>
      <c r="AW417" s="558"/>
      <c r="AX417" s="559"/>
      <c r="AY417" s="554">
        <v>72</v>
      </c>
      <c r="AZ417" s="25" t="s">
        <v>0</v>
      </c>
      <c r="BA417" s="557"/>
      <c r="BB417" s="558"/>
      <c r="BC417" s="559"/>
    </row>
    <row r="418" spans="1:55" ht="16.5" customHeight="1">
      <c r="A418" s="560"/>
      <c r="B418" s="561"/>
      <c r="C418" s="9" t="s">
        <v>36</v>
      </c>
      <c r="D418" s="13"/>
      <c r="E418" s="9" t="s">
        <v>47</v>
      </c>
      <c r="F418" s="12"/>
      <c r="G418" s="354">
        <v>171</v>
      </c>
      <c r="H418" s="335"/>
      <c r="I418" s="336"/>
      <c r="J418" s="357"/>
      <c r="K418" s="9" t="s">
        <v>339</v>
      </c>
      <c r="L418" s="7"/>
      <c r="M418" s="20"/>
      <c r="N418" s="21"/>
      <c r="O418" s="9" t="s">
        <v>339</v>
      </c>
      <c r="P418" s="7"/>
      <c r="Q418" s="20"/>
      <c r="R418" s="21"/>
      <c r="S418" s="519"/>
      <c r="T418" s="527"/>
      <c r="U418" s="528"/>
      <c r="V418" s="529"/>
      <c r="W418" s="532" t="s">
        <v>344</v>
      </c>
      <c r="X418" s="533"/>
      <c r="Y418" s="535"/>
      <c r="Z418" s="537"/>
      <c r="AA418" s="9"/>
      <c r="AB418" s="7"/>
      <c r="AC418" s="20"/>
      <c r="AD418" s="21"/>
      <c r="AE418" s="547"/>
      <c r="AF418" s="545"/>
      <c r="AG418" s="545"/>
      <c r="AH418" s="545"/>
      <c r="AI418" s="545"/>
      <c r="AJ418" s="546"/>
      <c r="AK418" s="547"/>
      <c r="AL418" s="545"/>
      <c r="AM418" s="545"/>
      <c r="AN418" s="545"/>
      <c r="AO418" s="545"/>
      <c r="AP418" s="546"/>
      <c r="AQ418" s="530">
        <v>174</v>
      </c>
      <c r="AR418" s="515"/>
      <c r="AS418" s="517"/>
      <c r="AT418" s="555"/>
      <c r="AU418" s="26" t="s">
        <v>87</v>
      </c>
      <c r="AV418" s="124"/>
      <c r="AW418" s="127" t="s">
        <v>192</v>
      </c>
      <c r="AX418" s="125"/>
      <c r="AY418" s="555"/>
      <c r="AZ418" s="26" t="s">
        <v>87</v>
      </c>
      <c r="BA418" s="124"/>
      <c r="BB418" s="127" t="s">
        <v>192</v>
      </c>
      <c r="BC418" s="125"/>
    </row>
    <row r="419" spans="1:55" ht="16.5" customHeight="1">
      <c r="A419" s="560"/>
      <c r="B419" s="561"/>
      <c r="C419" s="9" t="s">
        <v>37</v>
      </c>
      <c r="D419" s="13"/>
      <c r="E419" s="9" t="s">
        <v>48</v>
      </c>
      <c r="F419" s="12"/>
      <c r="G419" s="355">
        <v>172</v>
      </c>
      <c r="H419" s="338"/>
      <c r="I419" s="339"/>
      <c r="J419" s="340"/>
      <c r="K419" s="353" t="s">
        <v>340</v>
      </c>
      <c r="L419" s="7"/>
      <c r="M419" s="20"/>
      <c r="N419" s="21"/>
      <c r="O419" s="353" t="s">
        <v>340</v>
      </c>
      <c r="P419" s="7"/>
      <c r="Q419" s="20"/>
      <c r="R419" s="21"/>
      <c r="S419" s="519"/>
      <c r="T419" s="539"/>
      <c r="U419" s="540"/>
      <c r="V419" s="541"/>
      <c r="W419" s="519"/>
      <c r="X419" s="527"/>
      <c r="Y419" s="528"/>
      <c r="Z419" s="529"/>
      <c r="AA419" s="9" t="s">
        <v>58</v>
      </c>
      <c r="AB419" s="7"/>
      <c r="AC419" s="20"/>
      <c r="AD419" s="21"/>
      <c r="AE419" s="547"/>
      <c r="AF419" s="545"/>
      <c r="AG419" s="545"/>
      <c r="AH419" s="545"/>
      <c r="AI419" s="545"/>
      <c r="AJ419" s="546"/>
      <c r="AK419" s="547"/>
      <c r="AL419" s="545"/>
      <c r="AM419" s="545"/>
      <c r="AN419" s="545"/>
      <c r="AO419" s="545"/>
      <c r="AP419" s="546"/>
      <c r="AQ419" s="530"/>
      <c r="AR419" s="515"/>
      <c r="AS419" s="517"/>
      <c r="AT419" s="555"/>
      <c r="AU419" s="26" t="s">
        <v>88</v>
      </c>
      <c r="AV419" s="28"/>
      <c r="AW419" s="26" t="s">
        <v>12</v>
      </c>
      <c r="AX419" s="31"/>
      <c r="AY419" s="555"/>
      <c r="AZ419" s="26" t="s">
        <v>88</v>
      </c>
      <c r="BA419" s="28"/>
      <c r="BB419" s="26" t="s">
        <v>12</v>
      </c>
      <c r="BC419" s="31"/>
    </row>
    <row r="420" spans="1:55" ht="16.5" customHeight="1">
      <c r="A420" s="560"/>
      <c r="B420" s="561"/>
      <c r="C420" s="9" t="s">
        <v>38</v>
      </c>
      <c r="D420" s="13"/>
      <c r="E420" s="9" t="s">
        <v>49</v>
      </c>
      <c r="F420" s="12"/>
      <c r="G420" s="355">
        <v>173</v>
      </c>
      <c r="H420" s="338"/>
      <c r="I420" s="339"/>
      <c r="J420" s="340"/>
      <c r="K420" s="9" t="s">
        <v>341</v>
      </c>
      <c r="L420" s="7"/>
      <c r="M420" s="20"/>
      <c r="N420" s="21"/>
      <c r="O420" s="9" t="s">
        <v>341</v>
      </c>
      <c r="P420" s="7"/>
      <c r="Q420" s="20"/>
      <c r="R420" s="21"/>
      <c r="S420" s="519" t="s">
        <v>344</v>
      </c>
      <c r="T420" s="521"/>
      <c r="U420" s="523"/>
      <c r="V420" s="525"/>
      <c r="W420" s="519"/>
      <c r="X420" s="539"/>
      <c r="Y420" s="540"/>
      <c r="Z420" s="541"/>
      <c r="AA420" s="9" t="s">
        <v>59</v>
      </c>
      <c r="AB420" s="7"/>
      <c r="AC420" s="20"/>
      <c r="AD420" s="21"/>
      <c r="AE420" s="547"/>
      <c r="AF420" s="545"/>
      <c r="AG420" s="545"/>
      <c r="AH420" s="545"/>
      <c r="AI420" s="545"/>
      <c r="AJ420" s="546"/>
      <c r="AK420" s="547"/>
      <c r="AL420" s="545"/>
      <c r="AM420" s="545"/>
      <c r="AN420" s="545"/>
      <c r="AO420" s="545"/>
      <c r="AP420" s="546"/>
      <c r="AQ420" s="530">
        <v>175</v>
      </c>
      <c r="AR420" s="515"/>
      <c r="AS420" s="517"/>
      <c r="AT420" s="555"/>
      <c r="AU420" s="26" t="s">
        <v>89</v>
      </c>
      <c r="AV420" s="29"/>
      <c r="AW420" s="26" t="s">
        <v>12</v>
      </c>
      <c r="AX420" s="32"/>
      <c r="AY420" s="555"/>
      <c r="AZ420" s="26" t="s">
        <v>89</v>
      </c>
      <c r="BA420" s="29"/>
      <c r="BB420" s="26" t="s">
        <v>12</v>
      </c>
      <c r="BC420" s="32"/>
    </row>
    <row r="421" spans="1:55" ht="16.5" customHeight="1">
      <c r="A421" s="560"/>
      <c r="B421" s="561"/>
      <c r="C421" s="9" t="s">
        <v>39</v>
      </c>
      <c r="D421" s="13"/>
      <c r="E421" s="9" t="s">
        <v>50</v>
      </c>
      <c r="F421" s="132"/>
      <c r="G421" s="355">
        <v>174</v>
      </c>
      <c r="H421" s="347"/>
      <c r="I421" s="348"/>
      <c r="J421" s="349"/>
      <c r="K421" s="9"/>
      <c r="L421" s="7"/>
      <c r="M421" s="20"/>
      <c r="N421" s="21"/>
      <c r="O421" s="9"/>
      <c r="P421" s="7"/>
      <c r="Q421" s="20"/>
      <c r="R421" s="21"/>
      <c r="S421" s="519"/>
      <c r="T421" s="527"/>
      <c r="U421" s="528"/>
      <c r="V421" s="529"/>
      <c r="W421" s="519" t="s">
        <v>60</v>
      </c>
      <c r="X421" s="521"/>
      <c r="Y421" s="523"/>
      <c r="Z421" s="525"/>
      <c r="AA421" s="9" t="s">
        <v>60</v>
      </c>
      <c r="AB421" s="7"/>
      <c r="AC421" s="20"/>
      <c r="AD421" s="21"/>
      <c r="AE421" s="553"/>
      <c r="AF421" s="548"/>
      <c r="AG421" s="548"/>
      <c r="AH421" s="548"/>
      <c r="AI421" s="548"/>
      <c r="AJ421" s="549"/>
      <c r="AK421" s="553"/>
      <c r="AL421" s="548"/>
      <c r="AM421" s="548"/>
      <c r="AN421" s="548"/>
      <c r="AO421" s="548"/>
      <c r="AP421" s="549"/>
      <c r="AQ421" s="531"/>
      <c r="AR421" s="516"/>
      <c r="AS421" s="518"/>
      <c r="AT421" s="556"/>
      <c r="AU421" s="27" t="s">
        <v>90</v>
      </c>
      <c r="AV421" s="30"/>
      <c r="AW421" s="27" t="s">
        <v>91</v>
      </c>
      <c r="AX421" s="33"/>
      <c r="AY421" s="556"/>
      <c r="AZ421" s="27" t="s">
        <v>90</v>
      </c>
      <c r="BA421" s="30"/>
      <c r="BB421" s="27" t="s">
        <v>91</v>
      </c>
      <c r="BC421" s="33"/>
    </row>
    <row r="422" spans="1:55" ht="16.5" customHeight="1">
      <c r="A422" s="560"/>
      <c r="B422" s="561"/>
      <c r="C422" s="10" t="s">
        <v>40</v>
      </c>
      <c r="D422" s="15"/>
      <c r="E422" s="130" t="s">
        <v>255</v>
      </c>
      <c r="F422" s="131"/>
      <c r="G422" s="356">
        <v>175</v>
      </c>
      <c r="H422" s="350"/>
      <c r="I422" s="351"/>
      <c r="J422" s="352"/>
      <c r="K422" s="17"/>
      <c r="L422" s="16"/>
      <c r="M422" s="22"/>
      <c r="N422" s="23"/>
      <c r="O422" s="17"/>
      <c r="P422" s="16"/>
      <c r="Q422" s="22"/>
      <c r="R422" s="23"/>
      <c r="S422" s="520"/>
      <c r="T422" s="522"/>
      <c r="U422" s="524"/>
      <c r="V422" s="526"/>
      <c r="W422" s="520"/>
      <c r="X422" s="522"/>
      <c r="Y422" s="524"/>
      <c r="Z422" s="526"/>
      <c r="AA422" s="17" t="s">
        <v>61</v>
      </c>
      <c r="AB422" s="16"/>
      <c r="AC422" s="22"/>
      <c r="AD422" s="23"/>
      <c r="AE422" s="115"/>
      <c r="AF422" s="116"/>
      <c r="AG422" s="116"/>
      <c r="AH422" s="116"/>
      <c r="AI422" s="117"/>
      <c r="AJ422" s="118"/>
      <c r="AK422" s="119"/>
      <c r="AL422" s="120"/>
      <c r="AM422" s="121"/>
      <c r="AN422" s="121"/>
      <c r="AO422" s="121"/>
      <c r="AP422" s="122"/>
      <c r="AQ422" s="115"/>
      <c r="AR422" s="116"/>
      <c r="AS422" s="118"/>
      <c r="AT422" s="123"/>
      <c r="AU422" s="113"/>
      <c r="AV422" s="113"/>
      <c r="AW422" s="113"/>
      <c r="AX422" s="114"/>
      <c r="AY422" s="123"/>
      <c r="AZ422" s="113"/>
      <c r="BA422" s="113"/>
      <c r="BB422" s="113"/>
      <c r="BC422" s="114"/>
    </row>
    <row r="423" spans="1:55"/>
    <row r="424" spans="1:55" ht="12.75" customHeight="1">
      <c r="A424" s="560">
        <v>35</v>
      </c>
      <c r="B424" s="561"/>
      <c r="C424" s="8" t="s">
        <v>42</v>
      </c>
      <c r="D424" s="24"/>
      <c r="E424" s="8" t="s">
        <v>43</v>
      </c>
      <c r="F424" s="11"/>
      <c r="G424" s="354">
        <v>176</v>
      </c>
      <c r="H424" s="335"/>
      <c r="I424" s="336"/>
      <c r="J424" s="357"/>
      <c r="K424" s="8" t="s">
        <v>333</v>
      </c>
      <c r="L424" s="6"/>
      <c r="M424" s="18"/>
      <c r="N424" s="19"/>
      <c r="O424" s="8" t="s">
        <v>333</v>
      </c>
      <c r="P424" s="6"/>
      <c r="Q424" s="18"/>
      <c r="R424" s="19"/>
      <c r="S424" s="532" t="s">
        <v>51</v>
      </c>
      <c r="T424" s="533"/>
      <c r="U424" s="535"/>
      <c r="V424" s="537"/>
      <c r="W424" s="532" t="s">
        <v>51</v>
      </c>
      <c r="X424" s="533"/>
      <c r="Y424" s="535"/>
      <c r="Z424" s="537"/>
      <c r="AA424" s="8" t="s">
        <v>51</v>
      </c>
      <c r="AB424" s="6"/>
      <c r="AC424" s="18"/>
      <c r="AD424" s="19"/>
      <c r="AE424" s="552"/>
      <c r="AF424" s="550"/>
      <c r="AG424" s="550"/>
      <c r="AH424" s="550"/>
      <c r="AI424" s="550"/>
      <c r="AJ424" s="551"/>
      <c r="AK424" s="552"/>
      <c r="AL424" s="550"/>
      <c r="AM424" s="550"/>
      <c r="AN424" s="550"/>
      <c r="AO424" s="550"/>
      <c r="AP424" s="551"/>
      <c r="AQ424" s="542">
        <v>176</v>
      </c>
      <c r="AR424" s="543"/>
      <c r="AS424" s="544"/>
      <c r="AT424" s="554">
        <v>71</v>
      </c>
      <c r="AU424" s="25" t="s">
        <v>0</v>
      </c>
      <c r="AV424" s="557"/>
      <c r="AW424" s="558"/>
      <c r="AX424" s="559"/>
      <c r="AY424" s="554">
        <v>73</v>
      </c>
      <c r="AZ424" s="25" t="s">
        <v>0</v>
      </c>
      <c r="BA424" s="557"/>
      <c r="BB424" s="558"/>
      <c r="BC424" s="559"/>
    </row>
    <row r="425" spans="1:55" ht="12.75" customHeight="1">
      <c r="A425" s="560"/>
      <c r="B425" s="561"/>
      <c r="C425" s="9" t="s">
        <v>33</v>
      </c>
      <c r="D425" s="13"/>
      <c r="E425" s="9" t="s">
        <v>70</v>
      </c>
      <c r="F425" s="12"/>
      <c r="G425" s="355">
        <v>177</v>
      </c>
      <c r="H425" s="338"/>
      <c r="I425" s="339"/>
      <c r="J425" s="340"/>
      <c r="K425" s="9" t="s">
        <v>334</v>
      </c>
      <c r="L425" s="7"/>
      <c r="M425" s="20"/>
      <c r="N425" s="21"/>
      <c r="O425" s="9" t="s">
        <v>334</v>
      </c>
      <c r="P425" s="7"/>
      <c r="Q425" s="20"/>
      <c r="R425" s="21"/>
      <c r="S425" s="519"/>
      <c r="T425" s="527"/>
      <c r="U425" s="528"/>
      <c r="V425" s="529"/>
      <c r="W425" s="519"/>
      <c r="X425" s="527"/>
      <c r="Y425" s="528"/>
      <c r="Z425" s="529"/>
      <c r="AA425" s="9" t="s">
        <v>52</v>
      </c>
      <c r="AB425" s="7"/>
      <c r="AC425" s="20"/>
      <c r="AD425" s="21"/>
      <c r="AE425" s="547"/>
      <c r="AF425" s="545"/>
      <c r="AG425" s="545"/>
      <c r="AH425" s="545"/>
      <c r="AI425" s="545"/>
      <c r="AJ425" s="546"/>
      <c r="AK425" s="547"/>
      <c r="AL425" s="545"/>
      <c r="AM425" s="545"/>
      <c r="AN425" s="545"/>
      <c r="AO425" s="545"/>
      <c r="AP425" s="546"/>
      <c r="AQ425" s="530"/>
      <c r="AR425" s="515"/>
      <c r="AS425" s="517"/>
      <c r="AT425" s="555"/>
      <c r="AU425" s="26" t="s">
        <v>87</v>
      </c>
      <c r="AV425" s="124"/>
      <c r="AW425" s="26" t="s">
        <v>192</v>
      </c>
      <c r="AX425" s="126"/>
      <c r="AY425" s="555"/>
      <c r="AZ425" s="26" t="s">
        <v>87</v>
      </c>
      <c r="BA425" s="124"/>
      <c r="BB425" s="127" t="s">
        <v>192</v>
      </c>
      <c r="BC425" s="125"/>
    </row>
    <row r="426" spans="1:55" ht="12.75" customHeight="1">
      <c r="A426" s="560"/>
      <c r="B426" s="561"/>
      <c r="C426" s="9" t="s">
        <v>34</v>
      </c>
      <c r="D426" s="14"/>
      <c r="E426" s="9" t="s">
        <v>44</v>
      </c>
      <c r="F426" s="12"/>
      <c r="G426" s="355">
        <v>178</v>
      </c>
      <c r="H426" s="338"/>
      <c r="I426" s="339"/>
      <c r="J426" s="340"/>
      <c r="K426" s="9" t="s">
        <v>335</v>
      </c>
      <c r="L426" s="7"/>
      <c r="M426" s="20"/>
      <c r="N426" s="21"/>
      <c r="O426" s="9" t="s">
        <v>335</v>
      </c>
      <c r="P426" s="7"/>
      <c r="Q426" s="20"/>
      <c r="R426" s="21"/>
      <c r="S426" s="519"/>
      <c r="T426" s="527"/>
      <c r="U426" s="528"/>
      <c r="V426" s="529"/>
      <c r="W426" s="519"/>
      <c r="X426" s="539"/>
      <c r="Y426" s="540"/>
      <c r="Z426" s="541"/>
      <c r="AA426" s="9" t="s">
        <v>53</v>
      </c>
      <c r="AB426" s="7"/>
      <c r="AC426" s="20"/>
      <c r="AD426" s="21"/>
      <c r="AE426" s="547"/>
      <c r="AF426" s="545"/>
      <c r="AG426" s="545"/>
      <c r="AH426" s="545"/>
      <c r="AI426" s="545"/>
      <c r="AJ426" s="546"/>
      <c r="AK426" s="547"/>
      <c r="AL426" s="545"/>
      <c r="AM426" s="545"/>
      <c r="AN426" s="545"/>
      <c r="AO426" s="545"/>
      <c r="AP426" s="546"/>
      <c r="AQ426" s="530">
        <v>177</v>
      </c>
      <c r="AR426" s="515"/>
      <c r="AS426" s="517"/>
      <c r="AT426" s="555"/>
      <c r="AU426" s="26" t="s">
        <v>88</v>
      </c>
      <c r="AV426" s="28"/>
      <c r="AW426" s="26" t="s">
        <v>12</v>
      </c>
      <c r="AX426" s="31"/>
      <c r="AY426" s="555"/>
      <c r="AZ426" s="26" t="s">
        <v>88</v>
      </c>
      <c r="BA426" s="28"/>
      <c r="BB426" s="26" t="s">
        <v>12</v>
      </c>
      <c r="BC426" s="31"/>
    </row>
    <row r="427" spans="1:55" ht="12.75" customHeight="1">
      <c r="A427" s="560"/>
      <c r="B427" s="561"/>
      <c r="C427" s="9" t="s">
        <v>41</v>
      </c>
      <c r="D427" s="13"/>
      <c r="E427" s="9" t="s">
        <v>62</v>
      </c>
      <c r="F427" s="12"/>
      <c r="G427" s="355">
        <v>179</v>
      </c>
      <c r="H427" s="341"/>
      <c r="I427" s="342"/>
      <c r="J427" s="343"/>
      <c r="K427" s="9" t="s">
        <v>336</v>
      </c>
      <c r="L427" s="7"/>
      <c r="M427" s="20"/>
      <c r="N427" s="21"/>
      <c r="O427" s="9" t="s">
        <v>336</v>
      </c>
      <c r="P427" s="7"/>
      <c r="Q427" s="20"/>
      <c r="R427" s="21"/>
      <c r="S427" s="519"/>
      <c r="T427" s="534"/>
      <c r="U427" s="536"/>
      <c r="V427" s="538"/>
      <c r="W427" s="532" t="s">
        <v>52</v>
      </c>
      <c r="X427" s="533"/>
      <c r="Y427" s="535"/>
      <c r="Z427" s="537"/>
      <c r="AA427" s="9" t="s">
        <v>54</v>
      </c>
      <c r="AB427" s="7"/>
      <c r="AC427" s="20"/>
      <c r="AD427" s="21"/>
      <c r="AE427" s="547"/>
      <c r="AF427" s="545"/>
      <c r="AG427" s="545"/>
      <c r="AH427" s="545"/>
      <c r="AI427" s="545"/>
      <c r="AJ427" s="546"/>
      <c r="AK427" s="547"/>
      <c r="AL427" s="545"/>
      <c r="AM427" s="545"/>
      <c r="AN427" s="545"/>
      <c r="AO427" s="545"/>
      <c r="AP427" s="546"/>
      <c r="AQ427" s="530"/>
      <c r="AR427" s="515"/>
      <c r="AS427" s="517"/>
      <c r="AT427" s="555"/>
      <c r="AU427" s="26" t="s">
        <v>89</v>
      </c>
      <c r="AV427" s="29"/>
      <c r="AW427" s="26" t="s">
        <v>12</v>
      </c>
      <c r="AX427" s="32"/>
      <c r="AY427" s="555"/>
      <c r="AZ427" s="26" t="s">
        <v>89</v>
      </c>
      <c r="BA427" s="29"/>
      <c r="BB427" s="26" t="s">
        <v>12</v>
      </c>
      <c r="BC427" s="32"/>
    </row>
    <row r="428" spans="1:55" ht="12.75" customHeight="1">
      <c r="A428" s="560"/>
      <c r="B428" s="561"/>
      <c r="C428" s="9" t="s">
        <v>417</v>
      </c>
      <c r="D428" s="3"/>
      <c r="E428" s="9" t="s">
        <v>45</v>
      </c>
      <c r="F428" s="12"/>
      <c r="G428" s="356">
        <v>180</v>
      </c>
      <c r="H428" s="344"/>
      <c r="I428" s="345"/>
      <c r="J428" s="346"/>
      <c r="K428" s="9" t="s">
        <v>337</v>
      </c>
      <c r="L428" s="7"/>
      <c r="M428" s="20"/>
      <c r="N428" s="21"/>
      <c r="O428" s="9" t="s">
        <v>337</v>
      </c>
      <c r="P428" s="7"/>
      <c r="Q428" s="20"/>
      <c r="R428" s="21"/>
      <c r="S428" s="519" t="s">
        <v>52</v>
      </c>
      <c r="T428" s="527"/>
      <c r="U428" s="528"/>
      <c r="V428" s="529"/>
      <c r="W428" s="519"/>
      <c r="X428" s="527"/>
      <c r="Y428" s="528"/>
      <c r="Z428" s="529"/>
      <c r="AA428" s="9" t="s">
        <v>55</v>
      </c>
      <c r="AB428" s="7"/>
      <c r="AC428" s="20"/>
      <c r="AD428" s="21"/>
      <c r="AE428" s="547"/>
      <c r="AF428" s="545"/>
      <c r="AG428" s="545"/>
      <c r="AH428" s="545"/>
      <c r="AI428" s="545"/>
      <c r="AJ428" s="546"/>
      <c r="AK428" s="547"/>
      <c r="AL428" s="545"/>
      <c r="AM428" s="545"/>
      <c r="AN428" s="545"/>
      <c r="AO428" s="545"/>
      <c r="AP428" s="546"/>
      <c r="AQ428" s="530">
        <v>178</v>
      </c>
      <c r="AR428" s="515"/>
      <c r="AS428" s="517"/>
      <c r="AT428" s="556"/>
      <c r="AU428" s="27" t="s">
        <v>90</v>
      </c>
      <c r="AV428" s="30"/>
      <c r="AW428" s="27" t="s">
        <v>91</v>
      </c>
      <c r="AX428" s="33"/>
      <c r="AY428" s="556"/>
      <c r="AZ428" s="27" t="s">
        <v>90</v>
      </c>
      <c r="BA428" s="30"/>
      <c r="BB428" s="27" t="s">
        <v>91</v>
      </c>
      <c r="BC428" s="33"/>
    </row>
    <row r="429" spans="1:55" ht="12.75" customHeight="1">
      <c r="A429" s="560"/>
      <c r="B429" s="561"/>
      <c r="C429" s="9" t="s">
        <v>35</v>
      </c>
      <c r="D429" s="13"/>
      <c r="E429" s="9" t="s">
        <v>46</v>
      </c>
      <c r="F429" s="12"/>
      <c r="G429" s="5" t="s">
        <v>12</v>
      </c>
      <c r="H429" s="128" t="s">
        <v>13</v>
      </c>
      <c r="I429" s="4" t="s">
        <v>14</v>
      </c>
      <c r="J429" s="4" t="s">
        <v>15</v>
      </c>
      <c r="K429" s="9" t="s">
        <v>338</v>
      </c>
      <c r="L429" s="7"/>
      <c r="M429" s="20"/>
      <c r="N429" s="21"/>
      <c r="O429" s="9" t="s">
        <v>338</v>
      </c>
      <c r="P429" s="7"/>
      <c r="Q429" s="20"/>
      <c r="R429" s="21"/>
      <c r="S429" s="519"/>
      <c r="T429" s="527"/>
      <c r="U429" s="528"/>
      <c r="V429" s="529"/>
      <c r="W429" s="519"/>
      <c r="X429" s="539"/>
      <c r="Y429" s="540"/>
      <c r="Z429" s="541"/>
      <c r="AA429" s="9" t="s">
        <v>56</v>
      </c>
      <c r="AB429" s="7"/>
      <c r="AC429" s="20"/>
      <c r="AD429" s="21"/>
      <c r="AE429" s="547"/>
      <c r="AF429" s="545"/>
      <c r="AG429" s="545"/>
      <c r="AH429" s="545"/>
      <c r="AI429" s="545"/>
      <c r="AJ429" s="546"/>
      <c r="AK429" s="547"/>
      <c r="AL429" s="545"/>
      <c r="AM429" s="545"/>
      <c r="AN429" s="545"/>
      <c r="AO429" s="545"/>
      <c r="AP429" s="546"/>
      <c r="AQ429" s="530"/>
      <c r="AR429" s="515"/>
      <c r="AS429" s="517"/>
      <c r="AT429" s="554">
        <v>72</v>
      </c>
      <c r="AU429" s="25" t="s">
        <v>0</v>
      </c>
      <c r="AV429" s="557"/>
      <c r="AW429" s="558"/>
      <c r="AX429" s="559"/>
      <c r="AY429" s="554">
        <v>74</v>
      </c>
      <c r="AZ429" s="25" t="s">
        <v>0</v>
      </c>
      <c r="BA429" s="557"/>
      <c r="BB429" s="558"/>
      <c r="BC429" s="559"/>
    </row>
    <row r="430" spans="1:55" ht="12.75" customHeight="1">
      <c r="A430" s="560"/>
      <c r="B430" s="561"/>
      <c r="C430" s="9" t="s">
        <v>36</v>
      </c>
      <c r="D430" s="13"/>
      <c r="E430" s="9" t="s">
        <v>47</v>
      </c>
      <c r="F430" s="12"/>
      <c r="G430" s="354">
        <v>176</v>
      </c>
      <c r="H430" s="335"/>
      <c r="I430" s="336"/>
      <c r="J430" s="357"/>
      <c r="K430" s="9" t="s">
        <v>339</v>
      </c>
      <c r="L430" s="7"/>
      <c r="M430" s="20"/>
      <c r="N430" s="21"/>
      <c r="O430" s="9" t="s">
        <v>339</v>
      </c>
      <c r="P430" s="7"/>
      <c r="Q430" s="20"/>
      <c r="R430" s="21"/>
      <c r="S430" s="519"/>
      <c r="T430" s="527"/>
      <c r="U430" s="528"/>
      <c r="V430" s="529"/>
      <c r="W430" s="532" t="s">
        <v>344</v>
      </c>
      <c r="X430" s="533"/>
      <c r="Y430" s="535"/>
      <c r="Z430" s="537"/>
      <c r="AA430" s="9"/>
      <c r="AB430" s="7"/>
      <c r="AC430" s="20"/>
      <c r="AD430" s="21"/>
      <c r="AE430" s="547"/>
      <c r="AF430" s="545"/>
      <c r="AG430" s="545"/>
      <c r="AH430" s="545"/>
      <c r="AI430" s="545"/>
      <c r="AJ430" s="546"/>
      <c r="AK430" s="547"/>
      <c r="AL430" s="545"/>
      <c r="AM430" s="545"/>
      <c r="AN430" s="545"/>
      <c r="AO430" s="545"/>
      <c r="AP430" s="546"/>
      <c r="AQ430" s="530">
        <v>179</v>
      </c>
      <c r="AR430" s="515"/>
      <c r="AS430" s="517"/>
      <c r="AT430" s="555"/>
      <c r="AU430" s="26" t="s">
        <v>87</v>
      </c>
      <c r="AV430" s="124"/>
      <c r="AW430" s="127" t="s">
        <v>192</v>
      </c>
      <c r="AX430" s="125"/>
      <c r="AY430" s="555"/>
      <c r="AZ430" s="26" t="s">
        <v>87</v>
      </c>
      <c r="BA430" s="124"/>
      <c r="BB430" s="127" t="s">
        <v>192</v>
      </c>
      <c r="BC430" s="125"/>
    </row>
    <row r="431" spans="1:55" ht="12.75" customHeight="1">
      <c r="A431" s="560"/>
      <c r="B431" s="561"/>
      <c r="C431" s="9" t="s">
        <v>37</v>
      </c>
      <c r="D431" s="13"/>
      <c r="E431" s="9" t="s">
        <v>48</v>
      </c>
      <c r="F431" s="12"/>
      <c r="G431" s="355">
        <v>177</v>
      </c>
      <c r="H431" s="338"/>
      <c r="I431" s="339"/>
      <c r="J431" s="340"/>
      <c r="K431" s="353" t="s">
        <v>340</v>
      </c>
      <c r="L431" s="7"/>
      <c r="M431" s="20"/>
      <c r="N431" s="21"/>
      <c r="O431" s="353" t="s">
        <v>340</v>
      </c>
      <c r="P431" s="7"/>
      <c r="Q431" s="20"/>
      <c r="R431" s="21"/>
      <c r="S431" s="519"/>
      <c r="T431" s="539"/>
      <c r="U431" s="540"/>
      <c r="V431" s="541"/>
      <c r="W431" s="519"/>
      <c r="X431" s="527"/>
      <c r="Y431" s="528"/>
      <c r="Z431" s="529"/>
      <c r="AA431" s="9" t="s">
        <v>58</v>
      </c>
      <c r="AB431" s="7"/>
      <c r="AC431" s="20"/>
      <c r="AD431" s="21"/>
      <c r="AE431" s="547"/>
      <c r="AF431" s="545"/>
      <c r="AG431" s="545"/>
      <c r="AH431" s="545"/>
      <c r="AI431" s="545"/>
      <c r="AJ431" s="546"/>
      <c r="AK431" s="547"/>
      <c r="AL431" s="545"/>
      <c r="AM431" s="545"/>
      <c r="AN431" s="545"/>
      <c r="AO431" s="545"/>
      <c r="AP431" s="546"/>
      <c r="AQ431" s="530"/>
      <c r="AR431" s="515"/>
      <c r="AS431" s="517"/>
      <c r="AT431" s="555"/>
      <c r="AU431" s="26" t="s">
        <v>88</v>
      </c>
      <c r="AV431" s="28"/>
      <c r="AW431" s="26" t="s">
        <v>12</v>
      </c>
      <c r="AX431" s="31"/>
      <c r="AY431" s="555"/>
      <c r="AZ431" s="26" t="s">
        <v>88</v>
      </c>
      <c r="BA431" s="28"/>
      <c r="BB431" s="26" t="s">
        <v>12</v>
      </c>
      <c r="BC431" s="31"/>
    </row>
    <row r="432" spans="1:55" ht="12.75" customHeight="1">
      <c r="A432" s="560"/>
      <c r="B432" s="561"/>
      <c r="C432" s="9" t="s">
        <v>38</v>
      </c>
      <c r="D432" s="13"/>
      <c r="E432" s="9" t="s">
        <v>49</v>
      </c>
      <c r="F432" s="12"/>
      <c r="G432" s="355">
        <v>178</v>
      </c>
      <c r="H432" s="338"/>
      <c r="I432" s="339"/>
      <c r="J432" s="340"/>
      <c r="K432" s="9" t="s">
        <v>341</v>
      </c>
      <c r="L432" s="7"/>
      <c r="M432" s="20"/>
      <c r="N432" s="21"/>
      <c r="O432" s="9" t="s">
        <v>341</v>
      </c>
      <c r="P432" s="7"/>
      <c r="Q432" s="20"/>
      <c r="R432" s="21"/>
      <c r="S432" s="519" t="s">
        <v>344</v>
      </c>
      <c r="T432" s="521"/>
      <c r="U432" s="523"/>
      <c r="V432" s="525"/>
      <c r="W432" s="519"/>
      <c r="X432" s="539"/>
      <c r="Y432" s="540"/>
      <c r="Z432" s="541"/>
      <c r="AA432" s="9" t="s">
        <v>59</v>
      </c>
      <c r="AB432" s="7"/>
      <c r="AC432" s="20"/>
      <c r="AD432" s="21"/>
      <c r="AE432" s="547"/>
      <c r="AF432" s="545"/>
      <c r="AG432" s="545"/>
      <c r="AH432" s="545"/>
      <c r="AI432" s="545"/>
      <c r="AJ432" s="546"/>
      <c r="AK432" s="547"/>
      <c r="AL432" s="545"/>
      <c r="AM432" s="545"/>
      <c r="AN432" s="545"/>
      <c r="AO432" s="545"/>
      <c r="AP432" s="546"/>
      <c r="AQ432" s="530">
        <v>180</v>
      </c>
      <c r="AR432" s="515"/>
      <c r="AS432" s="517"/>
      <c r="AT432" s="555"/>
      <c r="AU432" s="26" t="s">
        <v>89</v>
      </c>
      <c r="AV432" s="29"/>
      <c r="AW432" s="26" t="s">
        <v>12</v>
      </c>
      <c r="AX432" s="32"/>
      <c r="AY432" s="555"/>
      <c r="AZ432" s="26" t="s">
        <v>89</v>
      </c>
      <c r="BA432" s="29"/>
      <c r="BB432" s="26" t="s">
        <v>12</v>
      </c>
      <c r="BC432" s="32"/>
    </row>
    <row r="433" spans="1:55" ht="12.75" customHeight="1">
      <c r="A433" s="560"/>
      <c r="B433" s="561"/>
      <c r="C433" s="9" t="s">
        <v>39</v>
      </c>
      <c r="D433" s="13"/>
      <c r="E433" s="9" t="s">
        <v>50</v>
      </c>
      <c r="F433" s="132"/>
      <c r="G433" s="355">
        <v>179</v>
      </c>
      <c r="H433" s="347"/>
      <c r="I433" s="348"/>
      <c r="J433" s="349"/>
      <c r="K433" s="9"/>
      <c r="L433" s="7"/>
      <c r="M433" s="20"/>
      <c r="N433" s="21"/>
      <c r="O433" s="9"/>
      <c r="P433" s="7"/>
      <c r="Q433" s="20"/>
      <c r="R433" s="21"/>
      <c r="S433" s="519"/>
      <c r="T433" s="527"/>
      <c r="U433" s="528"/>
      <c r="V433" s="529"/>
      <c r="W433" s="519" t="s">
        <v>60</v>
      </c>
      <c r="X433" s="521"/>
      <c r="Y433" s="523"/>
      <c r="Z433" s="525"/>
      <c r="AA433" s="9" t="s">
        <v>60</v>
      </c>
      <c r="AB433" s="7"/>
      <c r="AC433" s="20"/>
      <c r="AD433" s="21"/>
      <c r="AE433" s="553"/>
      <c r="AF433" s="548"/>
      <c r="AG433" s="548"/>
      <c r="AH433" s="548"/>
      <c r="AI433" s="548"/>
      <c r="AJ433" s="549"/>
      <c r="AK433" s="553"/>
      <c r="AL433" s="548"/>
      <c r="AM433" s="548"/>
      <c r="AN433" s="548"/>
      <c r="AO433" s="548"/>
      <c r="AP433" s="549"/>
      <c r="AQ433" s="531"/>
      <c r="AR433" s="516"/>
      <c r="AS433" s="518"/>
      <c r="AT433" s="556"/>
      <c r="AU433" s="27" t="s">
        <v>90</v>
      </c>
      <c r="AV433" s="30"/>
      <c r="AW433" s="27" t="s">
        <v>91</v>
      </c>
      <c r="AX433" s="33"/>
      <c r="AY433" s="556"/>
      <c r="AZ433" s="27" t="s">
        <v>90</v>
      </c>
      <c r="BA433" s="30"/>
      <c r="BB433" s="27" t="s">
        <v>91</v>
      </c>
      <c r="BC433" s="33"/>
    </row>
    <row r="434" spans="1:55" ht="12.75" customHeight="1">
      <c r="A434" s="560"/>
      <c r="B434" s="561"/>
      <c r="C434" s="10" t="s">
        <v>40</v>
      </c>
      <c r="D434" s="15"/>
      <c r="E434" s="130" t="s">
        <v>255</v>
      </c>
      <c r="F434" s="131"/>
      <c r="G434" s="356">
        <v>180</v>
      </c>
      <c r="H434" s="350"/>
      <c r="I434" s="351"/>
      <c r="J434" s="352"/>
      <c r="K434" s="17"/>
      <c r="L434" s="16"/>
      <c r="M434" s="22"/>
      <c r="N434" s="23"/>
      <c r="O434" s="17"/>
      <c r="P434" s="16"/>
      <c r="Q434" s="22"/>
      <c r="R434" s="23"/>
      <c r="S434" s="520"/>
      <c r="T434" s="522"/>
      <c r="U434" s="524"/>
      <c r="V434" s="526"/>
      <c r="W434" s="520"/>
      <c r="X434" s="522"/>
      <c r="Y434" s="524"/>
      <c r="Z434" s="526"/>
      <c r="AA434" s="17" t="s">
        <v>61</v>
      </c>
      <c r="AB434" s="16"/>
      <c r="AC434" s="22"/>
      <c r="AD434" s="23"/>
      <c r="AE434" s="115"/>
      <c r="AF434" s="116"/>
      <c r="AG434" s="116"/>
      <c r="AH434" s="116"/>
      <c r="AI434" s="117"/>
      <c r="AJ434" s="118"/>
      <c r="AK434" s="119"/>
      <c r="AL434" s="120"/>
      <c r="AM434" s="121"/>
      <c r="AN434" s="121"/>
      <c r="AO434" s="121"/>
      <c r="AP434" s="122"/>
      <c r="AQ434" s="115"/>
      <c r="AR434" s="116"/>
      <c r="AS434" s="118"/>
      <c r="AT434" s="123"/>
      <c r="AU434" s="113"/>
      <c r="AV434" s="113"/>
      <c r="AW434" s="113"/>
      <c r="AX434" s="114"/>
      <c r="AY434" s="123"/>
      <c r="AZ434" s="113"/>
      <c r="BA434" s="113"/>
      <c r="BB434" s="113"/>
      <c r="BC434" s="114"/>
    </row>
  </sheetData>
  <sheetProtection password="DC6E" sheet="1" objects="1" scenarios="1"/>
  <mergeCells count="4085">
    <mergeCell ref="AQ4:AQ5"/>
    <mergeCell ref="AQ6:AQ7"/>
    <mergeCell ref="AQ8:AQ9"/>
    <mergeCell ref="AQ10:AQ11"/>
    <mergeCell ref="AQ12:AQ13"/>
    <mergeCell ref="AR4:AR5"/>
    <mergeCell ref="AS4:AS5"/>
    <mergeCell ref="AR6:AR7"/>
    <mergeCell ref="AS6:AS7"/>
    <mergeCell ref="AR8:AR9"/>
    <mergeCell ref="AS8:AS9"/>
    <mergeCell ref="AR10:AR11"/>
    <mergeCell ref="AS10:AS11"/>
    <mergeCell ref="AR12:AR13"/>
    <mergeCell ref="AS12:AS13"/>
    <mergeCell ref="O2:R2"/>
    <mergeCell ref="S4:S7"/>
    <mergeCell ref="T4:T7"/>
    <mergeCell ref="U4:U7"/>
    <mergeCell ref="V4:V7"/>
    <mergeCell ref="S8:S11"/>
    <mergeCell ref="T8:T11"/>
    <mergeCell ref="U8:U11"/>
    <mergeCell ref="V8:V11"/>
    <mergeCell ref="S12:S14"/>
    <mergeCell ref="T12:T14"/>
    <mergeCell ref="U12:U14"/>
    <mergeCell ref="V12:V14"/>
    <mergeCell ref="W2:Z2"/>
    <mergeCell ref="W4:W6"/>
    <mergeCell ref="X4:X6"/>
    <mergeCell ref="Y4:Y6"/>
    <mergeCell ref="Z4:Z6"/>
    <mergeCell ref="W7:W9"/>
    <mergeCell ref="X7:X9"/>
    <mergeCell ref="Y7:Y9"/>
    <mergeCell ref="Z7:Z9"/>
    <mergeCell ref="W10:W12"/>
    <mergeCell ref="X10:X12"/>
    <mergeCell ref="Y10:Y12"/>
    <mergeCell ref="Z10:Z12"/>
    <mergeCell ref="W13:W14"/>
    <mergeCell ref="X13:X14"/>
    <mergeCell ref="Y13:Y14"/>
    <mergeCell ref="Z13:Z14"/>
    <mergeCell ref="AY412:AY416"/>
    <mergeCell ref="BA412:BC412"/>
    <mergeCell ref="AY417:AY421"/>
    <mergeCell ref="BA417:BC417"/>
    <mergeCell ref="AY400:AY404"/>
    <mergeCell ref="BA400:BC400"/>
    <mergeCell ref="AY405:AY409"/>
    <mergeCell ref="BA405:BC405"/>
    <mergeCell ref="AY388:AY392"/>
    <mergeCell ref="BA388:BC388"/>
    <mergeCell ref="AY393:AY397"/>
    <mergeCell ref="BA393:BC393"/>
    <mergeCell ref="AY376:AY380"/>
    <mergeCell ref="BA376:BC376"/>
    <mergeCell ref="AY381:AY385"/>
    <mergeCell ref="BA381:BC381"/>
    <mergeCell ref="AY364:AY368"/>
    <mergeCell ref="BA364:BC364"/>
    <mergeCell ref="AY369:AY373"/>
    <mergeCell ref="BA369:BC369"/>
    <mergeCell ref="AY352:AY356"/>
    <mergeCell ref="BA352:BC352"/>
    <mergeCell ref="AY357:AY361"/>
    <mergeCell ref="BA357:BC357"/>
    <mergeCell ref="AY340:AY344"/>
    <mergeCell ref="BA340:BC340"/>
    <mergeCell ref="AY345:AY349"/>
    <mergeCell ref="BA345:BC345"/>
    <mergeCell ref="AY328:AY332"/>
    <mergeCell ref="BA328:BC328"/>
    <mergeCell ref="AY333:AY337"/>
    <mergeCell ref="BA333:BC333"/>
    <mergeCell ref="AY316:AY320"/>
    <mergeCell ref="BA316:BC316"/>
    <mergeCell ref="AY321:AY325"/>
    <mergeCell ref="BA321:BC321"/>
    <mergeCell ref="AY304:AY308"/>
    <mergeCell ref="BA304:BC304"/>
    <mergeCell ref="AY309:AY313"/>
    <mergeCell ref="BA309:BC309"/>
    <mergeCell ref="AY292:AY296"/>
    <mergeCell ref="BA292:BC292"/>
    <mergeCell ref="AY297:AY301"/>
    <mergeCell ref="BA297:BC297"/>
    <mergeCell ref="AY280:AY284"/>
    <mergeCell ref="BA280:BC280"/>
    <mergeCell ref="AY285:AY289"/>
    <mergeCell ref="BA285:BC285"/>
    <mergeCell ref="AY268:AY272"/>
    <mergeCell ref="BA268:BC268"/>
    <mergeCell ref="AY273:AY277"/>
    <mergeCell ref="BA273:BC273"/>
    <mergeCell ref="AY256:AY260"/>
    <mergeCell ref="BA256:BC256"/>
    <mergeCell ref="AY261:AY265"/>
    <mergeCell ref="BA261:BC261"/>
    <mergeCell ref="AY141:AY145"/>
    <mergeCell ref="BA141:BC141"/>
    <mergeCell ref="AY244:AY248"/>
    <mergeCell ref="BA244:BC244"/>
    <mergeCell ref="AY249:AY253"/>
    <mergeCell ref="BA249:BC249"/>
    <mergeCell ref="AY232:AY236"/>
    <mergeCell ref="BA232:BC232"/>
    <mergeCell ref="AY237:AY241"/>
    <mergeCell ref="BA237:BC237"/>
    <mergeCell ref="AY220:AY224"/>
    <mergeCell ref="BA220:BC220"/>
    <mergeCell ref="AY225:AY229"/>
    <mergeCell ref="BA225:BC225"/>
    <mergeCell ref="AY208:AY212"/>
    <mergeCell ref="BA208:BC208"/>
    <mergeCell ref="AY213:AY217"/>
    <mergeCell ref="BA213:BC213"/>
    <mergeCell ref="AY196:AY200"/>
    <mergeCell ref="BA196:BC196"/>
    <mergeCell ref="AY201:AY205"/>
    <mergeCell ref="BA201:BC201"/>
    <mergeCell ref="AY117:AY121"/>
    <mergeCell ref="BA117:BC117"/>
    <mergeCell ref="AY100:AY104"/>
    <mergeCell ref="BA100:BC100"/>
    <mergeCell ref="AY105:AY109"/>
    <mergeCell ref="BA105:BC105"/>
    <mergeCell ref="AY88:AY92"/>
    <mergeCell ref="BA88:BC88"/>
    <mergeCell ref="AY93:AY97"/>
    <mergeCell ref="BA93:BC93"/>
    <mergeCell ref="AY76:AY80"/>
    <mergeCell ref="BA76:BC76"/>
    <mergeCell ref="AY81:AY85"/>
    <mergeCell ref="BA81:BC81"/>
    <mergeCell ref="AY184:AY188"/>
    <mergeCell ref="BA184:BC184"/>
    <mergeCell ref="AY189:AY193"/>
    <mergeCell ref="BA189:BC189"/>
    <mergeCell ref="AY172:AY176"/>
    <mergeCell ref="BA172:BC172"/>
    <mergeCell ref="AY177:AY181"/>
    <mergeCell ref="BA177:BC177"/>
    <mergeCell ref="AY160:AY164"/>
    <mergeCell ref="BA160:BC160"/>
    <mergeCell ref="AY165:AY169"/>
    <mergeCell ref="BA165:BC165"/>
    <mergeCell ref="AY148:AY152"/>
    <mergeCell ref="BA148:BC148"/>
    <mergeCell ref="AY153:AY157"/>
    <mergeCell ref="BA153:BC153"/>
    <mergeCell ref="AY136:AY140"/>
    <mergeCell ref="BA136:BC136"/>
    <mergeCell ref="AO416:AO417"/>
    <mergeCell ref="AY2:BC3"/>
    <mergeCell ref="AY4:AY8"/>
    <mergeCell ref="BA4:BC4"/>
    <mergeCell ref="AY9:AY13"/>
    <mergeCell ref="BA9:BC9"/>
    <mergeCell ref="AY28:AY32"/>
    <mergeCell ref="BA28:BC28"/>
    <mergeCell ref="AY33:AY37"/>
    <mergeCell ref="AY64:AY68"/>
    <mergeCell ref="BA64:BC64"/>
    <mergeCell ref="AY69:AY73"/>
    <mergeCell ref="BA69:BC69"/>
    <mergeCell ref="AY57:AY61"/>
    <mergeCell ref="BA57:BC57"/>
    <mergeCell ref="AY40:AY44"/>
    <mergeCell ref="BA40:BC40"/>
    <mergeCell ref="AY45:AY49"/>
    <mergeCell ref="BA45:BC45"/>
    <mergeCell ref="BA33:BC33"/>
    <mergeCell ref="AY16:AY20"/>
    <mergeCell ref="BA16:BC16"/>
    <mergeCell ref="AY21:AY25"/>
    <mergeCell ref="BA21:BC21"/>
    <mergeCell ref="AY52:AY56"/>
    <mergeCell ref="BA52:BC52"/>
    <mergeCell ref="AY124:AY128"/>
    <mergeCell ref="BA124:BC124"/>
    <mergeCell ref="AY129:AY133"/>
    <mergeCell ref="BA129:BC129"/>
    <mergeCell ref="AY112:AY116"/>
    <mergeCell ref="BA112:BC112"/>
    <mergeCell ref="AJ414:AJ415"/>
    <mergeCell ref="AK414:AK415"/>
    <mergeCell ref="AL420:AL421"/>
    <mergeCell ref="AM420:AM421"/>
    <mergeCell ref="AN420:AN421"/>
    <mergeCell ref="AO420:AO421"/>
    <mergeCell ref="AP420:AP421"/>
    <mergeCell ref="AN418:AN419"/>
    <mergeCell ref="AO418:AO419"/>
    <mergeCell ref="AP418:AP419"/>
    <mergeCell ref="AE420:AE421"/>
    <mergeCell ref="AF420:AF421"/>
    <mergeCell ref="AG420:AG421"/>
    <mergeCell ref="AH420:AH421"/>
    <mergeCell ref="AI420:AI421"/>
    <mergeCell ref="AJ420:AJ421"/>
    <mergeCell ref="AK420:AK421"/>
    <mergeCell ref="AP416:AP417"/>
    <mergeCell ref="AE418:AE419"/>
    <mergeCell ref="AF418:AF419"/>
    <mergeCell ref="AG418:AG419"/>
    <mergeCell ref="AH418:AH419"/>
    <mergeCell ref="AI418:AI419"/>
    <mergeCell ref="AJ418:AJ419"/>
    <mergeCell ref="AK418:AK419"/>
    <mergeCell ref="AL418:AL419"/>
    <mergeCell ref="AM418:AM419"/>
    <mergeCell ref="AJ416:AJ417"/>
    <mergeCell ref="AK416:AK417"/>
    <mergeCell ref="AL416:AL417"/>
    <mergeCell ref="AM416:AM417"/>
    <mergeCell ref="AN416:AN417"/>
    <mergeCell ref="AL408:AL409"/>
    <mergeCell ref="AM408:AM409"/>
    <mergeCell ref="AN408:AN409"/>
    <mergeCell ref="AO408:AO409"/>
    <mergeCell ref="AP408:AP409"/>
    <mergeCell ref="AG412:AG413"/>
    <mergeCell ref="AH412:AH413"/>
    <mergeCell ref="AI412:AI413"/>
    <mergeCell ref="AJ412:AJ413"/>
    <mergeCell ref="AK412:AK413"/>
    <mergeCell ref="AN406:AN407"/>
    <mergeCell ref="AO406:AO407"/>
    <mergeCell ref="AP406:AP407"/>
    <mergeCell ref="AE408:AE409"/>
    <mergeCell ref="AF408:AF409"/>
    <mergeCell ref="AG408:AG409"/>
    <mergeCell ref="AH408:AH409"/>
    <mergeCell ref="AI408:AI409"/>
    <mergeCell ref="AJ408:AJ409"/>
    <mergeCell ref="AK408:AK409"/>
    <mergeCell ref="AL412:AL413"/>
    <mergeCell ref="AM412:AM413"/>
    <mergeCell ref="AP412:AP413"/>
    <mergeCell ref="AL400:AL401"/>
    <mergeCell ref="AM400:AM401"/>
    <mergeCell ref="AP400:AP401"/>
    <mergeCell ref="AE402:AE403"/>
    <mergeCell ref="AF402:AF403"/>
    <mergeCell ref="AG402:AG403"/>
    <mergeCell ref="AH402:AH403"/>
    <mergeCell ref="AI402:AI403"/>
    <mergeCell ref="AJ402:AJ403"/>
    <mergeCell ref="AK402:AK403"/>
    <mergeCell ref="AL396:AL397"/>
    <mergeCell ref="AM396:AM397"/>
    <mergeCell ref="AN396:AN397"/>
    <mergeCell ref="AO396:AO397"/>
    <mergeCell ref="AP396:AP397"/>
    <mergeCell ref="AG400:AG401"/>
    <mergeCell ref="AH400:AH401"/>
    <mergeCell ref="AI400:AI401"/>
    <mergeCell ref="AJ400:AJ401"/>
    <mergeCell ref="AK400:AK401"/>
    <mergeCell ref="AL402:AL403"/>
    <mergeCell ref="AM402:AM403"/>
    <mergeCell ref="AN402:AN403"/>
    <mergeCell ref="AO402:AO403"/>
    <mergeCell ref="AP402:AP403"/>
    <mergeCell ref="AN394:AN395"/>
    <mergeCell ref="AO394:AO395"/>
    <mergeCell ref="AP394:AP395"/>
    <mergeCell ref="AE396:AE397"/>
    <mergeCell ref="AF396:AF397"/>
    <mergeCell ref="AG396:AG397"/>
    <mergeCell ref="AH396:AH397"/>
    <mergeCell ref="AI396:AI397"/>
    <mergeCell ref="AJ396:AJ397"/>
    <mergeCell ref="AK396:AK397"/>
    <mergeCell ref="AP392:AP393"/>
    <mergeCell ref="AE394:AE395"/>
    <mergeCell ref="AF394:AF395"/>
    <mergeCell ref="AG394:AG395"/>
    <mergeCell ref="AH394:AH395"/>
    <mergeCell ref="AI394:AI395"/>
    <mergeCell ref="AJ394:AJ395"/>
    <mergeCell ref="AK394:AK395"/>
    <mergeCell ref="AL394:AL395"/>
    <mergeCell ref="AM394:AM395"/>
    <mergeCell ref="AJ392:AJ393"/>
    <mergeCell ref="AK392:AK393"/>
    <mergeCell ref="AL392:AL393"/>
    <mergeCell ref="AM392:AM393"/>
    <mergeCell ref="AN392:AN393"/>
    <mergeCell ref="AO392:AO393"/>
    <mergeCell ref="AE384:AE385"/>
    <mergeCell ref="AF384:AF385"/>
    <mergeCell ref="AG384:AG385"/>
    <mergeCell ref="AH384:AH385"/>
    <mergeCell ref="AI384:AI385"/>
    <mergeCell ref="AJ384:AJ385"/>
    <mergeCell ref="AK384:AK385"/>
    <mergeCell ref="AL390:AL391"/>
    <mergeCell ref="AM390:AM391"/>
    <mergeCell ref="AN390:AN391"/>
    <mergeCell ref="AO390:AO391"/>
    <mergeCell ref="AP390:AP391"/>
    <mergeCell ref="AE392:AE393"/>
    <mergeCell ref="AF392:AF393"/>
    <mergeCell ref="AG392:AG393"/>
    <mergeCell ref="AH392:AH393"/>
    <mergeCell ref="AI392:AI393"/>
    <mergeCell ref="AL388:AL389"/>
    <mergeCell ref="AM388:AM389"/>
    <mergeCell ref="AP388:AP389"/>
    <mergeCell ref="AE390:AE391"/>
    <mergeCell ref="AF390:AF391"/>
    <mergeCell ref="AG390:AG391"/>
    <mergeCell ref="AH390:AH391"/>
    <mergeCell ref="AI390:AI391"/>
    <mergeCell ref="AJ390:AJ391"/>
    <mergeCell ref="AK390:AK391"/>
    <mergeCell ref="AO376:AO377"/>
    <mergeCell ref="AP380:AP381"/>
    <mergeCell ref="AE382:AE383"/>
    <mergeCell ref="AF382:AF383"/>
    <mergeCell ref="AG382:AG383"/>
    <mergeCell ref="AH382:AH383"/>
    <mergeCell ref="AI382:AI383"/>
    <mergeCell ref="AJ382:AJ383"/>
    <mergeCell ref="AK382:AK383"/>
    <mergeCell ref="AL382:AL383"/>
    <mergeCell ref="AM382:AM383"/>
    <mergeCell ref="AJ380:AJ381"/>
    <mergeCell ref="AK380:AK381"/>
    <mergeCell ref="AL380:AL381"/>
    <mergeCell ref="AM380:AM381"/>
    <mergeCell ref="AN380:AN381"/>
    <mergeCell ref="AO380:AO381"/>
    <mergeCell ref="AL378:AL379"/>
    <mergeCell ref="AM378:AM379"/>
    <mergeCell ref="AN378:AN379"/>
    <mergeCell ref="AO378:AO379"/>
    <mergeCell ref="AP378:AP379"/>
    <mergeCell ref="AE380:AE381"/>
    <mergeCell ref="AF380:AF381"/>
    <mergeCell ref="AG380:AG381"/>
    <mergeCell ref="AH380:AH381"/>
    <mergeCell ref="AI380:AI381"/>
    <mergeCell ref="AN382:AN383"/>
    <mergeCell ref="AO382:AO383"/>
    <mergeCell ref="AP382:AP383"/>
    <mergeCell ref="AN370:AN371"/>
    <mergeCell ref="AO370:AO371"/>
    <mergeCell ref="AP370:AP371"/>
    <mergeCell ref="AE372:AE373"/>
    <mergeCell ref="AF372:AF373"/>
    <mergeCell ref="AG372:AG373"/>
    <mergeCell ref="AH372:AH373"/>
    <mergeCell ref="AI372:AI373"/>
    <mergeCell ref="AJ372:AJ373"/>
    <mergeCell ref="AK372:AK373"/>
    <mergeCell ref="AP368:AP369"/>
    <mergeCell ref="AE370:AE371"/>
    <mergeCell ref="AF370:AF371"/>
    <mergeCell ref="AG370:AG371"/>
    <mergeCell ref="AH370:AH371"/>
    <mergeCell ref="AI370:AI371"/>
    <mergeCell ref="AJ370:AJ371"/>
    <mergeCell ref="AK370:AK371"/>
    <mergeCell ref="AL370:AL371"/>
    <mergeCell ref="AM370:AM371"/>
    <mergeCell ref="AJ368:AJ369"/>
    <mergeCell ref="AK368:AK369"/>
    <mergeCell ref="AL368:AL369"/>
    <mergeCell ref="AM368:AM369"/>
    <mergeCell ref="AN368:AN369"/>
    <mergeCell ref="AO368:AO369"/>
    <mergeCell ref="AL372:AL373"/>
    <mergeCell ref="AM372:AM373"/>
    <mergeCell ref="AN372:AN373"/>
    <mergeCell ref="AO372:AO373"/>
    <mergeCell ref="AP372:AP373"/>
    <mergeCell ref="AL366:AL367"/>
    <mergeCell ref="AM366:AM367"/>
    <mergeCell ref="AN366:AN367"/>
    <mergeCell ref="AO366:AO367"/>
    <mergeCell ref="AP366:AP367"/>
    <mergeCell ref="AE368:AE369"/>
    <mergeCell ref="AF368:AF369"/>
    <mergeCell ref="AG368:AG369"/>
    <mergeCell ref="AH368:AH369"/>
    <mergeCell ref="AI368:AI369"/>
    <mergeCell ref="AL364:AL365"/>
    <mergeCell ref="AM364:AM365"/>
    <mergeCell ref="AP364:AP365"/>
    <mergeCell ref="AE366:AE367"/>
    <mergeCell ref="AF366:AF367"/>
    <mergeCell ref="AG366:AG367"/>
    <mergeCell ref="AH366:AH367"/>
    <mergeCell ref="AI366:AI367"/>
    <mergeCell ref="AJ366:AJ367"/>
    <mergeCell ref="AK366:AK367"/>
    <mergeCell ref="AL360:AL361"/>
    <mergeCell ref="AM360:AM361"/>
    <mergeCell ref="AN360:AN361"/>
    <mergeCell ref="AO360:AO361"/>
    <mergeCell ref="AP360:AP361"/>
    <mergeCell ref="AG364:AG365"/>
    <mergeCell ref="AH364:AH365"/>
    <mergeCell ref="AI364:AI365"/>
    <mergeCell ref="AJ364:AJ365"/>
    <mergeCell ref="AK364:AK365"/>
    <mergeCell ref="AN358:AN359"/>
    <mergeCell ref="AO358:AO359"/>
    <mergeCell ref="AP358:AP359"/>
    <mergeCell ref="AE360:AE361"/>
    <mergeCell ref="AF360:AF361"/>
    <mergeCell ref="AG360:AG361"/>
    <mergeCell ref="AH360:AH361"/>
    <mergeCell ref="AI360:AI361"/>
    <mergeCell ref="AJ360:AJ361"/>
    <mergeCell ref="AK360:AK361"/>
    <mergeCell ref="AJ358:AJ359"/>
    <mergeCell ref="AK358:AK359"/>
    <mergeCell ref="AL358:AL359"/>
    <mergeCell ref="AM358:AM359"/>
    <mergeCell ref="AJ356:AJ357"/>
    <mergeCell ref="AK356:AK357"/>
    <mergeCell ref="AL356:AL357"/>
    <mergeCell ref="AM356:AM357"/>
    <mergeCell ref="AN356:AN357"/>
    <mergeCell ref="AO356:AO357"/>
    <mergeCell ref="AL354:AL355"/>
    <mergeCell ref="AM354:AM355"/>
    <mergeCell ref="AN354:AN355"/>
    <mergeCell ref="AO354:AO355"/>
    <mergeCell ref="AP354:AP355"/>
    <mergeCell ref="AE356:AE357"/>
    <mergeCell ref="AF356:AF357"/>
    <mergeCell ref="AG356:AG357"/>
    <mergeCell ref="AH356:AH357"/>
    <mergeCell ref="AI356:AI357"/>
    <mergeCell ref="AL352:AL353"/>
    <mergeCell ref="AM352:AM353"/>
    <mergeCell ref="AP352:AP353"/>
    <mergeCell ref="AE354:AE355"/>
    <mergeCell ref="AF354:AF355"/>
    <mergeCell ref="AG354:AG355"/>
    <mergeCell ref="AH354:AH355"/>
    <mergeCell ref="AI354:AI355"/>
    <mergeCell ref="AJ354:AJ355"/>
    <mergeCell ref="AK354:AK355"/>
    <mergeCell ref="AF344:AF345"/>
    <mergeCell ref="AG344:AG345"/>
    <mergeCell ref="AH344:AH345"/>
    <mergeCell ref="AI344:AI345"/>
    <mergeCell ref="AL348:AL349"/>
    <mergeCell ref="AM348:AM349"/>
    <mergeCell ref="AN348:AN349"/>
    <mergeCell ref="AO348:AO349"/>
    <mergeCell ref="AP348:AP349"/>
    <mergeCell ref="AG352:AG353"/>
    <mergeCell ref="AH352:AH353"/>
    <mergeCell ref="AI352:AI353"/>
    <mergeCell ref="AJ352:AJ353"/>
    <mergeCell ref="AK352:AK353"/>
    <mergeCell ref="AE348:AE349"/>
    <mergeCell ref="AF348:AF349"/>
    <mergeCell ref="AG348:AG349"/>
    <mergeCell ref="AH348:AH349"/>
    <mergeCell ref="AI348:AI349"/>
    <mergeCell ref="AJ348:AJ349"/>
    <mergeCell ref="AK348:AK349"/>
    <mergeCell ref="AE342:AE343"/>
    <mergeCell ref="AF342:AF343"/>
    <mergeCell ref="AG342:AG343"/>
    <mergeCell ref="AH342:AH343"/>
    <mergeCell ref="AI342:AI343"/>
    <mergeCell ref="AJ342:AJ343"/>
    <mergeCell ref="AK342:AK343"/>
    <mergeCell ref="AN346:AN347"/>
    <mergeCell ref="AO346:AO347"/>
    <mergeCell ref="AP346:AP347"/>
    <mergeCell ref="AG340:AG341"/>
    <mergeCell ref="AH340:AH341"/>
    <mergeCell ref="AI340:AI341"/>
    <mergeCell ref="AJ340:AJ341"/>
    <mergeCell ref="AK340:AK341"/>
    <mergeCell ref="AP344:AP345"/>
    <mergeCell ref="AE346:AE347"/>
    <mergeCell ref="AF346:AF347"/>
    <mergeCell ref="AG346:AG347"/>
    <mergeCell ref="AH346:AH347"/>
    <mergeCell ref="AI346:AI347"/>
    <mergeCell ref="AJ346:AJ347"/>
    <mergeCell ref="AK346:AK347"/>
    <mergeCell ref="AL346:AL347"/>
    <mergeCell ref="AM346:AM347"/>
    <mergeCell ref="AJ344:AJ345"/>
    <mergeCell ref="AK344:AK345"/>
    <mergeCell ref="AL344:AL345"/>
    <mergeCell ref="AM344:AM345"/>
    <mergeCell ref="AN344:AN345"/>
    <mergeCell ref="AO344:AO345"/>
    <mergeCell ref="AE344:AE345"/>
    <mergeCell ref="AI336:AI337"/>
    <mergeCell ref="AJ336:AJ337"/>
    <mergeCell ref="AK336:AK337"/>
    <mergeCell ref="AL342:AL343"/>
    <mergeCell ref="AM342:AM343"/>
    <mergeCell ref="AN342:AN343"/>
    <mergeCell ref="AO342:AO343"/>
    <mergeCell ref="AP342:AP343"/>
    <mergeCell ref="AJ332:AJ333"/>
    <mergeCell ref="AK332:AK333"/>
    <mergeCell ref="AL332:AL333"/>
    <mergeCell ref="AM332:AM333"/>
    <mergeCell ref="AN332:AN333"/>
    <mergeCell ref="AO332:AO333"/>
    <mergeCell ref="AL340:AL341"/>
    <mergeCell ref="AM340:AM341"/>
    <mergeCell ref="AP340:AP341"/>
    <mergeCell ref="AL330:AL331"/>
    <mergeCell ref="AM330:AM331"/>
    <mergeCell ref="AN330:AN331"/>
    <mergeCell ref="AO330:AO331"/>
    <mergeCell ref="AP330:AP331"/>
    <mergeCell ref="AE332:AE333"/>
    <mergeCell ref="AF332:AF333"/>
    <mergeCell ref="AG332:AG333"/>
    <mergeCell ref="AH332:AH333"/>
    <mergeCell ref="AI332:AI333"/>
    <mergeCell ref="AL336:AL337"/>
    <mergeCell ref="AM336:AM337"/>
    <mergeCell ref="AN336:AN337"/>
    <mergeCell ref="AO336:AO337"/>
    <mergeCell ref="AP336:AP337"/>
    <mergeCell ref="AL328:AL329"/>
    <mergeCell ref="AM328:AM329"/>
    <mergeCell ref="AP328:AP329"/>
    <mergeCell ref="AE330:AE331"/>
    <mergeCell ref="AF330:AF331"/>
    <mergeCell ref="AG330:AG331"/>
    <mergeCell ref="AH330:AH331"/>
    <mergeCell ref="AI330:AI331"/>
    <mergeCell ref="AJ330:AJ331"/>
    <mergeCell ref="AK330:AK331"/>
    <mergeCell ref="AN334:AN335"/>
    <mergeCell ref="AO334:AO335"/>
    <mergeCell ref="AP334:AP335"/>
    <mergeCell ref="AE336:AE337"/>
    <mergeCell ref="AF336:AF337"/>
    <mergeCell ref="AG336:AG337"/>
    <mergeCell ref="AH336:AH337"/>
    <mergeCell ref="AL324:AL325"/>
    <mergeCell ref="AM324:AM325"/>
    <mergeCell ref="AN324:AN325"/>
    <mergeCell ref="AO324:AO325"/>
    <mergeCell ref="AP324:AP325"/>
    <mergeCell ref="AG328:AG329"/>
    <mergeCell ref="AH328:AH329"/>
    <mergeCell ref="AI328:AI329"/>
    <mergeCell ref="AJ328:AJ329"/>
    <mergeCell ref="AK328:AK329"/>
    <mergeCell ref="AN322:AN323"/>
    <mergeCell ref="AO322:AO323"/>
    <mergeCell ref="AP322:AP323"/>
    <mergeCell ref="AE324:AE325"/>
    <mergeCell ref="AF324:AF325"/>
    <mergeCell ref="AG324:AG325"/>
    <mergeCell ref="AH324:AH325"/>
    <mergeCell ref="AI324:AI325"/>
    <mergeCell ref="AJ324:AJ325"/>
    <mergeCell ref="AK324:AK325"/>
    <mergeCell ref="AL316:AL317"/>
    <mergeCell ref="AM316:AM317"/>
    <mergeCell ref="AP316:AP317"/>
    <mergeCell ref="AG318:AG319"/>
    <mergeCell ref="AH318:AH319"/>
    <mergeCell ref="AI318:AI319"/>
    <mergeCell ref="AJ318:AJ319"/>
    <mergeCell ref="AK318:AK319"/>
    <mergeCell ref="AP320:AP321"/>
    <mergeCell ref="AE322:AE323"/>
    <mergeCell ref="AF322:AF323"/>
    <mergeCell ref="AG322:AG323"/>
    <mergeCell ref="AH322:AH323"/>
    <mergeCell ref="AI322:AI323"/>
    <mergeCell ref="AJ322:AJ323"/>
    <mergeCell ref="AK322:AK323"/>
    <mergeCell ref="AL322:AL323"/>
    <mergeCell ref="AM322:AM323"/>
    <mergeCell ref="AJ320:AJ321"/>
    <mergeCell ref="AK320:AK321"/>
    <mergeCell ref="AL320:AL321"/>
    <mergeCell ref="AM320:AM321"/>
    <mergeCell ref="AN320:AN321"/>
    <mergeCell ref="AO320:AO321"/>
    <mergeCell ref="AI316:AI317"/>
    <mergeCell ref="AJ316:AJ317"/>
    <mergeCell ref="AK316:AK317"/>
    <mergeCell ref="AJ308:AJ309"/>
    <mergeCell ref="AK308:AK309"/>
    <mergeCell ref="AL308:AL309"/>
    <mergeCell ref="AM308:AM309"/>
    <mergeCell ref="AN308:AN309"/>
    <mergeCell ref="AO308:AO309"/>
    <mergeCell ref="AL306:AL307"/>
    <mergeCell ref="AM306:AM307"/>
    <mergeCell ref="AN306:AN307"/>
    <mergeCell ref="AO306:AO307"/>
    <mergeCell ref="AP306:AP307"/>
    <mergeCell ref="AE308:AE309"/>
    <mergeCell ref="AF308:AF309"/>
    <mergeCell ref="AG308:AG309"/>
    <mergeCell ref="AH308:AH309"/>
    <mergeCell ref="AI308:AI309"/>
    <mergeCell ref="AL312:AL313"/>
    <mergeCell ref="AM312:AM313"/>
    <mergeCell ref="AN312:AN313"/>
    <mergeCell ref="AO312:AO313"/>
    <mergeCell ref="AP312:AP313"/>
    <mergeCell ref="AN310:AN311"/>
    <mergeCell ref="AO310:AO311"/>
    <mergeCell ref="AP310:AP311"/>
    <mergeCell ref="AE312:AE313"/>
    <mergeCell ref="AF312:AF313"/>
    <mergeCell ref="AG312:AG313"/>
    <mergeCell ref="AH312:AH313"/>
    <mergeCell ref="AI312:AI313"/>
    <mergeCell ref="AJ312:AJ313"/>
    <mergeCell ref="AK312:AK313"/>
    <mergeCell ref="AL304:AL305"/>
    <mergeCell ref="AM304:AM305"/>
    <mergeCell ref="AP304:AP305"/>
    <mergeCell ref="AE306:AE307"/>
    <mergeCell ref="AF306:AF307"/>
    <mergeCell ref="AG306:AG307"/>
    <mergeCell ref="AH306:AH307"/>
    <mergeCell ref="AI306:AI307"/>
    <mergeCell ref="AJ306:AJ307"/>
    <mergeCell ref="AK306:AK307"/>
    <mergeCell ref="AL300:AL301"/>
    <mergeCell ref="AM300:AM301"/>
    <mergeCell ref="AN300:AN301"/>
    <mergeCell ref="AO300:AO301"/>
    <mergeCell ref="AP300:AP301"/>
    <mergeCell ref="AG304:AG305"/>
    <mergeCell ref="AH304:AH305"/>
    <mergeCell ref="AI304:AI305"/>
    <mergeCell ref="AJ304:AJ305"/>
    <mergeCell ref="AK304:AK305"/>
    <mergeCell ref="AN298:AN299"/>
    <mergeCell ref="AO298:AO299"/>
    <mergeCell ref="AP298:AP299"/>
    <mergeCell ref="AE300:AE301"/>
    <mergeCell ref="AF300:AF301"/>
    <mergeCell ref="AG300:AG301"/>
    <mergeCell ref="AH300:AH301"/>
    <mergeCell ref="AI300:AI301"/>
    <mergeCell ref="AJ300:AJ301"/>
    <mergeCell ref="AK300:AK301"/>
    <mergeCell ref="AP296:AP297"/>
    <mergeCell ref="AE298:AE299"/>
    <mergeCell ref="AF298:AF299"/>
    <mergeCell ref="AG298:AG299"/>
    <mergeCell ref="AH298:AH299"/>
    <mergeCell ref="AI298:AI299"/>
    <mergeCell ref="AJ298:AJ299"/>
    <mergeCell ref="AK298:AK299"/>
    <mergeCell ref="AL298:AL299"/>
    <mergeCell ref="AM298:AM299"/>
    <mergeCell ref="AJ296:AJ297"/>
    <mergeCell ref="AK296:AK297"/>
    <mergeCell ref="AL296:AL297"/>
    <mergeCell ref="AM296:AM297"/>
    <mergeCell ref="AN296:AN297"/>
    <mergeCell ref="AO296:AO297"/>
    <mergeCell ref="AI292:AI293"/>
    <mergeCell ref="AJ292:AJ293"/>
    <mergeCell ref="AK292:AK293"/>
    <mergeCell ref="AN286:AN287"/>
    <mergeCell ref="AO286:AO287"/>
    <mergeCell ref="AP286:AP287"/>
    <mergeCell ref="AE288:AE289"/>
    <mergeCell ref="AF288:AF289"/>
    <mergeCell ref="AG288:AG289"/>
    <mergeCell ref="AH288:AH289"/>
    <mergeCell ref="AI288:AI289"/>
    <mergeCell ref="AJ288:AJ289"/>
    <mergeCell ref="AK288:AK289"/>
    <mergeCell ref="AL292:AL293"/>
    <mergeCell ref="AM292:AM293"/>
    <mergeCell ref="AP292:AP293"/>
    <mergeCell ref="AG294:AG295"/>
    <mergeCell ref="AH294:AH295"/>
    <mergeCell ref="AI294:AI295"/>
    <mergeCell ref="AJ294:AJ295"/>
    <mergeCell ref="AK294:AK295"/>
    <mergeCell ref="AJ284:AJ285"/>
    <mergeCell ref="AK284:AK285"/>
    <mergeCell ref="AL284:AL285"/>
    <mergeCell ref="AM284:AM285"/>
    <mergeCell ref="AN284:AN285"/>
    <mergeCell ref="AO284:AO285"/>
    <mergeCell ref="AL282:AL283"/>
    <mergeCell ref="AM282:AM283"/>
    <mergeCell ref="AN282:AN283"/>
    <mergeCell ref="AO282:AO283"/>
    <mergeCell ref="AP282:AP283"/>
    <mergeCell ref="AE284:AE285"/>
    <mergeCell ref="AF284:AF285"/>
    <mergeCell ref="AG284:AG285"/>
    <mergeCell ref="AH284:AH285"/>
    <mergeCell ref="AI284:AI285"/>
    <mergeCell ref="AL288:AL289"/>
    <mergeCell ref="AM288:AM289"/>
    <mergeCell ref="AN288:AN289"/>
    <mergeCell ref="AO288:AO289"/>
    <mergeCell ref="AP288:AP289"/>
    <mergeCell ref="AL280:AL281"/>
    <mergeCell ref="AM280:AM281"/>
    <mergeCell ref="AP280:AP281"/>
    <mergeCell ref="AE282:AE283"/>
    <mergeCell ref="AF282:AF283"/>
    <mergeCell ref="AG282:AG283"/>
    <mergeCell ref="AH282:AH283"/>
    <mergeCell ref="AI282:AI283"/>
    <mergeCell ref="AJ282:AJ283"/>
    <mergeCell ref="AK282:AK283"/>
    <mergeCell ref="AL276:AL277"/>
    <mergeCell ref="AM276:AM277"/>
    <mergeCell ref="AN276:AN277"/>
    <mergeCell ref="AO276:AO277"/>
    <mergeCell ref="AP276:AP277"/>
    <mergeCell ref="AG280:AG281"/>
    <mergeCell ref="AH280:AH281"/>
    <mergeCell ref="AI280:AI281"/>
    <mergeCell ref="AJ280:AJ281"/>
    <mergeCell ref="AK280:AK281"/>
    <mergeCell ref="AN274:AN275"/>
    <mergeCell ref="AO274:AO275"/>
    <mergeCell ref="AP274:AP275"/>
    <mergeCell ref="AE276:AE277"/>
    <mergeCell ref="AF276:AF277"/>
    <mergeCell ref="AG276:AG277"/>
    <mergeCell ref="AH276:AH277"/>
    <mergeCell ref="AI276:AI277"/>
    <mergeCell ref="AJ276:AJ277"/>
    <mergeCell ref="AK276:AK277"/>
    <mergeCell ref="AP272:AP273"/>
    <mergeCell ref="AE274:AE275"/>
    <mergeCell ref="AF274:AF275"/>
    <mergeCell ref="AG274:AG275"/>
    <mergeCell ref="AH274:AH275"/>
    <mergeCell ref="AI274:AI275"/>
    <mergeCell ref="AJ274:AJ275"/>
    <mergeCell ref="AK274:AK275"/>
    <mergeCell ref="AL274:AL275"/>
    <mergeCell ref="AM274:AM275"/>
    <mergeCell ref="AJ272:AJ273"/>
    <mergeCell ref="AK272:AK273"/>
    <mergeCell ref="AL272:AL273"/>
    <mergeCell ref="AM272:AM273"/>
    <mergeCell ref="AN272:AN273"/>
    <mergeCell ref="AO272:AO273"/>
    <mergeCell ref="AI268:AI269"/>
    <mergeCell ref="AJ268:AJ269"/>
    <mergeCell ref="AK268:AK269"/>
    <mergeCell ref="AN262:AN263"/>
    <mergeCell ref="AO262:AO263"/>
    <mergeCell ref="AP262:AP263"/>
    <mergeCell ref="AE264:AE265"/>
    <mergeCell ref="AF264:AF265"/>
    <mergeCell ref="AG264:AG265"/>
    <mergeCell ref="AH264:AH265"/>
    <mergeCell ref="AI264:AI265"/>
    <mergeCell ref="AJ264:AJ265"/>
    <mergeCell ref="AK264:AK265"/>
    <mergeCell ref="AL268:AL269"/>
    <mergeCell ref="AM268:AM269"/>
    <mergeCell ref="AP268:AP269"/>
    <mergeCell ref="AG270:AG271"/>
    <mergeCell ref="AH270:AH271"/>
    <mergeCell ref="AI270:AI271"/>
    <mergeCell ref="AJ270:AJ271"/>
    <mergeCell ref="AK270:AK271"/>
    <mergeCell ref="AJ260:AJ261"/>
    <mergeCell ref="AK260:AK261"/>
    <mergeCell ref="AL260:AL261"/>
    <mergeCell ref="AM260:AM261"/>
    <mergeCell ref="AN260:AN261"/>
    <mergeCell ref="AO260:AO261"/>
    <mergeCell ref="AL258:AL259"/>
    <mergeCell ref="AM258:AM259"/>
    <mergeCell ref="AN258:AN259"/>
    <mergeCell ref="AO258:AO259"/>
    <mergeCell ref="AP258:AP259"/>
    <mergeCell ref="AE260:AE261"/>
    <mergeCell ref="AF260:AF261"/>
    <mergeCell ref="AG260:AG261"/>
    <mergeCell ref="AH260:AH261"/>
    <mergeCell ref="AI260:AI261"/>
    <mergeCell ref="AL264:AL265"/>
    <mergeCell ref="AM264:AM265"/>
    <mergeCell ref="AN264:AN265"/>
    <mergeCell ref="AO264:AO265"/>
    <mergeCell ref="AP264:AP265"/>
    <mergeCell ref="AL256:AL257"/>
    <mergeCell ref="AM256:AM257"/>
    <mergeCell ref="AP256:AP257"/>
    <mergeCell ref="AE258:AE259"/>
    <mergeCell ref="AF258:AF259"/>
    <mergeCell ref="AG258:AG259"/>
    <mergeCell ref="AH258:AH259"/>
    <mergeCell ref="AI258:AI259"/>
    <mergeCell ref="AJ258:AJ259"/>
    <mergeCell ref="AK258:AK259"/>
    <mergeCell ref="AL252:AL253"/>
    <mergeCell ref="AM252:AM253"/>
    <mergeCell ref="AN252:AN253"/>
    <mergeCell ref="AO252:AO253"/>
    <mergeCell ref="AP252:AP253"/>
    <mergeCell ref="AG256:AG257"/>
    <mergeCell ref="AH256:AH257"/>
    <mergeCell ref="AI256:AI257"/>
    <mergeCell ref="AJ256:AJ257"/>
    <mergeCell ref="AK256:AK257"/>
    <mergeCell ref="AN250:AN251"/>
    <mergeCell ref="AO250:AO251"/>
    <mergeCell ref="AP250:AP251"/>
    <mergeCell ref="AE252:AE253"/>
    <mergeCell ref="AF252:AF253"/>
    <mergeCell ref="AG252:AG253"/>
    <mergeCell ref="AH252:AH253"/>
    <mergeCell ref="AI252:AI253"/>
    <mergeCell ref="AJ252:AJ253"/>
    <mergeCell ref="AK252:AK253"/>
    <mergeCell ref="AP248:AP249"/>
    <mergeCell ref="AE250:AE251"/>
    <mergeCell ref="AF250:AF251"/>
    <mergeCell ref="AG250:AG251"/>
    <mergeCell ref="AH250:AH251"/>
    <mergeCell ref="AI250:AI251"/>
    <mergeCell ref="AJ250:AJ251"/>
    <mergeCell ref="AK250:AK251"/>
    <mergeCell ref="AL250:AL251"/>
    <mergeCell ref="AM250:AM251"/>
    <mergeCell ref="AJ248:AJ249"/>
    <mergeCell ref="AK248:AK249"/>
    <mergeCell ref="AL248:AL249"/>
    <mergeCell ref="AM248:AM249"/>
    <mergeCell ref="AN248:AN249"/>
    <mergeCell ref="AO248:AO249"/>
    <mergeCell ref="AI244:AI245"/>
    <mergeCell ref="AJ244:AJ245"/>
    <mergeCell ref="AK244:AK245"/>
    <mergeCell ref="AN238:AN239"/>
    <mergeCell ref="AO238:AO239"/>
    <mergeCell ref="AP238:AP239"/>
    <mergeCell ref="AE240:AE241"/>
    <mergeCell ref="AF240:AF241"/>
    <mergeCell ref="AG240:AG241"/>
    <mergeCell ref="AH240:AH241"/>
    <mergeCell ref="AI240:AI241"/>
    <mergeCell ref="AJ240:AJ241"/>
    <mergeCell ref="AK240:AK241"/>
    <mergeCell ref="AL244:AL245"/>
    <mergeCell ref="AM244:AM245"/>
    <mergeCell ref="AP244:AP245"/>
    <mergeCell ref="AG246:AG247"/>
    <mergeCell ref="AH246:AH247"/>
    <mergeCell ref="AI246:AI247"/>
    <mergeCell ref="AJ246:AJ247"/>
    <mergeCell ref="AK246:AK247"/>
    <mergeCell ref="AJ236:AJ237"/>
    <mergeCell ref="AK236:AK237"/>
    <mergeCell ref="AL236:AL237"/>
    <mergeCell ref="AM236:AM237"/>
    <mergeCell ref="AN236:AN237"/>
    <mergeCell ref="AO236:AO237"/>
    <mergeCell ref="AL234:AL235"/>
    <mergeCell ref="AM234:AM235"/>
    <mergeCell ref="AN234:AN235"/>
    <mergeCell ref="AO234:AO235"/>
    <mergeCell ref="AP234:AP235"/>
    <mergeCell ref="AE236:AE237"/>
    <mergeCell ref="AF236:AF237"/>
    <mergeCell ref="AG236:AG237"/>
    <mergeCell ref="AH236:AH237"/>
    <mergeCell ref="AI236:AI237"/>
    <mergeCell ref="AL240:AL241"/>
    <mergeCell ref="AM240:AM241"/>
    <mergeCell ref="AN240:AN241"/>
    <mergeCell ref="AO240:AO241"/>
    <mergeCell ref="AP240:AP241"/>
    <mergeCell ref="AL232:AL233"/>
    <mergeCell ref="AM232:AM233"/>
    <mergeCell ref="AP232:AP233"/>
    <mergeCell ref="AE234:AE235"/>
    <mergeCell ref="AF234:AF235"/>
    <mergeCell ref="AG234:AG235"/>
    <mergeCell ref="AH234:AH235"/>
    <mergeCell ref="AI234:AI235"/>
    <mergeCell ref="AJ234:AJ235"/>
    <mergeCell ref="AK234:AK235"/>
    <mergeCell ref="AL228:AL229"/>
    <mergeCell ref="AM228:AM229"/>
    <mergeCell ref="AN228:AN229"/>
    <mergeCell ref="AO228:AO229"/>
    <mergeCell ref="AP228:AP229"/>
    <mergeCell ref="AG232:AG233"/>
    <mergeCell ref="AH232:AH233"/>
    <mergeCell ref="AI232:AI233"/>
    <mergeCell ref="AJ232:AJ233"/>
    <mergeCell ref="AK232:AK233"/>
    <mergeCell ref="AN226:AN227"/>
    <mergeCell ref="AO226:AO227"/>
    <mergeCell ref="AP226:AP227"/>
    <mergeCell ref="AE228:AE229"/>
    <mergeCell ref="AF228:AF229"/>
    <mergeCell ref="AG228:AG229"/>
    <mergeCell ref="AH228:AH229"/>
    <mergeCell ref="AI228:AI229"/>
    <mergeCell ref="AJ228:AJ229"/>
    <mergeCell ref="AK228:AK229"/>
    <mergeCell ref="AP224:AP225"/>
    <mergeCell ref="AE226:AE227"/>
    <mergeCell ref="AF226:AF227"/>
    <mergeCell ref="AG226:AG227"/>
    <mergeCell ref="AH226:AH227"/>
    <mergeCell ref="AI226:AI227"/>
    <mergeCell ref="AJ226:AJ227"/>
    <mergeCell ref="AK226:AK227"/>
    <mergeCell ref="AL226:AL227"/>
    <mergeCell ref="AM226:AM227"/>
    <mergeCell ref="AJ224:AJ225"/>
    <mergeCell ref="AK224:AK225"/>
    <mergeCell ref="AL224:AL225"/>
    <mergeCell ref="AM224:AM225"/>
    <mergeCell ref="AN224:AN225"/>
    <mergeCell ref="AO224:AO225"/>
    <mergeCell ref="AI220:AI221"/>
    <mergeCell ref="AJ220:AJ221"/>
    <mergeCell ref="AK220:AK221"/>
    <mergeCell ref="AN214:AN215"/>
    <mergeCell ref="AO214:AO215"/>
    <mergeCell ref="AP214:AP215"/>
    <mergeCell ref="AE216:AE217"/>
    <mergeCell ref="AF216:AF217"/>
    <mergeCell ref="AG216:AG217"/>
    <mergeCell ref="AH216:AH217"/>
    <mergeCell ref="AI216:AI217"/>
    <mergeCell ref="AJ216:AJ217"/>
    <mergeCell ref="AK216:AK217"/>
    <mergeCell ref="AL220:AL221"/>
    <mergeCell ref="AM220:AM221"/>
    <mergeCell ref="AP220:AP221"/>
    <mergeCell ref="AG222:AG223"/>
    <mergeCell ref="AH222:AH223"/>
    <mergeCell ref="AI222:AI223"/>
    <mergeCell ref="AJ222:AJ223"/>
    <mergeCell ref="AK222:AK223"/>
    <mergeCell ref="AJ212:AJ213"/>
    <mergeCell ref="AK212:AK213"/>
    <mergeCell ref="AL212:AL213"/>
    <mergeCell ref="AM212:AM213"/>
    <mergeCell ref="AN212:AN213"/>
    <mergeCell ref="AO212:AO213"/>
    <mergeCell ref="AL210:AL211"/>
    <mergeCell ref="AM210:AM211"/>
    <mergeCell ref="AN210:AN211"/>
    <mergeCell ref="AO210:AO211"/>
    <mergeCell ref="AP210:AP211"/>
    <mergeCell ref="AE212:AE213"/>
    <mergeCell ref="AF212:AF213"/>
    <mergeCell ref="AG212:AG213"/>
    <mergeCell ref="AH212:AH213"/>
    <mergeCell ref="AI212:AI213"/>
    <mergeCell ref="AL216:AL217"/>
    <mergeCell ref="AM216:AM217"/>
    <mergeCell ref="AN216:AN217"/>
    <mergeCell ref="AO216:AO217"/>
    <mergeCell ref="AP216:AP217"/>
    <mergeCell ref="AL208:AL209"/>
    <mergeCell ref="AM208:AM209"/>
    <mergeCell ref="AP208:AP209"/>
    <mergeCell ref="AE210:AE211"/>
    <mergeCell ref="AF210:AF211"/>
    <mergeCell ref="AG210:AG211"/>
    <mergeCell ref="AH210:AH211"/>
    <mergeCell ref="AI210:AI211"/>
    <mergeCell ref="AJ210:AJ211"/>
    <mergeCell ref="AK210:AK211"/>
    <mergeCell ref="AL204:AL205"/>
    <mergeCell ref="AM204:AM205"/>
    <mergeCell ref="AN204:AN205"/>
    <mergeCell ref="AO204:AO205"/>
    <mergeCell ref="AP204:AP205"/>
    <mergeCell ref="AG208:AG209"/>
    <mergeCell ref="AH208:AH209"/>
    <mergeCell ref="AI208:AI209"/>
    <mergeCell ref="AJ208:AJ209"/>
    <mergeCell ref="AK208:AK209"/>
    <mergeCell ref="AN202:AN203"/>
    <mergeCell ref="AO202:AO203"/>
    <mergeCell ref="AP202:AP203"/>
    <mergeCell ref="AE204:AE205"/>
    <mergeCell ref="AF204:AF205"/>
    <mergeCell ref="AG204:AG205"/>
    <mergeCell ref="AH204:AH205"/>
    <mergeCell ref="AI204:AI205"/>
    <mergeCell ref="AJ204:AJ205"/>
    <mergeCell ref="AK204:AK205"/>
    <mergeCell ref="AP200:AP201"/>
    <mergeCell ref="AE202:AE203"/>
    <mergeCell ref="AF202:AF203"/>
    <mergeCell ref="AG202:AG203"/>
    <mergeCell ref="AH202:AH203"/>
    <mergeCell ref="AI202:AI203"/>
    <mergeCell ref="AJ202:AJ203"/>
    <mergeCell ref="AK202:AK203"/>
    <mergeCell ref="AL202:AL203"/>
    <mergeCell ref="AM202:AM203"/>
    <mergeCell ref="AJ200:AJ201"/>
    <mergeCell ref="AK200:AK201"/>
    <mergeCell ref="AL200:AL201"/>
    <mergeCell ref="AM200:AM201"/>
    <mergeCell ref="AN200:AN201"/>
    <mergeCell ref="AO200:AO201"/>
    <mergeCell ref="AI196:AI197"/>
    <mergeCell ref="AJ196:AJ197"/>
    <mergeCell ref="AK196:AK197"/>
    <mergeCell ref="AN190:AN191"/>
    <mergeCell ref="AO190:AO191"/>
    <mergeCell ref="AP190:AP191"/>
    <mergeCell ref="AE192:AE193"/>
    <mergeCell ref="AF192:AF193"/>
    <mergeCell ref="AG192:AG193"/>
    <mergeCell ref="AH192:AH193"/>
    <mergeCell ref="AI192:AI193"/>
    <mergeCell ref="AJ192:AJ193"/>
    <mergeCell ref="AK192:AK193"/>
    <mergeCell ref="AL196:AL197"/>
    <mergeCell ref="AM196:AM197"/>
    <mergeCell ref="AP196:AP197"/>
    <mergeCell ref="AG198:AG199"/>
    <mergeCell ref="AH198:AH199"/>
    <mergeCell ref="AI198:AI199"/>
    <mergeCell ref="AJ198:AJ199"/>
    <mergeCell ref="AK198:AK199"/>
    <mergeCell ref="AJ188:AJ189"/>
    <mergeCell ref="AK188:AK189"/>
    <mergeCell ref="AL188:AL189"/>
    <mergeCell ref="AM188:AM189"/>
    <mergeCell ref="AN188:AN189"/>
    <mergeCell ref="AO188:AO189"/>
    <mergeCell ref="AL186:AL187"/>
    <mergeCell ref="AM186:AM187"/>
    <mergeCell ref="AN186:AN187"/>
    <mergeCell ref="AO186:AO187"/>
    <mergeCell ref="AP186:AP187"/>
    <mergeCell ref="AE188:AE189"/>
    <mergeCell ref="AF188:AF189"/>
    <mergeCell ref="AG188:AG189"/>
    <mergeCell ref="AH188:AH189"/>
    <mergeCell ref="AI188:AI189"/>
    <mergeCell ref="AL192:AL193"/>
    <mergeCell ref="AM192:AM193"/>
    <mergeCell ref="AN192:AN193"/>
    <mergeCell ref="AO192:AO193"/>
    <mergeCell ref="AP192:AP193"/>
    <mergeCell ref="AL184:AL185"/>
    <mergeCell ref="AM184:AM185"/>
    <mergeCell ref="AP184:AP185"/>
    <mergeCell ref="AE186:AE187"/>
    <mergeCell ref="AF186:AF187"/>
    <mergeCell ref="AG186:AG187"/>
    <mergeCell ref="AH186:AH187"/>
    <mergeCell ref="AI186:AI187"/>
    <mergeCell ref="AJ186:AJ187"/>
    <mergeCell ref="AK186:AK187"/>
    <mergeCell ref="AL180:AL181"/>
    <mergeCell ref="AM180:AM181"/>
    <mergeCell ref="AN180:AN181"/>
    <mergeCell ref="AO180:AO181"/>
    <mergeCell ref="AP180:AP181"/>
    <mergeCell ref="AG184:AG185"/>
    <mergeCell ref="AH184:AH185"/>
    <mergeCell ref="AI184:AI185"/>
    <mergeCell ref="AJ184:AJ185"/>
    <mergeCell ref="AK184:AK185"/>
    <mergeCell ref="AN178:AN179"/>
    <mergeCell ref="AO178:AO179"/>
    <mergeCell ref="AP178:AP179"/>
    <mergeCell ref="AE180:AE181"/>
    <mergeCell ref="AF180:AF181"/>
    <mergeCell ref="AG180:AG181"/>
    <mergeCell ref="AH180:AH181"/>
    <mergeCell ref="AI180:AI181"/>
    <mergeCell ref="AJ180:AJ181"/>
    <mergeCell ref="AK180:AK181"/>
    <mergeCell ref="AP176:AP177"/>
    <mergeCell ref="AE178:AE179"/>
    <mergeCell ref="AF178:AF179"/>
    <mergeCell ref="AG178:AG179"/>
    <mergeCell ref="AH178:AH179"/>
    <mergeCell ref="AI178:AI179"/>
    <mergeCell ref="AJ178:AJ179"/>
    <mergeCell ref="AK178:AK179"/>
    <mergeCell ref="AL178:AL179"/>
    <mergeCell ref="AM178:AM179"/>
    <mergeCell ref="AJ176:AJ177"/>
    <mergeCell ref="AK176:AK177"/>
    <mergeCell ref="AL176:AL177"/>
    <mergeCell ref="AM176:AM177"/>
    <mergeCell ref="AN176:AN177"/>
    <mergeCell ref="AO176:AO177"/>
    <mergeCell ref="AI172:AI173"/>
    <mergeCell ref="AJ172:AJ173"/>
    <mergeCell ref="AK172:AK173"/>
    <mergeCell ref="AN166:AN167"/>
    <mergeCell ref="AO166:AO167"/>
    <mergeCell ref="AP166:AP167"/>
    <mergeCell ref="AE168:AE169"/>
    <mergeCell ref="AF168:AF169"/>
    <mergeCell ref="AG168:AG169"/>
    <mergeCell ref="AH168:AH169"/>
    <mergeCell ref="AI168:AI169"/>
    <mergeCell ref="AJ168:AJ169"/>
    <mergeCell ref="AK168:AK169"/>
    <mergeCell ref="AL172:AL173"/>
    <mergeCell ref="AM172:AM173"/>
    <mergeCell ref="AP172:AP173"/>
    <mergeCell ref="AG174:AG175"/>
    <mergeCell ref="AH174:AH175"/>
    <mergeCell ref="AI174:AI175"/>
    <mergeCell ref="AJ174:AJ175"/>
    <mergeCell ref="AK174:AK175"/>
    <mergeCell ref="AJ164:AJ165"/>
    <mergeCell ref="AK164:AK165"/>
    <mergeCell ref="AL164:AL165"/>
    <mergeCell ref="AM164:AM165"/>
    <mergeCell ref="AN164:AN165"/>
    <mergeCell ref="AO164:AO165"/>
    <mergeCell ref="AL162:AL163"/>
    <mergeCell ref="AM162:AM163"/>
    <mergeCell ref="AN162:AN163"/>
    <mergeCell ref="AO162:AO163"/>
    <mergeCell ref="AP162:AP163"/>
    <mergeCell ref="AE164:AE165"/>
    <mergeCell ref="AF164:AF165"/>
    <mergeCell ref="AG164:AG165"/>
    <mergeCell ref="AH164:AH165"/>
    <mergeCell ref="AI164:AI165"/>
    <mergeCell ref="AL168:AL169"/>
    <mergeCell ref="AM168:AM169"/>
    <mergeCell ref="AN168:AN169"/>
    <mergeCell ref="AO168:AO169"/>
    <mergeCell ref="AP168:AP169"/>
    <mergeCell ref="AL160:AL161"/>
    <mergeCell ref="AM160:AM161"/>
    <mergeCell ref="AP160:AP161"/>
    <mergeCell ref="AE162:AE163"/>
    <mergeCell ref="AF162:AF163"/>
    <mergeCell ref="AG162:AG163"/>
    <mergeCell ref="AH162:AH163"/>
    <mergeCell ref="AI162:AI163"/>
    <mergeCell ref="AJ162:AJ163"/>
    <mergeCell ref="AK162:AK163"/>
    <mergeCell ref="AL156:AL157"/>
    <mergeCell ref="AM156:AM157"/>
    <mergeCell ref="AN156:AN157"/>
    <mergeCell ref="AO156:AO157"/>
    <mergeCell ref="AP156:AP157"/>
    <mergeCell ref="AG160:AG161"/>
    <mergeCell ref="AH160:AH161"/>
    <mergeCell ref="AI160:AI161"/>
    <mergeCell ref="AJ160:AJ161"/>
    <mergeCell ref="AK160:AK161"/>
    <mergeCell ref="AN154:AN155"/>
    <mergeCell ref="AO154:AO155"/>
    <mergeCell ref="AP154:AP155"/>
    <mergeCell ref="AE156:AE157"/>
    <mergeCell ref="AF156:AF157"/>
    <mergeCell ref="AG156:AG157"/>
    <mergeCell ref="AH156:AH157"/>
    <mergeCell ref="AI156:AI157"/>
    <mergeCell ref="AJ156:AJ157"/>
    <mergeCell ref="AK156:AK157"/>
    <mergeCell ref="AP152:AP153"/>
    <mergeCell ref="AE154:AE155"/>
    <mergeCell ref="AF154:AF155"/>
    <mergeCell ref="AG154:AG155"/>
    <mergeCell ref="AH154:AH155"/>
    <mergeCell ref="AI154:AI155"/>
    <mergeCell ref="AJ154:AJ155"/>
    <mergeCell ref="AK154:AK155"/>
    <mergeCell ref="AL154:AL155"/>
    <mergeCell ref="AM154:AM155"/>
    <mergeCell ref="AJ152:AJ153"/>
    <mergeCell ref="AK152:AK153"/>
    <mergeCell ref="AL152:AL153"/>
    <mergeCell ref="AM152:AM153"/>
    <mergeCell ref="AN152:AN153"/>
    <mergeCell ref="AO152:AO153"/>
    <mergeCell ref="AK148:AK149"/>
    <mergeCell ref="AN142:AN143"/>
    <mergeCell ref="AO142:AO143"/>
    <mergeCell ref="AP142:AP143"/>
    <mergeCell ref="AE144:AE145"/>
    <mergeCell ref="AF144:AF145"/>
    <mergeCell ref="AG144:AG145"/>
    <mergeCell ref="AH144:AH145"/>
    <mergeCell ref="AI144:AI145"/>
    <mergeCell ref="AJ144:AJ145"/>
    <mergeCell ref="AK144:AK145"/>
    <mergeCell ref="AL148:AL149"/>
    <mergeCell ref="AM148:AM149"/>
    <mergeCell ref="AP148:AP149"/>
    <mergeCell ref="AG150:AG151"/>
    <mergeCell ref="AH150:AH151"/>
    <mergeCell ref="AI150:AI151"/>
    <mergeCell ref="AJ150:AJ151"/>
    <mergeCell ref="AK150:AK151"/>
    <mergeCell ref="AJ140:AJ141"/>
    <mergeCell ref="AK140:AK141"/>
    <mergeCell ref="AL140:AL141"/>
    <mergeCell ref="AM140:AM141"/>
    <mergeCell ref="AN140:AN141"/>
    <mergeCell ref="AO140:AO141"/>
    <mergeCell ref="AL138:AL139"/>
    <mergeCell ref="AM138:AM139"/>
    <mergeCell ref="AN138:AN139"/>
    <mergeCell ref="AO138:AO139"/>
    <mergeCell ref="AP138:AP139"/>
    <mergeCell ref="AE140:AE141"/>
    <mergeCell ref="AF140:AF141"/>
    <mergeCell ref="AG140:AG141"/>
    <mergeCell ref="AH140:AH141"/>
    <mergeCell ref="AI140:AI141"/>
    <mergeCell ref="AL144:AL145"/>
    <mergeCell ref="AM144:AM145"/>
    <mergeCell ref="AN144:AN145"/>
    <mergeCell ref="AO144:AO145"/>
    <mergeCell ref="AP144:AP145"/>
    <mergeCell ref="AL136:AL137"/>
    <mergeCell ref="AM136:AM137"/>
    <mergeCell ref="AP136:AP137"/>
    <mergeCell ref="AE138:AE139"/>
    <mergeCell ref="AF138:AF139"/>
    <mergeCell ref="AG138:AG139"/>
    <mergeCell ref="AH138:AH139"/>
    <mergeCell ref="AI138:AI139"/>
    <mergeCell ref="AJ138:AJ139"/>
    <mergeCell ref="AK138:AK139"/>
    <mergeCell ref="AL132:AL133"/>
    <mergeCell ref="AM132:AM133"/>
    <mergeCell ref="AN132:AN133"/>
    <mergeCell ref="AO132:AO133"/>
    <mergeCell ref="AP132:AP133"/>
    <mergeCell ref="AG136:AG137"/>
    <mergeCell ref="AH136:AH137"/>
    <mergeCell ref="AI136:AI137"/>
    <mergeCell ref="AJ136:AJ137"/>
    <mergeCell ref="AK136:AK137"/>
    <mergeCell ref="AN130:AN131"/>
    <mergeCell ref="AO130:AO131"/>
    <mergeCell ref="AP130:AP131"/>
    <mergeCell ref="AE132:AE133"/>
    <mergeCell ref="AF132:AF133"/>
    <mergeCell ref="AG132:AG133"/>
    <mergeCell ref="AH132:AH133"/>
    <mergeCell ref="AI132:AI133"/>
    <mergeCell ref="AJ132:AJ133"/>
    <mergeCell ref="AK132:AK133"/>
    <mergeCell ref="AP128:AP129"/>
    <mergeCell ref="AE130:AE131"/>
    <mergeCell ref="AF130:AF131"/>
    <mergeCell ref="AG130:AG131"/>
    <mergeCell ref="AH130:AH131"/>
    <mergeCell ref="AI130:AI131"/>
    <mergeCell ref="AJ130:AJ131"/>
    <mergeCell ref="AK130:AK131"/>
    <mergeCell ref="AL130:AL131"/>
    <mergeCell ref="AM130:AM131"/>
    <mergeCell ref="AJ128:AJ129"/>
    <mergeCell ref="AK128:AK129"/>
    <mergeCell ref="AL128:AL129"/>
    <mergeCell ref="AM128:AM129"/>
    <mergeCell ref="AN128:AN129"/>
    <mergeCell ref="AO128:AO129"/>
    <mergeCell ref="AK124:AK125"/>
    <mergeCell ref="AN118:AN119"/>
    <mergeCell ref="AO118:AO119"/>
    <mergeCell ref="AP118:AP119"/>
    <mergeCell ref="AE120:AE121"/>
    <mergeCell ref="AF120:AF121"/>
    <mergeCell ref="AG120:AG121"/>
    <mergeCell ref="AH120:AH121"/>
    <mergeCell ref="AI120:AI121"/>
    <mergeCell ref="AJ120:AJ121"/>
    <mergeCell ref="AK120:AK121"/>
    <mergeCell ref="AL124:AL125"/>
    <mergeCell ref="AM124:AM125"/>
    <mergeCell ref="AP124:AP125"/>
    <mergeCell ref="AG126:AG127"/>
    <mergeCell ref="AH126:AH127"/>
    <mergeCell ref="AI126:AI127"/>
    <mergeCell ref="AJ126:AJ127"/>
    <mergeCell ref="AK126:AK127"/>
    <mergeCell ref="AJ116:AJ117"/>
    <mergeCell ref="AK116:AK117"/>
    <mergeCell ref="AL116:AL117"/>
    <mergeCell ref="AM116:AM117"/>
    <mergeCell ref="AN116:AN117"/>
    <mergeCell ref="AO116:AO117"/>
    <mergeCell ref="AL114:AL115"/>
    <mergeCell ref="AM114:AM115"/>
    <mergeCell ref="AN114:AN115"/>
    <mergeCell ref="AO114:AO115"/>
    <mergeCell ref="AP114:AP115"/>
    <mergeCell ref="AE116:AE117"/>
    <mergeCell ref="AF116:AF117"/>
    <mergeCell ref="AG116:AG117"/>
    <mergeCell ref="AH116:AH117"/>
    <mergeCell ref="AI116:AI117"/>
    <mergeCell ref="AL120:AL121"/>
    <mergeCell ref="AM120:AM121"/>
    <mergeCell ref="AN120:AN121"/>
    <mergeCell ref="AO120:AO121"/>
    <mergeCell ref="AP120:AP121"/>
    <mergeCell ref="AL112:AL113"/>
    <mergeCell ref="AM112:AM113"/>
    <mergeCell ref="AP112:AP113"/>
    <mergeCell ref="AE114:AE115"/>
    <mergeCell ref="AF114:AF115"/>
    <mergeCell ref="AG114:AG115"/>
    <mergeCell ref="AH114:AH115"/>
    <mergeCell ref="AI114:AI115"/>
    <mergeCell ref="AJ114:AJ115"/>
    <mergeCell ref="AK114:AK115"/>
    <mergeCell ref="AL108:AL109"/>
    <mergeCell ref="AM108:AM109"/>
    <mergeCell ref="AN108:AN109"/>
    <mergeCell ref="AO108:AO109"/>
    <mergeCell ref="AP108:AP109"/>
    <mergeCell ref="AG112:AG113"/>
    <mergeCell ref="AH112:AH113"/>
    <mergeCell ref="AI112:AI113"/>
    <mergeCell ref="AJ112:AJ113"/>
    <mergeCell ref="AK112:AK113"/>
    <mergeCell ref="AN106:AN107"/>
    <mergeCell ref="AO106:AO107"/>
    <mergeCell ref="AP106:AP107"/>
    <mergeCell ref="AE108:AE109"/>
    <mergeCell ref="AF108:AF109"/>
    <mergeCell ref="AG108:AG109"/>
    <mergeCell ref="AH108:AH109"/>
    <mergeCell ref="AI108:AI109"/>
    <mergeCell ref="AJ108:AJ109"/>
    <mergeCell ref="AK108:AK109"/>
    <mergeCell ref="AP104:AP105"/>
    <mergeCell ref="AE106:AE107"/>
    <mergeCell ref="AF106:AF107"/>
    <mergeCell ref="AG106:AG107"/>
    <mergeCell ref="AH106:AH107"/>
    <mergeCell ref="AI106:AI107"/>
    <mergeCell ref="AJ106:AJ107"/>
    <mergeCell ref="AK106:AK107"/>
    <mergeCell ref="AL106:AL107"/>
    <mergeCell ref="AM106:AM107"/>
    <mergeCell ref="AJ104:AJ105"/>
    <mergeCell ref="AK104:AK105"/>
    <mergeCell ref="AL104:AL105"/>
    <mergeCell ref="AM104:AM105"/>
    <mergeCell ref="AN104:AN105"/>
    <mergeCell ref="AO104:AO105"/>
    <mergeCell ref="AK100:AK101"/>
    <mergeCell ref="AN94:AN95"/>
    <mergeCell ref="AO94:AO95"/>
    <mergeCell ref="AP94:AP95"/>
    <mergeCell ref="AE96:AE97"/>
    <mergeCell ref="AF96:AF97"/>
    <mergeCell ref="AG96:AG97"/>
    <mergeCell ref="AH96:AH97"/>
    <mergeCell ref="AI96:AI97"/>
    <mergeCell ref="AJ96:AJ97"/>
    <mergeCell ref="AK96:AK97"/>
    <mergeCell ref="AL100:AL101"/>
    <mergeCell ref="AM100:AM101"/>
    <mergeCell ref="AP100:AP101"/>
    <mergeCell ref="AG102:AG103"/>
    <mergeCell ref="AH102:AH103"/>
    <mergeCell ref="AI102:AI103"/>
    <mergeCell ref="AJ102:AJ103"/>
    <mergeCell ref="AK102:AK103"/>
    <mergeCell ref="AJ92:AJ93"/>
    <mergeCell ref="AK92:AK93"/>
    <mergeCell ref="AL92:AL93"/>
    <mergeCell ref="AM92:AM93"/>
    <mergeCell ref="AN92:AN93"/>
    <mergeCell ref="AO92:AO93"/>
    <mergeCell ref="AL90:AL91"/>
    <mergeCell ref="AM90:AM91"/>
    <mergeCell ref="AN90:AN91"/>
    <mergeCell ref="AO90:AO91"/>
    <mergeCell ref="AP90:AP91"/>
    <mergeCell ref="AE92:AE93"/>
    <mergeCell ref="AF92:AF93"/>
    <mergeCell ref="AG92:AG93"/>
    <mergeCell ref="AH92:AH93"/>
    <mergeCell ref="AI92:AI93"/>
    <mergeCell ref="AL96:AL97"/>
    <mergeCell ref="AM96:AM97"/>
    <mergeCell ref="AN96:AN97"/>
    <mergeCell ref="AO96:AO97"/>
    <mergeCell ref="AP96:AP97"/>
    <mergeCell ref="AL88:AL89"/>
    <mergeCell ref="AM88:AM89"/>
    <mergeCell ref="AP88:AP89"/>
    <mergeCell ref="AE90:AE91"/>
    <mergeCell ref="AF90:AF91"/>
    <mergeCell ref="AG90:AG91"/>
    <mergeCell ref="AH90:AH91"/>
    <mergeCell ref="AI90:AI91"/>
    <mergeCell ref="AJ90:AJ91"/>
    <mergeCell ref="AK90:AK91"/>
    <mergeCell ref="AL84:AL85"/>
    <mergeCell ref="AM84:AM85"/>
    <mergeCell ref="AN84:AN85"/>
    <mergeCell ref="AO84:AO85"/>
    <mergeCell ref="AP84:AP85"/>
    <mergeCell ref="AG88:AG89"/>
    <mergeCell ref="AH88:AH89"/>
    <mergeCell ref="AI88:AI89"/>
    <mergeCell ref="AJ88:AJ89"/>
    <mergeCell ref="AK88:AK89"/>
    <mergeCell ref="AN82:AN83"/>
    <mergeCell ref="AO82:AO83"/>
    <mergeCell ref="AP82:AP83"/>
    <mergeCell ref="AE84:AE85"/>
    <mergeCell ref="AF84:AF85"/>
    <mergeCell ref="AG84:AG85"/>
    <mergeCell ref="AH84:AH85"/>
    <mergeCell ref="AI84:AI85"/>
    <mergeCell ref="AJ84:AJ85"/>
    <mergeCell ref="AK84:AK85"/>
    <mergeCell ref="AP80:AP81"/>
    <mergeCell ref="AE82:AE83"/>
    <mergeCell ref="AF82:AF83"/>
    <mergeCell ref="AG82:AG83"/>
    <mergeCell ref="AH82:AH83"/>
    <mergeCell ref="AI82:AI83"/>
    <mergeCell ref="AJ82:AJ83"/>
    <mergeCell ref="AK82:AK83"/>
    <mergeCell ref="AL82:AL83"/>
    <mergeCell ref="AM82:AM83"/>
    <mergeCell ref="AJ80:AJ81"/>
    <mergeCell ref="AK80:AK81"/>
    <mergeCell ref="AL80:AL81"/>
    <mergeCell ref="AM80:AM81"/>
    <mergeCell ref="AN80:AN81"/>
    <mergeCell ref="AO80:AO81"/>
    <mergeCell ref="AK76:AK77"/>
    <mergeCell ref="AN70:AN71"/>
    <mergeCell ref="AO70:AO71"/>
    <mergeCell ref="AP70:AP71"/>
    <mergeCell ref="AE72:AE73"/>
    <mergeCell ref="AF72:AF73"/>
    <mergeCell ref="AG72:AG73"/>
    <mergeCell ref="AH72:AH73"/>
    <mergeCell ref="AI72:AI73"/>
    <mergeCell ref="AJ72:AJ73"/>
    <mergeCell ref="AK72:AK73"/>
    <mergeCell ref="AL76:AL77"/>
    <mergeCell ref="AM76:AM77"/>
    <mergeCell ref="AP76:AP77"/>
    <mergeCell ref="AG78:AG79"/>
    <mergeCell ref="AH78:AH79"/>
    <mergeCell ref="AI78:AI79"/>
    <mergeCell ref="AJ78:AJ79"/>
    <mergeCell ref="AK78:AK79"/>
    <mergeCell ref="AN68:AN69"/>
    <mergeCell ref="AO68:AO69"/>
    <mergeCell ref="AL66:AL67"/>
    <mergeCell ref="AM66:AM67"/>
    <mergeCell ref="AN66:AN67"/>
    <mergeCell ref="AO66:AO67"/>
    <mergeCell ref="AP66:AP67"/>
    <mergeCell ref="AE68:AE69"/>
    <mergeCell ref="AF68:AF69"/>
    <mergeCell ref="AG68:AG69"/>
    <mergeCell ref="AH68:AH69"/>
    <mergeCell ref="AI68:AI69"/>
    <mergeCell ref="AL72:AL73"/>
    <mergeCell ref="AM72:AM73"/>
    <mergeCell ref="AN72:AN73"/>
    <mergeCell ref="AO72:AO73"/>
    <mergeCell ref="AP72:AP73"/>
    <mergeCell ref="AL64:AL65"/>
    <mergeCell ref="AM64:AM65"/>
    <mergeCell ref="AP64:AP65"/>
    <mergeCell ref="AE66:AE67"/>
    <mergeCell ref="AF66:AF67"/>
    <mergeCell ref="AG66:AG67"/>
    <mergeCell ref="AH66:AH67"/>
    <mergeCell ref="AI66:AI67"/>
    <mergeCell ref="AJ66:AJ67"/>
    <mergeCell ref="AK66:AK67"/>
    <mergeCell ref="AL60:AL61"/>
    <mergeCell ref="AM60:AM61"/>
    <mergeCell ref="AN60:AN61"/>
    <mergeCell ref="AO60:AO61"/>
    <mergeCell ref="AP60:AP61"/>
    <mergeCell ref="AG64:AG65"/>
    <mergeCell ref="AH64:AH65"/>
    <mergeCell ref="AI64:AI65"/>
    <mergeCell ref="AJ64:AJ65"/>
    <mergeCell ref="AK64:AK65"/>
    <mergeCell ref="AE64:AE65"/>
    <mergeCell ref="AF64:AF65"/>
    <mergeCell ref="AN64:AN65"/>
    <mergeCell ref="AO64:AO65"/>
    <mergeCell ref="AN58:AN59"/>
    <mergeCell ref="AO58:AO59"/>
    <mergeCell ref="AP58:AP59"/>
    <mergeCell ref="AE60:AE61"/>
    <mergeCell ref="AF60:AF61"/>
    <mergeCell ref="AG60:AG61"/>
    <mergeCell ref="AH60:AH61"/>
    <mergeCell ref="AI60:AI61"/>
    <mergeCell ref="AJ60:AJ61"/>
    <mergeCell ref="AK60:AK61"/>
    <mergeCell ref="AP56:AP57"/>
    <mergeCell ref="AE58:AE59"/>
    <mergeCell ref="AF58:AF59"/>
    <mergeCell ref="AG58:AG59"/>
    <mergeCell ref="AH58:AH59"/>
    <mergeCell ref="AI58:AI59"/>
    <mergeCell ref="AJ58:AJ59"/>
    <mergeCell ref="AK58:AK59"/>
    <mergeCell ref="AL58:AL59"/>
    <mergeCell ref="AM58:AM59"/>
    <mergeCell ref="AJ56:AJ57"/>
    <mergeCell ref="AK56:AK57"/>
    <mergeCell ref="AL56:AL57"/>
    <mergeCell ref="AM56:AM57"/>
    <mergeCell ref="AN56:AN57"/>
    <mergeCell ref="AO56:AO57"/>
    <mergeCell ref="AE56:AE57"/>
    <mergeCell ref="AF56:AF57"/>
    <mergeCell ref="AG56:AG57"/>
    <mergeCell ref="AH56:AH57"/>
    <mergeCell ref="AI56:AI57"/>
    <mergeCell ref="AG54:AG55"/>
    <mergeCell ref="AH54:AH55"/>
    <mergeCell ref="AI54:AI55"/>
    <mergeCell ref="AJ54:AJ55"/>
    <mergeCell ref="AK54:AK55"/>
    <mergeCell ref="AN48:AN49"/>
    <mergeCell ref="AO48:AO49"/>
    <mergeCell ref="AP48:AP49"/>
    <mergeCell ref="AJ52:AJ53"/>
    <mergeCell ref="AK52:AK53"/>
    <mergeCell ref="AL52:AL53"/>
    <mergeCell ref="AM52:AM53"/>
    <mergeCell ref="AN52:AN53"/>
    <mergeCell ref="AO52:AO53"/>
    <mergeCell ref="AP52:AP53"/>
    <mergeCell ref="AJ46:AJ47"/>
    <mergeCell ref="AK46:AK47"/>
    <mergeCell ref="AL46:AL47"/>
    <mergeCell ref="AM46:AM47"/>
    <mergeCell ref="AN46:AN47"/>
    <mergeCell ref="AO46:AO47"/>
    <mergeCell ref="AL44:AL45"/>
    <mergeCell ref="AM44:AM45"/>
    <mergeCell ref="AN44:AN45"/>
    <mergeCell ref="AO44:AO45"/>
    <mergeCell ref="AP44:AP45"/>
    <mergeCell ref="AE46:AE47"/>
    <mergeCell ref="AF46:AF47"/>
    <mergeCell ref="AG46:AG47"/>
    <mergeCell ref="AH46:AH47"/>
    <mergeCell ref="AI46:AI47"/>
    <mergeCell ref="AL54:AL55"/>
    <mergeCell ref="AM54:AM55"/>
    <mergeCell ref="AN54:AN55"/>
    <mergeCell ref="AO54:AO55"/>
    <mergeCell ref="AP54:AP55"/>
    <mergeCell ref="AN42:AN43"/>
    <mergeCell ref="AO42:AO43"/>
    <mergeCell ref="AP42:AP43"/>
    <mergeCell ref="AE44:AE45"/>
    <mergeCell ref="AF44:AF45"/>
    <mergeCell ref="AG44:AG45"/>
    <mergeCell ref="AH44:AH45"/>
    <mergeCell ref="AI44:AI45"/>
    <mergeCell ref="AJ44:AJ45"/>
    <mergeCell ref="AK44:AK45"/>
    <mergeCell ref="AH42:AH43"/>
    <mergeCell ref="AI42:AI43"/>
    <mergeCell ref="AJ42:AJ43"/>
    <mergeCell ref="AK42:AK43"/>
    <mergeCell ref="AL42:AL43"/>
    <mergeCell ref="AM42:AM43"/>
    <mergeCell ref="AF54:AF55"/>
    <mergeCell ref="AN36:AN37"/>
    <mergeCell ref="AO36:AO37"/>
    <mergeCell ref="AP36:AP37"/>
    <mergeCell ref="AI40:AI41"/>
    <mergeCell ref="AJ40:AJ41"/>
    <mergeCell ref="AK40:AK41"/>
    <mergeCell ref="AL40:AL41"/>
    <mergeCell ref="AM40:AM41"/>
    <mergeCell ref="AN40:AN41"/>
    <mergeCell ref="AO40:AO41"/>
    <mergeCell ref="AE40:AE41"/>
    <mergeCell ref="AF40:AF41"/>
    <mergeCell ref="AG40:AG41"/>
    <mergeCell ref="AH40:AH41"/>
    <mergeCell ref="AP40:AP41"/>
    <mergeCell ref="AE42:AE43"/>
    <mergeCell ref="AP34:AP35"/>
    <mergeCell ref="AE36:AE37"/>
    <mergeCell ref="AF36:AF37"/>
    <mergeCell ref="AG36:AG37"/>
    <mergeCell ref="AH36:AH37"/>
    <mergeCell ref="AI36:AI37"/>
    <mergeCell ref="AJ36:AJ37"/>
    <mergeCell ref="AK36:AK37"/>
    <mergeCell ref="AL36:AL37"/>
    <mergeCell ref="AM36:AM37"/>
    <mergeCell ref="AJ34:AJ35"/>
    <mergeCell ref="AK34:AK35"/>
    <mergeCell ref="AL34:AL35"/>
    <mergeCell ref="AM34:AM35"/>
    <mergeCell ref="AN34:AN35"/>
    <mergeCell ref="AO34:AO35"/>
    <mergeCell ref="AL32:AL33"/>
    <mergeCell ref="AM32:AM33"/>
    <mergeCell ref="AN32:AN33"/>
    <mergeCell ref="AO32:AO33"/>
    <mergeCell ref="AP32:AP33"/>
    <mergeCell ref="AE34:AE35"/>
    <mergeCell ref="AF34:AF35"/>
    <mergeCell ref="AG34:AG35"/>
    <mergeCell ref="AH34:AH35"/>
    <mergeCell ref="AI34:AI35"/>
    <mergeCell ref="AK30:AK31"/>
    <mergeCell ref="AL30:AL31"/>
    <mergeCell ref="AM30:AM31"/>
    <mergeCell ref="AN30:AN31"/>
    <mergeCell ref="AO30:AO31"/>
    <mergeCell ref="AP30:AP31"/>
    <mergeCell ref="AE30:AE31"/>
    <mergeCell ref="AF30:AF31"/>
    <mergeCell ref="AG30:AG31"/>
    <mergeCell ref="AH30:AH31"/>
    <mergeCell ref="AI30:AI31"/>
    <mergeCell ref="AJ30:AJ31"/>
    <mergeCell ref="AJ32:AJ33"/>
    <mergeCell ref="AK32:AK33"/>
    <mergeCell ref="AK28:AK29"/>
    <mergeCell ref="AL28:AL29"/>
    <mergeCell ref="AM28:AM29"/>
    <mergeCell ref="AN28:AN29"/>
    <mergeCell ref="AO28:AO29"/>
    <mergeCell ref="AP28:AP29"/>
    <mergeCell ref="AE28:AE29"/>
    <mergeCell ref="AF28:AF29"/>
    <mergeCell ref="AG28:AG29"/>
    <mergeCell ref="AH28:AH29"/>
    <mergeCell ref="AI28:AI29"/>
    <mergeCell ref="AJ28:AJ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AM22:AM23"/>
    <mergeCell ref="AN22:AN23"/>
    <mergeCell ref="AO22:AO23"/>
    <mergeCell ref="AP22:AP23"/>
    <mergeCell ref="AE22:AE23"/>
    <mergeCell ref="AF22:AF23"/>
    <mergeCell ref="AG22:AG23"/>
    <mergeCell ref="AH22:AH23"/>
    <mergeCell ref="AI22:AI23"/>
    <mergeCell ref="AJ22:AJ23"/>
    <mergeCell ref="AP20:AP21"/>
    <mergeCell ref="AE20:AE21"/>
    <mergeCell ref="AF20:AF21"/>
    <mergeCell ref="AG20:AG21"/>
    <mergeCell ref="AH20:AH21"/>
    <mergeCell ref="AI20:AI21"/>
    <mergeCell ref="AJ20:AJ21"/>
    <mergeCell ref="AK20:AK21"/>
    <mergeCell ref="AL20:AL21"/>
    <mergeCell ref="AM20:AM21"/>
    <mergeCell ref="AN20:AN21"/>
    <mergeCell ref="AO20:AO21"/>
    <mergeCell ref="AK18:AK19"/>
    <mergeCell ref="AL18:AL19"/>
    <mergeCell ref="AM18:AM19"/>
    <mergeCell ref="AN18:AN19"/>
    <mergeCell ref="AO18:AO19"/>
    <mergeCell ref="AP18:AP19"/>
    <mergeCell ref="AE18:AE19"/>
    <mergeCell ref="AF18:AF19"/>
    <mergeCell ref="AG18:AG19"/>
    <mergeCell ref="AH18:AH19"/>
    <mergeCell ref="AI18:AI19"/>
    <mergeCell ref="AJ18:AJ19"/>
    <mergeCell ref="AM10:AM11"/>
    <mergeCell ref="AN10:AN11"/>
    <mergeCell ref="AO10:AO11"/>
    <mergeCell ref="AP10:AP11"/>
    <mergeCell ref="AK8:AK9"/>
    <mergeCell ref="AL8:AL9"/>
    <mergeCell ref="AM8:AM9"/>
    <mergeCell ref="AN8:AN9"/>
    <mergeCell ref="AO8:AO9"/>
    <mergeCell ref="AP8:AP9"/>
    <mergeCell ref="AK6:AK7"/>
    <mergeCell ref="AL6:AL7"/>
    <mergeCell ref="AM6:AM7"/>
    <mergeCell ref="AN6:AN7"/>
    <mergeCell ref="AO6:AO7"/>
    <mergeCell ref="AP6:AP7"/>
    <mergeCell ref="AK16:AK17"/>
    <mergeCell ref="AL16:AL17"/>
    <mergeCell ref="AM16:AM17"/>
    <mergeCell ref="AN16:AN17"/>
    <mergeCell ref="AO16:AO17"/>
    <mergeCell ref="AP16:AP17"/>
    <mergeCell ref="AK12:AK13"/>
    <mergeCell ref="AL12:AL13"/>
    <mergeCell ref="AM12:AM13"/>
    <mergeCell ref="AN12:AN13"/>
    <mergeCell ref="AO12:AO13"/>
    <mergeCell ref="AP12:AP13"/>
    <mergeCell ref="B412:B422"/>
    <mergeCell ref="AT412:AT416"/>
    <mergeCell ref="AV412:AX412"/>
    <mergeCell ref="AT417:AT421"/>
    <mergeCell ref="AV417:AX417"/>
    <mergeCell ref="AE412:AE413"/>
    <mergeCell ref="AF412:AF413"/>
    <mergeCell ref="AN412:AN413"/>
    <mergeCell ref="AO412:AO413"/>
    <mergeCell ref="B376:B386"/>
    <mergeCell ref="AT376:AT380"/>
    <mergeCell ref="AV376:AX376"/>
    <mergeCell ref="AT381:AT385"/>
    <mergeCell ref="AV381:AX381"/>
    <mergeCell ref="AE376:AE377"/>
    <mergeCell ref="AF376:AF377"/>
    <mergeCell ref="AL376:AL377"/>
    <mergeCell ref="AM376:AM377"/>
    <mergeCell ref="AP376:AP377"/>
    <mergeCell ref="AE378:AE379"/>
    <mergeCell ref="AF378:AF379"/>
    <mergeCell ref="AG378:AG379"/>
    <mergeCell ref="AH378:AH379"/>
    <mergeCell ref="AI378:AI379"/>
    <mergeCell ref="AJ378:AJ379"/>
    <mergeCell ref="AK378:AK379"/>
    <mergeCell ref="AG376:AG377"/>
    <mergeCell ref="AH376:AH377"/>
    <mergeCell ref="AI376:AI377"/>
    <mergeCell ref="AJ376:AJ377"/>
    <mergeCell ref="AK376:AK377"/>
    <mergeCell ref="AN376:AN377"/>
    <mergeCell ref="AJ4:AJ5"/>
    <mergeCell ref="B400:B410"/>
    <mergeCell ref="AT400:AT404"/>
    <mergeCell ref="AV400:AX400"/>
    <mergeCell ref="AT405:AT409"/>
    <mergeCell ref="AV405:AX405"/>
    <mergeCell ref="AE400:AE401"/>
    <mergeCell ref="AF400:AF401"/>
    <mergeCell ref="AN400:AN401"/>
    <mergeCell ref="AO400:AO401"/>
    <mergeCell ref="AK4:AK5"/>
    <mergeCell ref="AL4:AL5"/>
    <mergeCell ref="AM4:AM5"/>
    <mergeCell ref="AN4:AN5"/>
    <mergeCell ref="AO4:AO5"/>
    <mergeCell ref="AP4:AP5"/>
    <mergeCell ref="AE12:AE13"/>
    <mergeCell ref="AF12:AF13"/>
    <mergeCell ref="AG12:AG13"/>
    <mergeCell ref="AH12:AH13"/>
    <mergeCell ref="AI8:AI9"/>
    <mergeCell ref="AJ8:AJ9"/>
    <mergeCell ref="AE6:AE7"/>
    <mergeCell ref="AF6:AF7"/>
    <mergeCell ref="AG6:AG7"/>
    <mergeCell ref="AH6:AH7"/>
    <mergeCell ref="AI6:AI7"/>
    <mergeCell ref="AJ6:AJ7"/>
    <mergeCell ref="AE4:AE5"/>
    <mergeCell ref="AF4:AF5"/>
    <mergeCell ref="AK10:AK11"/>
    <mergeCell ref="AL10:AL11"/>
    <mergeCell ref="B340:B350"/>
    <mergeCell ref="AT340:AT344"/>
    <mergeCell ref="AV340:AX340"/>
    <mergeCell ref="AT345:AT349"/>
    <mergeCell ref="AV345:AX345"/>
    <mergeCell ref="AE340:AE341"/>
    <mergeCell ref="AF340:AF341"/>
    <mergeCell ref="AN340:AN341"/>
    <mergeCell ref="AO340:AO341"/>
    <mergeCell ref="B388:B398"/>
    <mergeCell ref="AT388:AT392"/>
    <mergeCell ref="AV388:AX388"/>
    <mergeCell ref="AT393:AT397"/>
    <mergeCell ref="AV393:AX393"/>
    <mergeCell ref="AE388:AE389"/>
    <mergeCell ref="AF388:AF389"/>
    <mergeCell ref="AN388:AN389"/>
    <mergeCell ref="AO388:AO389"/>
    <mergeCell ref="B352:B362"/>
    <mergeCell ref="AT352:AT356"/>
    <mergeCell ref="AV352:AX352"/>
    <mergeCell ref="AT357:AT361"/>
    <mergeCell ref="AV357:AX357"/>
    <mergeCell ref="AE352:AE353"/>
    <mergeCell ref="AF352:AF353"/>
    <mergeCell ref="AN352:AN353"/>
    <mergeCell ref="AO352:AO353"/>
    <mergeCell ref="B364:B374"/>
    <mergeCell ref="AT364:AT368"/>
    <mergeCell ref="AV364:AX364"/>
    <mergeCell ref="AT369:AT373"/>
    <mergeCell ref="AV369:AX369"/>
    <mergeCell ref="B316:B326"/>
    <mergeCell ref="AT316:AT320"/>
    <mergeCell ref="AV316:AX316"/>
    <mergeCell ref="AT321:AT325"/>
    <mergeCell ref="AV321:AX321"/>
    <mergeCell ref="AE316:AE317"/>
    <mergeCell ref="AF316:AF317"/>
    <mergeCell ref="AN316:AN317"/>
    <mergeCell ref="AO316:AO317"/>
    <mergeCell ref="B328:B338"/>
    <mergeCell ref="AT328:AT332"/>
    <mergeCell ref="AV328:AX328"/>
    <mergeCell ref="AT333:AT337"/>
    <mergeCell ref="AV333:AX333"/>
    <mergeCell ref="AE328:AE329"/>
    <mergeCell ref="AF328:AF329"/>
    <mergeCell ref="AN328:AN329"/>
    <mergeCell ref="AO328:AO329"/>
    <mergeCell ref="AL318:AL319"/>
    <mergeCell ref="AM318:AM319"/>
    <mergeCell ref="AN318:AN319"/>
    <mergeCell ref="AO318:AO319"/>
    <mergeCell ref="AP318:AP319"/>
    <mergeCell ref="AE320:AE321"/>
    <mergeCell ref="AF320:AF321"/>
    <mergeCell ref="AG320:AG321"/>
    <mergeCell ref="AH320:AH321"/>
    <mergeCell ref="AI320:AI321"/>
    <mergeCell ref="AE318:AE319"/>
    <mergeCell ref="AF318:AF319"/>
    <mergeCell ref="AG316:AG317"/>
    <mergeCell ref="AH316:AH317"/>
    <mergeCell ref="B292:B302"/>
    <mergeCell ref="AT292:AT296"/>
    <mergeCell ref="AV292:AX292"/>
    <mergeCell ref="AT297:AT301"/>
    <mergeCell ref="AV297:AX297"/>
    <mergeCell ref="AE292:AE293"/>
    <mergeCell ref="AF292:AF293"/>
    <mergeCell ref="AN292:AN293"/>
    <mergeCell ref="AO292:AO293"/>
    <mergeCell ref="B304:B314"/>
    <mergeCell ref="AT304:AT308"/>
    <mergeCell ref="AV304:AX304"/>
    <mergeCell ref="AT309:AT313"/>
    <mergeCell ref="AV309:AX309"/>
    <mergeCell ref="AE304:AE305"/>
    <mergeCell ref="AF304:AF305"/>
    <mergeCell ref="AN304:AN305"/>
    <mergeCell ref="AO304:AO305"/>
    <mergeCell ref="AL294:AL295"/>
    <mergeCell ref="AM294:AM295"/>
    <mergeCell ref="AN294:AN295"/>
    <mergeCell ref="AO294:AO295"/>
    <mergeCell ref="AP294:AP295"/>
    <mergeCell ref="AE296:AE297"/>
    <mergeCell ref="AF296:AF297"/>
    <mergeCell ref="AG296:AG297"/>
    <mergeCell ref="AH296:AH297"/>
    <mergeCell ref="AI296:AI297"/>
    <mergeCell ref="AE294:AE295"/>
    <mergeCell ref="AF294:AF295"/>
    <mergeCell ref="AG292:AG293"/>
    <mergeCell ref="AH292:AH293"/>
    <mergeCell ref="B268:B278"/>
    <mergeCell ref="AT268:AT272"/>
    <mergeCell ref="AV268:AX268"/>
    <mergeCell ref="AT273:AT277"/>
    <mergeCell ref="AV273:AX273"/>
    <mergeCell ref="AE268:AE269"/>
    <mergeCell ref="AF268:AF269"/>
    <mergeCell ref="AN268:AN269"/>
    <mergeCell ref="AO268:AO269"/>
    <mergeCell ref="B280:B290"/>
    <mergeCell ref="AT280:AT284"/>
    <mergeCell ref="AV280:AX280"/>
    <mergeCell ref="AT285:AT289"/>
    <mergeCell ref="AV285:AX285"/>
    <mergeCell ref="AE280:AE281"/>
    <mergeCell ref="AF280:AF281"/>
    <mergeCell ref="AN280:AN281"/>
    <mergeCell ref="AO280:AO281"/>
    <mergeCell ref="AL270:AL271"/>
    <mergeCell ref="AM270:AM271"/>
    <mergeCell ref="AN270:AN271"/>
    <mergeCell ref="AO270:AO271"/>
    <mergeCell ref="AP270:AP271"/>
    <mergeCell ref="AE272:AE273"/>
    <mergeCell ref="AF272:AF273"/>
    <mergeCell ref="AG272:AG273"/>
    <mergeCell ref="AH272:AH273"/>
    <mergeCell ref="AI272:AI273"/>
    <mergeCell ref="AE270:AE271"/>
    <mergeCell ref="AF270:AF271"/>
    <mergeCell ref="AG268:AG269"/>
    <mergeCell ref="AH268:AH269"/>
    <mergeCell ref="B244:B254"/>
    <mergeCell ref="AT244:AT248"/>
    <mergeCell ref="AV244:AX244"/>
    <mergeCell ref="AT249:AT253"/>
    <mergeCell ref="AV249:AX249"/>
    <mergeCell ref="AE244:AE245"/>
    <mergeCell ref="AF244:AF245"/>
    <mergeCell ref="AN244:AN245"/>
    <mergeCell ref="AO244:AO245"/>
    <mergeCell ref="B256:B266"/>
    <mergeCell ref="AT256:AT260"/>
    <mergeCell ref="AV256:AX256"/>
    <mergeCell ref="AT261:AT265"/>
    <mergeCell ref="AV261:AX261"/>
    <mergeCell ref="AE256:AE257"/>
    <mergeCell ref="AF256:AF257"/>
    <mergeCell ref="AN256:AN257"/>
    <mergeCell ref="AO256:AO257"/>
    <mergeCell ref="AL246:AL247"/>
    <mergeCell ref="AM246:AM247"/>
    <mergeCell ref="AN246:AN247"/>
    <mergeCell ref="AO246:AO247"/>
    <mergeCell ref="AP246:AP247"/>
    <mergeCell ref="AE248:AE249"/>
    <mergeCell ref="AF248:AF249"/>
    <mergeCell ref="AG248:AG249"/>
    <mergeCell ref="AH248:AH249"/>
    <mergeCell ref="AI248:AI249"/>
    <mergeCell ref="AE246:AE247"/>
    <mergeCell ref="AF246:AF247"/>
    <mergeCell ref="AG244:AG245"/>
    <mergeCell ref="AH244:AH245"/>
    <mergeCell ref="B220:B230"/>
    <mergeCell ref="AT220:AT224"/>
    <mergeCell ref="AV220:AX220"/>
    <mergeCell ref="AT225:AT229"/>
    <mergeCell ref="AV225:AX225"/>
    <mergeCell ref="AE220:AE221"/>
    <mergeCell ref="AF220:AF221"/>
    <mergeCell ref="AN220:AN221"/>
    <mergeCell ref="AO220:AO221"/>
    <mergeCell ref="B232:B242"/>
    <mergeCell ref="AT232:AT236"/>
    <mergeCell ref="AV232:AX232"/>
    <mergeCell ref="AT237:AT241"/>
    <mergeCell ref="AV237:AX237"/>
    <mergeCell ref="AE232:AE233"/>
    <mergeCell ref="AF232:AF233"/>
    <mergeCell ref="AN232:AN233"/>
    <mergeCell ref="AO232:AO233"/>
    <mergeCell ref="AL222:AL223"/>
    <mergeCell ref="AM222:AM223"/>
    <mergeCell ref="AN222:AN223"/>
    <mergeCell ref="AO222:AO223"/>
    <mergeCell ref="AP222:AP223"/>
    <mergeCell ref="AE224:AE225"/>
    <mergeCell ref="AF224:AF225"/>
    <mergeCell ref="AG224:AG225"/>
    <mergeCell ref="AH224:AH225"/>
    <mergeCell ref="AI224:AI225"/>
    <mergeCell ref="AE222:AE223"/>
    <mergeCell ref="AF222:AF223"/>
    <mergeCell ref="AG220:AG221"/>
    <mergeCell ref="AH220:AH221"/>
    <mergeCell ref="B196:B206"/>
    <mergeCell ref="AT196:AT200"/>
    <mergeCell ref="AV196:AX196"/>
    <mergeCell ref="AT201:AT205"/>
    <mergeCell ref="AV201:AX201"/>
    <mergeCell ref="AE196:AE197"/>
    <mergeCell ref="AF196:AF197"/>
    <mergeCell ref="AN196:AN197"/>
    <mergeCell ref="AO196:AO197"/>
    <mergeCell ref="B208:B218"/>
    <mergeCell ref="AT208:AT212"/>
    <mergeCell ref="AV208:AX208"/>
    <mergeCell ref="AT213:AT217"/>
    <mergeCell ref="AV213:AX213"/>
    <mergeCell ref="AE208:AE209"/>
    <mergeCell ref="AF208:AF209"/>
    <mergeCell ref="AN208:AN209"/>
    <mergeCell ref="AO208:AO209"/>
    <mergeCell ref="AL198:AL199"/>
    <mergeCell ref="AM198:AM199"/>
    <mergeCell ref="AN198:AN199"/>
    <mergeCell ref="AO198:AO199"/>
    <mergeCell ref="AP198:AP199"/>
    <mergeCell ref="AE200:AE201"/>
    <mergeCell ref="AF200:AF201"/>
    <mergeCell ref="AG200:AG201"/>
    <mergeCell ref="AH200:AH201"/>
    <mergeCell ref="AI200:AI201"/>
    <mergeCell ref="AE198:AE199"/>
    <mergeCell ref="AF198:AF199"/>
    <mergeCell ref="AG196:AG197"/>
    <mergeCell ref="AH196:AH197"/>
    <mergeCell ref="B172:B182"/>
    <mergeCell ref="AT172:AT176"/>
    <mergeCell ref="AV172:AX172"/>
    <mergeCell ref="AT177:AT181"/>
    <mergeCell ref="AV177:AX177"/>
    <mergeCell ref="AE172:AE173"/>
    <mergeCell ref="AF172:AF173"/>
    <mergeCell ref="AN172:AN173"/>
    <mergeCell ref="AO172:AO173"/>
    <mergeCell ref="B184:B194"/>
    <mergeCell ref="AT184:AT188"/>
    <mergeCell ref="AV184:AX184"/>
    <mergeCell ref="AT189:AT193"/>
    <mergeCell ref="AV189:AX189"/>
    <mergeCell ref="AE184:AE185"/>
    <mergeCell ref="AF184:AF185"/>
    <mergeCell ref="AN184:AN185"/>
    <mergeCell ref="AO184:AO185"/>
    <mergeCell ref="AL174:AL175"/>
    <mergeCell ref="AM174:AM175"/>
    <mergeCell ref="AN174:AN175"/>
    <mergeCell ref="AO174:AO175"/>
    <mergeCell ref="AP174:AP175"/>
    <mergeCell ref="AE176:AE177"/>
    <mergeCell ref="AF176:AF177"/>
    <mergeCell ref="AG176:AG177"/>
    <mergeCell ref="AH176:AH177"/>
    <mergeCell ref="AI176:AI177"/>
    <mergeCell ref="AE174:AE175"/>
    <mergeCell ref="AF174:AF175"/>
    <mergeCell ref="AG172:AG173"/>
    <mergeCell ref="AH172:AH173"/>
    <mergeCell ref="AV148:AX148"/>
    <mergeCell ref="AT153:AT157"/>
    <mergeCell ref="AV153:AX153"/>
    <mergeCell ref="AE148:AE149"/>
    <mergeCell ref="AF148:AF149"/>
    <mergeCell ref="AN148:AN149"/>
    <mergeCell ref="AO148:AO149"/>
    <mergeCell ref="B160:B170"/>
    <mergeCell ref="AT160:AT164"/>
    <mergeCell ref="AV160:AX160"/>
    <mergeCell ref="AT165:AT169"/>
    <mergeCell ref="AV165:AX165"/>
    <mergeCell ref="AE160:AE161"/>
    <mergeCell ref="AF160:AF161"/>
    <mergeCell ref="AN160:AN161"/>
    <mergeCell ref="AO160:AO161"/>
    <mergeCell ref="AL150:AL151"/>
    <mergeCell ref="AM150:AM151"/>
    <mergeCell ref="AN150:AN151"/>
    <mergeCell ref="AO150:AO151"/>
    <mergeCell ref="AP150:AP151"/>
    <mergeCell ref="AE152:AE153"/>
    <mergeCell ref="AF152:AF153"/>
    <mergeCell ref="AG152:AG153"/>
    <mergeCell ref="AH152:AH153"/>
    <mergeCell ref="AI152:AI153"/>
    <mergeCell ref="AE150:AE151"/>
    <mergeCell ref="AF150:AF151"/>
    <mergeCell ref="AG148:AG149"/>
    <mergeCell ref="AH148:AH149"/>
    <mergeCell ref="AI148:AI149"/>
    <mergeCell ref="AJ148:AJ149"/>
    <mergeCell ref="AV124:AX124"/>
    <mergeCell ref="AT129:AT133"/>
    <mergeCell ref="AV129:AX129"/>
    <mergeCell ref="AE124:AE125"/>
    <mergeCell ref="AF124:AF125"/>
    <mergeCell ref="AN124:AN125"/>
    <mergeCell ref="AO124:AO125"/>
    <mergeCell ref="B136:B146"/>
    <mergeCell ref="AT136:AT140"/>
    <mergeCell ref="AV136:AX136"/>
    <mergeCell ref="AT141:AT145"/>
    <mergeCell ref="AV141:AX141"/>
    <mergeCell ref="AE136:AE137"/>
    <mergeCell ref="AF136:AF137"/>
    <mergeCell ref="AN136:AN137"/>
    <mergeCell ref="AO136:AO137"/>
    <mergeCell ref="AL126:AL127"/>
    <mergeCell ref="AM126:AM127"/>
    <mergeCell ref="AN126:AN127"/>
    <mergeCell ref="AO126:AO127"/>
    <mergeCell ref="AP126:AP127"/>
    <mergeCell ref="AE128:AE129"/>
    <mergeCell ref="AF128:AF129"/>
    <mergeCell ref="AG128:AG129"/>
    <mergeCell ref="AH128:AH129"/>
    <mergeCell ref="AI128:AI129"/>
    <mergeCell ref="AE126:AE127"/>
    <mergeCell ref="AF126:AF127"/>
    <mergeCell ref="AG124:AG125"/>
    <mergeCell ref="AH124:AH125"/>
    <mergeCell ref="AI124:AI125"/>
    <mergeCell ref="AJ124:AJ125"/>
    <mergeCell ref="AV100:AX100"/>
    <mergeCell ref="AT105:AT109"/>
    <mergeCell ref="AV105:AX105"/>
    <mergeCell ref="AE100:AE101"/>
    <mergeCell ref="AF100:AF101"/>
    <mergeCell ref="AN100:AN101"/>
    <mergeCell ref="AO100:AO101"/>
    <mergeCell ref="B112:B122"/>
    <mergeCell ref="AT112:AT116"/>
    <mergeCell ref="AV112:AX112"/>
    <mergeCell ref="AT117:AT121"/>
    <mergeCell ref="AV117:AX117"/>
    <mergeCell ref="AE112:AE113"/>
    <mergeCell ref="AF112:AF113"/>
    <mergeCell ref="AN112:AN113"/>
    <mergeCell ref="AO112:AO113"/>
    <mergeCell ref="AL102:AL103"/>
    <mergeCell ref="AM102:AM103"/>
    <mergeCell ref="AN102:AN103"/>
    <mergeCell ref="AO102:AO103"/>
    <mergeCell ref="AP102:AP103"/>
    <mergeCell ref="AE104:AE105"/>
    <mergeCell ref="AF104:AF105"/>
    <mergeCell ref="AG104:AG105"/>
    <mergeCell ref="AH104:AH105"/>
    <mergeCell ref="AI104:AI105"/>
    <mergeCell ref="AE102:AE103"/>
    <mergeCell ref="AF102:AF103"/>
    <mergeCell ref="AG100:AG101"/>
    <mergeCell ref="AH100:AH101"/>
    <mergeCell ref="AI100:AI101"/>
    <mergeCell ref="AJ100:AJ101"/>
    <mergeCell ref="AV76:AX76"/>
    <mergeCell ref="AT81:AT85"/>
    <mergeCell ref="AV81:AX81"/>
    <mergeCell ref="AE76:AE77"/>
    <mergeCell ref="AF76:AF77"/>
    <mergeCell ref="AN76:AN77"/>
    <mergeCell ref="AO76:AO77"/>
    <mergeCell ref="B88:B98"/>
    <mergeCell ref="AT88:AT92"/>
    <mergeCell ref="AV88:AX88"/>
    <mergeCell ref="AT93:AT97"/>
    <mergeCell ref="AV93:AX93"/>
    <mergeCell ref="AE88:AE89"/>
    <mergeCell ref="AF88:AF89"/>
    <mergeCell ref="AN88:AN89"/>
    <mergeCell ref="AO88:AO89"/>
    <mergeCell ref="AL78:AL79"/>
    <mergeCell ref="AM78:AM79"/>
    <mergeCell ref="AN78:AN79"/>
    <mergeCell ref="AO78:AO79"/>
    <mergeCell ref="AP78:AP79"/>
    <mergeCell ref="AE80:AE81"/>
    <mergeCell ref="AF80:AF81"/>
    <mergeCell ref="AG80:AG81"/>
    <mergeCell ref="AH80:AH81"/>
    <mergeCell ref="AI80:AI81"/>
    <mergeCell ref="AE78:AE79"/>
    <mergeCell ref="AF78:AF79"/>
    <mergeCell ref="AG76:AG77"/>
    <mergeCell ref="AH76:AH77"/>
    <mergeCell ref="AI76:AI77"/>
    <mergeCell ref="AJ76:AJ77"/>
    <mergeCell ref="B76:B86"/>
    <mergeCell ref="AT76:AT80"/>
    <mergeCell ref="A364:A374"/>
    <mergeCell ref="A376:A386"/>
    <mergeCell ref="A388:A398"/>
    <mergeCell ref="A400:A410"/>
    <mergeCell ref="A412:A422"/>
    <mergeCell ref="A304:A314"/>
    <mergeCell ref="A316:A326"/>
    <mergeCell ref="A328:A338"/>
    <mergeCell ref="A340:A350"/>
    <mergeCell ref="A352:A362"/>
    <mergeCell ref="A244:A254"/>
    <mergeCell ref="A256:A266"/>
    <mergeCell ref="A268:A278"/>
    <mergeCell ref="A280:A290"/>
    <mergeCell ref="A292:A302"/>
    <mergeCell ref="A184:A194"/>
    <mergeCell ref="A196:A206"/>
    <mergeCell ref="A208:A218"/>
    <mergeCell ref="A220:A230"/>
    <mergeCell ref="A232:A242"/>
    <mergeCell ref="B100:B110"/>
    <mergeCell ref="AT100:AT104"/>
    <mergeCell ref="B124:B134"/>
    <mergeCell ref="AT124:AT128"/>
    <mergeCell ref="B148:B158"/>
    <mergeCell ref="AT148:AT152"/>
    <mergeCell ref="V80:V83"/>
    <mergeCell ref="AQ80:AQ81"/>
    <mergeCell ref="AR80:AR81"/>
    <mergeCell ref="AS80:AS81"/>
    <mergeCell ref="AT33:AT37"/>
    <mergeCell ref="AT40:AT44"/>
    <mergeCell ref="AV40:AX40"/>
    <mergeCell ref="AG4:AG5"/>
    <mergeCell ref="A124:A134"/>
    <mergeCell ref="A136:A146"/>
    <mergeCell ref="A148:A158"/>
    <mergeCell ref="A160:A170"/>
    <mergeCell ref="A172:A182"/>
    <mergeCell ref="A64:A74"/>
    <mergeCell ref="A76:A86"/>
    <mergeCell ref="A88:A98"/>
    <mergeCell ref="A100:A110"/>
    <mergeCell ref="A112:A122"/>
    <mergeCell ref="AV52:AX52"/>
    <mergeCell ref="AT57:AT61"/>
    <mergeCell ref="AV57:AX57"/>
    <mergeCell ref="AE52:AE53"/>
    <mergeCell ref="AF52:AF53"/>
    <mergeCell ref="AG52:AG53"/>
    <mergeCell ref="AH52:AH53"/>
    <mergeCell ref="AI52:AI53"/>
    <mergeCell ref="AE54:AE55"/>
    <mergeCell ref="B52:B62"/>
    <mergeCell ref="AT52:AT56"/>
    <mergeCell ref="B64:B74"/>
    <mergeCell ref="AT64:AT68"/>
    <mergeCell ref="AV64:AX64"/>
    <mergeCell ref="AT69:AT73"/>
    <mergeCell ref="AV69:AX69"/>
    <mergeCell ref="AV4:AX4"/>
    <mergeCell ref="AV9:AX9"/>
    <mergeCell ref="AV16:AX16"/>
    <mergeCell ref="A28:A38"/>
    <mergeCell ref="A40:A50"/>
    <mergeCell ref="AI12:AI13"/>
    <mergeCell ref="AJ12:AJ13"/>
    <mergeCell ref="AE10:AE11"/>
    <mergeCell ref="AF10:AF11"/>
    <mergeCell ref="AG10:AG11"/>
    <mergeCell ref="AH10:AH11"/>
    <mergeCell ref="AI10:AI11"/>
    <mergeCell ref="AJ10:AJ11"/>
    <mergeCell ref="AE8:AE9"/>
    <mergeCell ref="AF8:AF9"/>
    <mergeCell ref="AG8:AG9"/>
    <mergeCell ref="AH8:AH9"/>
    <mergeCell ref="S16:S19"/>
    <mergeCell ref="AH4:AH5"/>
    <mergeCell ref="AI4:AI5"/>
    <mergeCell ref="B28:B38"/>
    <mergeCell ref="AT28:AT32"/>
    <mergeCell ref="AV28:AX28"/>
    <mergeCell ref="AV21:AX21"/>
    <mergeCell ref="AT16:AT20"/>
    <mergeCell ref="AT21:AT25"/>
    <mergeCell ref="AF42:AF43"/>
    <mergeCell ref="AG42:AG43"/>
    <mergeCell ref="AV45:AX45"/>
    <mergeCell ref="AV33:AX33"/>
    <mergeCell ref="B40:B50"/>
    <mergeCell ref="AE32:AE33"/>
    <mergeCell ref="V32:V35"/>
    <mergeCell ref="AQ32:AQ33"/>
    <mergeCell ref="U432:U434"/>
    <mergeCell ref="V432:V434"/>
    <mergeCell ref="AQ432:AQ433"/>
    <mergeCell ref="AH430:AH431"/>
    <mergeCell ref="AI430:AI431"/>
    <mergeCell ref="AJ430:AJ431"/>
    <mergeCell ref="AK430:AK431"/>
    <mergeCell ref="A4:A14"/>
    <mergeCell ref="B4:B14"/>
    <mergeCell ref="A1:B1"/>
    <mergeCell ref="A2:A3"/>
    <mergeCell ref="B2:B3"/>
    <mergeCell ref="C2:D3"/>
    <mergeCell ref="A16:A26"/>
    <mergeCell ref="B16:B26"/>
    <mergeCell ref="AT45:AT49"/>
    <mergeCell ref="AT4:AT8"/>
    <mergeCell ref="AT9:AT13"/>
    <mergeCell ref="A52:A62"/>
    <mergeCell ref="E2:F3"/>
    <mergeCell ref="G2:J2"/>
    <mergeCell ref="AK2:AP2"/>
    <mergeCell ref="AA2:AD2"/>
    <mergeCell ref="AE2:AJ2"/>
    <mergeCell ref="AQ2:AS2"/>
    <mergeCell ref="AT2:AX3"/>
    <mergeCell ref="K2:N2"/>
    <mergeCell ref="S2:V2"/>
    <mergeCell ref="AF32:AF33"/>
    <mergeCell ref="AG32:AG33"/>
    <mergeCell ref="AH32:AH33"/>
    <mergeCell ref="AI32:AI33"/>
    <mergeCell ref="AT429:AT433"/>
    <mergeCell ref="AV429:AX429"/>
    <mergeCell ref="AY429:AY433"/>
    <mergeCell ref="BA429:BC429"/>
    <mergeCell ref="AE430:AE431"/>
    <mergeCell ref="AF430:AF431"/>
    <mergeCell ref="AG430:AG431"/>
    <mergeCell ref="A424:A434"/>
    <mergeCell ref="B424:B434"/>
    <mergeCell ref="AE424:AE425"/>
    <mergeCell ref="AF424:AF425"/>
    <mergeCell ref="AG424:AG425"/>
    <mergeCell ref="AH424:AH425"/>
    <mergeCell ref="AI424:AI425"/>
    <mergeCell ref="AJ424:AJ425"/>
    <mergeCell ref="AK424:AK425"/>
    <mergeCell ref="AL424:AL425"/>
    <mergeCell ref="AM424:AM425"/>
    <mergeCell ref="AN424:AN425"/>
    <mergeCell ref="AO424:AO425"/>
    <mergeCell ref="AP424:AP425"/>
    <mergeCell ref="V428:V431"/>
    <mergeCell ref="AS428:AS429"/>
    <mergeCell ref="W430:W432"/>
    <mergeCell ref="X430:X432"/>
    <mergeCell ref="Y430:Y432"/>
    <mergeCell ref="Z430:Z432"/>
    <mergeCell ref="AQ430:AQ431"/>
    <mergeCell ref="AR430:AR431"/>
    <mergeCell ref="AS430:AS431"/>
    <mergeCell ref="S432:S434"/>
    <mergeCell ref="T432:T434"/>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BA424:BC424"/>
    <mergeCell ref="AE426:AE427"/>
    <mergeCell ref="AF426:AF427"/>
    <mergeCell ref="AG426:AG427"/>
    <mergeCell ref="AH426:AH427"/>
    <mergeCell ref="AI426:AI427"/>
    <mergeCell ref="AJ426:AJ427"/>
    <mergeCell ref="AK426:AK427"/>
    <mergeCell ref="AL426:AL427"/>
    <mergeCell ref="AM426:AM427"/>
    <mergeCell ref="AN426:AN427"/>
    <mergeCell ref="AO426:AO427"/>
    <mergeCell ref="AP426:AP427"/>
    <mergeCell ref="AE428:AE429"/>
    <mergeCell ref="AF428:AF429"/>
    <mergeCell ref="AG428:AG429"/>
    <mergeCell ref="AH428:AH429"/>
    <mergeCell ref="AI428:AI429"/>
    <mergeCell ref="AJ428:AJ429"/>
    <mergeCell ref="AK428:AK429"/>
    <mergeCell ref="AT424:AT428"/>
    <mergeCell ref="AV424:AX424"/>
    <mergeCell ref="AY424:AY428"/>
    <mergeCell ref="W25:W26"/>
    <mergeCell ref="X25:X26"/>
    <mergeCell ref="Y25:Y26"/>
    <mergeCell ref="Z25:Z26"/>
    <mergeCell ref="T16:T19"/>
    <mergeCell ref="U16:U19"/>
    <mergeCell ref="V16:V19"/>
    <mergeCell ref="W16:W18"/>
    <mergeCell ref="X16:X18"/>
    <mergeCell ref="Y16:Y18"/>
    <mergeCell ref="Z16:Z18"/>
    <mergeCell ref="AQ16:AQ17"/>
    <mergeCell ref="AR16:AR17"/>
    <mergeCell ref="AS16:AS17"/>
    <mergeCell ref="AQ18:AQ19"/>
    <mergeCell ref="AR18:AR19"/>
    <mergeCell ref="AS18:AS19"/>
    <mergeCell ref="W19:W21"/>
    <mergeCell ref="X19:X21"/>
    <mergeCell ref="Y19:Y21"/>
    <mergeCell ref="Z19:Z21"/>
    <mergeCell ref="AE16:AE17"/>
    <mergeCell ref="AF16:AF17"/>
    <mergeCell ref="AG16:AG17"/>
    <mergeCell ref="AH16:AH17"/>
    <mergeCell ref="AI16:AI17"/>
    <mergeCell ref="AJ16:AJ17"/>
    <mergeCell ref="AL428:AL429"/>
    <mergeCell ref="AM428:AM429"/>
    <mergeCell ref="AR32:AR33"/>
    <mergeCell ref="AS32:AS33"/>
    <mergeCell ref="W34:W36"/>
    <mergeCell ref="X34:X36"/>
    <mergeCell ref="Y34:Y36"/>
    <mergeCell ref="Z34:Z36"/>
    <mergeCell ref="AQ34:AQ35"/>
    <mergeCell ref="AR34:AR35"/>
    <mergeCell ref="AS34:AS35"/>
    <mergeCell ref="S20:S23"/>
    <mergeCell ref="T20:T23"/>
    <mergeCell ref="U20:U23"/>
    <mergeCell ref="V20:V23"/>
    <mergeCell ref="AQ20:AQ21"/>
    <mergeCell ref="AR20:AR21"/>
    <mergeCell ref="AS20:AS21"/>
    <mergeCell ref="W22:W24"/>
    <mergeCell ref="X22:X24"/>
    <mergeCell ref="Y22:Y24"/>
    <mergeCell ref="Z22:Z24"/>
    <mergeCell ref="AQ22:AQ23"/>
    <mergeCell ref="AR22:AR23"/>
    <mergeCell ref="AS22:AS23"/>
    <mergeCell ref="S24:S26"/>
    <mergeCell ref="T24:T26"/>
    <mergeCell ref="U24:U26"/>
    <mergeCell ref="V24:V26"/>
    <mergeCell ref="AQ24:AQ25"/>
    <mergeCell ref="AR24:AR25"/>
    <mergeCell ref="AS24:AS25"/>
    <mergeCell ref="AK22:AK23"/>
    <mergeCell ref="AL22:AL23"/>
    <mergeCell ref="AS40:AS41"/>
    <mergeCell ref="AQ42:AQ43"/>
    <mergeCell ref="AR42:AR43"/>
    <mergeCell ref="AS42:AS43"/>
    <mergeCell ref="W43:W45"/>
    <mergeCell ref="X43:X45"/>
    <mergeCell ref="Y43:Y45"/>
    <mergeCell ref="Z43:Z45"/>
    <mergeCell ref="S44:S47"/>
    <mergeCell ref="T44:T47"/>
    <mergeCell ref="U44:U47"/>
    <mergeCell ref="S28:S31"/>
    <mergeCell ref="T28:T31"/>
    <mergeCell ref="U28:U31"/>
    <mergeCell ref="V28:V31"/>
    <mergeCell ref="W28:W30"/>
    <mergeCell ref="X28:X30"/>
    <mergeCell ref="Y28:Y30"/>
    <mergeCell ref="Z28:Z30"/>
    <mergeCell ref="AQ28:AQ29"/>
    <mergeCell ref="AR28:AR29"/>
    <mergeCell ref="AS28:AS29"/>
    <mergeCell ref="AQ30:AQ31"/>
    <mergeCell ref="AR30:AR31"/>
    <mergeCell ref="AS30:AS31"/>
    <mergeCell ref="W31:W33"/>
    <mergeCell ref="X31:X33"/>
    <mergeCell ref="Y31:Y33"/>
    <mergeCell ref="Z31:Z33"/>
    <mergeCell ref="S32:S35"/>
    <mergeCell ref="T32:T35"/>
    <mergeCell ref="U32:U35"/>
    <mergeCell ref="S48:S50"/>
    <mergeCell ref="T48:T50"/>
    <mergeCell ref="U48:U50"/>
    <mergeCell ref="V48:V50"/>
    <mergeCell ref="AQ48:AQ49"/>
    <mergeCell ref="AR48:AR49"/>
    <mergeCell ref="AS48:AS49"/>
    <mergeCell ref="W49:W50"/>
    <mergeCell ref="X49:X50"/>
    <mergeCell ref="Y49:Y50"/>
    <mergeCell ref="Z49:Z50"/>
    <mergeCell ref="S36:S38"/>
    <mergeCell ref="T36:T38"/>
    <mergeCell ref="U36:U38"/>
    <mergeCell ref="V36:V38"/>
    <mergeCell ref="AQ36:AQ37"/>
    <mergeCell ref="AR36:AR37"/>
    <mergeCell ref="AS36:AS37"/>
    <mergeCell ref="W37:W38"/>
    <mergeCell ref="X37:X38"/>
    <mergeCell ref="Y37:Y38"/>
    <mergeCell ref="Z37:Z38"/>
    <mergeCell ref="S40:S43"/>
    <mergeCell ref="T40:T43"/>
    <mergeCell ref="U40:U43"/>
    <mergeCell ref="V40:V43"/>
    <mergeCell ref="W40:W42"/>
    <mergeCell ref="X40:X42"/>
    <mergeCell ref="Y40:Y42"/>
    <mergeCell ref="Z40:Z42"/>
    <mergeCell ref="AQ40:AQ41"/>
    <mergeCell ref="AR40:AR41"/>
    <mergeCell ref="V56:V59"/>
    <mergeCell ref="AQ56:AQ57"/>
    <mergeCell ref="AR56:AR57"/>
    <mergeCell ref="AS56:AS57"/>
    <mergeCell ref="W58:W60"/>
    <mergeCell ref="X58:X60"/>
    <mergeCell ref="Y58:Y60"/>
    <mergeCell ref="Z58:Z60"/>
    <mergeCell ref="AQ58:AQ59"/>
    <mergeCell ref="AR58:AR59"/>
    <mergeCell ref="AS58:AS59"/>
    <mergeCell ref="V44:V47"/>
    <mergeCell ref="AQ44:AQ45"/>
    <mergeCell ref="AR44:AR45"/>
    <mergeCell ref="AS44:AS45"/>
    <mergeCell ref="W46:W48"/>
    <mergeCell ref="X46:X48"/>
    <mergeCell ref="Y46:Y48"/>
    <mergeCell ref="Z46:Z48"/>
    <mergeCell ref="AQ46:AQ47"/>
    <mergeCell ref="AR46:AR47"/>
    <mergeCell ref="AS46:AS47"/>
    <mergeCell ref="AP46:AP47"/>
    <mergeCell ref="AE48:AE49"/>
    <mergeCell ref="AF48:AF49"/>
    <mergeCell ref="AG48:AG49"/>
    <mergeCell ref="AH48:AH49"/>
    <mergeCell ref="AI48:AI49"/>
    <mergeCell ref="AJ48:AJ49"/>
    <mergeCell ref="AK48:AK49"/>
    <mergeCell ref="AL48:AL49"/>
    <mergeCell ref="AM48:AM49"/>
    <mergeCell ref="AS64:AS65"/>
    <mergeCell ref="AQ66:AQ67"/>
    <mergeCell ref="AR66:AR67"/>
    <mergeCell ref="AS66:AS67"/>
    <mergeCell ref="W67:W69"/>
    <mergeCell ref="X67:X69"/>
    <mergeCell ref="Y67:Y69"/>
    <mergeCell ref="Z67:Z69"/>
    <mergeCell ref="S68:S71"/>
    <mergeCell ref="T68:T71"/>
    <mergeCell ref="U68:U71"/>
    <mergeCell ref="S52:S55"/>
    <mergeCell ref="T52:T55"/>
    <mergeCell ref="U52:U55"/>
    <mergeCell ref="V52:V55"/>
    <mergeCell ref="W52:W54"/>
    <mergeCell ref="X52:X54"/>
    <mergeCell ref="Y52:Y54"/>
    <mergeCell ref="Z52:Z54"/>
    <mergeCell ref="AQ52:AQ53"/>
    <mergeCell ref="AR52:AR53"/>
    <mergeCell ref="AS52:AS53"/>
    <mergeCell ref="AQ54:AQ55"/>
    <mergeCell ref="AR54:AR55"/>
    <mergeCell ref="AS54:AS55"/>
    <mergeCell ref="W55:W57"/>
    <mergeCell ref="X55:X57"/>
    <mergeCell ref="Y55:Y57"/>
    <mergeCell ref="Z55:Z57"/>
    <mergeCell ref="S56:S59"/>
    <mergeCell ref="T56:T59"/>
    <mergeCell ref="U56:U59"/>
    <mergeCell ref="S72:S74"/>
    <mergeCell ref="T72:T74"/>
    <mergeCell ref="U72:U74"/>
    <mergeCell ref="V72:V74"/>
    <mergeCell ref="AQ72:AQ73"/>
    <mergeCell ref="AR72:AR73"/>
    <mergeCell ref="AS72:AS73"/>
    <mergeCell ref="W73:W74"/>
    <mergeCell ref="X73:X74"/>
    <mergeCell ref="Y73:Y74"/>
    <mergeCell ref="Z73:Z74"/>
    <mergeCell ref="S60:S62"/>
    <mergeCell ref="T60:T62"/>
    <mergeCell ref="U60:U62"/>
    <mergeCell ref="V60:V62"/>
    <mergeCell ref="AQ60:AQ61"/>
    <mergeCell ref="AR60:AR61"/>
    <mergeCell ref="AS60:AS61"/>
    <mergeCell ref="W61:W62"/>
    <mergeCell ref="X61:X62"/>
    <mergeCell ref="Y61:Y62"/>
    <mergeCell ref="Z61:Z62"/>
    <mergeCell ref="S64:S67"/>
    <mergeCell ref="T64:T67"/>
    <mergeCell ref="U64:U67"/>
    <mergeCell ref="V64:V67"/>
    <mergeCell ref="W64:W66"/>
    <mergeCell ref="X64:X66"/>
    <mergeCell ref="Y64:Y66"/>
    <mergeCell ref="Z64:Z66"/>
    <mergeCell ref="AQ64:AQ65"/>
    <mergeCell ref="AR64:AR65"/>
    <mergeCell ref="W82:W84"/>
    <mergeCell ref="X82:X84"/>
    <mergeCell ref="Y82:Y84"/>
    <mergeCell ref="Z82:Z84"/>
    <mergeCell ref="AQ82:AQ83"/>
    <mergeCell ref="AR82:AR83"/>
    <mergeCell ref="AS82:AS83"/>
    <mergeCell ref="V68:V71"/>
    <mergeCell ref="AQ68:AQ69"/>
    <mergeCell ref="AR68:AR69"/>
    <mergeCell ref="AS68:AS69"/>
    <mergeCell ref="W70:W72"/>
    <mergeCell ref="X70:X72"/>
    <mergeCell ref="Y70:Y72"/>
    <mergeCell ref="Z70:Z72"/>
    <mergeCell ref="AQ70:AQ71"/>
    <mergeCell ref="AR70:AR71"/>
    <mergeCell ref="AS70:AS71"/>
    <mergeCell ref="AP68:AP69"/>
    <mergeCell ref="AE70:AE71"/>
    <mergeCell ref="AF70:AF71"/>
    <mergeCell ref="AG70:AG71"/>
    <mergeCell ref="AH70:AH71"/>
    <mergeCell ref="AI70:AI71"/>
    <mergeCell ref="AJ70:AJ71"/>
    <mergeCell ref="AK70:AK71"/>
    <mergeCell ref="AL70:AL71"/>
    <mergeCell ref="AM70:AM71"/>
    <mergeCell ref="AJ68:AJ69"/>
    <mergeCell ref="AK68:AK69"/>
    <mergeCell ref="AL68:AL69"/>
    <mergeCell ref="AM68:AM69"/>
    <mergeCell ref="AS88:AS89"/>
    <mergeCell ref="AQ90:AQ91"/>
    <mergeCell ref="AR90:AR91"/>
    <mergeCell ref="AS90:AS91"/>
    <mergeCell ref="W91:W93"/>
    <mergeCell ref="X91:X93"/>
    <mergeCell ref="Y91:Y93"/>
    <mergeCell ref="Z91:Z93"/>
    <mergeCell ref="S92:S95"/>
    <mergeCell ref="T92:T95"/>
    <mergeCell ref="U92:U95"/>
    <mergeCell ref="S76:S79"/>
    <mergeCell ref="T76:T79"/>
    <mergeCell ref="U76:U79"/>
    <mergeCell ref="V76:V79"/>
    <mergeCell ref="W76:W78"/>
    <mergeCell ref="X76:X78"/>
    <mergeCell ref="Y76:Y78"/>
    <mergeCell ref="Z76:Z78"/>
    <mergeCell ref="AQ76:AQ77"/>
    <mergeCell ref="AR76:AR77"/>
    <mergeCell ref="AS76:AS77"/>
    <mergeCell ref="AQ78:AQ79"/>
    <mergeCell ref="AR78:AR79"/>
    <mergeCell ref="AS78:AS79"/>
    <mergeCell ref="W79:W81"/>
    <mergeCell ref="X79:X81"/>
    <mergeCell ref="Y79:Y81"/>
    <mergeCell ref="Z79:Z81"/>
    <mergeCell ref="S80:S83"/>
    <mergeCell ref="T80:T83"/>
    <mergeCell ref="U80:U83"/>
    <mergeCell ref="S96:S98"/>
    <mergeCell ref="T96:T98"/>
    <mergeCell ref="U96:U98"/>
    <mergeCell ref="V96:V98"/>
    <mergeCell ref="AQ96:AQ97"/>
    <mergeCell ref="AR96:AR97"/>
    <mergeCell ref="AS96:AS97"/>
    <mergeCell ref="W97:W98"/>
    <mergeCell ref="X97:X98"/>
    <mergeCell ref="Y97:Y98"/>
    <mergeCell ref="Z97:Z98"/>
    <mergeCell ref="S84:S86"/>
    <mergeCell ref="T84:T86"/>
    <mergeCell ref="U84:U86"/>
    <mergeCell ref="V84:V86"/>
    <mergeCell ref="AQ84:AQ85"/>
    <mergeCell ref="AR84:AR85"/>
    <mergeCell ref="AS84:AS85"/>
    <mergeCell ref="W85:W86"/>
    <mergeCell ref="X85:X86"/>
    <mergeCell ref="Y85:Y86"/>
    <mergeCell ref="Z85:Z86"/>
    <mergeCell ref="S88:S91"/>
    <mergeCell ref="T88:T91"/>
    <mergeCell ref="U88:U91"/>
    <mergeCell ref="V88:V91"/>
    <mergeCell ref="W88:W90"/>
    <mergeCell ref="X88:X90"/>
    <mergeCell ref="Y88:Y90"/>
    <mergeCell ref="Z88:Z90"/>
    <mergeCell ref="AQ88:AQ89"/>
    <mergeCell ref="AR88:AR89"/>
    <mergeCell ref="V104:V107"/>
    <mergeCell ref="AQ104:AQ105"/>
    <mergeCell ref="AR104:AR105"/>
    <mergeCell ref="AS104:AS105"/>
    <mergeCell ref="W106:W108"/>
    <mergeCell ref="X106:X108"/>
    <mergeCell ref="Y106:Y108"/>
    <mergeCell ref="Z106:Z108"/>
    <mergeCell ref="AQ106:AQ107"/>
    <mergeCell ref="AR106:AR107"/>
    <mergeCell ref="AS106:AS107"/>
    <mergeCell ref="V92:V95"/>
    <mergeCell ref="AQ92:AQ93"/>
    <mergeCell ref="AR92:AR93"/>
    <mergeCell ref="AS92:AS93"/>
    <mergeCell ref="W94:W96"/>
    <mergeCell ref="X94:X96"/>
    <mergeCell ref="Y94:Y96"/>
    <mergeCell ref="Z94:Z96"/>
    <mergeCell ref="AQ94:AQ95"/>
    <mergeCell ref="AR94:AR95"/>
    <mergeCell ref="AS94:AS95"/>
    <mergeCell ref="AP92:AP93"/>
    <mergeCell ref="AE94:AE95"/>
    <mergeCell ref="AF94:AF95"/>
    <mergeCell ref="AG94:AG95"/>
    <mergeCell ref="AH94:AH95"/>
    <mergeCell ref="AI94:AI95"/>
    <mergeCell ref="AJ94:AJ95"/>
    <mergeCell ref="AK94:AK95"/>
    <mergeCell ref="AL94:AL95"/>
    <mergeCell ref="AM94:AM95"/>
    <mergeCell ref="AS112:AS113"/>
    <mergeCell ref="AQ114:AQ115"/>
    <mergeCell ref="AR114:AR115"/>
    <mergeCell ref="AS114:AS115"/>
    <mergeCell ref="W115:W117"/>
    <mergeCell ref="X115:X117"/>
    <mergeCell ref="Y115:Y117"/>
    <mergeCell ref="Z115:Z117"/>
    <mergeCell ref="S116:S119"/>
    <mergeCell ref="T116:T119"/>
    <mergeCell ref="U116:U119"/>
    <mergeCell ref="S100:S103"/>
    <mergeCell ref="T100:T103"/>
    <mergeCell ref="U100:U103"/>
    <mergeCell ref="V100:V103"/>
    <mergeCell ref="W100:W102"/>
    <mergeCell ref="X100:X102"/>
    <mergeCell ref="Y100:Y102"/>
    <mergeCell ref="Z100:Z102"/>
    <mergeCell ref="AQ100:AQ101"/>
    <mergeCell ref="AR100:AR101"/>
    <mergeCell ref="AS100:AS101"/>
    <mergeCell ref="AQ102:AQ103"/>
    <mergeCell ref="AR102:AR103"/>
    <mergeCell ref="AS102:AS103"/>
    <mergeCell ref="W103:W105"/>
    <mergeCell ref="X103:X105"/>
    <mergeCell ref="Y103:Y105"/>
    <mergeCell ref="Z103:Z105"/>
    <mergeCell ref="S104:S107"/>
    <mergeCell ref="T104:T107"/>
    <mergeCell ref="U104:U107"/>
    <mergeCell ref="S120:S122"/>
    <mergeCell ref="T120:T122"/>
    <mergeCell ref="U120:U122"/>
    <mergeCell ref="V120:V122"/>
    <mergeCell ref="AQ120:AQ121"/>
    <mergeCell ref="AR120:AR121"/>
    <mergeCell ref="AS120:AS121"/>
    <mergeCell ref="W121:W122"/>
    <mergeCell ref="X121:X122"/>
    <mergeCell ref="Y121:Y122"/>
    <mergeCell ref="Z121:Z122"/>
    <mergeCell ref="S108:S110"/>
    <mergeCell ref="T108:T110"/>
    <mergeCell ref="U108:U110"/>
    <mergeCell ref="V108:V110"/>
    <mergeCell ref="AQ108:AQ109"/>
    <mergeCell ref="AR108:AR109"/>
    <mergeCell ref="AS108:AS109"/>
    <mergeCell ref="W109:W110"/>
    <mergeCell ref="X109:X110"/>
    <mergeCell ref="Y109:Y110"/>
    <mergeCell ref="Z109:Z110"/>
    <mergeCell ref="S112:S115"/>
    <mergeCell ref="T112:T115"/>
    <mergeCell ref="U112:U115"/>
    <mergeCell ref="V112:V115"/>
    <mergeCell ref="W112:W114"/>
    <mergeCell ref="X112:X114"/>
    <mergeCell ref="Y112:Y114"/>
    <mergeCell ref="Z112:Z114"/>
    <mergeCell ref="AQ112:AQ113"/>
    <mergeCell ref="AR112:AR113"/>
    <mergeCell ref="V128:V131"/>
    <mergeCell ref="AQ128:AQ129"/>
    <mergeCell ref="AR128:AR129"/>
    <mergeCell ref="AS128:AS129"/>
    <mergeCell ref="W130:W132"/>
    <mergeCell ref="X130:X132"/>
    <mergeCell ref="Y130:Y132"/>
    <mergeCell ref="Z130:Z132"/>
    <mergeCell ref="AQ130:AQ131"/>
    <mergeCell ref="AR130:AR131"/>
    <mergeCell ref="AS130:AS131"/>
    <mergeCell ref="V116:V119"/>
    <mergeCell ref="AQ116:AQ117"/>
    <mergeCell ref="AR116:AR117"/>
    <mergeCell ref="AS116:AS117"/>
    <mergeCell ref="W118:W120"/>
    <mergeCell ref="X118:X120"/>
    <mergeCell ref="Y118:Y120"/>
    <mergeCell ref="Z118:Z120"/>
    <mergeCell ref="AQ118:AQ119"/>
    <mergeCell ref="AR118:AR119"/>
    <mergeCell ref="AS118:AS119"/>
    <mergeCell ref="AP116:AP117"/>
    <mergeCell ref="AE118:AE119"/>
    <mergeCell ref="AF118:AF119"/>
    <mergeCell ref="AG118:AG119"/>
    <mergeCell ref="AH118:AH119"/>
    <mergeCell ref="AI118:AI119"/>
    <mergeCell ref="AJ118:AJ119"/>
    <mergeCell ref="AK118:AK119"/>
    <mergeCell ref="AL118:AL119"/>
    <mergeCell ref="AM118:AM119"/>
    <mergeCell ref="AS136:AS137"/>
    <mergeCell ref="AQ138:AQ139"/>
    <mergeCell ref="AR138:AR139"/>
    <mergeCell ref="AS138:AS139"/>
    <mergeCell ref="W139:W141"/>
    <mergeCell ref="X139:X141"/>
    <mergeCell ref="Y139:Y141"/>
    <mergeCell ref="Z139:Z141"/>
    <mergeCell ref="S140:S143"/>
    <mergeCell ref="T140:T143"/>
    <mergeCell ref="U140:U143"/>
    <mergeCell ref="S124:S127"/>
    <mergeCell ref="T124:T127"/>
    <mergeCell ref="U124:U127"/>
    <mergeCell ref="V124:V127"/>
    <mergeCell ref="W124:W126"/>
    <mergeCell ref="X124:X126"/>
    <mergeCell ref="Y124:Y126"/>
    <mergeCell ref="Z124:Z126"/>
    <mergeCell ref="AQ124:AQ125"/>
    <mergeCell ref="AR124:AR125"/>
    <mergeCell ref="AS124:AS125"/>
    <mergeCell ref="AQ126:AQ127"/>
    <mergeCell ref="AR126:AR127"/>
    <mergeCell ref="AS126:AS127"/>
    <mergeCell ref="W127:W129"/>
    <mergeCell ref="X127:X129"/>
    <mergeCell ref="Y127:Y129"/>
    <mergeCell ref="Z127:Z129"/>
    <mergeCell ref="S128:S131"/>
    <mergeCell ref="T128:T131"/>
    <mergeCell ref="U128:U131"/>
    <mergeCell ref="S144:S146"/>
    <mergeCell ref="T144:T146"/>
    <mergeCell ref="U144:U146"/>
    <mergeCell ref="V144:V146"/>
    <mergeCell ref="AQ144:AQ145"/>
    <mergeCell ref="AR144:AR145"/>
    <mergeCell ref="AS144:AS145"/>
    <mergeCell ref="W145:W146"/>
    <mergeCell ref="X145:X146"/>
    <mergeCell ref="Y145:Y146"/>
    <mergeCell ref="Z145:Z146"/>
    <mergeCell ref="S132:S134"/>
    <mergeCell ref="T132:T134"/>
    <mergeCell ref="U132:U134"/>
    <mergeCell ref="V132:V134"/>
    <mergeCell ref="AQ132:AQ133"/>
    <mergeCell ref="AR132:AR133"/>
    <mergeCell ref="AS132:AS133"/>
    <mergeCell ref="W133:W134"/>
    <mergeCell ref="X133:X134"/>
    <mergeCell ref="Y133:Y134"/>
    <mergeCell ref="Z133:Z134"/>
    <mergeCell ref="S136:S139"/>
    <mergeCell ref="T136:T139"/>
    <mergeCell ref="U136:U139"/>
    <mergeCell ref="V136:V139"/>
    <mergeCell ref="W136:W138"/>
    <mergeCell ref="X136:X138"/>
    <mergeCell ref="Y136:Y138"/>
    <mergeCell ref="Z136:Z138"/>
    <mergeCell ref="AQ136:AQ137"/>
    <mergeCell ref="AR136:AR137"/>
    <mergeCell ref="V152:V155"/>
    <mergeCell ref="AQ152:AQ153"/>
    <mergeCell ref="AR152:AR153"/>
    <mergeCell ref="AS152:AS153"/>
    <mergeCell ref="W154:W156"/>
    <mergeCell ref="X154:X156"/>
    <mergeCell ref="Y154:Y156"/>
    <mergeCell ref="Z154:Z156"/>
    <mergeCell ref="AQ154:AQ155"/>
    <mergeCell ref="AR154:AR155"/>
    <mergeCell ref="AS154:AS155"/>
    <mergeCell ref="V140:V143"/>
    <mergeCell ref="AQ140:AQ141"/>
    <mergeCell ref="AR140:AR141"/>
    <mergeCell ref="AS140:AS141"/>
    <mergeCell ref="W142:W144"/>
    <mergeCell ref="X142:X144"/>
    <mergeCell ref="Y142:Y144"/>
    <mergeCell ref="Z142:Z144"/>
    <mergeCell ref="AQ142:AQ143"/>
    <mergeCell ref="AR142:AR143"/>
    <mergeCell ref="AS142:AS143"/>
    <mergeCell ref="AP140:AP141"/>
    <mergeCell ref="AE142:AE143"/>
    <mergeCell ref="AF142:AF143"/>
    <mergeCell ref="AG142:AG143"/>
    <mergeCell ref="AH142:AH143"/>
    <mergeCell ref="AI142:AI143"/>
    <mergeCell ref="AJ142:AJ143"/>
    <mergeCell ref="AK142:AK143"/>
    <mergeCell ref="AL142:AL143"/>
    <mergeCell ref="AM142:AM143"/>
    <mergeCell ref="AS160:AS161"/>
    <mergeCell ref="AQ162:AQ163"/>
    <mergeCell ref="AR162:AR163"/>
    <mergeCell ref="AS162:AS163"/>
    <mergeCell ref="W163:W165"/>
    <mergeCell ref="X163:X165"/>
    <mergeCell ref="Y163:Y165"/>
    <mergeCell ref="Z163:Z165"/>
    <mergeCell ref="S164:S167"/>
    <mergeCell ref="T164:T167"/>
    <mergeCell ref="U164:U167"/>
    <mergeCell ref="S148:S151"/>
    <mergeCell ref="T148:T151"/>
    <mergeCell ref="U148:U151"/>
    <mergeCell ref="V148:V151"/>
    <mergeCell ref="W148:W150"/>
    <mergeCell ref="X148:X150"/>
    <mergeCell ref="Y148:Y150"/>
    <mergeCell ref="Z148:Z150"/>
    <mergeCell ref="AQ148:AQ149"/>
    <mergeCell ref="AR148:AR149"/>
    <mergeCell ref="AS148:AS149"/>
    <mergeCell ref="AQ150:AQ151"/>
    <mergeCell ref="AR150:AR151"/>
    <mergeCell ref="AS150:AS151"/>
    <mergeCell ref="W151:W153"/>
    <mergeCell ref="X151:X153"/>
    <mergeCell ref="Y151:Y153"/>
    <mergeCell ref="Z151:Z153"/>
    <mergeCell ref="S152:S155"/>
    <mergeCell ref="T152:T155"/>
    <mergeCell ref="U152:U155"/>
    <mergeCell ref="S168:S170"/>
    <mergeCell ref="T168:T170"/>
    <mergeCell ref="U168:U170"/>
    <mergeCell ref="V168:V170"/>
    <mergeCell ref="AQ168:AQ169"/>
    <mergeCell ref="AR168:AR169"/>
    <mergeCell ref="AS168:AS169"/>
    <mergeCell ref="W169:W170"/>
    <mergeCell ref="X169:X170"/>
    <mergeCell ref="Y169:Y170"/>
    <mergeCell ref="Z169:Z170"/>
    <mergeCell ref="S156:S158"/>
    <mergeCell ref="T156:T158"/>
    <mergeCell ref="U156:U158"/>
    <mergeCell ref="V156:V158"/>
    <mergeCell ref="AQ156:AQ157"/>
    <mergeCell ref="AR156:AR157"/>
    <mergeCell ref="AS156:AS157"/>
    <mergeCell ref="W157:W158"/>
    <mergeCell ref="X157:X158"/>
    <mergeCell ref="Y157:Y158"/>
    <mergeCell ref="Z157:Z158"/>
    <mergeCell ref="S160:S163"/>
    <mergeCell ref="T160:T163"/>
    <mergeCell ref="U160:U163"/>
    <mergeCell ref="V160:V163"/>
    <mergeCell ref="W160:W162"/>
    <mergeCell ref="X160:X162"/>
    <mergeCell ref="Y160:Y162"/>
    <mergeCell ref="Z160:Z162"/>
    <mergeCell ref="AQ160:AQ161"/>
    <mergeCell ref="AR160:AR161"/>
    <mergeCell ref="V176:V179"/>
    <mergeCell ref="AQ176:AQ177"/>
    <mergeCell ref="AR176:AR177"/>
    <mergeCell ref="AS176:AS177"/>
    <mergeCell ref="W178:W180"/>
    <mergeCell ref="X178:X180"/>
    <mergeCell ref="Y178:Y180"/>
    <mergeCell ref="Z178:Z180"/>
    <mergeCell ref="AQ178:AQ179"/>
    <mergeCell ref="AR178:AR179"/>
    <mergeCell ref="AS178:AS179"/>
    <mergeCell ref="V164:V167"/>
    <mergeCell ref="AQ164:AQ165"/>
    <mergeCell ref="AR164:AR165"/>
    <mergeCell ref="AS164:AS165"/>
    <mergeCell ref="W166:W168"/>
    <mergeCell ref="X166:X168"/>
    <mergeCell ref="Y166:Y168"/>
    <mergeCell ref="Z166:Z168"/>
    <mergeCell ref="AQ166:AQ167"/>
    <mergeCell ref="AR166:AR167"/>
    <mergeCell ref="AS166:AS167"/>
    <mergeCell ref="AP164:AP165"/>
    <mergeCell ref="AE166:AE167"/>
    <mergeCell ref="AF166:AF167"/>
    <mergeCell ref="AG166:AG167"/>
    <mergeCell ref="AH166:AH167"/>
    <mergeCell ref="AI166:AI167"/>
    <mergeCell ref="AJ166:AJ167"/>
    <mergeCell ref="AK166:AK167"/>
    <mergeCell ref="AL166:AL167"/>
    <mergeCell ref="AM166:AM167"/>
    <mergeCell ref="AS184:AS185"/>
    <mergeCell ref="AQ186:AQ187"/>
    <mergeCell ref="AR186:AR187"/>
    <mergeCell ref="AS186:AS187"/>
    <mergeCell ref="W187:W189"/>
    <mergeCell ref="X187:X189"/>
    <mergeCell ref="Y187:Y189"/>
    <mergeCell ref="Z187:Z189"/>
    <mergeCell ref="S188:S191"/>
    <mergeCell ref="T188:T191"/>
    <mergeCell ref="U188:U191"/>
    <mergeCell ref="S172:S175"/>
    <mergeCell ref="T172:T175"/>
    <mergeCell ref="U172:U175"/>
    <mergeCell ref="V172:V175"/>
    <mergeCell ref="W172:W174"/>
    <mergeCell ref="X172:X174"/>
    <mergeCell ref="Y172:Y174"/>
    <mergeCell ref="Z172:Z174"/>
    <mergeCell ref="AQ172:AQ173"/>
    <mergeCell ref="AR172:AR173"/>
    <mergeCell ref="AS172:AS173"/>
    <mergeCell ref="AQ174:AQ175"/>
    <mergeCell ref="AR174:AR175"/>
    <mergeCell ref="AS174:AS175"/>
    <mergeCell ref="W175:W177"/>
    <mergeCell ref="X175:X177"/>
    <mergeCell ref="Y175:Y177"/>
    <mergeCell ref="Z175:Z177"/>
    <mergeCell ref="S176:S179"/>
    <mergeCell ref="T176:T179"/>
    <mergeCell ref="U176:U179"/>
    <mergeCell ref="S192:S194"/>
    <mergeCell ref="T192:T194"/>
    <mergeCell ref="U192:U194"/>
    <mergeCell ref="V192:V194"/>
    <mergeCell ref="AQ192:AQ193"/>
    <mergeCell ref="AR192:AR193"/>
    <mergeCell ref="AS192:AS193"/>
    <mergeCell ref="W193:W194"/>
    <mergeCell ref="X193:X194"/>
    <mergeCell ref="Y193:Y194"/>
    <mergeCell ref="Z193:Z194"/>
    <mergeCell ref="S180:S182"/>
    <mergeCell ref="T180:T182"/>
    <mergeCell ref="U180:U182"/>
    <mergeCell ref="V180:V182"/>
    <mergeCell ref="AQ180:AQ181"/>
    <mergeCell ref="AR180:AR181"/>
    <mergeCell ref="AS180:AS181"/>
    <mergeCell ref="W181:W182"/>
    <mergeCell ref="X181:X182"/>
    <mergeCell ref="Y181:Y182"/>
    <mergeCell ref="Z181:Z182"/>
    <mergeCell ref="S184:S187"/>
    <mergeCell ref="T184:T187"/>
    <mergeCell ref="U184:U187"/>
    <mergeCell ref="V184:V187"/>
    <mergeCell ref="W184:W186"/>
    <mergeCell ref="X184:X186"/>
    <mergeCell ref="Y184:Y186"/>
    <mergeCell ref="Z184:Z186"/>
    <mergeCell ref="AQ184:AQ185"/>
    <mergeCell ref="AR184:AR185"/>
    <mergeCell ref="V200:V203"/>
    <mergeCell ref="AQ200:AQ201"/>
    <mergeCell ref="AR200:AR201"/>
    <mergeCell ref="AS200:AS201"/>
    <mergeCell ref="W202:W204"/>
    <mergeCell ref="X202:X204"/>
    <mergeCell ref="Y202:Y204"/>
    <mergeCell ref="Z202:Z204"/>
    <mergeCell ref="AQ202:AQ203"/>
    <mergeCell ref="AR202:AR203"/>
    <mergeCell ref="AS202:AS203"/>
    <mergeCell ref="V188:V191"/>
    <mergeCell ref="AQ188:AQ189"/>
    <mergeCell ref="AR188:AR189"/>
    <mergeCell ref="AS188:AS189"/>
    <mergeCell ref="W190:W192"/>
    <mergeCell ref="X190:X192"/>
    <mergeCell ref="Y190:Y192"/>
    <mergeCell ref="Z190:Z192"/>
    <mergeCell ref="AQ190:AQ191"/>
    <mergeCell ref="AR190:AR191"/>
    <mergeCell ref="AS190:AS191"/>
    <mergeCell ref="AP188:AP189"/>
    <mergeCell ref="AE190:AE191"/>
    <mergeCell ref="AF190:AF191"/>
    <mergeCell ref="AG190:AG191"/>
    <mergeCell ref="AH190:AH191"/>
    <mergeCell ref="AI190:AI191"/>
    <mergeCell ref="AJ190:AJ191"/>
    <mergeCell ref="AK190:AK191"/>
    <mergeCell ref="AL190:AL191"/>
    <mergeCell ref="AM190:AM191"/>
    <mergeCell ref="AS208:AS209"/>
    <mergeCell ref="AQ210:AQ211"/>
    <mergeCell ref="AR210:AR211"/>
    <mergeCell ref="AS210:AS211"/>
    <mergeCell ref="W211:W213"/>
    <mergeCell ref="X211:X213"/>
    <mergeCell ref="Y211:Y213"/>
    <mergeCell ref="Z211:Z213"/>
    <mergeCell ref="S212:S215"/>
    <mergeCell ref="T212:T215"/>
    <mergeCell ref="U212:U215"/>
    <mergeCell ref="S196:S199"/>
    <mergeCell ref="T196:T199"/>
    <mergeCell ref="U196:U199"/>
    <mergeCell ref="V196:V199"/>
    <mergeCell ref="W196:W198"/>
    <mergeCell ref="X196:X198"/>
    <mergeCell ref="Y196:Y198"/>
    <mergeCell ref="Z196:Z198"/>
    <mergeCell ref="AQ196:AQ197"/>
    <mergeCell ref="AR196:AR197"/>
    <mergeCell ref="AS196:AS197"/>
    <mergeCell ref="AQ198:AQ199"/>
    <mergeCell ref="AR198:AR199"/>
    <mergeCell ref="AS198:AS199"/>
    <mergeCell ref="W199:W201"/>
    <mergeCell ref="X199:X201"/>
    <mergeCell ref="Y199:Y201"/>
    <mergeCell ref="Z199:Z201"/>
    <mergeCell ref="S200:S203"/>
    <mergeCell ref="T200:T203"/>
    <mergeCell ref="U200:U203"/>
    <mergeCell ref="S216:S218"/>
    <mergeCell ref="T216:T218"/>
    <mergeCell ref="U216:U218"/>
    <mergeCell ref="V216:V218"/>
    <mergeCell ref="AQ216:AQ217"/>
    <mergeCell ref="AR216:AR217"/>
    <mergeCell ref="AS216:AS217"/>
    <mergeCell ref="W217:W218"/>
    <mergeCell ref="X217:X218"/>
    <mergeCell ref="Y217:Y218"/>
    <mergeCell ref="Z217:Z218"/>
    <mergeCell ref="S204:S206"/>
    <mergeCell ref="T204:T206"/>
    <mergeCell ref="U204:U206"/>
    <mergeCell ref="V204:V206"/>
    <mergeCell ref="AQ204:AQ205"/>
    <mergeCell ref="AR204:AR205"/>
    <mergeCell ref="AS204:AS205"/>
    <mergeCell ref="W205:W206"/>
    <mergeCell ref="X205:X206"/>
    <mergeCell ref="Y205:Y206"/>
    <mergeCell ref="Z205:Z206"/>
    <mergeCell ref="S208:S211"/>
    <mergeCell ref="T208:T211"/>
    <mergeCell ref="U208:U211"/>
    <mergeCell ref="V208:V211"/>
    <mergeCell ref="W208:W210"/>
    <mergeCell ref="X208:X210"/>
    <mergeCell ref="Y208:Y210"/>
    <mergeCell ref="Z208:Z210"/>
    <mergeCell ref="AQ208:AQ209"/>
    <mergeCell ref="AR208:AR209"/>
    <mergeCell ref="V224:V227"/>
    <mergeCell ref="AQ224:AQ225"/>
    <mergeCell ref="AR224:AR225"/>
    <mergeCell ref="AS224:AS225"/>
    <mergeCell ref="W226:W228"/>
    <mergeCell ref="X226:X228"/>
    <mergeCell ref="Y226:Y228"/>
    <mergeCell ref="Z226:Z228"/>
    <mergeCell ref="AQ226:AQ227"/>
    <mergeCell ref="AR226:AR227"/>
    <mergeCell ref="AS226:AS227"/>
    <mergeCell ref="V212:V215"/>
    <mergeCell ref="AQ212:AQ213"/>
    <mergeCell ref="AR212:AR213"/>
    <mergeCell ref="AS212:AS213"/>
    <mergeCell ref="W214:W216"/>
    <mergeCell ref="X214:X216"/>
    <mergeCell ref="Y214:Y216"/>
    <mergeCell ref="Z214:Z216"/>
    <mergeCell ref="AQ214:AQ215"/>
    <mergeCell ref="AR214:AR215"/>
    <mergeCell ref="AS214:AS215"/>
    <mergeCell ref="AP212:AP213"/>
    <mergeCell ref="AE214:AE215"/>
    <mergeCell ref="AF214:AF215"/>
    <mergeCell ref="AG214:AG215"/>
    <mergeCell ref="AH214:AH215"/>
    <mergeCell ref="AI214:AI215"/>
    <mergeCell ref="AJ214:AJ215"/>
    <mergeCell ref="AK214:AK215"/>
    <mergeCell ref="AL214:AL215"/>
    <mergeCell ref="AM214:AM215"/>
    <mergeCell ref="AS232:AS233"/>
    <mergeCell ref="AQ234:AQ235"/>
    <mergeCell ref="AR234:AR235"/>
    <mergeCell ref="AS234:AS235"/>
    <mergeCell ref="W235:W237"/>
    <mergeCell ref="X235:X237"/>
    <mergeCell ref="Y235:Y237"/>
    <mergeCell ref="Z235:Z237"/>
    <mergeCell ref="S236:S239"/>
    <mergeCell ref="T236:T239"/>
    <mergeCell ref="U236:U239"/>
    <mergeCell ref="S220:S223"/>
    <mergeCell ref="T220:T223"/>
    <mergeCell ref="U220:U223"/>
    <mergeCell ref="V220:V223"/>
    <mergeCell ref="W220:W222"/>
    <mergeCell ref="X220:X222"/>
    <mergeCell ref="Y220:Y222"/>
    <mergeCell ref="Z220:Z222"/>
    <mergeCell ref="AQ220:AQ221"/>
    <mergeCell ref="AR220:AR221"/>
    <mergeCell ref="AS220:AS221"/>
    <mergeCell ref="AQ222:AQ223"/>
    <mergeCell ref="AR222:AR223"/>
    <mergeCell ref="AS222:AS223"/>
    <mergeCell ref="W223:W225"/>
    <mergeCell ref="X223:X225"/>
    <mergeCell ref="Y223:Y225"/>
    <mergeCell ref="Z223:Z225"/>
    <mergeCell ref="S224:S227"/>
    <mergeCell ref="T224:T227"/>
    <mergeCell ref="U224:U227"/>
    <mergeCell ref="S240:S242"/>
    <mergeCell ref="T240:T242"/>
    <mergeCell ref="U240:U242"/>
    <mergeCell ref="V240:V242"/>
    <mergeCell ref="AQ240:AQ241"/>
    <mergeCell ref="AR240:AR241"/>
    <mergeCell ref="AS240:AS241"/>
    <mergeCell ref="W241:W242"/>
    <mergeCell ref="X241:X242"/>
    <mergeCell ref="Y241:Y242"/>
    <mergeCell ref="Z241:Z242"/>
    <mergeCell ref="S228:S230"/>
    <mergeCell ref="T228:T230"/>
    <mergeCell ref="U228:U230"/>
    <mergeCell ref="V228:V230"/>
    <mergeCell ref="AQ228:AQ229"/>
    <mergeCell ref="AR228:AR229"/>
    <mergeCell ref="AS228:AS229"/>
    <mergeCell ref="W229:W230"/>
    <mergeCell ref="X229:X230"/>
    <mergeCell ref="Y229:Y230"/>
    <mergeCell ref="Z229:Z230"/>
    <mergeCell ref="S232:S235"/>
    <mergeCell ref="T232:T235"/>
    <mergeCell ref="U232:U235"/>
    <mergeCell ref="V232:V235"/>
    <mergeCell ref="W232:W234"/>
    <mergeCell ref="X232:X234"/>
    <mergeCell ref="Y232:Y234"/>
    <mergeCell ref="Z232:Z234"/>
    <mergeCell ref="AQ232:AQ233"/>
    <mergeCell ref="AR232:AR233"/>
    <mergeCell ref="V248:V251"/>
    <mergeCell ref="AQ248:AQ249"/>
    <mergeCell ref="AR248:AR249"/>
    <mergeCell ref="AS248:AS249"/>
    <mergeCell ref="W250:W252"/>
    <mergeCell ref="X250:X252"/>
    <mergeCell ref="Y250:Y252"/>
    <mergeCell ref="Z250:Z252"/>
    <mergeCell ref="AQ250:AQ251"/>
    <mergeCell ref="AR250:AR251"/>
    <mergeCell ref="AS250:AS251"/>
    <mergeCell ref="V236:V239"/>
    <mergeCell ref="AQ236:AQ237"/>
    <mergeCell ref="AR236:AR237"/>
    <mergeCell ref="AS236:AS237"/>
    <mergeCell ref="W238:W240"/>
    <mergeCell ref="X238:X240"/>
    <mergeCell ref="Y238:Y240"/>
    <mergeCell ref="Z238:Z240"/>
    <mergeCell ref="AQ238:AQ239"/>
    <mergeCell ref="AR238:AR239"/>
    <mergeCell ref="AS238:AS239"/>
    <mergeCell ref="AP236:AP237"/>
    <mergeCell ref="AE238:AE239"/>
    <mergeCell ref="AF238:AF239"/>
    <mergeCell ref="AG238:AG239"/>
    <mergeCell ref="AH238:AH239"/>
    <mergeCell ref="AI238:AI239"/>
    <mergeCell ref="AJ238:AJ239"/>
    <mergeCell ref="AK238:AK239"/>
    <mergeCell ref="AL238:AL239"/>
    <mergeCell ref="AM238:AM239"/>
    <mergeCell ref="AS256:AS257"/>
    <mergeCell ref="AQ258:AQ259"/>
    <mergeCell ref="AR258:AR259"/>
    <mergeCell ref="AS258:AS259"/>
    <mergeCell ref="W259:W261"/>
    <mergeCell ref="X259:X261"/>
    <mergeCell ref="Y259:Y261"/>
    <mergeCell ref="Z259:Z261"/>
    <mergeCell ref="S260:S263"/>
    <mergeCell ref="T260:T263"/>
    <mergeCell ref="U260:U263"/>
    <mergeCell ref="S244:S247"/>
    <mergeCell ref="T244:T247"/>
    <mergeCell ref="U244:U247"/>
    <mergeCell ref="V244:V247"/>
    <mergeCell ref="W244:W246"/>
    <mergeCell ref="X244:X246"/>
    <mergeCell ref="Y244:Y246"/>
    <mergeCell ref="Z244:Z246"/>
    <mergeCell ref="AQ244:AQ245"/>
    <mergeCell ref="AR244:AR245"/>
    <mergeCell ref="AS244:AS245"/>
    <mergeCell ref="AQ246:AQ247"/>
    <mergeCell ref="AR246:AR247"/>
    <mergeCell ref="AS246:AS247"/>
    <mergeCell ref="W247:W249"/>
    <mergeCell ref="X247:X249"/>
    <mergeCell ref="Y247:Y249"/>
    <mergeCell ref="Z247:Z249"/>
    <mergeCell ref="S248:S251"/>
    <mergeCell ref="T248:T251"/>
    <mergeCell ref="U248:U251"/>
    <mergeCell ref="S264:S266"/>
    <mergeCell ref="T264:T266"/>
    <mergeCell ref="U264:U266"/>
    <mergeCell ref="V264:V266"/>
    <mergeCell ref="AQ264:AQ265"/>
    <mergeCell ref="AR264:AR265"/>
    <mergeCell ref="AS264:AS265"/>
    <mergeCell ref="W265:W266"/>
    <mergeCell ref="X265:X266"/>
    <mergeCell ref="Y265:Y266"/>
    <mergeCell ref="Z265:Z266"/>
    <mergeCell ref="S252:S254"/>
    <mergeCell ref="T252:T254"/>
    <mergeCell ref="U252:U254"/>
    <mergeCell ref="V252:V254"/>
    <mergeCell ref="AQ252:AQ253"/>
    <mergeCell ref="AR252:AR253"/>
    <mergeCell ref="AS252:AS253"/>
    <mergeCell ref="W253:W254"/>
    <mergeCell ref="X253:X254"/>
    <mergeCell ref="Y253:Y254"/>
    <mergeCell ref="Z253:Z254"/>
    <mergeCell ref="S256:S259"/>
    <mergeCell ref="T256:T259"/>
    <mergeCell ref="U256:U259"/>
    <mergeCell ref="V256:V259"/>
    <mergeCell ref="W256:W258"/>
    <mergeCell ref="X256:X258"/>
    <mergeCell ref="Y256:Y258"/>
    <mergeCell ref="Z256:Z258"/>
    <mergeCell ref="AQ256:AQ257"/>
    <mergeCell ref="AR256:AR257"/>
    <mergeCell ref="V272:V275"/>
    <mergeCell ref="AQ272:AQ273"/>
    <mergeCell ref="AR272:AR273"/>
    <mergeCell ref="AS272:AS273"/>
    <mergeCell ref="W274:W276"/>
    <mergeCell ref="X274:X276"/>
    <mergeCell ref="Y274:Y276"/>
    <mergeCell ref="Z274:Z276"/>
    <mergeCell ref="AQ274:AQ275"/>
    <mergeCell ref="AR274:AR275"/>
    <mergeCell ref="AS274:AS275"/>
    <mergeCell ref="V260:V263"/>
    <mergeCell ref="AQ260:AQ261"/>
    <mergeCell ref="AR260:AR261"/>
    <mergeCell ref="AS260:AS261"/>
    <mergeCell ref="W262:W264"/>
    <mergeCell ref="X262:X264"/>
    <mergeCell ref="Y262:Y264"/>
    <mergeCell ref="Z262:Z264"/>
    <mergeCell ref="AQ262:AQ263"/>
    <mergeCell ref="AR262:AR263"/>
    <mergeCell ref="AS262:AS263"/>
    <mergeCell ref="AP260:AP261"/>
    <mergeCell ref="AE262:AE263"/>
    <mergeCell ref="AF262:AF263"/>
    <mergeCell ref="AG262:AG263"/>
    <mergeCell ref="AH262:AH263"/>
    <mergeCell ref="AI262:AI263"/>
    <mergeCell ref="AJ262:AJ263"/>
    <mergeCell ref="AK262:AK263"/>
    <mergeCell ref="AL262:AL263"/>
    <mergeCell ref="AM262:AM263"/>
    <mergeCell ref="AS280:AS281"/>
    <mergeCell ref="AQ282:AQ283"/>
    <mergeCell ref="AR282:AR283"/>
    <mergeCell ref="AS282:AS283"/>
    <mergeCell ref="W283:W285"/>
    <mergeCell ref="X283:X285"/>
    <mergeCell ref="Y283:Y285"/>
    <mergeCell ref="Z283:Z285"/>
    <mergeCell ref="S284:S287"/>
    <mergeCell ref="T284:T287"/>
    <mergeCell ref="U284:U287"/>
    <mergeCell ref="S268:S271"/>
    <mergeCell ref="T268:T271"/>
    <mergeCell ref="U268:U271"/>
    <mergeCell ref="V268:V271"/>
    <mergeCell ref="W268:W270"/>
    <mergeCell ref="X268:X270"/>
    <mergeCell ref="Y268:Y270"/>
    <mergeCell ref="Z268:Z270"/>
    <mergeCell ref="AQ268:AQ269"/>
    <mergeCell ref="AR268:AR269"/>
    <mergeCell ref="AS268:AS269"/>
    <mergeCell ref="AQ270:AQ271"/>
    <mergeCell ref="AR270:AR271"/>
    <mergeCell ref="AS270:AS271"/>
    <mergeCell ref="W271:W273"/>
    <mergeCell ref="X271:X273"/>
    <mergeCell ref="Y271:Y273"/>
    <mergeCell ref="Z271:Z273"/>
    <mergeCell ref="S272:S275"/>
    <mergeCell ref="T272:T275"/>
    <mergeCell ref="U272:U275"/>
    <mergeCell ref="S288:S290"/>
    <mergeCell ref="T288:T290"/>
    <mergeCell ref="U288:U290"/>
    <mergeCell ref="V288:V290"/>
    <mergeCell ref="AQ288:AQ289"/>
    <mergeCell ref="AR288:AR289"/>
    <mergeCell ref="AS288:AS289"/>
    <mergeCell ref="W289:W290"/>
    <mergeCell ref="X289:X290"/>
    <mergeCell ref="Y289:Y290"/>
    <mergeCell ref="Z289:Z290"/>
    <mergeCell ref="S276:S278"/>
    <mergeCell ref="T276:T278"/>
    <mergeCell ref="U276:U278"/>
    <mergeCell ref="V276:V278"/>
    <mergeCell ref="AQ276:AQ277"/>
    <mergeCell ref="AR276:AR277"/>
    <mergeCell ref="AS276:AS277"/>
    <mergeCell ref="W277:W278"/>
    <mergeCell ref="X277:X278"/>
    <mergeCell ref="Y277:Y278"/>
    <mergeCell ref="Z277:Z278"/>
    <mergeCell ref="S280:S283"/>
    <mergeCell ref="T280:T283"/>
    <mergeCell ref="U280:U283"/>
    <mergeCell ref="V280:V283"/>
    <mergeCell ref="W280:W282"/>
    <mergeCell ref="X280:X282"/>
    <mergeCell ref="Y280:Y282"/>
    <mergeCell ref="Z280:Z282"/>
    <mergeCell ref="AQ280:AQ281"/>
    <mergeCell ref="AR280:AR281"/>
    <mergeCell ref="V296:V299"/>
    <mergeCell ref="AQ296:AQ297"/>
    <mergeCell ref="AR296:AR297"/>
    <mergeCell ref="AS296:AS297"/>
    <mergeCell ref="W298:W300"/>
    <mergeCell ref="X298:X300"/>
    <mergeCell ref="Y298:Y300"/>
    <mergeCell ref="Z298:Z300"/>
    <mergeCell ref="AQ298:AQ299"/>
    <mergeCell ref="AR298:AR299"/>
    <mergeCell ref="AS298:AS299"/>
    <mergeCell ref="V284:V287"/>
    <mergeCell ref="AQ284:AQ285"/>
    <mergeCell ref="AR284:AR285"/>
    <mergeCell ref="AS284:AS285"/>
    <mergeCell ref="W286:W288"/>
    <mergeCell ref="X286:X288"/>
    <mergeCell ref="Y286:Y288"/>
    <mergeCell ref="Z286:Z288"/>
    <mergeCell ref="AQ286:AQ287"/>
    <mergeCell ref="AR286:AR287"/>
    <mergeCell ref="AS286:AS287"/>
    <mergeCell ref="AP284:AP285"/>
    <mergeCell ref="AE286:AE287"/>
    <mergeCell ref="AF286:AF287"/>
    <mergeCell ref="AG286:AG287"/>
    <mergeCell ref="AH286:AH287"/>
    <mergeCell ref="AI286:AI287"/>
    <mergeCell ref="AJ286:AJ287"/>
    <mergeCell ref="AK286:AK287"/>
    <mergeCell ref="AL286:AL287"/>
    <mergeCell ref="AM286:AM287"/>
    <mergeCell ref="AS304:AS305"/>
    <mergeCell ref="AQ306:AQ307"/>
    <mergeCell ref="AR306:AR307"/>
    <mergeCell ref="AS306:AS307"/>
    <mergeCell ref="W307:W309"/>
    <mergeCell ref="X307:X309"/>
    <mergeCell ref="Y307:Y309"/>
    <mergeCell ref="Z307:Z309"/>
    <mergeCell ref="S308:S311"/>
    <mergeCell ref="T308:T311"/>
    <mergeCell ref="U308:U311"/>
    <mergeCell ref="S292:S295"/>
    <mergeCell ref="T292:T295"/>
    <mergeCell ref="U292:U295"/>
    <mergeCell ref="V292:V295"/>
    <mergeCell ref="W292:W294"/>
    <mergeCell ref="X292:X294"/>
    <mergeCell ref="Y292:Y294"/>
    <mergeCell ref="Z292:Z294"/>
    <mergeCell ref="AQ292:AQ293"/>
    <mergeCell ref="AR292:AR293"/>
    <mergeCell ref="AS292:AS293"/>
    <mergeCell ref="AQ294:AQ295"/>
    <mergeCell ref="AR294:AR295"/>
    <mergeCell ref="AS294:AS295"/>
    <mergeCell ref="W295:W297"/>
    <mergeCell ref="X295:X297"/>
    <mergeCell ref="Y295:Y297"/>
    <mergeCell ref="Z295:Z297"/>
    <mergeCell ref="S296:S299"/>
    <mergeCell ref="T296:T299"/>
    <mergeCell ref="U296:U299"/>
    <mergeCell ref="S312:S314"/>
    <mergeCell ref="T312:T314"/>
    <mergeCell ref="U312:U314"/>
    <mergeCell ref="V312:V314"/>
    <mergeCell ref="AQ312:AQ313"/>
    <mergeCell ref="AR312:AR313"/>
    <mergeCell ref="AS312:AS313"/>
    <mergeCell ref="W313:W314"/>
    <mergeCell ref="X313:X314"/>
    <mergeCell ref="Y313:Y314"/>
    <mergeCell ref="Z313:Z314"/>
    <mergeCell ref="S300:S302"/>
    <mergeCell ref="T300:T302"/>
    <mergeCell ref="U300:U302"/>
    <mergeCell ref="V300:V302"/>
    <mergeCell ref="AQ300:AQ301"/>
    <mergeCell ref="AR300:AR301"/>
    <mergeCell ref="AS300:AS301"/>
    <mergeCell ref="W301:W302"/>
    <mergeCell ref="X301:X302"/>
    <mergeCell ref="Y301:Y302"/>
    <mergeCell ref="Z301:Z302"/>
    <mergeCell ref="S304:S307"/>
    <mergeCell ref="T304:T307"/>
    <mergeCell ref="U304:U307"/>
    <mergeCell ref="V304:V307"/>
    <mergeCell ref="W304:W306"/>
    <mergeCell ref="X304:X306"/>
    <mergeCell ref="Y304:Y306"/>
    <mergeCell ref="Z304:Z306"/>
    <mergeCell ref="AQ304:AQ305"/>
    <mergeCell ref="AR304:AR305"/>
    <mergeCell ref="V320:V323"/>
    <mergeCell ref="AQ320:AQ321"/>
    <mergeCell ref="AR320:AR321"/>
    <mergeCell ref="AS320:AS321"/>
    <mergeCell ref="W322:W324"/>
    <mergeCell ref="X322:X324"/>
    <mergeCell ref="Y322:Y324"/>
    <mergeCell ref="Z322:Z324"/>
    <mergeCell ref="AQ322:AQ323"/>
    <mergeCell ref="AR322:AR323"/>
    <mergeCell ref="AS322:AS323"/>
    <mergeCell ref="V308:V311"/>
    <mergeCell ref="AQ308:AQ309"/>
    <mergeCell ref="AR308:AR309"/>
    <mergeCell ref="AS308:AS309"/>
    <mergeCell ref="W310:W312"/>
    <mergeCell ref="X310:X312"/>
    <mergeCell ref="Y310:Y312"/>
    <mergeCell ref="Z310:Z312"/>
    <mergeCell ref="AQ310:AQ311"/>
    <mergeCell ref="AR310:AR311"/>
    <mergeCell ref="AS310:AS311"/>
    <mergeCell ref="AP308:AP309"/>
    <mergeCell ref="AE310:AE311"/>
    <mergeCell ref="AF310:AF311"/>
    <mergeCell ref="AG310:AG311"/>
    <mergeCell ref="AH310:AH311"/>
    <mergeCell ref="AI310:AI311"/>
    <mergeCell ref="AJ310:AJ311"/>
    <mergeCell ref="AK310:AK311"/>
    <mergeCell ref="AL310:AL311"/>
    <mergeCell ref="AM310:AM311"/>
    <mergeCell ref="AS328:AS329"/>
    <mergeCell ref="AQ330:AQ331"/>
    <mergeCell ref="AR330:AR331"/>
    <mergeCell ref="AS330:AS331"/>
    <mergeCell ref="W331:W333"/>
    <mergeCell ref="X331:X333"/>
    <mergeCell ref="Y331:Y333"/>
    <mergeCell ref="Z331:Z333"/>
    <mergeCell ref="S332:S335"/>
    <mergeCell ref="T332:T335"/>
    <mergeCell ref="U332:U335"/>
    <mergeCell ref="S316:S319"/>
    <mergeCell ref="T316:T319"/>
    <mergeCell ref="U316:U319"/>
    <mergeCell ref="V316:V319"/>
    <mergeCell ref="W316:W318"/>
    <mergeCell ref="X316:X318"/>
    <mergeCell ref="Y316:Y318"/>
    <mergeCell ref="Z316:Z318"/>
    <mergeCell ref="AQ316:AQ317"/>
    <mergeCell ref="AR316:AR317"/>
    <mergeCell ref="AS316:AS317"/>
    <mergeCell ref="AQ318:AQ319"/>
    <mergeCell ref="AR318:AR319"/>
    <mergeCell ref="AS318:AS319"/>
    <mergeCell ref="W319:W321"/>
    <mergeCell ref="X319:X321"/>
    <mergeCell ref="Y319:Y321"/>
    <mergeCell ref="Z319:Z321"/>
    <mergeCell ref="S320:S323"/>
    <mergeCell ref="T320:T323"/>
    <mergeCell ref="U320:U323"/>
    <mergeCell ref="S336:S338"/>
    <mergeCell ref="T336:T338"/>
    <mergeCell ref="U336:U338"/>
    <mergeCell ref="V336:V338"/>
    <mergeCell ref="AQ336:AQ337"/>
    <mergeCell ref="AR336:AR337"/>
    <mergeCell ref="AS336:AS337"/>
    <mergeCell ref="W337:W338"/>
    <mergeCell ref="X337:X338"/>
    <mergeCell ref="Y337:Y338"/>
    <mergeCell ref="Z337:Z338"/>
    <mergeCell ref="S324:S326"/>
    <mergeCell ref="T324:T326"/>
    <mergeCell ref="U324:U326"/>
    <mergeCell ref="V324:V326"/>
    <mergeCell ref="AQ324:AQ325"/>
    <mergeCell ref="AR324:AR325"/>
    <mergeCell ref="AS324:AS325"/>
    <mergeCell ref="W325:W326"/>
    <mergeCell ref="X325:X326"/>
    <mergeCell ref="Y325:Y326"/>
    <mergeCell ref="Z325:Z326"/>
    <mergeCell ref="S328:S331"/>
    <mergeCell ref="T328:T331"/>
    <mergeCell ref="U328:U331"/>
    <mergeCell ref="V328:V331"/>
    <mergeCell ref="W328:W330"/>
    <mergeCell ref="X328:X330"/>
    <mergeCell ref="Y328:Y330"/>
    <mergeCell ref="Z328:Z330"/>
    <mergeCell ref="AQ328:AQ329"/>
    <mergeCell ref="AR328:AR329"/>
    <mergeCell ref="V344:V347"/>
    <mergeCell ref="AQ344:AQ345"/>
    <mergeCell ref="AR344:AR345"/>
    <mergeCell ref="AS344:AS345"/>
    <mergeCell ref="W346:W348"/>
    <mergeCell ref="X346:X348"/>
    <mergeCell ref="Y346:Y348"/>
    <mergeCell ref="Z346:Z348"/>
    <mergeCell ref="AQ346:AQ347"/>
    <mergeCell ref="AR346:AR347"/>
    <mergeCell ref="AS346:AS347"/>
    <mergeCell ref="V332:V335"/>
    <mergeCell ref="AQ332:AQ333"/>
    <mergeCell ref="AR332:AR333"/>
    <mergeCell ref="AS332:AS333"/>
    <mergeCell ref="W334:W336"/>
    <mergeCell ref="X334:X336"/>
    <mergeCell ref="Y334:Y336"/>
    <mergeCell ref="Z334:Z336"/>
    <mergeCell ref="AQ334:AQ335"/>
    <mergeCell ref="AR334:AR335"/>
    <mergeCell ref="AS334:AS335"/>
    <mergeCell ref="AP332:AP333"/>
    <mergeCell ref="AE334:AE335"/>
    <mergeCell ref="AF334:AF335"/>
    <mergeCell ref="AG334:AG335"/>
    <mergeCell ref="AH334:AH335"/>
    <mergeCell ref="AI334:AI335"/>
    <mergeCell ref="AJ334:AJ335"/>
    <mergeCell ref="AK334:AK335"/>
    <mergeCell ref="AL334:AL335"/>
    <mergeCell ref="AM334:AM335"/>
    <mergeCell ref="AS352:AS353"/>
    <mergeCell ref="AQ354:AQ355"/>
    <mergeCell ref="AR354:AR355"/>
    <mergeCell ref="AS354:AS355"/>
    <mergeCell ref="W355:W357"/>
    <mergeCell ref="X355:X357"/>
    <mergeCell ref="Y355:Y357"/>
    <mergeCell ref="Z355:Z357"/>
    <mergeCell ref="S356:S359"/>
    <mergeCell ref="T356:T359"/>
    <mergeCell ref="U356:U359"/>
    <mergeCell ref="S340:S343"/>
    <mergeCell ref="T340:T343"/>
    <mergeCell ref="U340:U343"/>
    <mergeCell ref="V340:V343"/>
    <mergeCell ref="W340:W342"/>
    <mergeCell ref="X340:X342"/>
    <mergeCell ref="Y340:Y342"/>
    <mergeCell ref="Z340:Z342"/>
    <mergeCell ref="AQ340:AQ341"/>
    <mergeCell ref="AR340:AR341"/>
    <mergeCell ref="AS340:AS341"/>
    <mergeCell ref="AQ342:AQ343"/>
    <mergeCell ref="AR342:AR343"/>
    <mergeCell ref="AS342:AS343"/>
    <mergeCell ref="W343:W345"/>
    <mergeCell ref="X343:X345"/>
    <mergeCell ref="Y343:Y345"/>
    <mergeCell ref="Z343:Z345"/>
    <mergeCell ref="S344:S347"/>
    <mergeCell ref="T344:T347"/>
    <mergeCell ref="U344:U347"/>
    <mergeCell ref="S360:S362"/>
    <mergeCell ref="T360:T362"/>
    <mergeCell ref="U360:U362"/>
    <mergeCell ref="V360:V362"/>
    <mergeCell ref="AQ360:AQ361"/>
    <mergeCell ref="AR360:AR361"/>
    <mergeCell ref="AS360:AS361"/>
    <mergeCell ref="W361:W362"/>
    <mergeCell ref="X361:X362"/>
    <mergeCell ref="Y361:Y362"/>
    <mergeCell ref="Z361:Z362"/>
    <mergeCell ref="S348:S350"/>
    <mergeCell ref="T348:T350"/>
    <mergeCell ref="U348:U350"/>
    <mergeCell ref="V348:V350"/>
    <mergeCell ref="AQ348:AQ349"/>
    <mergeCell ref="AR348:AR349"/>
    <mergeCell ref="AS348:AS349"/>
    <mergeCell ref="W349:W350"/>
    <mergeCell ref="X349:X350"/>
    <mergeCell ref="Y349:Y350"/>
    <mergeCell ref="Z349:Z350"/>
    <mergeCell ref="S352:S355"/>
    <mergeCell ref="T352:T355"/>
    <mergeCell ref="U352:U355"/>
    <mergeCell ref="V352:V355"/>
    <mergeCell ref="W352:W354"/>
    <mergeCell ref="X352:X354"/>
    <mergeCell ref="Y352:Y354"/>
    <mergeCell ref="Z352:Z354"/>
    <mergeCell ref="AQ352:AQ353"/>
    <mergeCell ref="AR352:AR353"/>
    <mergeCell ref="V368:V371"/>
    <mergeCell ref="AQ368:AQ369"/>
    <mergeCell ref="AR368:AR369"/>
    <mergeCell ref="AS368:AS369"/>
    <mergeCell ref="W370:W372"/>
    <mergeCell ref="X370:X372"/>
    <mergeCell ref="Y370:Y372"/>
    <mergeCell ref="Z370:Z372"/>
    <mergeCell ref="AQ370:AQ371"/>
    <mergeCell ref="AR370:AR371"/>
    <mergeCell ref="AS370:AS371"/>
    <mergeCell ref="V356:V359"/>
    <mergeCell ref="AQ356:AQ357"/>
    <mergeCell ref="AR356:AR357"/>
    <mergeCell ref="AS356:AS357"/>
    <mergeCell ref="W358:W360"/>
    <mergeCell ref="X358:X360"/>
    <mergeCell ref="Y358:Y360"/>
    <mergeCell ref="Z358:Z360"/>
    <mergeCell ref="AQ358:AQ359"/>
    <mergeCell ref="AR358:AR359"/>
    <mergeCell ref="AS358:AS359"/>
    <mergeCell ref="AE364:AE365"/>
    <mergeCell ref="AF364:AF365"/>
    <mergeCell ref="AN364:AN365"/>
    <mergeCell ref="AO364:AO365"/>
    <mergeCell ref="AP356:AP357"/>
    <mergeCell ref="AE358:AE359"/>
    <mergeCell ref="AF358:AF359"/>
    <mergeCell ref="AG358:AG359"/>
    <mergeCell ref="AH358:AH359"/>
    <mergeCell ref="AI358:AI359"/>
    <mergeCell ref="AS376:AS377"/>
    <mergeCell ref="AQ378:AQ379"/>
    <mergeCell ref="AR378:AR379"/>
    <mergeCell ref="AS378:AS379"/>
    <mergeCell ref="W379:W381"/>
    <mergeCell ref="X379:X381"/>
    <mergeCell ref="Y379:Y381"/>
    <mergeCell ref="Z379:Z381"/>
    <mergeCell ref="S380:S383"/>
    <mergeCell ref="T380:T383"/>
    <mergeCell ref="U380:U383"/>
    <mergeCell ref="S364:S367"/>
    <mergeCell ref="T364:T367"/>
    <mergeCell ref="U364:U367"/>
    <mergeCell ref="V364:V367"/>
    <mergeCell ref="W364:W366"/>
    <mergeCell ref="X364:X366"/>
    <mergeCell ref="Y364:Y366"/>
    <mergeCell ref="Z364:Z366"/>
    <mergeCell ref="AQ364:AQ365"/>
    <mergeCell ref="AR364:AR365"/>
    <mergeCell ref="AS364:AS365"/>
    <mergeCell ref="AQ366:AQ367"/>
    <mergeCell ref="AR366:AR367"/>
    <mergeCell ref="AS366:AS367"/>
    <mergeCell ref="W367:W369"/>
    <mergeCell ref="X367:X369"/>
    <mergeCell ref="Y367:Y369"/>
    <mergeCell ref="Z367:Z369"/>
    <mergeCell ref="S368:S371"/>
    <mergeCell ref="T368:T371"/>
    <mergeCell ref="U368:U371"/>
    <mergeCell ref="S384:S386"/>
    <mergeCell ref="T384:T386"/>
    <mergeCell ref="U384:U386"/>
    <mergeCell ref="V384:V386"/>
    <mergeCell ref="AQ384:AQ385"/>
    <mergeCell ref="AR384:AR385"/>
    <mergeCell ref="AS384:AS385"/>
    <mergeCell ref="W385:W386"/>
    <mergeCell ref="X385:X386"/>
    <mergeCell ref="Y385:Y386"/>
    <mergeCell ref="Z385:Z386"/>
    <mergeCell ref="S372:S374"/>
    <mergeCell ref="T372:T374"/>
    <mergeCell ref="U372:U374"/>
    <mergeCell ref="V372:V374"/>
    <mergeCell ref="AQ372:AQ373"/>
    <mergeCell ref="AR372:AR373"/>
    <mergeCell ref="AS372:AS373"/>
    <mergeCell ref="W373:W374"/>
    <mergeCell ref="X373:X374"/>
    <mergeCell ref="Y373:Y374"/>
    <mergeCell ref="Z373:Z374"/>
    <mergeCell ref="S376:S379"/>
    <mergeCell ref="T376:T379"/>
    <mergeCell ref="U376:U379"/>
    <mergeCell ref="V376:V379"/>
    <mergeCell ref="W376:W378"/>
    <mergeCell ref="X376:X378"/>
    <mergeCell ref="Y376:Y378"/>
    <mergeCell ref="Z376:Z378"/>
    <mergeCell ref="AQ376:AQ377"/>
    <mergeCell ref="AR376:AR377"/>
    <mergeCell ref="V392:V395"/>
    <mergeCell ref="AQ392:AQ393"/>
    <mergeCell ref="AR392:AR393"/>
    <mergeCell ref="AS392:AS393"/>
    <mergeCell ref="W394:W396"/>
    <mergeCell ref="X394:X396"/>
    <mergeCell ref="Y394:Y396"/>
    <mergeCell ref="Z394:Z396"/>
    <mergeCell ref="AQ394:AQ395"/>
    <mergeCell ref="AR394:AR395"/>
    <mergeCell ref="AS394:AS395"/>
    <mergeCell ref="V380:V383"/>
    <mergeCell ref="AQ380:AQ381"/>
    <mergeCell ref="AR380:AR381"/>
    <mergeCell ref="AS380:AS381"/>
    <mergeCell ref="W382:W384"/>
    <mergeCell ref="X382:X384"/>
    <mergeCell ref="Y382:Y384"/>
    <mergeCell ref="Z382:Z384"/>
    <mergeCell ref="AQ382:AQ383"/>
    <mergeCell ref="AR382:AR383"/>
    <mergeCell ref="AS382:AS383"/>
    <mergeCell ref="AL384:AL385"/>
    <mergeCell ref="AM384:AM385"/>
    <mergeCell ref="AN384:AN385"/>
    <mergeCell ref="AO384:AO385"/>
    <mergeCell ref="AP384:AP385"/>
    <mergeCell ref="AG388:AG389"/>
    <mergeCell ref="AH388:AH389"/>
    <mergeCell ref="AI388:AI389"/>
    <mergeCell ref="AJ388:AJ389"/>
    <mergeCell ref="AK388:AK389"/>
    <mergeCell ref="AS400:AS401"/>
    <mergeCell ref="AQ402:AQ403"/>
    <mergeCell ref="AR402:AR403"/>
    <mergeCell ref="AS402:AS403"/>
    <mergeCell ref="W403:W405"/>
    <mergeCell ref="X403:X405"/>
    <mergeCell ref="Y403:Y405"/>
    <mergeCell ref="Z403:Z405"/>
    <mergeCell ref="S404:S407"/>
    <mergeCell ref="T404:T407"/>
    <mergeCell ref="U404:U407"/>
    <mergeCell ref="S388:S391"/>
    <mergeCell ref="T388:T391"/>
    <mergeCell ref="U388:U391"/>
    <mergeCell ref="V388:V391"/>
    <mergeCell ref="W388:W390"/>
    <mergeCell ref="X388:X390"/>
    <mergeCell ref="Y388:Y390"/>
    <mergeCell ref="Z388:Z390"/>
    <mergeCell ref="AQ388:AQ389"/>
    <mergeCell ref="AR388:AR389"/>
    <mergeCell ref="AS388:AS389"/>
    <mergeCell ref="AQ390:AQ391"/>
    <mergeCell ref="AR390:AR391"/>
    <mergeCell ref="AS390:AS391"/>
    <mergeCell ref="W391:W393"/>
    <mergeCell ref="X391:X393"/>
    <mergeCell ref="Y391:Y393"/>
    <mergeCell ref="Z391:Z393"/>
    <mergeCell ref="S392:S395"/>
    <mergeCell ref="T392:T395"/>
    <mergeCell ref="U392:U395"/>
    <mergeCell ref="S408:S410"/>
    <mergeCell ref="T408:T410"/>
    <mergeCell ref="U408:U410"/>
    <mergeCell ref="V408:V410"/>
    <mergeCell ref="AQ408:AQ409"/>
    <mergeCell ref="AR408:AR409"/>
    <mergeCell ref="AS408:AS409"/>
    <mergeCell ref="W409:W410"/>
    <mergeCell ref="X409:X410"/>
    <mergeCell ref="Y409:Y410"/>
    <mergeCell ref="Z409:Z410"/>
    <mergeCell ref="S396:S398"/>
    <mergeCell ref="T396:T398"/>
    <mergeCell ref="U396:U398"/>
    <mergeCell ref="V396:V398"/>
    <mergeCell ref="AQ396:AQ397"/>
    <mergeCell ref="AR396:AR397"/>
    <mergeCell ref="AS396:AS397"/>
    <mergeCell ref="W397:W398"/>
    <mergeCell ref="X397:X398"/>
    <mergeCell ref="Y397:Y398"/>
    <mergeCell ref="Z397:Z398"/>
    <mergeCell ref="S400:S403"/>
    <mergeCell ref="T400:T403"/>
    <mergeCell ref="U400:U403"/>
    <mergeCell ref="V400:V403"/>
    <mergeCell ref="W400:W402"/>
    <mergeCell ref="X400:X402"/>
    <mergeCell ref="Y400:Y402"/>
    <mergeCell ref="Z400:Z402"/>
    <mergeCell ref="AQ400:AQ401"/>
    <mergeCell ref="AR400:AR401"/>
    <mergeCell ref="V404:V407"/>
    <mergeCell ref="AQ404:AQ405"/>
    <mergeCell ref="AR404:AR405"/>
    <mergeCell ref="AS404:AS405"/>
    <mergeCell ref="W406:W408"/>
    <mergeCell ref="X406:X408"/>
    <mergeCell ref="Y406:Y408"/>
    <mergeCell ref="Z406:Z408"/>
    <mergeCell ref="AQ406:AQ407"/>
    <mergeCell ref="AR406:AR407"/>
    <mergeCell ref="AS406:AS407"/>
    <mergeCell ref="AP404:AP405"/>
    <mergeCell ref="AE406:AE407"/>
    <mergeCell ref="AF406:AF407"/>
    <mergeCell ref="AG406:AG407"/>
    <mergeCell ref="AH406:AH407"/>
    <mergeCell ref="AI406:AI407"/>
    <mergeCell ref="AJ406:AJ407"/>
    <mergeCell ref="AK406:AK407"/>
    <mergeCell ref="AL406:AL407"/>
    <mergeCell ref="AM406:AM407"/>
    <mergeCell ref="AJ404:AJ405"/>
    <mergeCell ref="AK404:AK405"/>
    <mergeCell ref="AL404:AL405"/>
    <mergeCell ref="AM404:AM405"/>
    <mergeCell ref="AN404:AN405"/>
    <mergeCell ref="AO404:AO405"/>
    <mergeCell ref="AE404:AE405"/>
    <mergeCell ref="AF404:AF405"/>
    <mergeCell ref="AG404:AG405"/>
    <mergeCell ref="AH404:AH405"/>
    <mergeCell ref="AI404:AI405"/>
    <mergeCell ref="AS412:AS413"/>
    <mergeCell ref="AQ414:AQ415"/>
    <mergeCell ref="AR414:AR415"/>
    <mergeCell ref="AS414:AS415"/>
    <mergeCell ref="W415:W417"/>
    <mergeCell ref="X415:X417"/>
    <mergeCell ref="Y415:Y417"/>
    <mergeCell ref="Z415:Z417"/>
    <mergeCell ref="S416:S419"/>
    <mergeCell ref="T416:T419"/>
    <mergeCell ref="U416:U419"/>
    <mergeCell ref="V416:V419"/>
    <mergeCell ref="AQ416:AQ417"/>
    <mergeCell ref="AR416:AR417"/>
    <mergeCell ref="AS416:AS417"/>
    <mergeCell ref="W418:W420"/>
    <mergeCell ref="X418:X420"/>
    <mergeCell ref="Y418:Y420"/>
    <mergeCell ref="Z418:Z420"/>
    <mergeCell ref="AQ418:AQ419"/>
    <mergeCell ref="AR418:AR419"/>
    <mergeCell ref="AS418:AS419"/>
    <mergeCell ref="AL414:AL415"/>
    <mergeCell ref="AM414:AM415"/>
    <mergeCell ref="AN414:AN415"/>
    <mergeCell ref="AO414:AO415"/>
    <mergeCell ref="AP414:AP415"/>
    <mergeCell ref="AE416:AE417"/>
    <mergeCell ref="AF416:AF417"/>
    <mergeCell ref="AG416:AG417"/>
    <mergeCell ref="AH416:AH417"/>
    <mergeCell ref="AI416:AI417"/>
    <mergeCell ref="W427:W429"/>
    <mergeCell ref="X427:X429"/>
    <mergeCell ref="Y427:Y429"/>
    <mergeCell ref="Z427:Z429"/>
    <mergeCell ref="S428:S431"/>
    <mergeCell ref="T428:T431"/>
    <mergeCell ref="U428:U431"/>
    <mergeCell ref="S412:S415"/>
    <mergeCell ref="T412:T415"/>
    <mergeCell ref="U412:U415"/>
    <mergeCell ref="V412:V415"/>
    <mergeCell ref="W412:W414"/>
    <mergeCell ref="X412:X414"/>
    <mergeCell ref="Y412:Y414"/>
    <mergeCell ref="Z412:Z414"/>
    <mergeCell ref="AQ412:AQ413"/>
    <mergeCell ref="AR412:AR413"/>
    <mergeCell ref="AQ428:AQ429"/>
    <mergeCell ref="AR428:AR429"/>
    <mergeCell ref="AL430:AL431"/>
    <mergeCell ref="AM430:AM431"/>
    <mergeCell ref="AN430:AN431"/>
    <mergeCell ref="AO430:AO431"/>
    <mergeCell ref="AP430:AP431"/>
    <mergeCell ref="AN428:AN429"/>
    <mergeCell ref="AO428:AO429"/>
    <mergeCell ref="AP428:AP429"/>
    <mergeCell ref="AE414:AE415"/>
    <mergeCell ref="AF414:AF415"/>
    <mergeCell ref="AG414:AG415"/>
    <mergeCell ref="AH414:AH415"/>
    <mergeCell ref="AI414:AI415"/>
    <mergeCell ref="D1:J1"/>
    <mergeCell ref="AR432:AR433"/>
    <mergeCell ref="AS432:AS433"/>
    <mergeCell ref="W433:W434"/>
    <mergeCell ref="X433:X434"/>
    <mergeCell ref="Y433:Y434"/>
    <mergeCell ref="Z433:Z434"/>
    <mergeCell ref="S420:S422"/>
    <mergeCell ref="T420:T422"/>
    <mergeCell ref="U420:U422"/>
    <mergeCell ref="V420:V422"/>
    <mergeCell ref="AQ420:AQ421"/>
    <mergeCell ref="AR420:AR421"/>
    <mergeCell ref="AS420:AS421"/>
    <mergeCell ref="W421:W422"/>
    <mergeCell ref="X421:X422"/>
    <mergeCell ref="Y421:Y422"/>
    <mergeCell ref="Z421:Z422"/>
    <mergeCell ref="S424:S427"/>
    <mergeCell ref="T424:T427"/>
    <mergeCell ref="U424:U427"/>
    <mergeCell ref="V424:V427"/>
    <mergeCell ref="W424:W426"/>
    <mergeCell ref="X424:X426"/>
    <mergeCell ref="Y424:Y426"/>
    <mergeCell ref="Z424:Z426"/>
    <mergeCell ref="AQ424:AQ425"/>
    <mergeCell ref="AR424:AR425"/>
    <mergeCell ref="AS424:AS425"/>
    <mergeCell ref="AQ426:AQ427"/>
    <mergeCell ref="AR426:AR427"/>
    <mergeCell ref="AS426:AS427"/>
  </mergeCells>
  <dataValidations count="2">
    <dataValidation type="list" allowBlank="1" showInputMessage="1" showErrorMessage="1" promptTitle="કુમાર કે કન્યા?" prompt="કુમાર કે કન્યા લિસ્ટમાંથી સિલેક્ટ કરો." sqref="D5 D425 D413 D401 D389 D377 D365 D353 D341 D329 D317 D305 D293 D281 D269 D257 D245 D233 D221 D209 D197 D185 D173 D161 D149 D137 D125 D113 D101 D89 D77 D65 D53 D41 D29 D17">
      <formula1>$BN$6:$BN$7</formula1>
    </dataValidation>
    <dataValidation type="list" allowBlank="1" showInputMessage="1" showErrorMessage="1" sqref="F14 F434 F422 F410 F398 F386 F374 F362 F350 F338 F326 F314 F302 F290 F278 F266 F254 F242 F230 F218 F206 F194 F182 F170 F158 F146 F134 F122 F110 F98 F86 F74 F62 F50 F38 F26">
      <formula1>$BN$8:$BN$11</formula1>
    </dataValidation>
  </dataValidations>
  <hyperlinks>
    <hyperlink ref="A1:B1" location="INDEX!A1" display="INDEX"/>
  </hyperlinks>
  <pageMargins left="0.7" right="0.7" top="0.75" bottom="0.75" header="0.3" footer="0.3"/>
  <pageSetup paperSize="9" orientation="portrait" horizontalDpi="4294967292"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BC787"/>
  <sheetViews>
    <sheetView showGridLines="0" tabSelected="1" view="pageBreakPreview" zoomScaleSheetLayoutView="100" workbookViewId="0">
      <pane ySplit="3" topLeftCell="A4" activePane="bottomLeft" state="frozen"/>
      <selection pane="bottomLeft" activeCell="C7" sqref="C7:J7"/>
    </sheetView>
  </sheetViews>
  <sheetFormatPr defaultColWidth="0" defaultRowHeight="15" zeroHeight="1"/>
  <cols>
    <col min="1" max="1" width="3.5703125" style="138" customWidth="1"/>
    <col min="2" max="2" width="28.85546875" style="295" customWidth="1"/>
    <col min="3" max="22" width="3" style="138" customWidth="1"/>
    <col min="23" max="25" width="4" style="138" customWidth="1"/>
    <col min="26" max="26" width="7.5703125" style="138" customWidth="1"/>
    <col min="27" max="27" width="1.140625" style="138" customWidth="1"/>
    <col min="28" max="28" width="3.5703125" style="138" customWidth="1"/>
    <col min="29" max="29" width="28.85546875" style="295" customWidth="1"/>
    <col min="30" max="49" width="3" style="138" customWidth="1"/>
    <col min="50" max="52" width="4" style="138" customWidth="1"/>
    <col min="53" max="53" width="7.5703125" style="138" customWidth="1"/>
    <col min="54" max="54" width="0.85546875" style="138" customWidth="1"/>
    <col min="55" max="55" width="0" style="138" hidden="1" customWidth="1"/>
    <col min="56" max="16384" width="9.140625" style="138" hidden="1"/>
  </cols>
  <sheetData>
    <row r="1" spans="1:54" ht="4.5" hidden="1" customHeight="1"/>
    <row r="2" spans="1:54" ht="21" customHeight="1">
      <c r="A2" s="582" t="s">
        <v>492</v>
      </c>
      <c r="B2" s="610" t="s">
        <v>284</v>
      </c>
      <c r="C2" s="611" t="s">
        <v>51</v>
      </c>
      <c r="D2" s="611"/>
      <c r="E2" s="611"/>
      <c r="F2" s="611"/>
      <c r="G2" s="611"/>
      <c r="H2" s="579" t="s">
        <v>285</v>
      </c>
      <c r="I2" s="579"/>
      <c r="J2" s="579"/>
      <c r="K2" s="579"/>
      <c r="L2" s="579"/>
      <c r="M2" s="579" t="s">
        <v>159</v>
      </c>
      <c r="N2" s="579"/>
      <c r="O2" s="579"/>
      <c r="P2" s="579"/>
      <c r="Q2" s="579"/>
      <c r="R2" s="579" t="s">
        <v>57</v>
      </c>
      <c r="S2" s="579"/>
      <c r="T2" s="579"/>
      <c r="U2" s="579"/>
      <c r="V2" s="579"/>
      <c r="AC2" s="578"/>
      <c r="AD2" s="578"/>
      <c r="AE2" s="578"/>
      <c r="AF2" s="578"/>
      <c r="AG2" s="578"/>
      <c r="AH2" s="578"/>
      <c r="AI2" s="578"/>
      <c r="AJ2" s="578"/>
      <c r="AK2" s="578"/>
      <c r="AL2" s="578"/>
      <c r="AM2" s="578"/>
      <c r="AN2" s="578"/>
      <c r="AO2" s="578"/>
      <c r="AP2" s="578"/>
      <c r="AQ2" s="578"/>
      <c r="AR2" s="578"/>
      <c r="AS2" s="578"/>
      <c r="AT2" s="578"/>
      <c r="AU2" s="578"/>
      <c r="AV2" s="578"/>
      <c r="AW2" s="578"/>
      <c r="AX2" s="578"/>
      <c r="AY2" s="578"/>
      <c r="AZ2" s="578"/>
      <c r="BA2" s="578"/>
    </row>
    <row r="3" spans="1:54" ht="18.75" customHeight="1">
      <c r="A3" s="582"/>
      <c r="B3" s="610"/>
      <c r="C3" s="579" t="s">
        <v>52</v>
      </c>
      <c r="D3" s="579"/>
      <c r="E3" s="579"/>
      <c r="F3" s="579"/>
      <c r="G3" s="579"/>
      <c r="H3" s="579" t="s">
        <v>53</v>
      </c>
      <c r="I3" s="579"/>
      <c r="J3" s="579"/>
      <c r="K3" s="579"/>
      <c r="L3" s="579"/>
      <c r="M3" s="579" t="s">
        <v>54</v>
      </c>
      <c r="N3" s="579"/>
      <c r="O3" s="579"/>
      <c r="P3" s="579"/>
      <c r="Q3" s="579"/>
      <c r="R3" s="580"/>
      <c r="S3" s="580"/>
      <c r="T3" s="580"/>
      <c r="U3" s="580"/>
      <c r="V3" s="580"/>
      <c r="AC3" s="578"/>
      <c r="AD3" s="578"/>
      <c r="AE3" s="578"/>
      <c r="AF3" s="578"/>
      <c r="AG3" s="578"/>
      <c r="AH3" s="578"/>
      <c r="AI3" s="578"/>
      <c r="AJ3" s="578"/>
      <c r="AK3" s="578"/>
      <c r="AL3" s="578"/>
      <c r="AM3" s="578"/>
      <c r="AN3" s="578"/>
      <c r="AO3" s="578"/>
      <c r="AP3" s="578"/>
      <c r="AQ3" s="578"/>
      <c r="AR3" s="578"/>
      <c r="AS3" s="578"/>
      <c r="AT3" s="578"/>
      <c r="AU3" s="578"/>
      <c r="AV3" s="578"/>
      <c r="AW3" s="578"/>
      <c r="AX3" s="578"/>
      <c r="AY3" s="578"/>
      <c r="AZ3" s="578"/>
      <c r="BA3" s="578"/>
    </row>
    <row r="4" spans="1:54" ht="3.75" customHeight="1"/>
    <row r="5" spans="1:54" ht="20.100000000000001" customHeight="1">
      <c r="A5" s="296" t="s">
        <v>286</v>
      </c>
      <c r="B5" s="581" t="s">
        <v>284</v>
      </c>
      <c r="C5" s="581"/>
      <c r="D5" s="581"/>
      <c r="E5" s="581"/>
      <c r="F5" s="581"/>
      <c r="G5" s="581"/>
      <c r="H5" s="581"/>
      <c r="I5" s="581"/>
      <c r="J5" s="581"/>
      <c r="K5" s="581"/>
      <c r="L5" s="581"/>
      <c r="M5" s="581"/>
      <c r="N5" s="581"/>
      <c r="O5" s="581"/>
      <c r="P5" s="581"/>
      <c r="Q5" s="581"/>
      <c r="R5" s="581"/>
      <c r="S5" s="581"/>
      <c r="T5" s="581"/>
      <c r="U5" s="581"/>
      <c r="V5" s="581"/>
      <c r="W5" s="581"/>
      <c r="X5" s="581"/>
      <c r="Y5" s="581"/>
      <c r="Z5" s="581"/>
      <c r="AA5" s="297"/>
      <c r="AB5" s="296" t="s">
        <v>286</v>
      </c>
      <c r="AC5" s="581" t="s">
        <v>284</v>
      </c>
      <c r="AD5" s="581"/>
      <c r="AE5" s="581"/>
      <c r="AF5" s="581"/>
      <c r="AG5" s="581"/>
      <c r="AH5" s="581"/>
      <c r="AI5" s="581"/>
      <c r="AJ5" s="581"/>
      <c r="AK5" s="581"/>
      <c r="AL5" s="581"/>
      <c r="AM5" s="581"/>
      <c r="AN5" s="581"/>
      <c r="AO5" s="581"/>
      <c r="AP5" s="581"/>
      <c r="AQ5" s="581"/>
      <c r="AR5" s="581"/>
      <c r="AS5" s="581"/>
      <c r="AT5" s="581"/>
      <c r="AU5" s="581"/>
      <c r="AV5" s="581"/>
      <c r="AW5" s="581"/>
      <c r="AX5" s="581"/>
      <c r="AY5" s="581"/>
      <c r="AZ5" s="581"/>
      <c r="BA5" s="581"/>
      <c r="BB5" s="297"/>
    </row>
    <row r="6" spans="1:54" ht="21.75" customHeight="1">
      <c r="A6" s="298"/>
      <c r="B6" s="612" t="s">
        <v>81</v>
      </c>
      <c r="C6" s="612"/>
      <c r="D6" s="612"/>
      <c r="E6" s="612"/>
      <c r="F6" s="612"/>
      <c r="G6" s="612"/>
      <c r="H6" s="612"/>
      <c r="I6" s="612"/>
      <c r="J6" s="612"/>
      <c r="K6" s="612"/>
      <c r="L6" s="612"/>
      <c r="M6" s="612"/>
      <c r="N6" s="612"/>
      <c r="O6" s="612"/>
      <c r="P6" s="612"/>
      <c r="Q6" s="612"/>
      <c r="R6" s="612"/>
      <c r="S6" s="612"/>
      <c r="T6" s="612"/>
      <c r="U6" s="612"/>
      <c r="V6" s="612"/>
      <c r="W6" s="612"/>
      <c r="X6" s="612"/>
      <c r="Y6" s="612"/>
      <c r="Z6" s="612"/>
      <c r="AA6" s="297"/>
      <c r="AB6" s="298"/>
      <c r="AC6" s="612" t="s">
        <v>81</v>
      </c>
      <c r="AD6" s="612"/>
      <c r="AE6" s="612"/>
      <c r="AF6" s="612"/>
      <c r="AG6" s="612"/>
      <c r="AH6" s="612"/>
      <c r="AI6" s="612"/>
      <c r="AJ6" s="612"/>
      <c r="AK6" s="612"/>
      <c r="AL6" s="612"/>
      <c r="AM6" s="612"/>
      <c r="AN6" s="612"/>
      <c r="AO6" s="612"/>
      <c r="AP6" s="612"/>
      <c r="AQ6" s="612"/>
      <c r="AR6" s="612"/>
      <c r="AS6" s="612"/>
      <c r="AT6" s="612"/>
      <c r="AU6" s="612"/>
      <c r="AV6" s="612"/>
      <c r="AW6" s="612"/>
      <c r="AX6" s="612"/>
      <c r="AY6" s="612"/>
      <c r="AZ6" s="612"/>
      <c r="BA6" s="612"/>
      <c r="BB6" s="297"/>
    </row>
    <row r="7" spans="1:54" s="295" customFormat="1" ht="20.25" customHeight="1">
      <c r="A7" s="298"/>
      <c r="B7" s="299" t="str">
        <f>CONCATENATE("ધોરણ - ",SCHOOL!$D$3)</f>
        <v>ધોરણ - 1</v>
      </c>
      <c r="C7" s="577" t="s">
        <v>287</v>
      </c>
      <c r="D7" s="577"/>
      <c r="E7" s="577"/>
      <c r="F7" s="577"/>
      <c r="G7" s="577"/>
      <c r="H7" s="577"/>
      <c r="I7" s="577"/>
      <c r="J7" s="577"/>
      <c r="K7" s="577" t="s">
        <v>288</v>
      </c>
      <c r="L7" s="577"/>
      <c r="M7" s="577"/>
      <c r="N7" s="577"/>
      <c r="O7" s="577"/>
      <c r="P7" s="577"/>
      <c r="Q7" s="577"/>
      <c r="R7" s="577" t="s">
        <v>289</v>
      </c>
      <c r="S7" s="577"/>
      <c r="T7" s="577"/>
      <c r="U7" s="577"/>
      <c r="V7" s="577"/>
      <c r="W7" s="577"/>
      <c r="X7" s="577"/>
      <c r="Y7" s="577">
        <f>COUNTA(C10:V10)</f>
        <v>14</v>
      </c>
      <c r="Z7" s="577"/>
      <c r="AA7" s="300"/>
      <c r="AB7" s="298"/>
      <c r="AC7" s="299" t="str">
        <f>CONCATENATE("ધોરણ - ",SCHOOL!$D$3)</f>
        <v>ધોરણ - 1</v>
      </c>
      <c r="AD7" s="577" t="str">
        <f>C7</f>
        <v xml:space="preserve"> વિષય-ગુજરાતી  </v>
      </c>
      <c r="AE7" s="577"/>
      <c r="AF7" s="577"/>
      <c r="AG7" s="577"/>
      <c r="AH7" s="577"/>
      <c r="AI7" s="577"/>
      <c r="AJ7" s="577"/>
      <c r="AK7" s="577"/>
      <c r="AL7" s="577" t="s">
        <v>290</v>
      </c>
      <c r="AM7" s="577"/>
      <c r="AN7" s="577"/>
      <c r="AO7" s="577"/>
      <c r="AP7" s="577"/>
      <c r="AQ7" s="577"/>
      <c r="AR7" s="577"/>
      <c r="AS7" s="577" t="s">
        <v>289</v>
      </c>
      <c r="AT7" s="577"/>
      <c r="AU7" s="577"/>
      <c r="AV7" s="577"/>
      <c r="AW7" s="577"/>
      <c r="AX7" s="577"/>
      <c r="AY7" s="577"/>
      <c r="AZ7" s="577">
        <f>COUNTA(AD10:AW10)</f>
        <v>15</v>
      </c>
      <c r="BA7" s="577"/>
      <c r="BB7" s="300"/>
    </row>
    <row r="8" spans="1:54" ht="18.75" customHeight="1">
      <c r="A8" s="609" t="s">
        <v>291</v>
      </c>
      <c r="B8" s="595" t="s">
        <v>82</v>
      </c>
      <c r="C8" s="596" t="s">
        <v>292</v>
      </c>
      <c r="D8" s="597"/>
      <c r="E8" s="597"/>
      <c r="F8" s="597"/>
      <c r="G8" s="597"/>
      <c r="H8" s="597"/>
      <c r="I8" s="597"/>
      <c r="J8" s="597"/>
      <c r="K8" s="597"/>
      <c r="L8" s="597"/>
      <c r="M8" s="597"/>
      <c r="N8" s="597"/>
      <c r="O8" s="597"/>
      <c r="P8" s="597"/>
      <c r="Q8" s="597"/>
      <c r="R8" s="597"/>
      <c r="S8" s="597"/>
      <c r="T8" s="597"/>
      <c r="U8" s="597"/>
      <c r="V8" s="598"/>
      <c r="W8" s="599" t="s">
        <v>293</v>
      </c>
      <c r="X8" s="600"/>
      <c r="Y8" s="601"/>
      <c r="Z8" s="605" t="s">
        <v>294</v>
      </c>
      <c r="AA8" s="301"/>
      <c r="AB8" s="609" t="s">
        <v>291</v>
      </c>
      <c r="AC8" s="595" t="s">
        <v>82</v>
      </c>
      <c r="AD8" s="596" t="s">
        <v>292</v>
      </c>
      <c r="AE8" s="597"/>
      <c r="AF8" s="597"/>
      <c r="AG8" s="597"/>
      <c r="AH8" s="597"/>
      <c r="AI8" s="597"/>
      <c r="AJ8" s="597"/>
      <c r="AK8" s="597"/>
      <c r="AL8" s="597"/>
      <c r="AM8" s="597"/>
      <c r="AN8" s="597"/>
      <c r="AO8" s="597"/>
      <c r="AP8" s="597"/>
      <c r="AQ8" s="597"/>
      <c r="AR8" s="597"/>
      <c r="AS8" s="597"/>
      <c r="AT8" s="597"/>
      <c r="AU8" s="597"/>
      <c r="AV8" s="597"/>
      <c r="AW8" s="598"/>
      <c r="AX8" s="599" t="s">
        <v>293</v>
      </c>
      <c r="AY8" s="600"/>
      <c r="AZ8" s="601"/>
      <c r="BA8" s="605" t="s">
        <v>294</v>
      </c>
      <c r="BB8" s="301"/>
    </row>
    <row r="9" spans="1:54" ht="15" customHeight="1">
      <c r="A9" s="609"/>
      <c r="B9" s="595"/>
      <c r="C9" s="302">
        <v>1</v>
      </c>
      <c r="D9" s="303">
        <v>2</v>
      </c>
      <c r="E9" s="303">
        <v>3</v>
      </c>
      <c r="F9" s="303">
        <v>4</v>
      </c>
      <c r="G9" s="303">
        <v>5</v>
      </c>
      <c r="H9" s="303">
        <v>6</v>
      </c>
      <c r="I9" s="303">
        <v>7</v>
      </c>
      <c r="J9" s="303">
        <v>8</v>
      </c>
      <c r="K9" s="303">
        <v>9</v>
      </c>
      <c r="L9" s="303">
        <v>10</v>
      </c>
      <c r="M9" s="303">
        <v>11</v>
      </c>
      <c r="N9" s="303">
        <v>12</v>
      </c>
      <c r="O9" s="303">
        <v>13</v>
      </c>
      <c r="P9" s="303">
        <v>14</v>
      </c>
      <c r="Q9" s="303">
        <v>15</v>
      </c>
      <c r="R9" s="303">
        <v>16</v>
      </c>
      <c r="S9" s="303">
        <v>17</v>
      </c>
      <c r="T9" s="303">
        <v>18</v>
      </c>
      <c r="U9" s="303">
        <v>19</v>
      </c>
      <c r="V9" s="304">
        <v>20</v>
      </c>
      <c r="W9" s="602"/>
      <c r="X9" s="603"/>
      <c r="Y9" s="604"/>
      <c r="Z9" s="606"/>
      <c r="AA9" s="301"/>
      <c r="AB9" s="609"/>
      <c r="AC9" s="595"/>
      <c r="AD9" s="302">
        <v>1</v>
      </c>
      <c r="AE9" s="303">
        <v>2</v>
      </c>
      <c r="AF9" s="303">
        <v>3</v>
      </c>
      <c r="AG9" s="303">
        <v>4</v>
      </c>
      <c r="AH9" s="303">
        <v>5</v>
      </c>
      <c r="AI9" s="303">
        <v>6</v>
      </c>
      <c r="AJ9" s="303">
        <v>7</v>
      </c>
      <c r="AK9" s="303">
        <v>8</v>
      </c>
      <c r="AL9" s="303">
        <v>9</v>
      </c>
      <c r="AM9" s="303">
        <v>10</v>
      </c>
      <c r="AN9" s="303">
        <v>11</v>
      </c>
      <c r="AO9" s="303">
        <v>12</v>
      </c>
      <c r="AP9" s="303">
        <v>13</v>
      </c>
      <c r="AQ9" s="303">
        <v>14</v>
      </c>
      <c r="AR9" s="303">
        <v>15</v>
      </c>
      <c r="AS9" s="303">
        <v>16</v>
      </c>
      <c r="AT9" s="303">
        <v>17</v>
      </c>
      <c r="AU9" s="303">
        <v>18</v>
      </c>
      <c r="AV9" s="303">
        <v>19</v>
      </c>
      <c r="AW9" s="304">
        <v>20</v>
      </c>
      <c r="AX9" s="602"/>
      <c r="AY9" s="603"/>
      <c r="AZ9" s="604"/>
      <c r="BA9" s="606"/>
      <c r="BB9" s="301"/>
    </row>
    <row r="10" spans="1:54" ht="45" customHeight="1">
      <c r="A10" s="609"/>
      <c r="B10" s="595"/>
      <c r="C10" s="305" t="s">
        <v>295</v>
      </c>
      <c r="D10" s="306" t="s">
        <v>296</v>
      </c>
      <c r="E10" s="306" t="s">
        <v>297</v>
      </c>
      <c r="F10" s="306" t="s">
        <v>298</v>
      </c>
      <c r="G10" s="306" t="s">
        <v>299</v>
      </c>
      <c r="H10" s="306" t="s">
        <v>300</v>
      </c>
      <c r="I10" s="306" t="s">
        <v>301</v>
      </c>
      <c r="J10" s="306" t="s">
        <v>302</v>
      </c>
      <c r="K10" s="306" t="s">
        <v>303</v>
      </c>
      <c r="L10" s="306" t="s">
        <v>304</v>
      </c>
      <c r="M10" s="306" t="s">
        <v>305</v>
      </c>
      <c r="N10" s="306" t="s">
        <v>306</v>
      </c>
      <c r="O10" s="306" t="s">
        <v>307</v>
      </c>
      <c r="P10" s="306" t="s">
        <v>308</v>
      </c>
      <c r="Q10" s="306"/>
      <c r="R10" s="306"/>
      <c r="S10" s="306"/>
      <c r="T10" s="306"/>
      <c r="U10" s="306"/>
      <c r="V10" s="307"/>
      <c r="W10" s="308" t="s">
        <v>310</v>
      </c>
      <c r="X10" s="309" t="s">
        <v>311</v>
      </c>
      <c r="Y10" s="310" t="s">
        <v>312</v>
      </c>
      <c r="Z10" s="607"/>
      <c r="AA10" s="301"/>
      <c r="AB10" s="609"/>
      <c r="AC10" s="595"/>
      <c r="AD10" s="305" t="s">
        <v>295</v>
      </c>
      <c r="AE10" s="306" t="s">
        <v>296</v>
      </c>
      <c r="AF10" s="306" t="s">
        <v>297</v>
      </c>
      <c r="AG10" s="306" t="s">
        <v>298</v>
      </c>
      <c r="AH10" s="306" t="s">
        <v>299</v>
      </c>
      <c r="AI10" s="306" t="s">
        <v>300</v>
      </c>
      <c r="AJ10" s="306" t="s">
        <v>301</v>
      </c>
      <c r="AK10" s="306" t="s">
        <v>302</v>
      </c>
      <c r="AL10" s="306" t="s">
        <v>303</v>
      </c>
      <c r="AM10" s="306" t="s">
        <v>304</v>
      </c>
      <c r="AN10" s="306" t="s">
        <v>305</v>
      </c>
      <c r="AO10" s="306" t="s">
        <v>306</v>
      </c>
      <c r="AP10" s="306" t="s">
        <v>307</v>
      </c>
      <c r="AQ10" s="306" t="s">
        <v>308</v>
      </c>
      <c r="AR10" s="306" t="s">
        <v>309</v>
      </c>
      <c r="AS10" s="306"/>
      <c r="AT10" s="306"/>
      <c r="AU10" s="306"/>
      <c r="AV10" s="306"/>
      <c r="AW10" s="307"/>
      <c r="AX10" s="308" t="s">
        <v>310</v>
      </c>
      <c r="AY10" s="309" t="s">
        <v>311</v>
      </c>
      <c r="AZ10" s="310" t="s">
        <v>312</v>
      </c>
      <c r="BA10" s="607"/>
      <c r="BB10" s="301"/>
    </row>
    <row r="11" spans="1:54" ht="9" customHeight="1">
      <c r="A11" s="583">
        <v>1</v>
      </c>
      <c r="B11" s="584" t="str">
        <f>STUDENTS!B4</f>
        <v>ગોહેલ રાજેશભાઇ ચીથરભાઇ</v>
      </c>
      <c r="C11" s="311" t="s">
        <v>312</v>
      </c>
      <c r="D11" s="312" t="s">
        <v>312</v>
      </c>
      <c r="E11" s="312" t="s">
        <v>312</v>
      </c>
      <c r="F11" s="312"/>
      <c r="G11" s="312" t="s">
        <v>312</v>
      </c>
      <c r="H11" s="312"/>
      <c r="I11" s="312"/>
      <c r="J11" s="312"/>
      <c r="K11" s="312"/>
      <c r="L11" s="312"/>
      <c r="M11" s="312"/>
      <c r="N11" s="312"/>
      <c r="O11" s="312"/>
      <c r="P11" s="312"/>
      <c r="Q11" s="312"/>
      <c r="R11" s="312"/>
      <c r="S11" s="312"/>
      <c r="T11" s="312"/>
      <c r="U11" s="312"/>
      <c r="V11" s="313"/>
      <c r="W11" s="587">
        <f>'A-CALC'!V2</f>
        <v>1</v>
      </c>
      <c r="X11" s="590">
        <f>'A-CALC'!W2</f>
        <v>1</v>
      </c>
      <c r="Y11" s="590">
        <f>'A-CALC'!X2</f>
        <v>2</v>
      </c>
      <c r="Z11" s="593">
        <f>ROUND((40/$Y$7)*W11,0)</f>
        <v>3</v>
      </c>
      <c r="AA11" s="301"/>
      <c r="AB11" s="583">
        <v>1</v>
      </c>
      <c r="AC11" s="584" t="str">
        <f>B11</f>
        <v>ગોહેલ રાજેશભાઇ ચીથરભાઇ</v>
      </c>
      <c r="AD11" s="311" t="s">
        <v>312</v>
      </c>
      <c r="AE11" s="312" t="s">
        <v>312</v>
      </c>
      <c r="AF11" s="312"/>
      <c r="AG11" s="312"/>
      <c r="AH11" s="312"/>
      <c r="AI11" s="312"/>
      <c r="AJ11" s="312"/>
      <c r="AK11" s="312"/>
      <c r="AL11" s="312"/>
      <c r="AM11" s="312"/>
      <c r="AN11" s="312"/>
      <c r="AO11" s="312"/>
      <c r="AP11" s="312"/>
      <c r="AQ11" s="312"/>
      <c r="AR11" s="312"/>
      <c r="AS11" s="312"/>
      <c r="AT11" s="312"/>
      <c r="AU11" s="312"/>
      <c r="AV11" s="312"/>
      <c r="AW11" s="313"/>
      <c r="AX11" s="587">
        <f>'A-CALC'!AU2</f>
        <v>1</v>
      </c>
      <c r="AY11" s="590">
        <f>'A-CALC'!AV2</f>
        <v>1</v>
      </c>
      <c r="AZ11" s="590">
        <f>'A-CALC'!AW2</f>
        <v>1</v>
      </c>
      <c r="BA11" s="593">
        <f>ROUND((40/$Y$7)*AX11,0)</f>
        <v>3</v>
      </c>
      <c r="BB11" s="301"/>
    </row>
    <row r="12" spans="1:54" ht="9" customHeight="1">
      <c r="A12" s="583"/>
      <c r="B12" s="585"/>
      <c r="C12" s="314"/>
      <c r="D12" s="315" t="s">
        <v>311</v>
      </c>
      <c r="E12" s="315" t="s">
        <v>311</v>
      </c>
      <c r="F12" s="315"/>
      <c r="G12" s="315"/>
      <c r="H12" s="315"/>
      <c r="I12" s="315"/>
      <c r="J12" s="315"/>
      <c r="K12" s="315"/>
      <c r="L12" s="315"/>
      <c r="M12" s="315"/>
      <c r="N12" s="315"/>
      <c r="O12" s="315"/>
      <c r="P12" s="315"/>
      <c r="Q12" s="315"/>
      <c r="R12" s="315"/>
      <c r="S12" s="315"/>
      <c r="T12" s="315"/>
      <c r="U12" s="315"/>
      <c r="V12" s="316"/>
      <c r="W12" s="588"/>
      <c r="X12" s="591"/>
      <c r="Y12" s="591"/>
      <c r="Z12" s="594"/>
      <c r="AA12" s="301"/>
      <c r="AB12" s="583"/>
      <c r="AC12" s="585"/>
      <c r="AD12" s="314" t="s">
        <v>311</v>
      </c>
      <c r="AE12" s="315"/>
      <c r="AF12" s="315"/>
      <c r="AG12" s="315"/>
      <c r="AH12" s="315"/>
      <c r="AI12" s="315"/>
      <c r="AJ12" s="315"/>
      <c r="AK12" s="315"/>
      <c r="AL12" s="315"/>
      <c r="AM12" s="315"/>
      <c r="AN12" s="315"/>
      <c r="AO12" s="315"/>
      <c r="AP12" s="315"/>
      <c r="AQ12" s="315"/>
      <c r="AR12" s="315"/>
      <c r="AS12" s="315"/>
      <c r="AT12" s="315"/>
      <c r="AU12" s="315"/>
      <c r="AV12" s="315"/>
      <c r="AW12" s="316"/>
      <c r="AX12" s="588"/>
      <c r="AY12" s="591"/>
      <c r="AZ12" s="591"/>
      <c r="BA12" s="594"/>
      <c r="BB12" s="301"/>
    </row>
    <row r="13" spans="1:54" ht="9" customHeight="1">
      <c r="A13" s="583"/>
      <c r="B13" s="586"/>
      <c r="C13" s="317"/>
      <c r="D13" s="318"/>
      <c r="E13" s="318" t="s">
        <v>310</v>
      </c>
      <c r="F13" s="318"/>
      <c r="G13" s="318"/>
      <c r="H13" s="318"/>
      <c r="I13" s="318"/>
      <c r="J13" s="318"/>
      <c r="K13" s="318"/>
      <c r="L13" s="318"/>
      <c r="M13" s="318"/>
      <c r="N13" s="318"/>
      <c r="O13" s="318"/>
      <c r="P13" s="318"/>
      <c r="Q13" s="318"/>
      <c r="R13" s="318"/>
      <c r="S13" s="318"/>
      <c r="T13" s="318"/>
      <c r="U13" s="318"/>
      <c r="V13" s="319"/>
      <c r="W13" s="589"/>
      <c r="X13" s="592"/>
      <c r="Y13" s="592"/>
      <c r="Z13" s="608"/>
      <c r="AA13" s="301"/>
      <c r="AB13" s="583"/>
      <c r="AC13" s="586"/>
      <c r="AD13" s="317"/>
      <c r="AE13" s="318"/>
      <c r="AF13" s="318"/>
      <c r="AG13" s="318" t="s">
        <v>310</v>
      </c>
      <c r="AH13" s="318"/>
      <c r="AI13" s="318"/>
      <c r="AJ13" s="318"/>
      <c r="AK13" s="318"/>
      <c r="AL13" s="318"/>
      <c r="AM13" s="318"/>
      <c r="AN13" s="318"/>
      <c r="AO13" s="318"/>
      <c r="AP13" s="318"/>
      <c r="AQ13" s="318"/>
      <c r="AR13" s="318"/>
      <c r="AS13" s="318"/>
      <c r="AT13" s="318"/>
      <c r="AU13" s="318"/>
      <c r="AV13" s="318"/>
      <c r="AW13" s="319"/>
      <c r="AX13" s="589"/>
      <c r="AY13" s="592"/>
      <c r="AZ13" s="592"/>
      <c r="BA13" s="594"/>
      <c r="BB13" s="301"/>
    </row>
    <row r="14" spans="1:54" ht="9" customHeight="1">
      <c r="A14" s="583">
        <v>2</v>
      </c>
      <c r="B14" s="584" t="str">
        <f>STUDENTS!B16</f>
        <v>ખિમસુરીયા સાહિલકુમાર અરજણભાઇ</v>
      </c>
      <c r="C14" s="311" t="s">
        <v>312</v>
      </c>
      <c r="D14" s="312" t="s">
        <v>312</v>
      </c>
      <c r="E14" s="312"/>
      <c r="F14" s="312" t="s">
        <v>312</v>
      </c>
      <c r="G14" s="312"/>
      <c r="H14" s="312"/>
      <c r="I14" s="312"/>
      <c r="J14" s="312"/>
      <c r="K14" s="312"/>
      <c r="L14" s="312"/>
      <c r="M14" s="312"/>
      <c r="N14" s="312"/>
      <c r="O14" s="312"/>
      <c r="P14" s="312"/>
      <c r="Q14" s="312"/>
      <c r="R14" s="312"/>
      <c r="S14" s="312"/>
      <c r="T14" s="312"/>
      <c r="U14" s="312"/>
      <c r="V14" s="313"/>
      <c r="W14" s="587">
        <f>'A-CALC'!V5</f>
        <v>2</v>
      </c>
      <c r="X14" s="590">
        <f>'A-CALC'!W5</f>
        <v>2</v>
      </c>
      <c r="Y14" s="590">
        <f>'A-CALC'!X5</f>
        <v>1</v>
      </c>
      <c r="Z14" s="593">
        <f t="shared" ref="Z14" si="0">ROUND((40/$Y$7)*W14,0)</f>
        <v>6</v>
      </c>
      <c r="AA14" s="301"/>
      <c r="AB14" s="583">
        <v>2</v>
      </c>
      <c r="AC14" s="584" t="str">
        <f t="shared" ref="AC14" si="1">B14</f>
        <v>ખિમસુરીયા સાહિલકુમાર અરજણભાઇ</v>
      </c>
      <c r="AD14" s="311"/>
      <c r="AE14" s="312"/>
      <c r="AF14" s="312"/>
      <c r="AG14" s="312"/>
      <c r="AH14" s="312" t="s">
        <v>312</v>
      </c>
      <c r="AI14" s="312"/>
      <c r="AJ14" s="312"/>
      <c r="AK14" s="312"/>
      <c r="AL14" s="312"/>
      <c r="AM14" s="312"/>
      <c r="AN14" s="312"/>
      <c r="AO14" s="312"/>
      <c r="AP14" s="312"/>
      <c r="AQ14" s="312"/>
      <c r="AR14" s="312"/>
      <c r="AS14" s="312"/>
      <c r="AT14" s="312"/>
      <c r="AU14" s="312"/>
      <c r="AV14" s="312"/>
      <c r="AW14" s="313"/>
      <c r="AX14" s="587">
        <f>'A-CALC'!AU5</f>
        <v>2</v>
      </c>
      <c r="AY14" s="590">
        <f>'A-CALC'!AV5</f>
        <v>0</v>
      </c>
      <c r="AZ14" s="590">
        <f>'A-CALC'!AW5</f>
        <v>0</v>
      </c>
      <c r="BA14" s="593">
        <f t="shared" ref="BA14" si="2">ROUND((40/$Y$7)*AX14,0)</f>
        <v>6</v>
      </c>
      <c r="BB14" s="301"/>
    </row>
    <row r="15" spans="1:54" ht="9" customHeight="1">
      <c r="A15" s="583"/>
      <c r="B15" s="585"/>
      <c r="C15" s="314"/>
      <c r="D15" s="315"/>
      <c r="E15" s="315" t="s">
        <v>311</v>
      </c>
      <c r="F15" s="315" t="s">
        <v>311</v>
      </c>
      <c r="G15" s="315"/>
      <c r="H15" s="315"/>
      <c r="I15" s="315"/>
      <c r="J15" s="315" t="s">
        <v>311</v>
      </c>
      <c r="K15" s="315"/>
      <c r="L15" s="315"/>
      <c r="M15" s="315"/>
      <c r="N15" s="315"/>
      <c r="O15" s="315"/>
      <c r="P15" s="315"/>
      <c r="Q15" s="315"/>
      <c r="R15" s="315"/>
      <c r="S15" s="315"/>
      <c r="T15" s="315"/>
      <c r="U15" s="315"/>
      <c r="V15" s="316"/>
      <c r="W15" s="588"/>
      <c r="X15" s="591"/>
      <c r="Y15" s="591"/>
      <c r="Z15" s="594"/>
      <c r="AA15" s="301"/>
      <c r="AB15" s="583"/>
      <c r="AC15" s="585"/>
      <c r="AD15" s="314"/>
      <c r="AE15" s="315"/>
      <c r="AF15" s="315"/>
      <c r="AG15" s="315"/>
      <c r="AH15" s="315" t="s">
        <v>311</v>
      </c>
      <c r="AI15" s="315"/>
      <c r="AJ15" s="315" t="s">
        <v>311</v>
      </c>
      <c r="AK15" s="315"/>
      <c r="AL15" s="315"/>
      <c r="AM15" s="315"/>
      <c r="AN15" s="315"/>
      <c r="AO15" s="315"/>
      <c r="AP15" s="315"/>
      <c r="AQ15" s="315"/>
      <c r="AR15" s="315"/>
      <c r="AS15" s="315"/>
      <c r="AT15" s="315"/>
      <c r="AU15" s="315"/>
      <c r="AV15" s="315"/>
      <c r="AW15" s="316"/>
      <c r="AX15" s="588"/>
      <c r="AY15" s="591"/>
      <c r="AZ15" s="591"/>
      <c r="BA15" s="594"/>
      <c r="BB15" s="301"/>
    </row>
    <row r="16" spans="1:54" ht="9" customHeight="1">
      <c r="A16" s="583"/>
      <c r="B16" s="586"/>
      <c r="C16" s="317"/>
      <c r="D16" s="318" t="s">
        <v>310</v>
      </c>
      <c r="E16" s="318"/>
      <c r="F16" s="318" t="s">
        <v>310</v>
      </c>
      <c r="G16" s="318"/>
      <c r="H16" s="318"/>
      <c r="I16" s="318"/>
      <c r="J16" s="318"/>
      <c r="K16" s="318"/>
      <c r="L16" s="318"/>
      <c r="M16" s="318"/>
      <c r="N16" s="318"/>
      <c r="O16" s="318"/>
      <c r="P16" s="318"/>
      <c r="Q16" s="318"/>
      <c r="R16" s="318"/>
      <c r="S16" s="318"/>
      <c r="T16" s="318"/>
      <c r="U16" s="318"/>
      <c r="V16" s="319"/>
      <c r="W16" s="589"/>
      <c r="X16" s="592"/>
      <c r="Y16" s="592"/>
      <c r="Z16" s="608"/>
      <c r="AA16" s="301"/>
      <c r="AB16" s="583"/>
      <c r="AC16" s="586"/>
      <c r="AD16" s="317"/>
      <c r="AE16" s="318"/>
      <c r="AF16" s="318"/>
      <c r="AG16" s="318"/>
      <c r="AH16" s="318" t="s">
        <v>310</v>
      </c>
      <c r="AI16" s="318"/>
      <c r="AJ16" s="318" t="s">
        <v>310</v>
      </c>
      <c r="AK16" s="318"/>
      <c r="AL16" s="318"/>
      <c r="AM16" s="318"/>
      <c r="AN16" s="318"/>
      <c r="AO16" s="318"/>
      <c r="AP16" s="318"/>
      <c r="AQ16" s="318"/>
      <c r="AR16" s="318"/>
      <c r="AS16" s="318"/>
      <c r="AT16" s="318"/>
      <c r="AU16" s="318"/>
      <c r="AV16" s="318"/>
      <c r="AW16" s="319"/>
      <c r="AX16" s="589"/>
      <c r="AY16" s="592"/>
      <c r="AZ16" s="592"/>
      <c r="BA16" s="594"/>
      <c r="BB16" s="301"/>
    </row>
    <row r="17" spans="1:54" ht="9" customHeight="1">
      <c r="A17" s="583">
        <v>3</v>
      </c>
      <c r="B17" s="584" t="str">
        <f>STUDENTS!B28</f>
        <v>ગરણિયા મયુરકુમાર અશોકભાઇ</v>
      </c>
      <c r="C17" s="311" t="s">
        <v>312</v>
      </c>
      <c r="D17" s="312"/>
      <c r="E17" s="312"/>
      <c r="F17" s="312"/>
      <c r="G17" s="312"/>
      <c r="H17" s="312"/>
      <c r="I17" s="312"/>
      <c r="J17" s="312"/>
      <c r="K17" s="312"/>
      <c r="L17" s="312"/>
      <c r="M17" s="312"/>
      <c r="N17" s="312"/>
      <c r="O17" s="312"/>
      <c r="P17" s="312"/>
      <c r="Q17" s="312"/>
      <c r="R17" s="312"/>
      <c r="S17" s="312"/>
      <c r="T17" s="312"/>
      <c r="U17" s="312"/>
      <c r="V17" s="313"/>
      <c r="W17" s="587">
        <f>'A-CALC'!V8</f>
        <v>0</v>
      </c>
      <c r="X17" s="590">
        <f>'A-CALC'!W8</f>
        <v>0</v>
      </c>
      <c r="Y17" s="590">
        <f>'A-CALC'!X8</f>
        <v>1</v>
      </c>
      <c r="Z17" s="593">
        <f t="shared" ref="Z17" si="3">ROUND((40/$Y$7)*W17,0)</f>
        <v>0</v>
      </c>
      <c r="AA17" s="301"/>
      <c r="AB17" s="583">
        <v>3</v>
      </c>
      <c r="AC17" s="584" t="str">
        <f t="shared" ref="AC17" si="4">B17</f>
        <v>ગરણિયા મયુરકુમાર અશોકભાઇ</v>
      </c>
      <c r="AD17" s="311"/>
      <c r="AE17" s="312"/>
      <c r="AF17" s="312"/>
      <c r="AG17" s="312"/>
      <c r="AH17" s="312"/>
      <c r="AI17" s="312"/>
      <c r="AJ17" s="312"/>
      <c r="AK17" s="312"/>
      <c r="AL17" s="312"/>
      <c r="AM17" s="312"/>
      <c r="AN17" s="312"/>
      <c r="AO17" s="312"/>
      <c r="AP17" s="312"/>
      <c r="AQ17" s="312"/>
      <c r="AR17" s="312"/>
      <c r="AS17" s="312"/>
      <c r="AT17" s="312"/>
      <c r="AU17" s="312"/>
      <c r="AV17" s="312"/>
      <c r="AW17" s="313"/>
      <c r="AX17" s="587">
        <f>'A-CALC'!AU8</f>
        <v>1</v>
      </c>
      <c r="AY17" s="590">
        <f>'A-CALC'!AV8</f>
        <v>2</v>
      </c>
      <c r="AZ17" s="590">
        <f>'A-CALC'!AW8</f>
        <v>0</v>
      </c>
      <c r="BA17" s="593">
        <f t="shared" ref="BA17" si="5">ROUND((40/$Y$7)*AX17,0)</f>
        <v>3</v>
      </c>
      <c r="BB17" s="301"/>
    </row>
    <row r="18" spans="1:54" ht="9" customHeight="1">
      <c r="A18" s="583"/>
      <c r="B18" s="585"/>
      <c r="C18" s="314"/>
      <c r="D18" s="315"/>
      <c r="E18" s="315"/>
      <c r="F18" s="315"/>
      <c r="G18" s="315"/>
      <c r="H18" s="315"/>
      <c r="I18" s="315"/>
      <c r="J18" s="315"/>
      <c r="K18" s="315"/>
      <c r="L18" s="315"/>
      <c r="M18" s="315"/>
      <c r="N18" s="315"/>
      <c r="O18" s="315"/>
      <c r="P18" s="315"/>
      <c r="Q18" s="315"/>
      <c r="R18" s="315"/>
      <c r="S18" s="315"/>
      <c r="T18" s="315"/>
      <c r="U18" s="315"/>
      <c r="V18" s="316"/>
      <c r="W18" s="588"/>
      <c r="X18" s="591"/>
      <c r="Y18" s="591"/>
      <c r="Z18" s="594"/>
      <c r="AA18" s="301"/>
      <c r="AB18" s="583"/>
      <c r="AC18" s="585"/>
      <c r="AD18" s="314"/>
      <c r="AE18" s="315"/>
      <c r="AF18" s="315" t="s">
        <v>311</v>
      </c>
      <c r="AG18" s="315"/>
      <c r="AH18" s="315"/>
      <c r="AI18" s="315" t="s">
        <v>311</v>
      </c>
      <c r="AJ18" s="315"/>
      <c r="AK18" s="315"/>
      <c r="AL18" s="315"/>
      <c r="AM18" s="315"/>
      <c r="AN18" s="315"/>
      <c r="AO18" s="315"/>
      <c r="AP18" s="315"/>
      <c r="AQ18" s="315"/>
      <c r="AR18" s="315"/>
      <c r="AS18" s="315"/>
      <c r="AT18" s="315"/>
      <c r="AU18" s="315"/>
      <c r="AV18" s="315"/>
      <c r="AW18" s="316"/>
      <c r="AX18" s="588"/>
      <c r="AY18" s="591"/>
      <c r="AZ18" s="591"/>
      <c r="BA18" s="594"/>
      <c r="BB18" s="301"/>
    </row>
    <row r="19" spans="1:54" ht="9" customHeight="1">
      <c r="A19" s="583"/>
      <c r="B19" s="586"/>
      <c r="C19" s="317"/>
      <c r="D19" s="318"/>
      <c r="E19" s="318"/>
      <c r="F19" s="318"/>
      <c r="G19" s="318"/>
      <c r="H19" s="318"/>
      <c r="I19" s="318"/>
      <c r="J19" s="318"/>
      <c r="K19" s="318"/>
      <c r="L19" s="318"/>
      <c r="M19" s="318"/>
      <c r="N19" s="318"/>
      <c r="O19" s="318"/>
      <c r="P19" s="318"/>
      <c r="Q19" s="318"/>
      <c r="R19" s="318"/>
      <c r="S19" s="318"/>
      <c r="T19" s="318"/>
      <c r="U19" s="318"/>
      <c r="V19" s="319"/>
      <c r="W19" s="589"/>
      <c r="X19" s="592"/>
      <c r="Y19" s="592"/>
      <c r="Z19" s="608"/>
      <c r="AA19" s="301"/>
      <c r="AB19" s="583"/>
      <c r="AC19" s="586"/>
      <c r="AD19" s="317"/>
      <c r="AE19" s="318"/>
      <c r="AF19" s="318"/>
      <c r="AG19" s="318" t="s">
        <v>310</v>
      </c>
      <c r="AH19" s="318"/>
      <c r="AI19" s="318"/>
      <c r="AJ19" s="318"/>
      <c r="AK19" s="318"/>
      <c r="AL19" s="318"/>
      <c r="AM19" s="318"/>
      <c r="AN19" s="318"/>
      <c r="AO19" s="318"/>
      <c r="AP19" s="318"/>
      <c r="AQ19" s="318"/>
      <c r="AR19" s="318"/>
      <c r="AS19" s="318"/>
      <c r="AT19" s="318"/>
      <c r="AU19" s="318"/>
      <c r="AV19" s="318"/>
      <c r="AW19" s="319"/>
      <c r="AX19" s="589"/>
      <c r="AY19" s="592"/>
      <c r="AZ19" s="592"/>
      <c r="BA19" s="594"/>
      <c r="BB19" s="301"/>
    </row>
    <row r="20" spans="1:54" ht="9" customHeight="1">
      <c r="A20" s="583">
        <v>4</v>
      </c>
      <c r="B20" s="584" t="str">
        <f>STUDENTS!B40</f>
        <v>ગરણિયા અલ્પેશકુમાર મેરામભાઇ</v>
      </c>
      <c r="C20" s="311"/>
      <c r="D20" s="312"/>
      <c r="E20" s="312"/>
      <c r="F20" s="312"/>
      <c r="G20" s="312"/>
      <c r="H20" s="312"/>
      <c r="I20" s="312"/>
      <c r="J20" s="312"/>
      <c r="K20" s="312"/>
      <c r="L20" s="312"/>
      <c r="M20" s="312"/>
      <c r="N20" s="312"/>
      <c r="O20" s="312"/>
      <c r="P20" s="312"/>
      <c r="Q20" s="312"/>
      <c r="R20" s="312"/>
      <c r="S20" s="312"/>
      <c r="T20" s="312"/>
      <c r="U20" s="312"/>
      <c r="V20" s="313"/>
      <c r="W20" s="587">
        <f>'A-CALC'!V11</f>
        <v>0</v>
      </c>
      <c r="X20" s="590">
        <f>'A-CALC'!W11</f>
        <v>0</v>
      </c>
      <c r="Y20" s="590">
        <f>'A-CALC'!X11</f>
        <v>0</v>
      </c>
      <c r="Z20" s="593">
        <f t="shared" ref="Z20" si="6">ROUND((40/$Y$7)*W20,0)</f>
        <v>0</v>
      </c>
      <c r="AA20" s="301"/>
      <c r="AB20" s="583">
        <v>4</v>
      </c>
      <c r="AC20" s="584" t="str">
        <f t="shared" ref="AC20" si="7">B20</f>
        <v>ગરણિયા અલ્પેશકુમાર મેરામભાઇ</v>
      </c>
      <c r="AD20" s="311"/>
      <c r="AE20" s="312"/>
      <c r="AF20" s="312"/>
      <c r="AG20" s="312"/>
      <c r="AH20" s="312"/>
      <c r="AI20" s="312"/>
      <c r="AJ20" s="312"/>
      <c r="AK20" s="312"/>
      <c r="AL20" s="312"/>
      <c r="AM20" s="312"/>
      <c r="AN20" s="312"/>
      <c r="AO20" s="312"/>
      <c r="AP20" s="312"/>
      <c r="AQ20" s="312"/>
      <c r="AR20" s="312"/>
      <c r="AS20" s="312"/>
      <c r="AT20" s="312"/>
      <c r="AU20" s="312"/>
      <c r="AV20" s="312"/>
      <c r="AW20" s="313"/>
      <c r="AX20" s="587">
        <f>'A-CALC'!AU11</f>
        <v>0</v>
      </c>
      <c r="AY20" s="590">
        <f>'A-CALC'!AV11</f>
        <v>0</v>
      </c>
      <c r="AZ20" s="590">
        <f>'A-CALC'!AW11</f>
        <v>0</v>
      </c>
      <c r="BA20" s="593">
        <f t="shared" ref="BA20" si="8">ROUND((40/$Y$7)*AX20,0)</f>
        <v>0</v>
      </c>
      <c r="BB20" s="301"/>
    </row>
    <row r="21" spans="1:54" ht="9" customHeight="1">
      <c r="A21" s="583"/>
      <c r="B21" s="585"/>
      <c r="C21" s="314"/>
      <c r="D21" s="315"/>
      <c r="E21" s="315"/>
      <c r="F21" s="315"/>
      <c r="G21" s="315"/>
      <c r="H21" s="315"/>
      <c r="I21" s="315"/>
      <c r="J21" s="315"/>
      <c r="K21" s="315"/>
      <c r="L21" s="315"/>
      <c r="M21" s="315"/>
      <c r="N21" s="315"/>
      <c r="O21" s="315"/>
      <c r="P21" s="315"/>
      <c r="Q21" s="315"/>
      <c r="R21" s="315"/>
      <c r="S21" s="315"/>
      <c r="T21" s="315"/>
      <c r="U21" s="315"/>
      <c r="V21" s="316"/>
      <c r="W21" s="588"/>
      <c r="X21" s="591"/>
      <c r="Y21" s="591"/>
      <c r="Z21" s="594"/>
      <c r="AA21" s="301"/>
      <c r="AB21" s="583"/>
      <c r="AC21" s="585"/>
      <c r="AD21" s="314"/>
      <c r="AE21" s="315"/>
      <c r="AF21" s="315"/>
      <c r="AG21" s="315"/>
      <c r="AH21" s="315"/>
      <c r="AI21" s="315"/>
      <c r="AJ21" s="315"/>
      <c r="AK21" s="315"/>
      <c r="AL21" s="315"/>
      <c r="AM21" s="315"/>
      <c r="AN21" s="315"/>
      <c r="AO21" s="315"/>
      <c r="AP21" s="315"/>
      <c r="AQ21" s="315"/>
      <c r="AR21" s="315"/>
      <c r="AS21" s="315"/>
      <c r="AT21" s="315"/>
      <c r="AU21" s="315"/>
      <c r="AV21" s="315"/>
      <c r="AW21" s="316"/>
      <c r="AX21" s="588"/>
      <c r="AY21" s="591"/>
      <c r="AZ21" s="591"/>
      <c r="BA21" s="594"/>
      <c r="BB21" s="301"/>
    </row>
    <row r="22" spans="1:54" ht="9" customHeight="1">
      <c r="A22" s="583"/>
      <c r="B22" s="586"/>
      <c r="C22" s="317"/>
      <c r="D22" s="318"/>
      <c r="E22" s="318"/>
      <c r="F22" s="318"/>
      <c r="G22" s="318"/>
      <c r="H22" s="318"/>
      <c r="I22" s="318"/>
      <c r="J22" s="318"/>
      <c r="K22" s="318"/>
      <c r="L22" s="318"/>
      <c r="M22" s="318"/>
      <c r="N22" s="318"/>
      <c r="O22" s="318"/>
      <c r="P22" s="318"/>
      <c r="Q22" s="318"/>
      <c r="R22" s="318"/>
      <c r="S22" s="318"/>
      <c r="T22" s="318"/>
      <c r="U22" s="318"/>
      <c r="V22" s="319"/>
      <c r="W22" s="589"/>
      <c r="X22" s="592"/>
      <c r="Y22" s="592"/>
      <c r="Z22" s="608"/>
      <c r="AA22" s="301"/>
      <c r="AB22" s="583"/>
      <c r="AC22" s="586"/>
      <c r="AD22" s="317"/>
      <c r="AE22" s="318"/>
      <c r="AF22" s="318"/>
      <c r="AG22" s="318"/>
      <c r="AH22" s="318"/>
      <c r="AI22" s="318"/>
      <c r="AJ22" s="318"/>
      <c r="AK22" s="318"/>
      <c r="AL22" s="318"/>
      <c r="AM22" s="318"/>
      <c r="AN22" s="318"/>
      <c r="AO22" s="318"/>
      <c r="AP22" s="318"/>
      <c r="AQ22" s="318"/>
      <c r="AR22" s="318"/>
      <c r="AS22" s="318"/>
      <c r="AT22" s="318"/>
      <c r="AU22" s="318"/>
      <c r="AV22" s="318"/>
      <c r="AW22" s="319"/>
      <c r="AX22" s="589"/>
      <c r="AY22" s="592"/>
      <c r="AZ22" s="592"/>
      <c r="BA22" s="594"/>
      <c r="BB22" s="301"/>
    </row>
    <row r="23" spans="1:54" ht="9" customHeight="1">
      <c r="A23" s="583">
        <v>5</v>
      </c>
      <c r="B23" s="584" t="str">
        <f>STUDENTS!B52</f>
        <v>ગરણિયા મિલન પોપટભાઇ</v>
      </c>
      <c r="C23" s="311"/>
      <c r="D23" s="312"/>
      <c r="E23" s="312"/>
      <c r="F23" s="312"/>
      <c r="G23" s="312" t="s">
        <v>312</v>
      </c>
      <c r="H23" s="312"/>
      <c r="I23" s="312"/>
      <c r="J23" s="312"/>
      <c r="K23" s="312"/>
      <c r="L23" s="312"/>
      <c r="M23" s="312"/>
      <c r="N23" s="312"/>
      <c r="O23" s="312"/>
      <c r="P23" s="312"/>
      <c r="Q23" s="312"/>
      <c r="R23" s="312"/>
      <c r="S23" s="312"/>
      <c r="T23" s="312"/>
      <c r="U23" s="312"/>
      <c r="V23" s="313"/>
      <c r="W23" s="587">
        <f>'A-CALC'!V14</f>
        <v>1</v>
      </c>
      <c r="X23" s="590">
        <f>'A-CALC'!W14</f>
        <v>0</v>
      </c>
      <c r="Y23" s="590">
        <f>'A-CALC'!X14</f>
        <v>0</v>
      </c>
      <c r="Z23" s="593">
        <f t="shared" ref="Z23" si="9">ROUND((40/$Y$7)*W23,0)</f>
        <v>3</v>
      </c>
      <c r="AA23" s="301"/>
      <c r="AB23" s="583">
        <v>5</v>
      </c>
      <c r="AC23" s="584" t="str">
        <f t="shared" ref="AC23:AC86" si="10">B23</f>
        <v>ગરણિયા મિલન પોપટભાઇ</v>
      </c>
      <c r="AD23" s="311"/>
      <c r="AE23" s="312"/>
      <c r="AF23" s="312"/>
      <c r="AG23" s="312"/>
      <c r="AH23" s="312"/>
      <c r="AI23" s="312"/>
      <c r="AJ23" s="312"/>
      <c r="AK23" s="312"/>
      <c r="AL23" s="312"/>
      <c r="AM23" s="312"/>
      <c r="AN23" s="312"/>
      <c r="AO23" s="312"/>
      <c r="AP23" s="312"/>
      <c r="AQ23" s="312"/>
      <c r="AR23" s="312"/>
      <c r="AS23" s="312"/>
      <c r="AT23" s="312"/>
      <c r="AU23" s="312"/>
      <c r="AV23" s="312"/>
      <c r="AW23" s="313"/>
      <c r="AX23" s="587">
        <f>'A-CALC'!AU14</f>
        <v>0</v>
      </c>
      <c r="AY23" s="590">
        <f>'A-CALC'!AV14</f>
        <v>0</v>
      </c>
      <c r="AZ23" s="590">
        <f>'A-CALC'!AW14</f>
        <v>0</v>
      </c>
      <c r="BA23" s="593">
        <f t="shared" ref="BA23" si="11">ROUND((40/$Y$7)*AX23,0)</f>
        <v>0</v>
      </c>
      <c r="BB23" s="301"/>
    </row>
    <row r="24" spans="1:54" ht="9" customHeight="1">
      <c r="A24" s="583"/>
      <c r="B24" s="585"/>
      <c r="C24" s="314"/>
      <c r="D24" s="315"/>
      <c r="E24" s="315"/>
      <c r="F24" s="315"/>
      <c r="G24" s="315"/>
      <c r="H24" s="315"/>
      <c r="I24" s="315"/>
      <c r="J24" s="315"/>
      <c r="K24" s="315"/>
      <c r="L24" s="315"/>
      <c r="M24" s="315"/>
      <c r="N24" s="315"/>
      <c r="O24" s="315"/>
      <c r="P24" s="315"/>
      <c r="Q24" s="315"/>
      <c r="R24" s="315"/>
      <c r="S24" s="315"/>
      <c r="T24" s="315"/>
      <c r="U24" s="315"/>
      <c r="V24" s="316"/>
      <c r="W24" s="588"/>
      <c r="X24" s="591"/>
      <c r="Y24" s="591"/>
      <c r="Z24" s="594"/>
      <c r="AA24" s="301"/>
      <c r="AB24" s="583"/>
      <c r="AC24" s="585"/>
      <c r="AD24" s="314"/>
      <c r="AE24" s="315"/>
      <c r="AF24" s="315"/>
      <c r="AG24" s="315"/>
      <c r="AH24" s="315"/>
      <c r="AI24" s="315"/>
      <c r="AJ24" s="315"/>
      <c r="AK24" s="315"/>
      <c r="AL24" s="315"/>
      <c r="AM24" s="315"/>
      <c r="AN24" s="315"/>
      <c r="AO24" s="315"/>
      <c r="AP24" s="315"/>
      <c r="AQ24" s="315"/>
      <c r="AR24" s="315"/>
      <c r="AS24" s="315"/>
      <c r="AT24" s="315"/>
      <c r="AU24" s="315"/>
      <c r="AV24" s="315"/>
      <c r="AW24" s="316"/>
      <c r="AX24" s="588"/>
      <c r="AY24" s="591"/>
      <c r="AZ24" s="591"/>
      <c r="BA24" s="594"/>
      <c r="BB24" s="301"/>
    </row>
    <row r="25" spans="1:54" ht="9" customHeight="1">
      <c r="A25" s="583"/>
      <c r="B25" s="586"/>
      <c r="C25" s="317"/>
      <c r="D25" s="318"/>
      <c r="E25" s="318"/>
      <c r="F25" s="318"/>
      <c r="G25" s="318" t="s">
        <v>310</v>
      </c>
      <c r="H25" s="318"/>
      <c r="I25" s="318"/>
      <c r="J25" s="318"/>
      <c r="K25" s="318"/>
      <c r="L25" s="318"/>
      <c r="M25" s="318"/>
      <c r="N25" s="318"/>
      <c r="O25" s="318"/>
      <c r="P25" s="318"/>
      <c r="Q25" s="318"/>
      <c r="R25" s="318"/>
      <c r="S25" s="318"/>
      <c r="T25" s="318"/>
      <c r="U25" s="318"/>
      <c r="V25" s="319"/>
      <c r="W25" s="589"/>
      <c r="X25" s="592"/>
      <c r="Y25" s="592"/>
      <c r="Z25" s="608"/>
      <c r="AA25" s="301"/>
      <c r="AB25" s="583"/>
      <c r="AC25" s="586"/>
      <c r="AD25" s="317"/>
      <c r="AE25" s="318"/>
      <c r="AF25" s="318"/>
      <c r="AG25" s="318"/>
      <c r="AH25" s="318"/>
      <c r="AI25" s="318"/>
      <c r="AJ25" s="318"/>
      <c r="AK25" s="318"/>
      <c r="AL25" s="318"/>
      <c r="AM25" s="318"/>
      <c r="AN25" s="318"/>
      <c r="AO25" s="318"/>
      <c r="AP25" s="318"/>
      <c r="AQ25" s="318"/>
      <c r="AR25" s="318"/>
      <c r="AS25" s="318"/>
      <c r="AT25" s="318"/>
      <c r="AU25" s="318"/>
      <c r="AV25" s="318"/>
      <c r="AW25" s="319"/>
      <c r="AX25" s="589"/>
      <c r="AY25" s="592"/>
      <c r="AZ25" s="592"/>
      <c r="BA25" s="594"/>
      <c r="BB25" s="301"/>
    </row>
    <row r="26" spans="1:54" ht="9" customHeight="1">
      <c r="A26" s="583">
        <v>6</v>
      </c>
      <c r="B26" s="584" t="str">
        <f>STUDENTS!B64</f>
        <v>ગરણિયા મોહિત રાવતભાઇ</v>
      </c>
      <c r="C26" s="311"/>
      <c r="D26" s="312"/>
      <c r="E26" s="312"/>
      <c r="F26" s="312"/>
      <c r="G26" s="312"/>
      <c r="H26" s="312"/>
      <c r="I26" s="312"/>
      <c r="J26" s="312"/>
      <c r="K26" s="312"/>
      <c r="L26" s="312"/>
      <c r="M26" s="312"/>
      <c r="N26" s="312"/>
      <c r="O26" s="312"/>
      <c r="P26" s="312"/>
      <c r="Q26" s="312"/>
      <c r="R26" s="312"/>
      <c r="S26" s="312"/>
      <c r="T26" s="312"/>
      <c r="U26" s="312"/>
      <c r="V26" s="313"/>
      <c r="W26" s="587">
        <f>'A-CALC'!V17</f>
        <v>0</v>
      </c>
      <c r="X26" s="590">
        <f>'A-CALC'!W17</f>
        <v>0</v>
      </c>
      <c r="Y26" s="590">
        <f>'A-CALC'!X17</f>
        <v>0</v>
      </c>
      <c r="Z26" s="593">
        <f t="shared" ref="Z26" si="12">ROUND((40/$Y$7)*W26,0)</f>
        <v>0</v>
      </c>
      <c r="AA26" s="301"/>
      <c r="AB26" s="583">
        <v>6</v>
      </c>
      <c r="AC26" s="584" t="str">
        <f t="shared" ref="AC26:AC89" si="13">B26</f>
        <v>ગરણિયા મોહિત રાવતભાઇ</v>
      </c>
      <c r="AD26" s="311"/>
      <c r="AE26" s="312"/>
      <c r="AF26" s="312"/>
      <c r="AG26" s="312"/>
      <c r="AH26" s="312"/>
      <c r="AI26" s="312"/>
      <c r="AJ26" s="312"/>
      <c r="AK26" s="312"/>
      <c r="AL26" s="312"/>
      <c r="AM26" s="312"/>
      <c r="AN26" s="312"/>
      <c r="AO26" s="312"/>
      <c r="AP26" s="312"/>
      <c r="AQ26" s="312"/>
      <c r="AR26" s="312"/>
      <c r="AS26" s="312"/>
      <c r="AT26" s="312"/>
      <c r="AU26" s="312"/>
      <c r="AV26" s="312"/>
      <c r="AW26" s="313"/>
      <c r="AX26" s="587">
        <f>'A-CALC'!AU17</f>
        <v>0</v>
      </c>
      <c r="AY26" s="590">
        <f>'A-CALC'!AV17</f>
        <v>0</v>
      </c>
      <c r="AZ26" s="590">
        <f>'A-CALC'!AW17</f>
        <v>0</v>
      </c>
      <c r="BA26" s="593">
        <f t="shared" ref="BA26" si="14">ROUND((40/$Y$7)*AX26,0)</f>
        <v>0</v>
      </c>
      <c r="BB26" s="301"/>
    </row>
    <row r="27" spans="1:54" ht="9" customHeight="1">
      <c r="A27" s="583"/>
      <c r="B27" s="585"/>
      <c r="C27" s="314"/>
      <c r="D27" s="315"/>
      <c r="E27" s="315"/>
      <c r="F27" s="315"/>
      <c r="G27" s="315"/>
      <c r="H27" s="315"/>
      <c r="I27" s="315"/>
      <c r="J27" s="315"/>
      <c r="K27" s="315"/>
      <c r="L27" s="315"/>
      <c r="M27" s="315"/>
      <c r="N27" s="315"/>
      <c r="O27" s="315"/>
      <c r="P27" s="315"/>
      <c r="Q27" s="315"/>
      <c r="R27" s="315"/>
      <c r="S27" s="315"/>
      <c r="T27" s="315"/>
      <c r="U27" s="315"/>
      <c r="V27" s="316"/>
      <c r="W27" s="588"/>
      <c r="X27" s="591"/>
      <c r="Y27" s="591"/>
      <c r="Z27" s="594"/>
      <c r="AA27" s="301"/>
      <c r="AB27" s="583"/>
      <c r="AC27" s="585"/>
      <c r="AD27" s="314"/>
      <c r="AE27" s="315"/>
      <c r="AF27" s="315"/>
      <c r="AG27" s="315"/>
      <c r="AH27" s="315"/>
      <c r="AI27" s="315"/>
      <c r="AJ27" s="315"/>
      <c r="AK27" s="315"/>
      <c r="AL27" s="315"/>
      <c r="AM27" s="315"/>
      <c r="AN27" s="315"/>
      <c r="AO27" s="315"/>
      <c r="AP27" s="315"/>
      <c r="AQ27" s="315"/>
      <c r="AR27" s="315"/>
      <c r="AS27" s="315"/>
      <c r="AT27" s="315"/>
      <c r="AU27" s="315"/>
      <c r="AV27" s="315"/>
      <c r="AW27" s="316"/>
      <c r="AX27" s="588"/>
      <c r="AY27" s="591"/>
      <c r="AZ27" s="591"/>
      <c r="BA27" s="594"/>
      <c r="BB27" s="301"/>
    </row>
    <row r="28" spans="1:54" ht="9" customHeight="1">
      <c r="A28" s="583"/>
      <c r="B28" s="586"/>
      <c r="C28" s="317"/>
      <c r="D28" s="318"/>
      <c r="E28" s="318"/>
      <c r="F28" s="318"/>
      <c r="G28" s="318"/>
      <c r="H28" s="318"/>
      <c r="I28" s="318"/>
      <c r="J28" s="318"/>
      <c r="K28" s="318"/>
      <c r="L28" s="318"/>
      <c r="M28" s="318"/>
      <c r="N28" s="318"/>
      <c r="O28" s="318"/>
      <c r="P28" s="318"/>
      <c r="Q28" s="318"/>
      <c r="R28" s="318"/>
      <c r="S28" s="318"/>
      <c r="T28" s="318"/>
      <c r="U28" s="318"/>
      <c r="V28" s="319"/>
      <c r="W28" s="589"/>
      <c r="X28" s="592"/>
      <c r="Y28" s="592"/>
      <c r="Z28" s="608"/>
      <c r="AA28" s="301"/>
      <c r="AB28" s="583"/>
      <c r="AC28" s="586"/>
      <c r="AD28" s="317"/>
      <c r="AE28" s="318"/>
      <c r="AF28" s="318"/>
      <c r="AG28" s="318"/>
      <c r="AH28" s="318"/>
      <c r="AI28" s="318"/>
      <c r="AJ28" s="318"/>
      <c r="AK28" s="318"/>
      <c r="AL28" s="318"/>
      <c r="AM28" s="318"/>
      <c r="AN28" s="318"/>
      <c r="AO28" s="318"/>
      <c r="AP28" s="318"/>
      <c r="AQ28" s="318"/>
      <c r="AR28" s="318"/>
      <c r="AS28" s="318"/>
      <c r="AT28" s="318"/>
      <c r="AU28" s="318"/>
      <c r="AV28" s="318"/>
      <c r="AW28" s="319"/>
      <c r="AX28" s="589"/>
      <c r="AY28" s="592"/>
      <c r="AZ28" s="592"/>
      <c r="BA28" s="594"/>
      <c r="BB28" s="301"/>
    </row>
    <row r="29" spans="1:54" ht="9" customHeight="1">
      <c r="A29" s="583">
        <v>7</v>
      </c>
      <c r="B29" s="584" t="str">
        <f>STUDENTS!B76</f>
        <v>ગરણિયા સુમિત પોપટભાઇ</v>
      </c>
      <c r="C29" s="311"/>
      <c r="D29" s="312"/>
      <c r="E29" s="312"/>
      <c r="F29" s="312"/>
      <c r="G29" s="312"/>
      <c r="H29" s="312"/>
      <c r="I29" s="312"/>
      <c r="J29" s="312"/>
      <c r="K29" s="312"/>
      <c r="L29" s="312"/>
      <c r="M29" s="312"/>
      <c r="N29" s="312"/>
      <c r="O29" s="312"/>
      <c r="P29" s="312"/>
      <c r="Q29" s="312"/>
      <c r="R29" s="312"/>
      <c r="S29" s="312"/>
      <c r="T29" s="312"/>
      <c r="U29" s="312"/>
      <c r="V29" s="313"/>
      <c r="W29" s="587">
        <f>'A-CALC'!V20</f>
        <v>0</v>
      </c>
      <c r="X29" s="590">
        <f>'A-CALC'!W20</f>
        <v>0</v>
      </c>
      <c r="Y29" s="590">
        <f>'A-CALC'!X20</f>
        <v>0</v>
      </c>
      <c r="Z29" s="593">
        <f t="shared" ref="Z29" si="15">ROUND((40/$Y$7)*W29,0)</f>
        <v>0</v>
      </c>
      <c r="AA29" s="301"/>
      <c r="AB29" s="583">
        <v>7</v>
      </c>
      <c r="AC29" s="584" t="str">
        <f t="shared" ref="AC29" si="16">B29</f>
        <v>ગરણિયા સુમિત પોપટભાઇ</v>
      </c>
      <c r="AD29" s="311"/>
      <c r="AE29" s="312"/>
      <c r="AF29" s="312"/>
      <c r="AG29" s="312"/>
      <c r="AH29" s="312"/>
      <c r="AI29" s="312"/>
      <c r="AJ29" s="312"/>
      <c r="AK29" s="312"/>
      <c r="AL29" s="312"/>
      <c r="AM29" s="312"/>
      <c r="AN29" s="312"/>
      <c r="AO29" s="312"/>
      <c r="AP29" s="312"/>
      <c r="AQ29" s="312"/>
      <c r="AR29" s="312"/>
      <c r="AS29" s="312"/>
      <c r="AT29" s="312"/>
      <c r="AU29" s="312"/>
      <c r="AV29" s="312"/>
      <c r="AW29" s="313"/>
      <c r="AX29" s="587">
        <f>'A-CALC'!AU20</f>
        <v>0</v>
      </c>
      <c r="AY29" s="590">
        <f>'A-CALC'!AV20</f>
        <v>0</v>
      </c>
      <c r="AZ29" s="590">
        <f>'A-CALC'!AW20</f>
        <v>0</v>
      </c>
      <c r="BA29" s="593">
        <f t="shared" ref="BA29" si="17">ROUND((40/$Y$7)*AX29,0)</f>
        <v>0</v>
      </c>
      <c r="BB29" s="301"/>
    </row>
    <row r="30" spans="1:54" ht="9" customHeight="1">
      <c r="A30" s="583"/>
      <c r="B30" s="585"/>
      <c r="C30" s="314"/>
      <c r="D30" s="315"/>
      <c r="E30" s="315"/>
      <c r="F30" s="315"/>
      <c r="G30" s="315"/>
      <c r="H30" s="315"/>
      <c r="I30" s="315"/>
      <c r="J30" s="315"/>
      <c r="K30" s="315"/>
      <c r="L30" s="315"/>
      <c r="M30" s="315"/>
      <c r="N30" s="315"/>
      <c r="O30" s="315"/>
      <c r="P30" s="315"/>
      <c r="Q30" s="315"/>
      <c r="R30" s="315"/>
      <c r="S30" s="315"/>
      <c r="T30" s="315"/>
      <c r="U30" s="315"/>
      <c r="V30" s="316"/>
      <c r="W30" s="588"/>
      <c r="X30" s="591"/>
      <c r="Y30" s="591"/>
      <c r="Z30" s="594"/>
      <c r="AA30" s="301"/>
      <c r="AB30" s="583"/>
      <c r="AC30" s="585"/>
      <c r="AD30" s="314"/>
      <c r="AE30" s="315"/>
      <c r="AF30" s="315"/>
      <c r="AG30" s="315"/>
      <c r="AH30" s="315"/>
      <c r="AI30" s="315"/>
      <c r="AJ30" s="315"/>
      <c r="AK30" s="315"/>
      <c r="AL30" s="315"/>
      <c r="AM30" s="315"/>
      <c r="AN30" s="315"/>
      <c r="AO30" s="315"/>
      <c r="AP30" s="315"/>
      <c r="AQ30" s="315"/>
      <c r="AR30" s="315"/>
      <c r="AS30" s="315"/>
      <c r="AT30" s="315"/>
      <c r="AU30" s="315"/>
      <c r="AV30" s="315"/>
      <c r="AW30" s="316"/>
      <c r="AX30" s="588"/>
      <c r="AY30" s="591"/>
      <c r="AZ30" s="591"/>
      <c r="BA30" s="594"/>
      <c r="BB30" s="301"/>
    </row>
    <row r="31" spans="1:54" ht="9" customHeight="1">
      <c r="A31" s="583"/>
      <c r="B31" s="586"/>
      <c r="C31" s="317"/>
      <c r="D31" s="318"/>
      <c r="E31" s="318"/>
      <c r="F31" s="318"/>
      <c r="G31" s="318"/>
      <c r="H31" s="318"/>
      <c r="I31" s="318"/>
      <c r="J31" s="318"/>
      <c r="K31" s="318"/>
      <c r="L31" s="318"/>
      <c r="M31" s="318"/>
      <c r="N31" s="318"/>
      <c r="O31" s="318"/>
      <c r="P31" s="318"/>
      <c r="Q31" s="318"/>
      <c r="R31" s="318"/>
      <c r="S31" s="318"/>
      <c r="T31" s="318"/>
      <c r="U31" s="318"/>
      <c r="V31" s="319"/>
      <c r="W31" s="589"/>
      <c r="X31" s="592"/>
      <c r="Y31" s="592"/>
      <c r="Z31" s="608"/>
      <c r="AA31" s="301"/>
      <c r="AB31" s="583"/>
      <c r="AC31" s="586"/>
      <c r="AD31" s="317"/>
      <c r="AE31" s="318"/>
      <c r="AF31" s="318"/>
      <c r="AG31" s="318"/>
      <c r="AH31" s="318"/>
      <c r="AI31" s="318"/>
      <c r="AJ31" s="318"/>
      <c r="AK31" s="318"/>
      <c r="AL31" s="318"/>
      <c r="AM31" s="318"/>
      <c r="AN31" s="318"/>
      <c r="AO31" s="318"/>
      <c r="AP31" s="318"/>
      <c r="AQ31" s="318"/>
      <c r="AR31" s="318"/>
      <c r="AS31" s="318"/>
      <c r="AT31" s="318"/>
      <c r="AU31" s="318"/>
      <c r="AV31" s="318"/>
      <c r="AW31" s="319"/>
      <c r="AX31" s="589"/>
      <c r="AY31" s="592"/>
      <c r="AZ31" s="592"/>
      <c r="BA31" s="594"/>
      <c r="BB31" s="301"/>
    </row>
    <row r="32" spans="1:54" ht="9" customHeight="1">
      <c r="A32" s="583">
        <v>8</v>
      </c>
      <c r="B32" s="584" t="str">
        <f>STUDENTS!B88</f>
        <v>ગરણિયા રામકુભાઇ સાર્દૂળભાઇ</v>
      </c>
      <c r="C32" s="311"/>
      <c r="D32" s="312"/>
      <c r="E32" s="312"/>
      <c r="F32" s="312"/>
      <c r="G32" s="312"/>
      <c r="H32" s="312" t="s">
        <v>312</v>
      </c>
      <c r="I32" s="312"/>
      <c r="J32" s="312"/>
      <c r="K32" s="312"/>
      <c r="L32" s="312"/>
      <c r="M32" s="312"/>
      <c r="N32" s="312"/>
      <c r="O32" s="312"/>
      <c r="P32" s="312"/>
      <c r="Q32" s="312"/>
      <c r="R32" s="312"/>
      <c r="S32" s="312"/>
      <c r="T32" s="312"/>
      <c r="U32" s="312"/>
      <c r="V32" s="313"/>
      <c r="W32" s="587">
        <f>'A-CALC'!V23</f>
        <v>1</v>
      </c>
      <c r="X32" s="590">
        <f>'A-CALC'!W23</f>
        <v>1</v>
      </c>
      <c r="Y32" s="590">
        <f>'A-CALC'!X23</f>
        <v>0</v>
      </c>
      <c r="Z32" s="593">
        <f t="shared" ref="Z32" si="18">ROUND((40/$Y$7)*W32,0)</f>
        <v>3</v>
      </c>
      <c r="AA32" s="301"/>
      <c r="AB32" s="583">
        <v>8</v>
      </c>
      <c r="AC32" s="584" t="str">
        <f t="shared" si="10"/>
        <v>ગરણિયા રામકુભાઇ સાર્દૂળભાઇ</v>
      </c>
      <c r="AD32" s="311"/>
      <c r="AE32" s="312"/>
      <c r="AF32" s="312"/>
      <c r="AG32" s="312"/>
      <c r="AH32" s="312"/>
      <c r="AI32" s="312"/>
      <c r="AJ32" s="312"/>
      <c r="AK32" s="312"/>
      <c r="AL32" s="312"/>
      <c r="AM32" s="312"/>
      <c r="AN32" s="312"/>
      <c r="AO32" s="312"/>
      <c r="AP32" s="312"/>
      <c r="AQ32" s="312"/>
      <c r="AR32" s="312"/>
      <c r="AS32" s="312"/>
      <c r="AT32" s="312"/>
      <c r="AU32" s="312"/>
      <c r="AV32" s="312"/>
      <c r="AW32" s="313"/>
      <c r="AX32" s="587">
        <f>'A-CALC'!AU23</f>
        <v>0</v>
      </c>
      <c r="AY32" s="590">
        <f>'A-CALC'!AV23</f>
        <v>0</v>
      </c>
      <c r="AZ32" s="590">
        <f>'A-CALC'!AW23</f>
        <v>0</v>
      </c>
      <c r="BA32" s="593">
        <f t="shared" ref="BA32" si="19">ROUND((40/$Y$7)*AX32,0)</f>
        <v>0</v>
      </c>
      <c r="BB32" s="301"/>
    </row>
    <row r="33" spans="1:54" ht="9" customHeight="1">
      <c r="A33" s="583"/>
      <c r="B33" s="585"/>
      <c r="C33" s="314"/>
      <c r="D33" s="315"/>
      <c r="E33" s="315"/>
      <c r="F33" s="315"/>
      <c r="G33" s="315"/>
      <c r="H33" s="315" t="s">
        <v>311</v>
      </c>
      <c r="I33" s="315"/>
      <c r="J33" s="315"/>
      <c r="K33" s="315"/>
      <c r="L33" s="315"/>
      <c r="M33" s="315"/>
      <c r="N33" s="315"/>
      <c r="O33" s="315"/>
      <c r="P33" s="315"/>
      <c r="Q33" s="315"/>
      <c r="R33" s="315"/>
      <c r="S33" s="315"/>
      <c r="T33" s="315"/>
      <c r="U33" s="315"/>
      <c r="V33" s="316"/>
      <c r="W33" s="588"/>
      <c r="X33" s="591"/>
      <c r="Y33" s="591"/>
      <c r="Z33" s="594"/>
      <c r="AA33" s="301"/>
      <c r="AB33" s="583"/>
      <c r="AC33" s="585"/>
      <c r="AD33" s="314"/>
      <c r="AE33" s="315"/>
      <c r="AF33" s="315"/>
      <c r="AG33" s="315"/>
      <c r="AH33" s="315"/>
      <c r="AI33" s="315"/>
      <c r="AJ33" s="315"/>
      <c r="AK33" s="315"/>
      <c r="AL33" s="315"/>
      <c r="AM33" s="315"/>
      <c r="AN33" s="315"/>
      <c r="AO33" s="315"/>
      <c r="AP33" s="315"/>
      <c r="AQ33" s="315"/>
      <c r="AR33" s="315"/>
      <c r="AS33" s="315"/>
      <c r="AT33" s="315"/>
      <c r="AU33" s="315"/>
      <c r="AV33" s="315"/>
      <c r="AW33" s="316"/>
      <c r="AX33" s="588"/>
      <c r="AY33" s="591"/>
      <c r="AZ33" s="591"/>
      <c r="BA33" s="594"/>
      <c r="BB33" s="301"/>
    </row>
    <row r="34" spans="1:54" ht="9" customHeight="1">
      <c r="A34" s="583"/>
      <c r="B34" s="586"/>
      <c r="C34" s="317"/>
      <c r="D34" s="318"/>
      <c r="E34" s="318"/>
      <c r="F34" s="318"/>
      <c r="G34" s="318"/>
      <c r="H34" s="318"/>
      <c r="I34" s="318"/>
      <c r="J34" s="318" t="s">
        <v>310</v>
      </c>
      <c r="K34" s="318"/>
      <c r="L34" s="318"/>
      <c r="M34" s="318"/>
      <c r="N34" s="318"/>
      <c r="O34" s="318"/>
      <c r="P34" s="318"/>
      <c r="Q34" s="318"/>
      <c r="R34" s="318"/>
      <c r="S34" s="318"/>
      <c r="T34" s="318"/>
      <c r="U34" s="318"/>
      <c r="V34" s="319"/>
      <c r="W34" s="589"/>
      <c r="X34" s="592"/>
      <c r="Y34" s="592"/>
      <c r="Z34" s="608"/>
      <c r="AA34" s="301"/>
      <c r="AB34" s="583"/>
      <c r="AC34" s="586"/>
      <c r="AD34" s="317"/>
      <c r="AE34" s="318"/>
      <c r="AF34" s="318"/>
      <c r="AG34" s="318"/>
      <c r="AH34" s="318"/>
      <c r="AI34" s="318"/>
      <c r="AJ34" s="318"/>
      <c r="AK34" s="318"/>
      <c r="AL34" s="318"/>
      <c r="AM34" s="318"/>
      <c r="AN34" s="318"/>
      <c r="AO34" s="318"/>
      <c r="AP34" s="318"/>
      <c r="AQ34" s="318"/>
      <c r="AR34" s="318"/>
      <c r="AS34" s="318"/>
      <c r="AT34" s="318"/>
      <c r="AU34" s="318"/>
      <c r="AV34" s="318"/>
      <c r="AW34" s="319"/>
      <c r="AX34" s="589"/>
      <c r="AY34" s="592"/>
      <c r="AZ34" s="592"/>
      <c r="BA34" s="594"/>
      <c r="BB34" s="301"/>
    </row>
    <row r="35" spans="1:54" ht="9" customHeight="1">
      <c r="A35" s="583">
        <v>9</v>
      </c>
      <c r="B35" s="584" t="str">
        <f>STUDENTS!B100</f>
        <v>ડેર હિતેષકુમાર પ્રતાપભાઇ</v>
      </c>
      <c r="C35" s="311"/>
      <c r="D35" s="312"/>
      <c r="E35" s="312"/>
      <c r="F35" s="312"/>
      <c r="G35" s="312"/>
      <c r="H35" s="312"/>
      <c r="I35" s="312"/>
      <c r="J35" s="312"/>
      <c r="K35" s="312"/>
      <c r="L35" s="312"/>
      <c r="M35" s="312"/>
      <c r="N35" s="312"/>
      <c r="O35" s="312"/>
      <c r="P35" s="312"/>
      <c r="Q35" s="312"/>
      <c r="R35" s="312"/>
      <c r="S35" s="312"/>
      <c r="T35" s="312"/>
      <c r="U35" s="312"/>
      <c r="V35" s="313"/>
      <c r="W35" s="587">
        <f>'A-CALC'!V26</f>
        <v>0</v>
      </c>
      <c r="X35" s="590">
        <f>'A-CALC'!W26</f>
        <v>0</v>
      </c>
      <c r="Y35" s="590">
        <f>'A-CALC'!X26</f>
        <v>0</v>
      </c>
      <c r="Z35" s="593">
        <f t="shared" ref="Z35" si="20">ROUND((40/$Y$7)*W35,0)</f>
        <v>0</v>
      </c>
      <c r="AA35" s="301"/>
      <c r="AB35" s="583">
        <v>9</v>
      </c>
      <c r="AC35" s="584" t="str">
        <f t="shared" si="13"/>
        <v>ડેર હિતેષકુમાર પ્રતાપભાઇ</v>
      </c>
      <c r="AD35" s="311"/>
      <c r="AE35" s="312"/>
      <c r="AF35" s="312"/>
      <c r="AG35" s="312"/>
      <c r="AH35" s="312"/>
      <c r="AI35" s="312"/>
      <c r="AJ35" s="312"/>
      <c r="AK35" s="312"/>
      <c r="AL35" s="312"/>
      <c r="AM35" s="312"/>
      <c r="AN35" s="312"/>
      <c r="AO35" s="312"/>
      <c r="AP35" s="312"/>
      <c r="AQ35" s="312"/>
      <c r="AR35" s="312"/>
      <c r="AS35" s="312"/>
      <c r="AT35" s="312"/>
      <c r="AU35" s="312"/>
      <c r="AV35" s="312"/>
      <c r="AW35" s="313"/>
      <c r="AX35" s="587">
        <f>'A-CALC'!AU26</f>
        <v>0</v>
      </c>
      <c r="AY35" s="590">
        <f>'A-CALC'!AV26</f>
        <v>0</v>
      </c>
      <c r="AZ35" s="590">
        <f>'A-CALC'!AW26</f>
        <v>0</v>
      </c>
      <c r="BA35" s="593">
        <f t="shared" ref="BA35" si="21">ROUND((40/$Y$7)*AX35,0)</f>
        <v>0</v>
      </c>
      <c r="BB35" s="301"/>
    </row>
    <row r="36" spans="1:54" ht="9" customHeight="1">
      <c r="A36" s="583"/>
      <c r="B36" s="585"/>
      <c r="C36" s="314"/>
      <c r="D36" s="315"/>
      <c r="E36" s="315"/>
      <c r="F36" s="315"/>
      <c r="G36" s="315"/>
      <c r="H36" s="315"/>
      <c r="I36" s="315"/>
      <c r="J36" s="315"/>
      <c r="K36" s="315"/>
      <c r="L36" s="315"/>
      <c r="M36" s="315"/>
      <c r="N36" s="315"/>
      <c r="O36" s="315"/>
      <c r="P36" s="315"/>
      <c r="Q36" s="315"/>
      <c r="R36" s="315"/>
      <c r="S36" s="315"/>
      <c r="T36" s="315"/>
      <c r="U36" s="315"/>
      <c r="V36" s="316"/>
      <c r="W36" s="588"/>
      <c r="X36" s="591"/>
      <c r="Y36" s="591"/>
      <c r="Z36" s="594"/>
      <c r="AA36" s="301"/>
      <c r="AB36" s="583"/>
      <c r="AC36" s="585"/>
      <c r="AD36" s="314"/>
      <c r="AE36" s="315"/>
      <c r="AF36" s="315"/>
      <c r="AG36" s="315"/>
      <c r="AH36" s="315"/>
      <c r="AI36" s="315"/>
      <c r="AJ36" s="315"/>
      <c r="AK36" s="315"/>
      <c r="AL36" s="315"/>
      <c r="AM36" s="315"/>
      <c r="AN36" s="315"/>
      <c r="AO36" s="315"/>
      <c r="AP36" s="315"/>
      <c r="AQ36" s="315"/>
      <c r="AR36" s="315"/>
      <c r="AS36" s="315"/>
      <c r="AT36" s="315"/>
      <c r="AU36" s="315"/>
      <c r="AV36" s="315"/>
      <c r="AW36" s="316"/>
      <c r="AX36" s="588"/>
      <c r="AY36" s="591"/>
      <c r="AZ36" s="591"/>
      <c r="BA36" s="594"/>
      <c r="BB36" s="301"/>
    </row>
    <row r="37" spans="1:54" ht="9" customHeight="1">
      <c r="A37" s="583"/>
      <c r="B37" s="586"/>
      <c r="C37" s="317"/>
      <c r="D37" s="318"/>
      <c r="E37" s="318"/>
      <c r="F37" s="318"/>
      <c r="G37" s="318"/>
      <c r="H37" s="318"/>
      <c r="I37" s="318"/>
      <c r="J37" s="318"/>
      <c r="K37" s="318"/>
      <c r="L37" s="318"/>
      <c r="M37" s="318"/>
      <c r="N37" s="318"/>
      <c r="O37" s="318"/>
      <c r="P37" s="318"/>
      <c r="Q37" s="318"/>
      <c r="R37" s="318"/>
      <c r="S37" s="318"/>
      <c r="T37" s="318"/>
      <c r="U37" s="318"/>
      <c r="V37" s="319"/>
      <c r="W37" s="589"/>
      <c r="X37" s="592"/>
      <c r="Y37" s="592"/>
      <c r="Z37" s="608"/>
      <c r="AA37" s="301"/>
      <c r="AB37" s="583"/>
      <c r="AC37" s="586"/>
      <c r="AD37" s="317"/>
      <c r="AE37" s="318"/>
      <c r="AF37" s="318"/>
      <c r="AG37" s="318"/>
      <c r="AH37" s="318"/>
      <c r="AI37" s="318"/>
      <c r="AJ37" s="318"/>
      <c r="AK37" s="318"/>
      <c r="AL37" s="318"/>
      <c r="AM37" s="318"/>
      <c r="AN37" s="318"/>
      <c r="AO37" s="318"/>
      <c r="AP37" s="318"/>
      <c r="AQ37" s="318"/>
      <c r="AR37" s="318"/>
      <c r="AS37" s="318"/>
      <c r="AT37" s="318"/>
      <c r="AU37" s="318"/>
      <c r="AV37" s="318"/>
      <c r="AW37" s="319"/>
      <c r="AX37" s="589"/>
      <c r="AY37" s="592"/>
      <c r="AZ37" s="592"/>
      <c r="BA37" s="594"/>
      <c r="BB37" s="301"/>
    </row>
    <row r="38" spans="1:54" ht="9" customHeight="1">
      <c r="A38" s="583">
        <v>10</v>
      </c>
      <c r="B38" s="584" t="str">
        <f>STUDENTS!B112</f>
        <v>વેકરીયા વિશાલકુમાર દિપકભાઇ</v>
      </c>
      <c r="C38" s="311"/>
      <c r="D38" s="312"/>
      <c r="E38" s="312"/>
      <c r="F38" s="312"/>
      <c r="G38" s="312"/>
      <c r="H38" s="312"/>
      <c r="I38" s="312"/>
      <c r="J38" s="312"/>
      <c r="K38" s="312"/>
      <c r="L38" s="312"/>
      <c r="M38" s="312"/>
      <c r="N38" s="312"/>
      <c r="O38" s="312"/>
      <c r="P38" s="312"/>
      <c r="Q38" s="312"/>
      <c r="R38" s="312"/>
      <c r="S38" s="312"/>
      <c r="T38" s="312"/>
      <c r="U38" s="312"/>
      <c r="V38" s="313"/>
      <c r="W38" s="587">
        <f>'A-CALC'!V29</f>
        <v>0</v>
      </c>
      <c r="X38" s="590">
        <f>'A-CALC'!W29</f>
        <v>0</v>
      </c>
      <c r="Y38" s="590">
        <f>'A-CALC'!X29</f>
        <v>0</v>
      </c>
      <c r="Z38" s="593">
        <f t="shared" ref="Z38" si="22">ROUND((40/$Y$7)*W38,0)</f>
        <v>0</v>
      </c>
      <c r="AA38" s="301"/>
      <c r="AB38" s="583">
        <v>10</v>
      </c>
      <c r="AC38" s="584" t="str">
        <f t="shared" ref="AC38" si="23">B38</f>
        <v>વેકરીયા વિશાલકુમાર દિપકભાઇ</v>
      </c>
      <c r="AD38" s="311"/>
      <c r="AE38" s="312"/>
      <c r="AF38" s="312"/>
      <c r="AG38" s="312"/>
      <c r="AH38" s="312"/>
      <c r="AI38" s="312"/>
      <c r="AJ38" s="312"/>
      <c r="AK38" s="312"/>
      <c r="AL38" s="312"/>
      <c r="AM38" s="312"/>
      <c r="AN38" s="312"/>
      <c r="AO38" s="312"/>
      <c r="AP38" s="312"/>
      <c r="AQ38" s="312"/>
      <c r="AR38" s="312"/>
      <c r="AS38" s="312"/>
      <c r="AT38" s="312"/>
      <c r="AU38" s="312"/>
      <c r="AV38" s="312"/>
      <c r="AW38" s="313"/>
      <c r="AX38" s="587">
        <f>'A-CALC'!AU29</f>
        <v>0</v>
      </c>
      <c r="AY38" s="590">
        <f>'A-CALC'!AV29</f>
        <v>0</v>
      </c>
      <c r="AZ38" s="590">
        <f>'A-CALC'!AW29</f>
        <v>0</v>
      </c>
      <c r="BA38" s="593">
        <f t="shared" ref="BA38" si="24">ROUND((40/$Y$7)*AX38,0)</f>
        <v>0</v>
      </c>
      <c r="BB38" s="301"/>
    </row>
    <row r="39" spans="1:54" ht="9" customHeight="1">
      <c r="A39" s="583"/>
      <c r="B39" s="585"/>
      <c r="C39" s="314"/>
      <c r="D39" s="315"/>
      <c r="E39" s="315"/>
      <c r="F39" s="315"/>
      <c r="G39" s="315"/>
      <c r="H39" s="315"/>
      <c r="I39" s="315"/>
      <c r="J39" s="315"/>
      <c r="K39" s="315"/>
      <c r="L39" s="315"/>
      <c r="M39" s="315"/>
      <c r="N39" s="315"/>
      <c r="O39" s="315"/>
      <c r="P39" s="315"/>
      <c r="Q39" s="315"/>
      <c r="R39" s="315"/>
      <c r="S39" s="315"/>
      <c r="T39" s="315"/>
      <c r="U39" s="315"/>
      <c r="V39" s="316"/>
      <c r="W39" s="588"/>
      <c r="X39" s="591"/>
      <c r="Y39" s="591"/>
      <c r="Z39" s="594"/>
      <c r="AA39" s="301"/>
      <c r="AB39" s="583"/>
      <c r="AC39" s="585"/>
      <c r="AD39" s="314"/>
      <c r="AE39" s="315"/>
      <c r="AF39" s="315"/>
      <c r="AG39" s="315"/>
      <c r="AH39" s="315"/>
      <c r="AI39" s="315"/>
      <c r="AJ39" s="315"/>
      <c r="AK39" s="315"/>
      <c r="AL39" s="315"/>
      <c r="AM39" s="315"/>
      <c r="AN39" s="315"/>
      <c r="AO39" s="315"/>
      <c r="AP39" s="315"/>
      <c r="AQ39" s="315"/>
      <c r="AR39" s="315"/>
      <c r="AS39" s="315"/>
      <c r="AT39" s="315"/>
      <c r="AU39" s="315"/>
      <c r="AV39" s="315"/>
      <c r="AW39" s="316"/>
      <c r="AX39" s="588"/>
      <c r="AY39" s="591"/>
      <c r="AZ39" s="591"/>
      <c r="BA39" s="594"/>
      <c r="BB39" s="301"/>
    </row>
    <row r="40" spans="1:54" ht="9" customHeight="1">
      <c r="A40" s="583"/>
      <c r="B40" s="586"/>
      <c r="C40" s="317"/>
      <c r="D40" s="318"/>
      <c r="E40" s="318"/>
      <c r="F40" s="318"/>
      <c r="G40" s="318"/>
      <c r="H40" s="318"/>
      <c r="I40" s="318"/>
      <c r="J40" s="318"/>
      <c r="K40" s="318"/>
      <c r="L40" s="318"/>
      <c r="M40" s="318"/>
      <c r="N40" s="318"/>
      <c r="O40" s="318"/>
      <c r="P40" s="318"/>
      <c r="Q40" s="318"/>
      <c r="R40" s="318"/>
      <c r="S40" s="318"/>
      <c r="T40" s="318"/>
      <c r="U40" s="318"/>
      <c r="V40" s="319"/>
      <c r="W40" s="589"/>
      <c r="X40" s="592"/>
      <c r="Y40" s="592"/>
      <c r="Z40" s="608"/>
      <c r="AA40" s="301"/>
      <c r="AB40" s="583"/>
      <c r="AC40" s="586"/>
      <c r="AD40" s="317"/>
      <c r="AE40" s="318"/>
      <c r="AF40" s="318"/>
      <c r="AG40" s="318"/>
      <c r="AH40" s="318"/>
      <c r="AI40" s="318"/>
      <c r="AJ40" s="318"/>
      <c r="AK40" s="318"/>
      <c r="AL40" s="318"/>
      <c r="AM40" s="318"/>
      <c r="AN40" s="318"/>
      <c r="AO40" s="318"/>
      <c r="AP40" s="318"/>
      <c r="AQ40" s="318"/>
      <c r="AR40" s="318"/>
      <c r="AS40" s="318"/>
      <c r="AT40" s="318"/>
      <c r="AU40" s="318"/>
      <c r="AV40" s="318"/>
      <c r="AW40" s="319"/>
      <c r="AX40" s="589"/>
      <c r="AY40" s="592"/>
      <c r="AZ40" s="592"/>
      <c r="BA40" s="594"/>
      <c r="BB40" s="301"/>
    </row>
    <row r="41" spans="1:54" ht="9" customHeight="1">
      <c r="A41" s="583">
        <v>11</v>
      </c>
      <c r="B41" s="584" t="str">
        <f>STUDENTS!B124</f>
        <v>માણસુરીયા મહેન્દ્રભાઇ ભૂપતભાઇ</v>
      </c>
      <c r="C41" s="311"/>
      <c r="D41" s="312"/>
      <c r="E41" s="312"/>
      <c r="F41" s="312"/>
      <c r="G41" s="312"/>
      <c r="H41" s="312"/>
      <c r="I41" s="312"/>
      <c r="J41" s="312"/>
      <c r="K41" s="312"/>
      <c r="L41" s="312"/>
      <c r="M41" s="312"/>
      <c r="N41" s="312"/>
      <c r="O41" s="312"/>
      <c r="P41" s="312"/>
      <c r="Q41" s="312"/>
      <c r="R41" s="312"/>
      <c r="S41" s="312"/>
      <c r="T41" s="312"/>
      <c r="U41" s="312"/>
      <c r="V41" s="313"/>
      <c r="W41" s="587">
        <f>'A-CALC'!V32</f>
        <v>0</v>
      </c>
      <c r="X41" s="590">
        <f>'A-CALC'!W32</f>
        <v>0</v>
      </c>
      <c r="Y41" s="590">
        <f>'A-CALC'!X32</f>
        <v>0</v>
      </c>
      <c r="Z41" s="593">
        <f t="shared" ref="Z41" si="25">ROUND((40/$Y$7)*W41,0)</f>
        <v>0</v>
      </c>
      <c r="AA41" s="301"/>
      <c r="AB41" s="583">
        <v>11</v>
      </c>
      <c r="AC41" s="584" t="str">
        <f t="shared" si="10"/>
        <v>માણસુરીયા મહેન્દ્રભાઇ ભૂપતભાઇ</v>
      </c>
      <c r="AD41" s="311"/>
      <c r="AE41" s="312"/>
      <c r="AF41" s="312"/>
      <c r="AG41" s="312"/>
      <c r="AH41" s="312"/>
      <c r="AI41" s="312"/>
      <c r="AJ41" s="312"/>
      <c r="AK41" s="312"/>
      <c r="AL41" s="312"/>
      <c r="AM41" s="312"/>
      <c r="AN41" s="312"/>
      <c r="AO41" s="312"/>
      <c r="AP41" s="312"/>
      <c r="AQ41" s="312"/>
      <c r="AR41" s="312"/>
      <c r="AS41" s="312"/>
      <c r="AT41" s="312"/>
      <c r="AU41" s="312"/>
      <c r="AV41" s="312"/>
      <c r="AW41" s="313"/>
      <c r="AX41" s="587">
        <f>'A-CALC'!AU32</f>
        <v>0</v>
      </c>
      <c r="AY41" s="590">
        <f>'A-CALC'!AV32</f>
        <v>0</v>
      </c>
      <c r="AZ41" s="590">
        <f>'A-CALC'!AW32</f>
        <v>0</v>
      </c>
      <c r="BA41" s="593">
        <f t="shared" ref="BA41" si="26">ROUND((40/$Y$7)*AX41,0)</f>
        <v>0</v>
      </c>
      <c r="BB41" s="301"/>
    </row>
    <row r="42" spans="1:54" ht="9" customHeight="1">
      <c r="A42" s="583"/>
      <c r="B42" s="585"/>
      <c r="C42" s="314"/>
      <c r="D42" s="315"/>
      <c r="E42" s="315"/>
      <c r="F42" s="315"/>
      <c r="G42" s="315"/>
      <c r="H42" s="315"/>
      <c r="I42" s="315"/>
      <c r="J42" s="315"/>
      <c r="K42" s="315"/>
      <c r="L42" s="315"/>
      <c r="M42" s="315"/>
      <c r="N42" s="315"/>
      <c r="O42" s="315"/>
      <c r="P42" s="315"/>
      <c r="Q42" s="315"/>
      <c r="R42" s="315"/>
      <c r="S42" s="315"/>
      <c r="T42" s="315"/>
      <c r="U42" s="315"/>
      <c r="V42" s="316"/>
      <c r="W42" s="588"/>
      <c r="X42" s="591"/>
      <c r="Y42" s="591"/>
      <c r="Z42" s="594"/>
      <c r="AA42" s="301"/>
      <c r="AB42" s="583"/>
      <c r="AC42" s="585"/>
      <c r="AD42" s="314"/>
      <c r="AE42" s="315"/>
      <c r="AF42" s="315"/>
      <c r="AG42" s="315"/>
      <c r="AH42" s="315"/>
      <c r="AI42" s="315"/>
      <c r="AJ42" s="315"/>
      <c r="AK42" s="315"/>
      <c r="AL42" s="315"/>
      <c r="AM42" s="315"/>
      <c r="AN42" s="315"/>
      <c r="AO42" s="315"/>
      <c r="AP42" s="315"/>
      <c r="AQ42" s="315"/>
      <c r="AR42" s="315"/>
      <c r="AS42" s="315"/>
      <c r="AT42" s="315"/>
      <c r="AU42" s="315"/>
      <c r="AV42" s="315"/>
      <c r="AW42" s="316"/>
      <c r="AX42" s="588"/>
      <c r="AY42" s="591"/>
      <c r="AZ42" s="591"/>
      <c r="BA42" s="594"/>
      <c r="BB42" s="301"/>
    </row>
    <row r="43" spans="1:54" ht="9" customHeight="1">
      <c r="A43" s="583"/>
      <c r="B43" s="586"/>
      <c r="C43" s="317"/>
      <c r="D43" s="318"/>
      <c r="E43" s="318"/>
      <c r="F43" s="318"/>
      <c r="G43" s="318"/>
      <c r="H43" s="318"/>
      <c r="I43" s="318"/>
      <c r="J43" s="318"/>
      <c r="K43" s="318"/>
      <c r="L43" s="318"/>
      <c r="M43" s="318"/>
      <c r="N43" s="318"/>
      <c r="O43" s="318"/>
      <c r="P43" s="318"/>
      <c r="Q43" s="318"/>
      <c r="R43" s="318"/>
      <c r="S43" s="318"/>
      <c r="T43" s="318"/>
      <c r="U43" s="318"/>
      <c r="V43" s="319"/>
      <c r="W43" s="589"/>
      <c r="X43" s="592"/>
      <c r="Y43" s="592"/>
      <c r="Z43" s="608"/>
      <c r="AA43" s="301"/>
      <c r="AB43" s="583"/>
      <c r="AC43" s="586"/>
      <c r="AD43" s="317"/>
      <c r="AE43" s="318"/>
      <c r="AF43" s="318"/>
      <c r="AG43" s="318"/>
      <c r="AH43" s="318"/>
      <c r="AI43" s="318"/>
      <c r="AJ43" s="318"/>
      <c r="AK43" s="318"/>
      <c r="AL43" s="318"/>
      <c r="AM43" s="318"/>
      <c r="AN43" s="318"/>
      <c r="AO43" s="318"/>
      <c r="AP43" s="318"/>
      <c r="AQ43" s="318"/>
      <c r="AR43" s="318"/>
      <c r="AS43" s="318"/>
      <c r="AT43" s="318"/>
      <c r="AU43" s="318"/>
      <c r="AV43" s="318"/>
      <c r="AW43" s="319"/>
      <c r="AX43" s="589"/>
      <c r="AY43" s="592"/>
      <c r="AZ43" s="592"/>
      <c r="BA43" s="594"/>
      <c r="BB43" s="301"/>
    </row>
    <row r="44" spans="1:54" ht="9" customHeight="1">
      <c r="A44" s="583">
        <v>12</v>
      </c>
      <c r="B44" s="584" t="str">
        <f>STUDENTS!B136</f>
        <v>પરમાર અજયકુમાર રમેશભાઇ</v>
      </c>
      <c r="C44" s="311"/>
      <c r="D44" s="312"/>
      <c r="E44" s="312"/>
      <c r="F44" s="312"/>
      <c r="G44" s="312"/>
      <c r="H44" s="312"/>
      <c r="I44" s="312"/>
      <c r="J44" s="312"/>
      <c r="K44" s="312"/>
      <c r="L44" s="312"/>
      <c r="M44" s="312"/>
      <c r="N44" s="312"/>
      <c r="O44" s="312"/>
      <c r="P44" s="312"/>
      <c r="Q44" s="312"/>
      <c r="R44" s="312"/>
      <c r="S44" s="312"/>
      <c r="T44" s="312"/>
      <c r="U44" s="312"/>
      <c r="V44" s="313"/>
      <c r="W44" s="587">
        <f>'A-CALC'!V35</f>
        <v>0</v>
      </c>
      <c r="X44" s="590">
        <f>'A-CALC'!W35</f>
        <v>0</v>
      </c>
      <c r="Y44" s="590">
        <f>'A-CALC'!X35</f>
        <v>0</v>
      </c>
      <c r="Z44" s="593">
        <f t="shared" ref="Z44" si="27">ROUND((40/$Y$7)*W44,0)</f>
        <v>0</v>
      </c>
      <c r="AA44" s="301"/>
      <c r="AB44" s="583">
        <v>12</v>
      </c>
      <c r="AC44" s="584" t="str">
        <f t="shared" si="13"/>
        <v>પરમાર અજયકુમાર રમેશભાઇ</v>
      </c>
      <c r="AD44" s="311"/>
      <c r="AE44" s="312"/>
      <c r="AF44" s="312"/>
      <c r="AG44" s="312"/>
      <c r="AH44" s="312"/>
      <c r="AI44" s="312"/>
      <c r="AJ44" s="312"/>
      <c r="AK44" s="312"/>
      <c r="AL44" s="312"/>
      <c r="AM44" s="312"/>
      <c r="AN44" s="312"/>
      <c r="AO44" s="312"/>
      <c r="AP44" s="312"/>
      <c r="AQ44" s="312"/>
      <c r="AR44" s="312"/>
      <c r="AS44" s="312"/>
      <c r="AT44" s="312"/>
      <c r="AU44" s="312"/>
      <c r="AV44" s="312"/>
      <c r="AW44" s="313"/>
      <c r="AX44" s="587">
        <f>'A-CALC'!AU35</f>
        <v>0</v>
      </c>
      <c r="AY44" s="590">
        <f>'A-CALC'!AV35</f>
        <v>0</v>
      </c>
      <c r="AZ44" s="590">
        <f>'A-CALC'!AW35</f>
        <v>0</v>
      </c>
      <c r="BA44" s="593">
        <f t="shared" ref="BA44" si="28">ROUND((40/$Y$7)*AX44,0)</f>
        <v>0</v>
      </c>
      <c r="BB44" s="301"/>
    </row>
    <row r="45" spans="1:54" ht="9" customHeight="1">
      <c r="A45" s="583"/>
      <c r="B45" s="585"/>
      <c r="C45" s="314"/>
      <c r="D45" s="315"/>
      <c r="E45" s="315"/>
      <c r="F45" s="315"/>
      <c r="G45" s="315"/>
      <c r="H45" s="315"/>
      <c r="I45" s="315"/>
      <c r="J45" s="315"/>
      <c r="K45" s="315"/>
      <c r="L45" s="315"/>
      <c r="M45" s="315"/>
      <c r="N45" s="315"/>
      <c r="O45" s="315"/>
      <c r="P45" s="315"/>
      <c r="Q45" s="315"/>
      <c r="R45" s="315"/>
      <c r="S45" s="315"/>
      <c r="T45" s="315"/>
      <c r="U45" s="315"/>
      <c r="V45" s="316"/>
      <c r="W45" s="588"/>
      <c r="X45" s="591"/>
      <c r="Y45" s="591"/>
      <c r="Z45" s="594"/>
      <c r="AA45" s="301"/>
      <c r="AB45" s="583"/>
      <c r="AC45" s="585"/>
      <c r="AD45" s="314"/>
      <c r="AE45" s="315"/>
      <c r="AF45" s="315"/>
      <c r="AG45" s="315"/>
      <c r="AH45" s="315"/>
      <c r="AI45" s="315"/>
      <c r="AJ45" s="315"/>
      <c r="AK45" s="315"/>
      <c r="AL45" s="315"/>
      <c r="AM45" s="315"/>
      <c r="AN45" s="315"/>
      <c r="AO45" s="315"/>
      <c r="AP45" s="315"/>
      <c r="AQ45" s="315"/>
      <c r="AR45" s="315"/>
      <c r="AS45" s="315"/>
      <c r="AT45" s="315"/>
      <c r="AU45" s="315"/>
      <c r="AV45" s="315"/>
      <c r="AW45" s="316"/>
      <c r="AX45" s="588"/>
      <c r="AY45" s="591"/>
      <c r="AZ45" s="591"/>
      <c r="BA45" s="594"/>
      <c r="BB45" s="301"/>
    </row>
    <row r="46" spans="1:54" ht="9" customHeight="1">
      <c r="A46" s="583"/>
      <c r="B46" s="586"/>
      <c r="C46" s="317"/>
      <c r="D46" s="318"/>
      <c r="E46" s="318"/>
      <c r="F46" s="318"/>
      <c r="G46" s="318"/>
      <c r="H46" s="318"/>
      <c r="I46" s="318"/>
      <c r="J46" s="318"/>
      <c r="K46" s="318"/>
      <c r="L46" s="318"/>
      <c r="M46" s="318"/>
      <c r="N46" s="318"/>
      <c r="O46" s="318"/>
      <c r="P46" s="318"/>
      <c r="Q46" s="318"/>
      <c r="R46" s="318"/>
      <c r="S46" s="318"/>
      <c r="T46" s="318"/>
      <c r="U46" s="318"/>
      <c r="V46" s="319"/>
      <c r="W46" s="589"/>
      <c r="X46" s="592"/>
      <c r="Y46" s="592"/>
      <c r="Z46" s="608"/>
      <c r="AA46" s="301"/>
      <c r="AB46" s="583"/>
      <c r="AC46" s="586"/>
      <c r="AD46" s="317"/>
      <c r="AE46" s="318"/>
      <c r="AF46" s="318"/>
      <c r="AG46" s="318"/>
      <c r="AH46" s="318"/>
      <c r="AI46" s="318"/>
      <c r="AJ46" s="318"/>
      <c r="AK46" s="318"/>
      <c r="AL46" s="318"/>
      <c r="AM46" s="318"/>
      <c r="AN46" s="318"/>
      <c r="AO46" s="318"/>
      <c r="AP46" s="318"/>
      <c r="AQ46" s="318"/>
      <c r="AR46" s="318"/>
      <c r="AS46" s="318"/>
      <c r="AT46" s="318"/>
      <c r="AU46" s="318"/>
      <c r="AV46" s="318"/>
      <c r="AW46" s="319"/>
      <c r="AX46" s="589"/>
      <c r="AY46" s="592"/>
      <c r="AZ46" s="592"/>
      <c r="BA46" s="594"/>
      <c r="BB46" s="301"/>
    </row>
    <row r="47" spans="1:54" ht="9" customHeight="1">
      <c r="A47" s="583">
        <v>13</v>
      </c>
      <c r="B47" s="584" t="str">
        <f>STUDENTS!B148</f>
        <v>કંડોળીયા અલ્પેશકુમાર ભરતભાઇ</v>
      </c>
      <c r="C47" s="311"/>
      <c r="D47" s="312"/>
      <c r="E47" s="312"/>
      <c r="F47" s="312"/>
      <c r="G47" s="312"/>
      <c r="H47" s="312"/>
      <c r="I47" s="312"/>
      <c r="J47" s="312"/>
      <c r="K47" s="312"/>
      <c r="L47" s="312"/>
      <c r="M47" s="312"/>
      <c r="N47" s="312"/>
      <c r="O47" s="312"/>
      <c r="P47" s="312"/>
      <c r="Q47" s="312"/>
      <c r="R47" s="312"/>
      <c r="S47" s="312"/>
      <c r="T47" s="312"/>
      <c r="U47" s="312"/>
      <c r="V47" s="313"/>
      <c r="W47" s="587">
        <f>'A-CALC'!V38</f>
        <v>0</v>
      </c>
      <c r="X47" s="590">
        <f>'A-CALC'!W38</f>
        <v>0</v>
      </c>
      <c r="Y47" s="590">
        <f>'A-CALC'!X38</f>
        <v>0</v>
      </c>
      <c r="Z47" s="593">
        <f>ROUND((40/$Y$7)*W47,0)</f>
        <v>0</v>
      </c>
      <c r="AA47" s="301"/>
      <c r="AB47" s="583">
        <v>13</v>
      </c>
      <c r="AC47" s="584" t="str">
        <f t="shared" ref="AC47" si="29">B47</f>
        <v>કંડોળીયા અલ્પેશકુમાર ભરતભાઇ</v>
      </c>
      <c r="AD47" s="311"/>
      <c r="AE47" s="312"/>
      <c r="AF47" s="312"/>
      <c r="AG47" s="312"/>
      <c r="AH47" s="312"/>
      <c r="AI47" s="312"/>
      <c r="AJ47" s="312"/>
      <c r="AK47" s="312"/>
      <c r="AL47" s="312"/>
      <c r="AM47" s="312"/>
      <c r="AN47" s="312"/>
      <c r="AO47" s="312"/>
      <c r="AP47" s="312"/>
      <c r="AQ47" s="312"/>
      <c r="AR47" s="312"/>
      <c r="AS47" s="312"/>
      <c r="AT47" s="312"/>
      <c r="AU47" s="312"/>
      <c r="AV47" s="312"/>
      <c r="AW47" s="313"/>
      <c r="AX47" s="587">
        <f>'A-CALC'!AU38</f>
        <v>0</v>
      </c>
      <c r="AY47" s="590">
        <f>'A-CALC'!AV38</f>
        <v>0</v>
      </c>
      <c r="AZ47" s="590">
        <f>'A-CALC'!AW38</f>
        <v>0</v>
      </c>
      <c r="BA47" s="593">
        <f>ROUND((40/$Y$7)*AX47,0)</f>
        <v>0</v>
      </c>
      <c r="BB47" s="301"/>
    </row>
    <row r="48" spans="1:54" ht="9" customHeight="1">
      <c r="A48" s="583"/>
      <c r="B48" s="585"/>
      <c r="C48" s="314"/>
      <c r="D48" s="315"/>
      <c r="E48" s="315"/>
      <c r="F48" s="315"/>
      <c r="G48" s="315"/>
      <c r="H48" s="315"/>
      <c r="I48" s="315"/>
      <c r="J48" s="315"/>
      <c r="K48" s="315"/>
      <c r="L48" s="315"/>
      <c r="M48" s="315"/>
      <c r="N48" s="315"/>
      <c r="O48" s="315"/>
      <c r="P48" s="315"/>
      <c r="Q48" s="315"/>
      <c r="R48" s="315"/>
      <c r="S48" s="315"/>
      <c r="T48" s="315"/>
      <c r="U48" s="315"/>
      <c r="V48" s="316"/>
      <c r="W48" s="588"/>
      <c r="X48" s="591"/>
      <c r="Y48" s="591"/>
      <c r="Z48" s="594"/>
      <c r="AA48" s="301"/>
      <c r="AB48" s="583"/>
      <c r="AC48" s="585"/>
      <c r="AD48" s="314"/>
      <c r="AE48" s="315"/>
      <c r="AF48" s="315"/>
      <c r="AG48" s="315"/>
      <c r="AH48" s="315"/>
      <c r="AI48" s="315"/>
      <c r="AJ48" s="315"/>
      <c r="AK48" s="315"/>
      <c r="AL48" s="315"/>
      <c r="AM48" s="315"/>
      <c r="AN48" s="315"/>
      <c r="AO48" s="315"/>
      <c r="AP48" s="315"/>
      <c r="AQ48" s="315"/>
      <c r="AR48" s="315"/>
      <c r="AS48" s="315"/>
      <c r="AT48" s="315"/>
      <c r="AU48" s="315"/>
      <c r="AV48" s="315"/>
      <c r="AW48" s="316"/>
      <c r="AX48" s="588"/>
      <c r="AY48" s="591"/>
      <c r="AZ48" s="591"/>
      <c r="BA48" s="594"/>
      <c r="BB48" s="301"/>
    </row>
    <row r="49" spans="1:54" ht="9" customHeight="1">
      <c r="A49" s="583"/>
      <c r="B49" s="586"/>
      <c r="C49" s="317"/>
      <c r="D49" s="318"/>
      <c r="E49" s="318"/>
      <c r="F49" s="318"/>
      <c r="G49" s="318"/>
      <c r="H49" s="318"/>
      <c r="I49" s="318"/>
      <c r="J49" s="318"/>
      <c r="K49" s="318"/>
      <c r="L49" s="318"/>
      <c r="M49" s="318"/>
      <c r="N49" s="318"/>
      <c r="O49" s="318"/>
      <c r="P49" s="318"/>
      <c r="Q49" s="318"/>
      <c r="R49" s="318"/>
      <c r="S49" s="318"/>
      <c r="T49" s="318"/>
      <c r="U49" s="318"/>
      <c r="V49" s="319"/>
      <c r="W49" s="589"/>
      <c r="X49" s="592"/>
      <c r="Y49" s="592"/>
      <c r="Z49" s="594"/>
      <c r="AA49" s="301"/>
      <c r="AB49" s="583"/>
      <c r="AC49" s="586"/>
      <c r="AD49" s="317"/>
      <c r="AE49" s="318"/>
      <c r="AF49" s="318"/>
      <c r="AG49" s="318"/>
      <c r="AH49" s="318"/>
      <c r="AI49" s="318"/>
      <c r="AJ49" s="318"/>
      <c r="AK49" s="318"/>
      <c r="AL49" s="318"/>
      <c r="AM49" s="318"/>
      <c r="AN49" s="318"/>
      <c r="AO49" s="318"/>
      <c r="AP49" s="318"/>
      <c r="AQ49" s="318"/>
      <c r="AR49" s="318"/>
      <c r="AS49" s="318"/>
      <c r="AT49" s="318"/>
      <c r="AU49" s="318"/>
      <c r="AV49" s="318"/>
      <c r="AW49" s="319"/>
      <c r="AX49" s="589"/>
      <c r="AY49" s="592"/>
      <c r="AZ49" s="592"/>
      <c r="BA49" s="594"/>
      <c r="BB49" s="301"/>
    </row>
    <row r="50" spans="1:54" ht="9" customHeight="1">
      <c r="A50" s="583">
        <v>14</v>
      </c>
      <c r="B50" s="584" t="str">
        <f>STUDENTS!B160</f>
        <v>મકવાણા તરંગકુમાર કિશોરભાઇ</v>
      </c>
      <c r="C50" s="311"/>
      <c r="D50" s="312"/>
      <c r="E50" s="312"/>
      <c r="F50" s="312"/>
      <c r="G50" s="312"/>
      <c r="H50" s="312"/>
      <c r="I50" s="312"/>
      <c r="J50" s="312"/>
      <c r="K50" s="312"/>
      <c r="L50" s="312"/>
      <c r="M50" s="312"/>
      <c r="N50" s="312"/>
      <c r="O50" s="312"/>
      <c r="P50" s="312"/>
      <c r="Q50" s="312"/>
      <c r="R50" s="312"/>
      <c r="S50" s="312"/>
      <c r="T50" s="312"/>
      <c r="U50" s="312"/>
      <c r="V50" s="313"/>
      <c r="W50" s="587">
        <f>'A-CALC'!V41</f>
        <v>0</v>
      </c>
      <c r="X50" s="590">
        <f>'A-CALC'!W41</f>
        <v>0</v>
      </c>
      <c r="Y50" s="590">
        <f>'A-CALC'!X41</f>
        <v>0</v>
      </c>
      <c r="Z50" s="593">
        <f t="shared" ref="Z50" si="30">ROUND((40/$Y$7)*W50,0)</f>
        <v>0</v>
      </c>
      <c r="AA50" s="301"/>
      <c r="AB50" s="583">
        <v>14</v>
      </c>
      <c r="AC50" s="584" t="str">
        <f t="shared" si="10"/>
        <v>મકવાણા તરંગકુમાર કિશોરભાઇ</v>
      </c>
      <c r="AD50" s="311"/>
      <c r="AE50" s="312"/>
      <c r="AF50" s="312"/>
      <c r="AG50" s="312"/>
      <c r="AH50" s="312"/>
      <c r="AI50" s="312"/>
      <c r="AJ50" s="312"/>
      <c r="AK50" s="312"/>
      <c r="AL50" s="312"/>
      <c r="AM50" s="312"/>
      <c r="AN50" s="312"/>
      <c r="AO50" s="312"/>
      <c r="AP50" s="312"/>
      <c r="AQ50" s="312"/>
      <c r="AR50" s="312"/>
      <c r="AS50" s="312"/>
      <c r="AT50" s="312"/>
      <c r="AU50" s="312"/>
      <c r="AV50" s="312"/>
      <c r="AW50" s="313"/>
      <c r="AX50" s="587">
        <f>'A-CALC'!AU41</f>
        <v>0</v>
      </c>
      <c r="AY50" s="590">
        <f>'A-CALC'!AV41</f>
        <v>0</v>
      </c>
      <c r="AZ50" s="590">
        <f>'A-CALC'!AW41</f>
        <v>0</v>
      </c>
      <c r="BA50" s="593">
        <f t="shared" ref="BA50" si="31">ROUND((40/$Y$7)*AX50,0)</f>
        <v>0</v>
      </c>
      <c r="BB50" s="301"/>
    </row>
    <row r="51" spans="1:54" ht="9" customHeight="1">
      <c r="A51" s="583"/>
      <c r="B51" s="585"/>
      <c r="C51" s="314"/>
      <c r="D51" s="315"/>
      <c r="E51" s="315"/>
      <c r="F51" s="315"/>
      <c r="G51" s="315"/>
      <c r="H51" s="315"/>
      <c r="I51" s="315"/>
      <c r="J51" s="315"/>
      <c r="K51" s="315"/>
      <c r="L51" s="315"/>
      <c r="M51" s="315"/>
      <c r="N51" s="315"/>
      <c r="O51" s="315"/>
      <c r="P51" s="315"/>
      <c r="Q51" s="315"/>
      <c r="R51" s="315"/>
      <c r="S51" s="315"/>
      <c r="T51" s="315"/>
      <c r="U51" s="315"/>
      <c r="V51" s="316"/>
      <c r="W51" s="588"/>
      <c r="X51" s="591"/>
      <c r="Y51" s="591"/>
      <c r="Z51" s="594"/>
      <c r="AA51" s="301"/>
      <c r="AB51" s="583"/>
      <c r="AC51" s="585"/>
      <c r="AD51" s="314"/>
      <c r="AE51" s="315"/>
      <c r="AF51" s="315"/>
      <c r="AG51" s="315"/>
      <c r="AH51" s="315"/>
      <c r="AI51" s="315"/>
      <c r="AJ51" s="315"/>
      <c r="AK51" s="315"/>
      <c r="AL51" s="315"/>
      <c r="AM51" s="315"/>
      <c r="AN51" s="315"/>
      <c r="AO51" s="315"/>
      <c r="AP51" s="315"/>
      <c r="AQ51" s="315"/>
      <c r="AR51" s="315"/>
      <c r="AS51" s="315"/>
      <c r="AT51" s="315"/>
      <c r="AU51" s="315"/>
      <c r="AV51" s="315"/>
      <c r="AW51" s="316"/>
      <c r="AX51" s="588"/>
      <c r="AY51" s="591"/>
      <c r="AZ51" s="591"/>
      <c r="BA51" s="594"/>
      <c r="BB51" s="301"/>
    </row>
    <row r="52" spans="1:54" ht="9" customHeight="1">
      <c r="A52" s="583"/>
      <c r="B52" s="586"/>
      <c r="C52" s="317"/>
      <c r="D52" s="318"/>
      <c r="E52" s="318"/>
      <c r="F52" s="318"/>
      <c r="G52" s="318"/>
      <c r="H52" s="318"/>
      <c r="I52" s="318"/>
      <c r="J52" s="318"/>
      <c r="K52" s="318"/>
      <c r="L52" s="318"/>
      <c r="M52" s="318"/>
      <c r="N52" s="318"/>
      <c r="O52" s="318"/>
      <c r="P52" s="318"/>
      <c r="Q52" s="318"/>
      <c r="R52" s="318"/>
      <c r="S52" s="318"/>
      <c r="T52" s="318"/>
      <c r="U52" s="318"/>
      <c r="V52" s="319"/>
      <c r="W52" s="589"/>
      <c r="X52" s="592"/>
      <c r="Y52" s="592"/>
      <c r="Z52" s="594"/>
      <c r="AA52" s="301"/>
      <c r="AB52" s="583"/>
      <c r="AC52" s="586"/>
      <c r="AD52" s="317"/>
      <c r="AE52" s="318"/>
      <c r="AF52" s="318"/>
      <c r="AG52" s="318"/>
      <c r="AH52" s="318"/>
      <c r="AI52" s="318"/>
      <c r="AJ52" s="318"/>
      <c r="AK52" s="318"/>
      <c r="AL52" s="318"/>
      <c r="AM52" s="318"/>
      <c r="AN52" s="318"/>
      <c r="AO52" s="318"/>
      <c r="AP52" s="318"/>
      <c r="AQ52" s="318"/>
      <c r="AR52" s="318"/>
      <c r="AS52" s="318"/>
      <c r="AT52" s="318"/>
      <c r="AU52" s="318"/>
      <c r="AV52" s="318"/>
      <c r="AW52" s="319"/>
      <c r="AX52" s="589"/>
      <c r="AY52" s="592"/>
      <c r="AZ52" s="592"/>
      <c r="BA52" s="594"/>
      <c r="BB52" s="301"/>
    </row>
    <row r="53" spans="1:54" ht="9" customHeight="1">
      <c r="A53" s="583">
        <v>15</v>
      </c>
      <c r="B53" s="584" t="str">
        <f>STUDENTS!B172</f>
        <v>ઢીમેચા સતીષ હનુભાઇ</v>
      </c>
      <c r="C53" s="311"/>
      <c r="D53" s="312"/>
      <c r="E53" s="312"/>
      <c r="F53" s="312"/>
      <c r="G53" s="312"/>
      <c r="H53" s="312"/>
      <c r="I53" s="312"/>
      <c r="J53" s="312"/>
      <c r="K53" s="312"/>
      <c r="L53" s="312"/>
      <c r="M53" s="312"/>
      <c r="N53" s="312"/>
      <c r="O53" s="312"/>
      <c r="P53" s="312"/>
      <c r="Q53" s="312"/>
      <c r="R53" s="312"/>
      <c r="S53" s="312"/>
      <c r="T53" s="312"/>
      <c r="U53" s="312"/>
      <c r="V53" s="313"/>
      <c r="W53" s="587">
        <f>'A-CALC'!V44</f>
        <v>0</v>
      </c>
      <c r="X53" s="590">
        <f>'A-CALC'!W44</f>
        <v>0</v>
      </c>
      <c r="Y53" s="590">
        <f>'A-CALC'!X44</f>
        <v>0</v>
      </c>
      <c r="Z53" s="593">
        <f t="shared" ref="Z53" si="32">ROUND((40/$Y$7)*W53,0)</f>
        <v>0</v>
      </c>
      <c r="AA53" s="301"/>
      <c r="AB53" s="583">
        <v>15</v>
      </c>
      <c r="AC53" s="584" t="str">
        <f t="shared" si="13"/>
        <v>ઢીમેચા સતીષ હનુભાઇ</v>
      </c>
      <c r="AD53" s="311"/>
      <c r="AE53" s="312"/>
      <c r="AF53" s="312"/>
      <c r="AG53" s="312"/>
      <c r="AH53" s="312"/>
      <c r="AI53" s="312"/>
      <c r="AJ53" s="312"/>
      <c r="AK53" s="312"/>
      <c r="AL53" s="312"/>
      <c r="AM53" s="312"/>
      <c r="AN53" s="312"/>
      <c r="AO53" s="312"/>
      <c r="AP53" s="312"/>
      <c r="AQ53" s="312"/>
      <c r="AR53" s="312"/>
      <c r="AS53" s="312"/>
      <c r="AT53" s="312"/>
      <c r="AU53" s="312"/>
      <c r="AV53" s="312"/>
      <c r="AW53" s="313"/>
      <c r="AX53" s="587">
        <f>'A-CALC'!AU44</f>
        <v>0</v>
      </c>
      <c r="AY53" s="590">
        <f>'A-CALC'!AV44</f>
        <v>0</v>
      </c>
      <c r="AZ53" s="590">
        <f>'A-CALC'!AW44</f>
        <v>0</v>
      </c>
      <c r="BA53" s="593">
        <f t="shared" ref="BA53" si="33">ROUND((40/$Y$7)*AX53,0)</f>
        <v>0</v>
      </c>
      <c r="BB53" s="301"/>
    </row>
    <row r="54" spans="1:54" ht="9" customHeight="1">
      <c r="A54" s="583"/>
      <c r="B54" s="585"/>
      <c r="C54" s="314"/>
      <c r="D54" s="315"/>
      <c r="E54" s="315"/>
      <c r="F54" s="315"/>
      <c r="G54" s="315"/>
      <c r="H54" s="315"/>
      <c r="I54" s="315"/>
      <c r="J54" s="315"/>
      <c r="K54" s="315"/>
      <c r="L54" s="315"/>
      <c r="M54" s="315"/>
      <c r="N54" s="315"/>
      <c r="O54" s="315"/>
      <c r="P54" s="315"/>
      <c r="Q54" s="315"/>
      <c r="R54" s="315"/>
      <c r="S54" s="315"/>
      <c r="T54" s="315"/>
      <c r="U54" s="315"/>
      <c r="V54" s="316"/>
      <c r="W54" s="588"/>
      <c r="X54" s="591"/>
      <c r="Y54" s="591"/>
      <c r="Z54" s="594"/>
      <c r="AA54" s="301"/>
      <c r="AB54" s="583"/>
      <c r="AC54" s="585"/>
      <c r="AD54" s="314"/>
      <c r="AE54" s="315"/>
      <c r="AF54" s="315"/>
      <c r="AG54" s="315"/>
      <c r="AH54" s="315"/>
      <c r="AI54" s="315"/>
      <c r="AJ54" s="315"/>
      <c r="AK54" s="315"/>
      <c r="AL54" s="315"/>
      <c r="AM54" s="315"/>
      <c r="AN54" s="315"/>
      <c r="AO54" s="315"/>
      <c r="AP54" s="315"/>
      <c r="AQ54" s="315"/>
      <c r="AR54" s="315"/>
      <c r="AS54" s="315"/>
      <c r="AT54" s="315"/>
      <c r="AU54" s="315"/>
      <c r="AV54" s="315"/>
      <c r="AW54" s="316"/>
      <c r="AX54" s="588"/>
      <c r="AY54" s="591"/>
      <c r="AZ54" s="591"/>
      <c r="BA54" s="594"/>
      <c r="BB54" s="301"/>
    </row>
    <row r="55" spans="1:54" ht="9" customHeight="1">
      <c r="A55" s="583"/>
      <c r="B55" s="586"/>
      <c r="C55" s="317"/>
      <c r="D55" s="318"/>
      <c r="E55" s="318"/>
      <c r="F55" s="318"/>
      <c r="G55" s="318"/>
      <c r="H55" s="318"/>
      <c r="I55" s="318"/>
      <c r="J55" s="318"/>
      <c r="K55" s="318"/>
      <c r="L55" s="318"/>
      <c r="M55" s="318"/>
      <c r="N55" s="318"/>
      <c r="O55" s="318"/>
      <c r="P55" s="318"/>
      <c r="Q55" s="318"/>
      <c r="R55" s="318"/>
      <c r="S55" s="318"/>
      <c r="T55" s="318"/>
      <c r="U55" s="318"/>
      <c r="V55" s="319"/>
      <c r="W55" s="589"/>
      <c r="X55" s="592"/>
      <c r="Y55" s="592"/>
      <c r="Z55" s="594"/>
      <c r="AA55" s="301"/>
      <c r="AB55" s="583"/>
      <c r="AC55" s="586"/>
      <c r="AD55" s="317"/>
      <c r="AE55" s="318"/>
      <c r="AF55" s="318"/>
      <c r="AG55" s="318"/>
      <c r="AH55" s="318"/>
      <c r="AI55" s="318"/>
      <c r="AJ55" s="318"/>
      <c r="AK55" s="318"/>
      <c r="AL55" s="318"/>
      <c r="AM55" s="318"/>
      <c r="AN55" s="318"/>
      <c r="AO55" s="318"/>
      <c r="AP55" s="318"/>
      <c r="AQ55" s="318"/>
      <c r="AR55" s="318"/>
      <c r="AS55" s="318"/>
      <c r="AT55" s="318"/>
      <c r="AU55" s="318"/>
      <c r="AV55" s="318"/>
      <c r="AW55" s="319"/>
      <c r="AX55" s="589"/>
      <c r="AY55" s="592"/>
      <c r="AZ55" s="592"/>
      <c r="BA55" s="594"/>
      <c r="BB55" s="301"/>
    </row>
    <row r="56" spans="1:54" ht="9" customHeight="1">
      <c r="A56" s="583">
        <v>16</v>
      </c>
      <c r="B56" s="584" t="str">
        <f>STUDENTS!B184</f>
        <v>ખુમાણ શિવરાજભાઇ બાબુભાઇ</v>
      </c>
      <c r="C56" s="311"/>
      <c r="D56" s="312"/>
      <c r="E56" s="312"/>
      <c r="F56" s="312"/>
      <c r="G56" s="312"/>
      <c r="H56" s="312"/>
      <c r="I56" s="312"/>
      <c r="J56" s="312"/>
      <c r="K56" s="312"/>
      <c r="L56" s="312"/>
      <c r="M56" s="312"/>
      <c r="N56" s="312"/>
      <c r="O56" s="312"/>
      <c r="P56" s="312"/>
      <c r="Q56" s="312"/>
      <c r="R56" s="312"/>
      <c r="S56" s="312"/>
      <c r="T56" s="312"/>
      <c r="U56" s="312"/>
      <c r="V56" s="313"/>
      <c r="W56" s="587">
        <f>'A-CALC'!V47</f>
        <v>0</v>
      </c>
      <c r="X56" s="590">
        <f>'A-CALC'!W47</f>
        <v>0</v>
      </c>
      <c r="Y56" s="590">
        <f>'A-CALC'!X47</f>
        <v>0</v>
      </c>
      <c r="Z56" s="593">
        <f t="shared" ref="Z56" si="34">ROUND((40/$Y$7)*W56,0)</f>
        <v>0</v>
      </c>
      <c r="AA56" s="301"/>
      <c r="AB56" s="583">
        <v>16</v>
      </c>
      <c r="AC56" s="584" t="str">
        <f t="shared" ref="AC56" si="35">B56</f>
        <v>ખુમાણ શિવરાજભાઇ બાબુભાઇ</v>
      </c>
      <c r="AD56" s="311"/>
      <c r="AE56" s="312"/>
      <c r="AF56" s="312"/>
      <c r="AG56" s="312"/>
      <c r="AH56" s="312"/>
      <c r="AI56" s="312"/>
      <c r="AJ56" s="312"/>
      <c r="AK56" s="312"/>
      <c r="AL56" s="312"/>
      <c r="AM56" s="312"/>
      <c r="AN56" s="312"/>
      <c r="AO56" s="312"/>
      <c r="AP56" s="312"/>
      <c r="AQ56" s="312"/>
      <c r="AR56" s="312"/>
      <c r="AS56" s="312"/>
      <c r="AT56" s="312"/>
      <c r="AU56" s="312"/>
      <c r="AV56" s="312"/>
      <c r="AW56" s="313"/>
      <c r="AX56" s="587">
        <f>'A-CALC'!AU47</f>
        <v>0</v>
      </c>
      <c r="AY56" s="590">
        <f>'A-CALC'!AV47</f>
        <v>0</v>
      </c>
      <c r="AZ56" s="590">
        <f>'A-CALC'!AW47</f>
        <v>0</v>
      </c>
      <c r="BA56" s="593">
        <f t="shared" ref="BA56" si="36">ROUND((40/$Y$7)*AX56,0)</f>
        <v>0</v>
      </c>
      <c r="BB56" s="301"/>
    </row>
    <row r="57" spans="1:54" ht="9" customHeight="1">
      <c r="A57" s="583"/>
      <c r="B57" s="585"/>
      <c r="C57" s="314"/>
      <c r="D57" s="315"/>
      <c r="E57" s="315"/>
      <c r="F57" s="315"/>
      <c r="G57" s="315"/>
      <c r="H57" s="315"/>
      <c r="I57" s="315"/>
      <c r="J57" s="315"/>
      <c r="K57" s="315"/>
      <c r="L57" s="315"/>
      <c r="M57" s="315"/>
      <c r="N57" s="315"/>
      <c r="O57" s="315"/>
      <c r="P57" s="315"/>
      <c r="Q57" s="315"/>
      <c r="R57" s="315"/>
      <c r="S57" s="315"/>
      <c r="T57" s="315"/>
      <c r="U57" s="315"/>
      <c r="V57" s="316"/>
      <c r="W57" s="588"/>
      <c r="X57" s="591"/>
      <c r="Y57" s="591"/>
      <c r="Z57" s="594"/>
      <c r="AA57" s="301"/>
      <c r="AB57" s="583"/>
      <c r="AC57" s="585"/>
      <c r="AD57" s="314"/>
      <c r="AE57" s="315"/>
      <c r="AF57" s="315"/>
      <c r="AG57" s="315"/>
      <c r="AH57" s="315"/>
      <c r="AI57" s="315"/>
      <c r="AJ57" s="315"/>
      <c r="AK57" s="315"/>
      <c r="AL57" s="315"/>
      <c r="AM57" s="315"/>
      <c r="AN57" s="315"/>
      <c r="AO57" s="315"/>
      <c r="AP57" s="315"/>
      <c r="AQ57" s="315"/>
      <c r="AR57" s="315"/>
      <c r="AS57" s="315"/>
      <c r="AT57" s="315"/>
      <c r="AU57" s="315"/>
      <c r="AV57" s="315"/>
      <c r="AW57" s="316"/>
      <c r="AX57" s="588"/>
      <c r="AY57" s="591"/>
      <c r="AZ57" s="591"/>
      <c r="BA57" s="594"/>
      <c r="BB57" s="301"/>
    </row>
    <row r="58" spans="1:54" ht="9" customHeight="1">
      <c r="A58" s="583"/>
      <c r="B58" s="586"/>
      <c r="C58" s="317"/>
      <c r="D58" s="318"/>
      <c r="E58" s="318"/>
      <c r="F58" s="318"/>
      <c r="G58" s="318"/>
      <c r="H58" s="318"/>
      <c r="I58" s="318"/>
      <c r="J58" s="318"/>
      <c r="K58" s="318"/>
      <c r="L58" s="318"/>
      <c r="M58" s="318"/>
      <c r="N58" s="318"/>
      <c r="O58" s="318"/>
      <c r="P58" s="318"/>
      <c r="Q58" s="318"/>
      <c r="R58" s="318"/>
      <c r="S58" s="318"/>
      <c r="T58" s="318"/>
      <c r="U58" s="318"/>
      <c r="V58" s="319"/>
      <c r="W58" s="589"/>
      <c r="X58" s="592"/>
      <c r="Y58" s="592"/>
      <c r="Z58" s="594"/>
      <c r="AA58" s="301"/>
      <c r="AB58" s="583"/>
      <c r="AC58" s="586"/>
      <c r="AD58" s="317"/>
      <c r="AE58" s="318"/>
      <c r="AF58" s="318"/>
      <c r="AG58" s="318"/>
      <c r="AH58" s="318"/>
      <c r="AI58" s="318"/>
      <c r="AJ58" s="318"/>
      <c r="AK58" s="318"/>
      <c r="AL58" s="318"/>
      <c r="AM58" s="318"/>
      <c r="AN58" s="318"/>
      <c r="AO58" s="318"/>
      <c r="AP58" s="318"/>
      <c r="AQ58" s="318"/>
      <c r="AR58" s="318"/>
      <c r="AS58" s="318"/>
      <c r="AT58" s="318"/>
      <c r="AU58" s="318"/>
      <c r="AV58" s="318"/>
      <c r="AW58" s="319"/>
      <c r="AX58" s="589"/>
      <c r="AY58" s="592"/>
      <c r="AZ58" s="592"/>
      <c r="BA58" s="594"/>
      <c r="BB58" s="301"/>
    </row>
    <row r="59" spans="1:54" ht="9" customHeight="1">
      <c r="A59" s="583">
        <v>17</v>
      </c>
      <c r="B59" s="584" t="str">
        <f>STUDENTS!B196</f>
        <v>માથાસુરીયા દિનેશભાઇ અમરાભાઇ</v>
      </c>
      <c r="C59" s="311"/>
      <c r="D59" s="312"/>
      <c r="E59" s="312"/>
      <c r="F59" s="312"/>
      <c r="G59" s="312"/>
      <c r="H59" s="312"/>
      <c r="I59" s="312"/>
      <c r="J59" s="312"/>
      <c r="K59" s="312"/>
      <c r="L59" s="312"/>
      <c r="M59" s="312"/>
      <c r="N59" s="312"/>
      <c r="O59" s="312"/>
      <c r="P59" s="312"/>
      <c r="Q59" s="312"/>
      <c r="R59" s="312"/>
      <c r="S59" s="312"/>
      <c r="T59" s="312"/>
      <c r="U59" s="312"/>
      <c r="V59" s="313"/>
      <c r="W59" s="587">
        <f>'A-CALC'!V50</f>
        <v>0</v>
      </c>
      <c r="X59" s="590">
        <f>'A-CALC'!W50</f>
        <v>0</v>
      </c>
      <c r="Y59" s="590">
        <f>'A-CALC'!X50</f>
        <v>0</v>
      </c>
      <c r="Z59" s="593">
        <f t="shared" ref="Z59" si="37">ROUND((40/$Y$7)*W59,0)</f>
        <v>0</v>
      </c>
      <c r="AA59" s="301"/>
      <c r="AB59" s="583">
        <v>17</v>
      </c>
      <c r="AC59" s="584" t="str">
        <f t="shared" si="10"/>
        <v>માથાસુરીયા દિનેશભાઇ અમરાભાઇ</v>
      </c>
      <c r="AD59" s="311"/>
      <c r="AE59" s="312"/>
      <c r="AF59" s="312"/>
      <c r="AG59" s="312"/>
      <c r="AH59" s="312"/>
      <c r="AI59" s="312"/>
      <c r="AJ59" s="312"/>
      <c r="AK59" s="312"/>
      <c r="AL59" s="312"/>
      <c r="AM59" s="312"/>
      <c r="AN59" s="312"/>
      <c r="AO59" s="312"/>
      <c r="AP59" s="312"/>
      <c r="AQ59" s="312"/>
      <c r="AR59" s="312"/>
      <c r="AS59" s="312"/>
      <c r="AT59" s="312"/>
      <c r="AU59" s="312"/>
      <c r="AV59" s="312"/>
      <c r="AW59" s="313"/>
      <c r="AX59" s="587">
        <f>'A-CALC'!AU50</f>
        <v>0</v>
      </c>
      <c r="AY59" s="590">
        <f>'A-CALC'!AV50</f>
        <v>0</v>
      </c>
      <c r="AZ59" s="590">
        <f>'A-CALC'!AW50</f>
        <v>0</v>
      </c>
      <c r="BA59" s="593">
        <f t="shared" ref="BA59" si="38">ROUND((40/$Y$7)*AX59,0)</f>
        <v>0</v>
      </c>
      <c r="BB59" s="301"/>
    </row>
    <row r="60" spans="1:54" ht="9" customHeight="1">
      <c r="A60" s="583"/>
      <c r="B60" s="585"/>
      <c r="C60" s="314"/>
      <c r="D60" s="315"/>
      <c r="E60" s="315"/>
      <c r="F60" s="315"/>
      <c r="G60" s="315"/>
      <c r="H60" s="315"/>
      <c r="I60" s="315"/>
      <c r="J60" s="315"/>
      <c r="K60" s="315"/>
      <c r="L60" s="315"/>
      <c r="M60" s="315"/>
      <c r="N60" s="315"/>
      <c r="O60" s="315"/>
      <c r="P60" s="315"/>
      <c r="Q60" s="315"/>
      <c r="R60" s="315"/>
      <c r="S60" s="315"/>
      <c r="T60" s="315"/>
      <c r="U60" s="315"/>
      <c r="V60" s="316"/>
      <c r="W60" s="588"/>
      <c r="X60" s="591"/>
      <c r="Y60" s="591"/>
      <c r="Z60" s="594"/>
      <c r="AA60" s="301"/>
      <c r="AB60" s="583"/>
      <c r="AC60" s="585"/>
      <c r="AD60" s="314"/>
      <c r="AE60" s="315"/>
      <c r="AF60" s="315"/>
      <c r="AG60" s="315"/>
      <c r="AH60" s="315"/>
      <c r="AI60" s="315"/>
      <c r="AJ60" s="315"/>
      <c r="AK60" s="315"/>
      <c r="AL60" s="315"/>
      <c r="AM60" s="315"/>
      <c r="AN60" s="315"/>
      <c r="AO60" s="315"/>
      <c r="AP60" s="315"/>
      <c r="AQ60" s="315"/>
      <c r="AR60" s="315"/>
      <c r="AS60" s="315"/>
      <c r="AT60" s="315"/>
      <c r="AU60" s="315"/>
      <c r="AV60" s="315"/>
      <c r="AW60" s="316"/>
      <c r="AX60" s="588"/>
      <c r="AY60" s="591"/>
      <c r="AZ60" s="591"/>
      <c r="BA60" s="594"/>
      <c r="BB60" s="301"/>
    </row>
    <row r="61" spans="1:54" ht="9" customHeight="1">
      <c r="A61" s="583"/>
      <c r="B61" s="586"/>
      <c r="C61" s="317"/>
      <c r="D61" s="318"/>
      <c r="E61" s="318"/>
      <c r="F61" s="318"/>
      <c r="G61" s="318"/>
      <c r="H61" s="318"/>
      <c r="I61" s="318"/>
      <c r="J61" s="318"/>
      <c r="K61" s="318"/>
      <c r="L61" s="318"/>
      <c r="M61" s="318"/>
      <c r="N61" s="318"/>
      <c r="O61" s="318"/>
      <c r="P61" s="318"/>
      <c r="Q61" s="318"/>
      <c r="R61" s="318"/>
      <c r="S61" s="318"/>
      <c r="T61" s="318"/>
      <c r="U61" s="318"/>
      <c r="V61" s="319"/>
      <c r="W61" s="589"/>
      <c r="X61" s="592"/>
      <c r="Y61" s="592"/>
      <c r="Z61" s="594"/>
      <c r="AA61" s="301"/>
      <c r="AB61" s="583"/>
      <c r="AC61" s="586"/>
      <c r="AD61" s="317"/>
      <c r="AE61" s="318"/>
      <c r="AF61" s="318"/>
      <c r="AG61" s="318"/>
      <c r="AH61" s="318"/>
      <c r="AI61" s="318"/>
      <c r="AJ61" s="318"/>
      <c r="AK61" s="318"/>
      <c r="AL61" s="318"/>
      <c r="AM61" s="318"/>
      <c r="AN61" s="318"/>
      <c r="AO61" s="318"/>
      <c r="AP61" s="318"/>
      <c r="AQ61" s="318"/>
      <c r="AR61" s="318"/>
      <c r="AS61" s="318"/>
      <c r="AT61" s="318"/>
      <c r="AU61" s="318"/>
      <c r="AV61" s="318"/>
      <c r="AW61" s="319"/>
      <c r="AX61" s="589"/>
      <c r="AY61" s="592"/>
      <c r="AZ61" s="592"/>
      <c r="BA61" s="594"/>
      <c r="BB61" s="301"/>
    </row>
    <row r="62" spans="1:54" ht="9" customHeight="1">
      <c r="A62" s="583">
        <v>18</v>
      </c>
      <c r="B62" s="584" t="str">
        <f>STUDENTS!B208</f>
        <v>વાઘેલા હરેશ જીલુભાઇ</v>
      </c>
      <c r="C62" s="311"/>
      <c r="D62" s="312"/>
      <c r="E62" s="312"/>
      <c r="F62" s="312"/>
      <c r="G62" s="312"/>
      <c r="H62" s="312"/>
      <c r="I62" s="312"/>
      <c r="J62" s="312"/>
      <c r="K62" s="312"/>
      <c r="L62" s="312"/>
      <c r="M62" s="312"/>
      <c r="N62" s="312"/>
      <c r="O62" s="312"/>
      <c r="P62" s="312"/>
      <c r="Q62" s="312"/>
      <c r="R62" s="312"/>
      <c r="S62" s="312"/>
      <c r="T62" s="312"/>
      <c r="U62" s="312"/>
      <c r="V62" s="313"/>
      <c r="W62" s="587">
        <f>'A-CALC'!V53</f>
        <v>0</v>
      </c>
      <c r="X62" s="590">
        <f>'A-CALC'!W53</f>
        <v>0</v>
      </c>
      <c r="Y62" s="590">
        <f>'A-CALC'!X53</f>
        <v>0</v>
      </c>
      <c r="Z62" s="593">
        <f t="shared" ref="Z62" si="39">ROUND((40/$Y$7)*W62,0)</f>
        <v>0</v>
      </c>
      <c r="AA62" s="301"/>
      <c r="AB62" s="583">
        <v>18</v>
      </c>
      <c r="AC62" s="584" t="str">
        <f t="shared" si="13"/>
        <v>વાઘેલા હરેશ જીલુભાઇ</v>
      </c>
      <c r="AD62" s="311"/>
      <c r="AE62" s="312"/>
      <c r="AF62" s="312"/>
      <c r="AG62" s="312"/>
      <c r="AH62" s="312"/>
      <c r="AI62" s="312"/>
      <c r="AJ62" s="312"/>
      <c r="AK62" s="312"/>
      <c r="AL62" s="312"/>
      <c r="AM62" s="312"/>
      <c r="AN62" s="312"/>
      <c r="AO62" s="312"/>
      <c r="AP62" s="312"/>
      <c r="AQ62" s="312"/>
      <c r="AR62" s="312"/>
      <c r="AS62" s="312"/>
      <c r="AT62" s="312"/>
      <c r="AU62" s="312"/>
      <c r="AV62" s="312"/>
      <c r="AW62" s="313"/>
      <c r="AX62" s="587">
        <f>'A-CALC'!AU53</f>
        <v>0</v>
      </c>
      <c r="AY62" s="590">
        <f>'A-CALC'!AV53</f>
        <v>0</v>
      </c>
      <c r="AZ62" s="590">
        <f>'A-CALC'!AW53</f>
        <v>0</v>
      </c>
      <c r="BA62" s="593">
        <f t="shared" ref="BA62" si="40">ROUND((40/$Y$7)*AX62,0)</f>
        <v>0</v>
      </c>
      <c r="BB62" s="301"/>
    </row>
    <row r="63" spans="1:54" ht="9" customHeight="1">
      <c r="A63" s="583"/>
      <c r="B63" s="585"/>
      <c r="C63" s="314"/>
      <c r="D63" s="315"/>
      <c r="E63" s="315"/>
      <c r="F63" s="315"/>
      <c r="G63" s="315"/>
      <c r="H63" s="315"/>
      <c r="I63" s="315"/>
      <c r="J63" s="315"/>
      <c r="K63" s="315"/>
      <c r="L63" s="315"/>
      <c r="M63" s="315"/>
      <c r="N63" s="315"/>
      <c r="O63" s="315"/>
      <c r="P63" s="315"/>
      <c r="Q63" s="315"/>
      <c r="R63" s="315"/>
      <c r="S63" s="315"/>
      <c r="T63" s="315"/>
      <c r="U63" s="315"/>
      <c r="V63" s="316"/>
      <c r="W63" s="588"/>
      <c r="X63" s="591"/>
      <c r="Y63" s="591"/>
      <c r="Z63" s="594"/>
      <c r="AA63" s="301"/>
      <c r="AB63" s="583"/>
      <c r="AC63" s="585"/>
      <c r="AD63" s="314"/>
      <c r="AE63" s="315"/>
      <c r="AF63" s="315"/>
      <c r="AG63" s="315"/>
      <c r="AH63" s="315"/>
      <c r="AI63" s="315"/>
      <c r="AJ63" s="315"/>
      <c r="AK63" s="315"/>
      <c r="AL63" s="315"/>
      <c r="AM63" s="315"/>
      <c r="AN63" s="315"/>
      <c r="AO63" s="315"/>
      <c r="AP63" s="315"/>
      <c r="AQ63" s="315"/>
      <c r="AR63" s="315"/>
      <c r="AS63" s="315"/>
      <c r="AT63" s="315"/>
      <c r="AU63" s="315"/>
      <c r="AV63" s="315"/>
      <c r="AW63" s="316"/>
      <c r="AX63" s="588"/>
      <c r="AY63" s="591"/>
      <c r="AZ63" s="591"/>
      <c r="BA63" s="594"/>
      <c r="BB63" s="301"/>
    </row>
    <row r="64" spans="1:54" ht="9" customHeight="1">
      <c r="A64" s="583"/>
      <c r="B64" s="586"/>
      <c r="C64" s="317"/>
      <c r="D64" s="318"/>
      <c r="E64" s="318"/>
      <c r="F64" s="318"/>
      <c r="G64" s="318"/>
      <c r="H64" s="318"/>
      <c r="I64" s="318"/>
      <c r="J64" s="318"/>
      <c r="K64" s="318"/>
      <c r="L64" s="318"/>
      <c r="M64" s="318"/>
      <c r="N64" s="318"/>
      <c r="O64" s="318"/>
      <c r="P64" s="318"/>
      <c r="Q64" s="318"/>
      <c r="R64" s="318"/>
      <c r="S64" s="318"/>
      <c r="T64" s="318"/>
      <c r="U64" s="318"/>
      <c r="V64" s="319"/>
      <c r="W64" s="589"/>
      <c r="X64" s="592"/>
      <c r="Y64" s="592"/>
      <c r="Z64" s="594"/>
      <c r="AA64" s="301"/>
      <c r="AB64" s="583"/>
      <c r="AC64" s="586"/>
      <c r="AD64" s="317"/>
      <c r="AE64" s="318"/>
      <c r="AF64" s="318"/>
      <c r="AG64" s="318"/>
      <c r="AH64" s="318"/>
      <c r="AI64" s="318"/>
      <c r="AJ64" s="318"/>
      <c r="AK64" s="318"/>
      <c r="AL64" s="318"/>
      <c r="AM64" s="318"/>
      <c r="AN64" s="318"/>
      <c r="AO64" s="318"/>
      <c r="AP64" s="318"/>
      <c r="AQ64" s="318"/>
      <c r="AR64" s="318"/>
      <c r="AS64" s="318"/>
      <c r="AT64" s="318"/>
      <c r="AU64" s="318"/>
      <c r="AV64" s="318"/>
      <c r="AW64" s="319"/>
      <c r="AX64" s="589"/>
      <c r="AY64" s="592"/>
      <c r="AZ64" s="592"/>
      <c r="BA64" s="594"/>
      <c r="BB64" s="301"/>
    </row>
    <row r="65" spans="1:54" ht="9" customHeight="1">
      <c r="A65" s="583">
        <v>19</v>
      </c>
      <c r="B65" s="584" t="str">
        <f>STUDENTS!B220</f>
        <v>પરમાર દિલીપકુમાર મધુભાઇ</v>
      </c>
      <c r="C65" s="311"/>
      <c r="D65" s="312"/>
      <c r="E65" s="312"/>
      <c r="F65" s="312"/>
      <c r="G65" s="312"/>
      <c r="H65" s="312"/>
      <c r="I65" s="312"/>
      <c r="J65" s="312"/>
      <c r="K65" s="312"/>
      <c r="L65" s="312"/>
      <c r="M65" s="312"/>
      <c r="N65" s="312"/>
      <c r="O65" s="312"/>
      <c r="P65" s="312"/>
      <c r="Q65" s="312"/>
      <c r="R65" s="312"/>
      <c r="S65" s="312"/>
      <c r="T65" s="312"/>
      <c r="U65" s="312"/>
      <c r="V65" s="313"/>
      <c r="W65" s="587">
        <f>'A-CALC'!V56</f>
        <v>0</v>
      </c>
      <c r="X65" s="590">
        <f>'A-CALC'!W56</f>
        <v>0</v>
      </c>
      <c r="Y65" s="590">
        <f>'A-CALC'!X56</f>
        <v>0</v>
      </c>
      <c r="Z65" s="593">
        <f t="shared" ref="Z65" si="41">ROUND((40/$Y$7)*W65,0)</f>
        <v>0</v>
      </c>
      <c r="AA65" s="301"/>
      <c r="AB65" s="583">
        <v>19</v>
      </c>
      <c r="AC65" s="584" t="str">
        <f t="shared" ref="AC65" si="42">B65</f>
        <v>પરમાર દિલીપકુમાર મધુભાઇ</v>
      </c>
      <c r="AD65" s="311"/>
      <c r="AE65" s="312"/>
      <c r="AF65" s="312"/>
      <c r="AG65" s="312"/>
      <c r="AH65" s="312"/>
      <c r="AI65" s="312"/>
      <c r="AJ65" s="312"/>
      <c r="AK65" s="312"/>
      <c r="AL65" s="312"/>
      <c r="AM65" s="312"/>
      <c r="AN65" s="312"/>
      <c r="AO65" s="312"/>
      <c r="AP65" s="312"/>
      <c r="AQ65" s="312"/>
      <c r="AR65" s="312"/>
      <c r="AS65" s="312"/>
      <c r="AT65" s="312"/>
      <c r="AU65" s="312"/>
      <c r="AV65" s="312"/>
      <c r="AW65" s="313"/>
      <c r="AX65" s="587">
        <f>'A-CALC'!AU56</f>
        <v>0</v>
      </c>
      <c r="AY65" s="590">
        <f>'A-CALC'!AV56</f>
        <v>0</v>
      </c>
      <c r="AZ65" s="590">
        <f>'A-CALC'!AW56</f>
        <v>0</v>
      </c>
      <c r="BA65" s="593">
        <f t="shared" ref="BA65" si="43">ROUND((40/$Y$7)*AX65,0)</f>
        <v>0</v>
      </c>
      <c r="BB65" s="301"/>
    </row>
    <row r="66" spans="1:54" ht="9" customHeight="1">
      <c r="A66" s="583"/>
      <c r="B66" s="585"/>
      <c r="C66" s="314"/>
      <c r="D66" s="315"/>
      <c r="E66" s="315"/>
      <c r="F66" s="315"/>
      <c r="G66" s="315"/>
      <c r="H66" s="315"/>
      <c r="I66" s="315"/>
      <c r="J66" s="315"/>
      <c r="K66" s="315"/>
      <c r="L66" s="315"/>
      <c r="M66" s="315"/>
      <c r="N66" s="315"/>
      <c r="O66" s="315"/>
      <c r="P66" s="315"/>
      <c r="Q66" s="315"/>
      <c r="R66" s="315"/>
      <c r="S66" s="315"/>
      <c r="T66" s="315"/>
      <c r="U66" s="315"/>
      <c r="V66" s="316"/>
      <c r="W66" s="588"/>
      <c r="X66" s="591"/>
      <c r="Y66" s="591"/>
      <c r="Z66" s="594"/>
      <c r="AA66" s="301"/>
      <c r="AB66" s="583"/>
      <c r="AC66" s="585"/>
      <c r="AD66" s="314"/>
      <c r="AE66" s="315"/>
      <c r="AF66" s="315"/>
      <c r="AG66" s="315"/>
      <c r="AH66" s="315"/>
      <c r="AI66" s="315"/>
      <c r="AJ66" s="315"/>
      <c r="AK66" s="315"/>
      <c r="AL66" s="315"/>
      <c r="AM66" s="315"/>
      <c r="AN66" s="315"/>
      <c r="AO66" s="315"/>
      <c r="AP66" s="315"/>
      <c r="AQ66" s="315"/>
      <c r="AR66" s="315"/>
      <c r="AS66" s="315"/>
      <c r="AT66" s="315"/>
      <c r="AU66" s="315"/>
      <c r="AV66" s="315"/>
      <c r="AW66" s="316"/>
      <c r="AX66" s="588"/>
      <c r="AY66" s="591"/>
      <c r="AZ66" s="591"/>
      <c r="BA66" s="594"/>
      <c r="BB66" s="301"/>
    </row>
    <row r="67" spans="1:54" ht="9" customHeight="1">
      <c r="A67" s="583"/>
      <c r="B67" s="586"/>
      <c r="C67" s="317"/>
      <c r="D67" s="318"/>
      <c r="E67" s="318"/>
      <c r="F67" s="318"/>
      <c r="G67" s="318"/>
      <c r="H67" s="318"/>
      <c r="I67" s="318"/>
      <c r="J67" s="318"/>
      <c r="K67" s="318"/>
      <c r="L67" s="318"/>
      <c r="M67" s="318"/>
      <c r="N67" s="318"/>
      <c r="O67" s="318"/>
      <c r="P67" s="318"/>
      <c r="Q67" s="318"/>
      <c r="R67" s="318"/>
      <c r="S67" s="318"/>
      <c r="T67" s="318"/>
      <c r="U67" s="318"/>
      <c r="V67" s="319"/>
      <c r="W67" s="589"/>
      <c r="X67" s="592"/>
      <c r="Y67" s="592"/>
      <c r="Z67" s="594"/>
      <c r="AA67" s="301"/>
      <c r="AB67" s="583"/>
      <c r="AC67" s="586"/>
      <c r="AD67" s="317"/>
      <c r="AE67" s="318"/>
      <c r="AF67" s="318"/>
      <c r="AG67" s="318"/>
      <c r="AH67" s="318"/>
      <c r="AI67" s="318"/>
      <c r="AJ67" s="318"/>
      <c r="AK67" s="318"/>
      <c r="AL67" s="318"/>
      <c r="AM67" s="318"/>
      <c r="AN67" s="318"/>
      <c r="AO67" s="318"/>
      <c r="AP67" s="318"/>
      <c r="AQ67" s="318"/>
      <c r="AR67" s="318"/>
      <c r="AS67" s="318"/>
      <c r="AT67" s="318"/>
      <c r="AU67" s="318"/>
      <c r="AV67" s="318"/>
      <c r="AW67" s="319"/>
      <c r="AX67" s="589"/>
      <c r="AY67" s="592"/>
      <c r="AZ67" s="592"/>
      <c r="BA67" s="594"/>
      <c r="BB67" s="301"/>
    </row>
    <row r="68" spans="1:54" ht="9" customHeight="1">
      <c r="A68" s="583">
        <v>20</v>
      </c>
      <c r="B68" s="584" t="str">
        <f>STUDENTS!B232</f>
        <v>વિરપરા કૃણાલ હરેશભાઇ</v>
      </c>
      <c r="C68" s="311"/>
      <c r="D68" s="312"/>
      <c r="E68" s="312"/>
      <c r="F68" s="312"/>
      <c r="G68" s="312"/>
      <c r="H68" s="312"/>
      <c r="I68" s="312"/>
      <c r="J68" s="312"/>
      <c r="K68" s="312"/>
      <c r="L68" s="312"/>
      <c r="M68" s="312"/>
      <c r="N68" s="312"/>
      <c r="O68" s="312"/>
      <c r="P68" s="312"/>
      <c r="Q68" s="312"/>
      <c r="R68" s="312"/>
      <c r="S68" s="312"/>
      <c r="T68" s="312"/>
      <c r="U68" s="312"/>
      <c r="V68" s="313"/>
      <c r="W68" s="587">
        <f>'A-CALC'!V59</f>
        <v>0</v>
      </c>
      <c r="X68" s="590">
        <f>'A-CALC'!W59</f>
        <v>0</v>
      </c>
      <c r="Y68" s="590">
        <f>'A-CALC'!X59</f>
        <v>0</v>
      </c>
      <c r="Z68" s="593">
        <f t="shared" ref="Z68" si="44">ROUND((40/$Y$7)*W68,0)</f>
        <v>0</v>
      </c>
      <c r="AA68" s="301"/>
      <c r="AB68" s="583">
        <v>20</v>
      </c>
      <c r="AC68" s="584" t="str">
        <f t="shared" si="10"/>
        <v>વિરપરા કૃણાલ હરેશભાઇ</v>
      </c>
      <c r="AD68" s="311"/>
      <c r="AE68" s="312"/>
      <c r="AF68" s="312"/>
      <c r="AG68" s="312"/>
      <c r="AH68" s="312"/>
      <c r="AI68" s="312"/>
      <c r="AJ68" s="312"/>
      <c r="AK68" s="312"/>
      <c r="AL68" s="312"/>
      <c r="AM68" s="312"/>
      <c r="AN68" s="312"/>
      <c r="AO68" s="312"/>
      <c r="AP68" s="312"/>
      <c r="AQ68" s="312"/>
      <c r="AR68" s="312"/>
      <c r="AS68" s="312"/>
      <c r="AT68" s="312"/>
      <c r="AU68" s="312"/>
      <c r="AV68" s="312"/>
      <c r="AW68" s="313"/>
      <c r="AX68" s="587">
        <f>'A-CALC'!AU59</f>
        <v>0</v>
      </c>
      <c r="AY68" s="590">
        <f>'A-CALC'!AV59</f>
        <v>0</v>
      </c>
      <c r="AZ68" s="590">
        <f>'A-CALC'!AW59</f>
        <v>0</v>
      </c>
      <c r="BA68" s="593">
        <f t="shared" ref="BA68" si="45">ROUND((40/$Y$7)*AX68,0)</f>
        <v>0</v>
      </c>
      <c r="BB68" s="301"/>
    </row>
    <row r="69" spans="1:54" ht="9" customHeight="1">
      <c r="A69" s="583"/>
      <c r="B69" s="585"/>
      <c r="C69" s="314"/>
      <c r="D69" s="315"/>
      <c r="E69" s="315"/>
      <c r="F69" s="315"/>
      <c r="G69" s="315"/>
      <c r="H69" s="315"/>
      <c r="I69" s="315"/>
      <c r="J69" s="315"/>
      <c r="K69" s="315"/>
      <c r="L69" s="315"/>
      <c r="M69" s="315"/>
      <c r="N69" s="315"/>
      <c r="O69" s="315"/>
      <c r="P69" s="315"/>
      <c r="Q69" s="315"/>
      <c r="R69" s="315"/>
      <c r="S69" s="315"/>
      <c r="T69" s="315"/>
      <c r="U69" s="315"/>
      <c r="V69" s="316"/>
      <c r="W69" s="588"/>
      <c r="X69" s="591"/>
      <c r="Y69" s="591"/>
      <c r="Z69" s="594"/>
      <c r="AA69" s="301"/>
      <c r="AB69" s="583"/>
      <c r="AC69" s="585"/>
      <c r="AD69" s="314"/>
      <c r="AE69" s="315"/>
      <c r="AF69" s="315"/>
      <c r="AG69" s="315"/>
      <c r="AH69" s="315"/>
      <c r="AI69" s="315"/>
      <c r="AJ69" s="315"/>
      <c r="AK69" s="315"/>
      <c r="AL69" s="315"/>
      <c r="AM69" s="315"/>
      <c r="AN69" s="315"/>
      <c r="AO69" s="315"/>
      <c r="AP69" s="315"/>
      <c r="AQ69" s="315"/>
      <c r="AR69" s="315"/>
      <c r="AS69" s="315"/>
      <c r="AT69" s="315"/>
      <c r="AU69" s="315"/>
      <c r="AV69" s="315"/>
      <c r="AW69" s="316"/>
      <c r="AX69" s="588"/>
      <c r="AY69" s="591"/>
      <c r="AZ69" s="591"/>
      <c r="BA69" s="594"/>
      <c r="BB69" s="301"/>
    </row>
    <row r="70" spans="1:54" ht="9" customHeight="1">
      <c r="A70" s="583"/>
      <c r="B70" s="586"/>
      <c r="C70" s="317"/>
      <c r="D70" s="318"/>
      <c r="E70" s="318"/>
      <c r="F70" s="318"/>
      <c r="G70" s="318"/>
      <c r="H70" s="318"/>
      <c r="I70" s="318"/>
      <c r="J70" s="318"/>
      <c r="K70" s="318"/>
      <c r="L70" s="318"/>
      <c r="M70" s="318"/>
      <c r="N70" s="318"/>
      <c r="O70" s="318"/>
      <c r="P70" s="318"/>
      <c r="Q70" s="318"/>
      <c r="R70" s="318"/>
      <c r="S70" s="318"/>
      <c r="T70" s="318"/>
      <c r="U70" s="318"/>
      <c r="V70" s="319"/>
      <c r="W70" s="589"/>
      <c r="X70" s="592"/>
      <c r="Y70" s="592"/>
      <c r="Z70" s="594"/>
      <c r="AA70" s="301"/>
      <c r="AB70" s="583"/>
      <c r="AC70" s="586"/>
      <c r="AD70" s="317"/>
      <c r="AE70" s="318"/>
      <c r="AF70" s="318"/>
      <c r="AG70" s="318"/>
      <c r="AH70" s="318"/>
      <c r="AI70" s="318"/>
      <c r="AJ70" s="318"/>
      <c r="AK70" s="318"/>
      <c r="AL70" s="318"/>
      <c r="AM70" s="318"/>
      <c r="AN70" s="318"/>
      <c r="AO70" s="318"/>
      <c r="AP70" s="318"/>
      <c r="AQ70" s="318"/>
      <c r="AR70" s="318"/>
      <c r="AS70" s="318"/>
      <c r="AT70" s="318"/>
      <c r="AU70" s="318"/>
      <c r="AV70" s="318"/>
      <c r="AW70" s="319"/>
      <c r="AX70" s="589"/>
      <c r="AY70" s="592"/>
      <c r="AZ70" s="592"/>
      <c r="BA70" s="594"/>
      <c r="BB70" s="301"/>
    </row>
    <row r="71" spans="1:54" ht="9" customHeight="1">
      <c r="A71" s="583">
        <v>21</v>
      </c>
      <c r="B71" s="584" t="str">
        <f>STUDENTS!B244</f>
        <v>મકરૂબિયા જીજ્ઞેશભાઇ અશોકભાઇ</v>
      </c>
      <c r="C71" s="311"/>
      <c r="D71" s="312"/>
      <c r="E71" s="312"/>
      <c r="F71" s="312"/>
      <c r="G71" s="312"/>
      <c r="H71" s="312"/>
      <c r="I71" s="312"/>
      <c r="J71" s="312"/>
      <c r="K71" s="312"/>
      <c r="L71" s="312"/>
      <c r="M71" s="312"/>
      <c r="N71" s="312"/>
      <c r="O71" s="312"/>
      <c r="P71" s="312"/>
      <c r="Q71" s="312"/>
      <c r="R71" s="312"/>
      <c r="S71" s="312"/>
      <c r="T71" s="312"/>
      <c r="U71" s="312"/>
      <c r="V71" s="313"/>
      <c r="W71" s="587">
        <f>'A-CALC'!V62</f>
        <v>0</v>
      </c>
      <c r="X71" s="590">
        <f>'A-CALC'!W62</f>
        <v>0</v>
      </c>
      <c r="Y71" s="590">
        <f>'A-CALC'!X62</f>
        <v>0</v>
      </c>
      <c r="Z71" s="593">
        <f t="shared" ref="Z71" si="46">ROUND((40/$Y$7)*W71,0)</f>
        <v>0</v>
      </c>
      <c r="AA71" s="301"/>
      <c r="AB71" s="583">
        <v>21</v>
      </c>
      <c r="AC71" s="584" t="str">
        <f t="shared" si="13"/>
        <v>મકરૂબિયા જીજ્ઞેશભાઇ અશોકભાઇ</v>
      </c>
      <c r="AD71" s="311"/>
      <c r="AE71" s="312"/>
      <c r="AF71" s="312"/>
      <c r="AG71" s="312"/>
      <c r="AH71" s="312"/>
      <c r="AI71" s="312"/>
      <c r="AJ71" s="312"/>
      <c r="AK71" s="312"/>
      <c r="AL71" s="312"/>
      <c r="AM71" s="312"/>
      <c r="AN71" s="312"/>
      <c r="AO71" s="312"/>
      <c r="AP71" s="312"/>
      <c r="AQ71" s="312"/>
      <c r="AR71" s="312"/>
      <c r="AS71" s="312"/>
      <c r="AT71" s="312"/>
      <c r="AU71" s="312"/>
      <c r="AV71" s="312"/>
      <c r="AW71" s="313"/>
      <c r="AX71" s="587">
        <f>'A-CALC'!AU62</f>
        <v>0</v>
      </c>
      <c r="AY71" s="590">
        <f>'A-CALC'!AV62</f>
        <v>0</v>
      </c>
      <c r="AZ71" s="590">
        <f>'A-CALC'!AW62</f>
        <v>0</v>
      </c>
      <c r="BA71" s="593">
        <f t="shared" ref="BA71" si="47">ROUND((40/$Y$7)*AX71,0)</f>
        <v>0</v>
      </c>
      <c r="BB71" s="301"/>
    </row>
    <row r="72" spans="1:54" ht="9" customHeight="1">
      <c r="A72" s="583"/>
      <c r="B72" s="585"/>
      <c r="C72" s="314"/>
      <c r="D72" s="315"/>
      <c r="E72" s="315"/>
      <c r="F72" s="315"/>
      <c r="G72" s="315"/>
      <c r="H72" s="315"/>
      <c r="I72" s="315"/>
      <c r="J72" s="315"/>
      <c r="K72" s="315"/>
      <c r="L72" s="315"/>
      <c r="M72" s="315"/>
      <c r="N72" s="315"/>
      <c r="O72" s="315"/>
      <c r="P72" s="315"/>
      <c r="Q72" s="315"/>
      <c r="R72" s="315"/>
      <c r="S72" s="315"/>
      <c r="T72" s="315"/>
      <c r="U72" s="315"/>
      <c r="V72" s="316"/>
      <c r="W72" s="588"/>
      <c r="X72" s="591"/>
      <c r="Y72" s="591"/>
      <c r="Z72" s="594"/>
      <c r="AA72" s="301"/>
      <c r="AB72" s="583"/>
      <c r="AC72" s="585"/>
      <c r="AD72" s="314"/>
      <c r="AE72" s="315"/>
      <c r="AF72" s="315"/>
      <c r="AG72" s="315"/>
      <c r="AH72" s="315"/>
      <c r="AI72" s="315"/>
      <c r="AJ72" s="315"/>
      <c r="AK72" s="315"/>
      <c r="AL72" s="315"/>
      <c r="AM72" s="315"/>
      <c r="AN72" s="315"/>
      <c r="AO72" s="315"/>
      <c r="AP72" s="315"/>
      <c r="AQ72" s="315"/>
      <c r="AR72" s="315"/>
      <c r="AS72" s="315"/>
      <c r="AT72" s="315"/>
      <c r="AU72" s="315"/>
      <c r="AV72" s="315"/>
      <c r="AW72" s="316"/>
      <c r="AX72" s="588"/>
      <c r="AY72" s="591"/>
      <c r="AZ72" s="591"/>
      <c r="BA72" s="594"/>
      <c r="BB72" s="301"/>
    </row>
    <row r="73" spans="1:54" ht="9" customHeight="1">
      <c r="A73" s="583"/>
      <c r="B73" s="586"/>
      <c r="C73" s="317"/>
      <c r="D73" s="318"/>
      <c r="E73" s="318"/>
      <c r="F73" s="318"/>
      <c r="G73" s="318"/>
      <c r="H73" s="318"/>
      <c r="I73" s="318"/>
      <c r="J73" s="318"/>
      <c r="K73" s="318"/>
      <c r="L73" s="318"/>
      <c r="M73" s="318"/>
      <c r="N73" s="318"/>
      <c r="O73" s="318"/>
      <c r="P73" s="318"/>
      <c r="Q73" s="318"/>
      <c r="R73" s="318"/>
      <c r="S73" s="318"/>
      <c r="T73" s="318"/>
      <c r="U73" s="318"/>
      <c r="V73" s="319"/>
      <c r="W73" s="589"/>
      <c r="X73" s="592"/>
      <c r="Y73" s="592"/>
      <c r="Z73" s="594"/>
      <c r="AA73" s="301"/>
      <c r="AB73" s="583"/>
      <c r="AC73" s="586"/>
      <c r="AD73" s="317"/>
      <c r="AE73" s="318"/>
      <c r="AF73" s="318"/>
      <c r="AG73" s="318"/>
      <c r="AH73" s="318"/>
      <c r="AI73" s="318"/>
      <c r="AJ73" s="318"/>
      <c r="AK73" s="318"/>
      <c r="AL73" s="318"/>
      <c r="AM73" s="318"/>
      <c r="AN73" s="318"/>
      <c r="AO73" s="318"/>
      <c r="AP73" s="318"/>
      <c r="AQ73" s="318"/>
      <c r="AR73" s="318"/>
      <c r="AS73" s="318"/>
      <c r="AT73" s="318"/>
      <c r="AU73" s="318"/>
      <c r="AV73" s="318"/>
      <c r="AW73" s="319"/>
      <c r="AX73" s="589"/>
      <c r="AY73" s="592"/>
      <c r="AZ73" s="592"/>
      <c r="BA73" s="594"/>
      <c r="BB73" s="301"/>
    </row>
    <row r="74" spans="1:54" ht="9" customHeight="1">
      <c r="A74" s="583">
        <v>22</v>
      </c>
      <c r="B74" s="584" t="str">
        <f>STUDENTS!B256</f>
        <v>ખિમસુરીયા જ્યોત્સના મુકેશભાઇ</v>
      </c>
      <c r="C74" s="311"/>
      <c r="D74" s="312"/>
      <c r="E74" s="312"/>
      <c r="F74" s="312"/>
      <c r="G74" s="312"/>
      <c r="H74" s="312"/>
      <c r="I74" s="312"/>
      <c r="J74" s="312"/>
      <c r="K74" s="312"/>
      <c r="L74" s="312"/>
      <c r="M74" s="312"/>
      <c r="N74" s="312"/>
      <c r="O74" s="312"/>
      <c r="P74" s="312"/>
      <c r="Q74" s="312"/>
      <c r="R74" s="312"/>
      <c r="S74" s="312"/>
      <c r="T74" s="312"/>
      <c r="U74" s="312"/>
      <c r="V74" s="313"/>
      <c r="W74" s="587">
        <f>'A-CALC'!V65</f>
        <v>0</v>
      </c>
      <c r="X74" s="590">
        <f>'A-CALC'!W65</f>
        <v>0</v>
      </c>
      <c r="Y74" s="590">
        <f>'A-CALC'!X65</f>
        <v>0</v>
      </c>
      <c r="Z74" s="593">
        <f t="shared" ref="Z74" si="48">ROUND((40/$Y$7)*W74,0)</f>
        <v>0</v>
      </c>
      <c r="AA74" s="301"/>
      <c r="AB74" s="583">
        <v>22</v>
      </c>
      <c r="AC74" s="584" t="str">
        <f t="shared" ref="AC74" si="49">B74</f>
        <v>ખિમસુરીયા જ્યોત્સના મુકેશભાઇ</v>
      </c>
      <c r="AD74" s="311"/>
      <c r="AE74" s="312"/>
      <c r="AF74" s="312"/>
      <c r="AG74" s="312"/>
      <c r="AH74" s="312"/>
      <c r="AI74" s="312"/>
      <c r="AJ74" s="312"/>
      <c r="AK74" s="312"/>
      <c r="AL74" s="312"/>
      <c r="AM74" s="312"/>
      <c r="AN74" s="312"/>
      <c r="AO74" s="312"/>
      <c r="AP74" s="312"/>
      <c r="AQ74" s="312"/>
      <c r="AR74" s="312"/>
      <c r="AS74" s="312"/>
      <c r="AT74" s="312"/>
      <c r="AU74" s="312"/>
      <c r="AV74" s="312"/>
      <c r="AW74" s="313"/>
      <c r="AX74" s="587">
        <f>'A-CALC'!AU65</f>
        <v>0</v>
      </c>
      <c r="AY74" s="590">
        <f>'A-CALC'!AV65</f>
        <v>0</v>
      </c>
      <c r="AZ74" s="590">
        <f>'A-CALC'!AW65</f>
        <v>0</v>
      </c>
      <c r="BA74" s="593">
        <f t="shared" ref="BA74" si="50">ROUND((40/$Y$7)*AX74,0)</f>
        <v>0</v>
      </c>
      <c r="BB74" s="301"/>
    </row>
    <row r="75" spans="1:54" ht="9" customHeight="1">
      <c r="A75" s="583"/>
      <c r="B75" s="585"/>
      <c r="C75" s="314"/>
      <c r="D75" s="315"/>
      <c r="E75" s="315"/>
      <c r="F75" s="315"/>
      <c r="G75" s="315"/>
      <c r="H75" s="315"/>
      <c r="I75" s="315"/>
      <c r="J75" s="315"/>
      <c r="K75" s="315"/>
      <c r="L75" s="315"/>
      <c r="M75" s="315"/>
      <c r="N75" s="315"/>
      <c r="O75" s="315"/>
      <c r="P75" s="315"/>
      <c r="Q75" s="315"/>
      <c r="R75" s="315"/>
      <c r="S75" s="315"/>
      <c r="T75" s="315"/>
      <c r="U75" s="315"/>
      <c r="V75" s="316"/>
      <c r="W75" s="588"/>
      <c r="X75" s="591"/>
      <c r="Y75" s="591"/>
      <c r="Z75" s="594"/>
      <c r="AA75" s="301"/>
      <c r="AB75" s="583"/>
      <c r="AC75" s="585"/>
      <c r="AD75" s="314"/>
      <c r="AE75" s="315"/>
      <c r="AF75" s="315"/>
      <c r="AG75" s="315"/>
      <c r="AH75" s="315"/>
      <c r="AI75" s="315"/>
      <c r="AJ75" s="315"/>
      <c r="AK75" s="315"/>
      <c r="AL75" s="315"/>
      <c r="AM75" s="315"/>
      <c r="AN75" s="315"/>
      <c r="AO75" s="315"/>
      <c r="AP75" s="315"/>
      <c r="AQ75" s="315"/>
      <c r="AR75" s="315"/>
      <c r="AS75" s="315"/>
      <c r="AT75" s="315"/>
      <c r="AU75" s="315"/>
      <c r="AV75" s="315"/>
      <c r="AW75" s="316"/>
      <c r="AX75" s="588"/>
      <c r="AY75" s="591"/>
      <c r="AZ75" s="591"/>
      <c r="BA75" s="594"/>
      <c r="BB75" s="301"/>
    </row>
    <row r="76" spans="1:54" ht="9" customHeight="1">
      <c r="A76" s="583"/>
      <c r="B76" s="586"/>
      <c r="C76" s="317"/>
      <c r="D76" s="318"/>
      <c r="E76" s="318"/>
      <c r="F76" s="318"/>
      <c r="G76" s="318"/>
      <c r="H76" s="318"/>
      <c r="I76" s="318"/>
      <c r="J76" s="318"/>
      <c r="K76" s="318"/>
      <c r="L76" s="318"/>
      <c r="M76" s="318"/>
      <c r="N76" s="318"/>
      <c r="O76" s="318"/>
      <c r="P76" s="318"/>
      <c r="Q76" s="318"/>
      <c r="R76" s="318"/>
      <c r="S76" s="318"/>
      <c r="T76" s="318"/>
      <c r="U76" s="318"/>
      <c r="V76" s="319"/>
      <c r="W76" s="589"/>
      <c r="X76" s="592"/>
      <c r="Y76" s="592"/>
      <c r="Z76" s="594"/>
      <c r="AA76" s="301"/>
      <c r="AB76" s="583"/>
      <c r="AC76" s="586"/>
      <c r="AD76" s="317"/>
      <c r="AE76" s="318"/>
      <c r="AF76" s="318"/>
      <c r="AG76" s="318"/>
      <c r="AH76" s="318"/>
      <c r="AI76" s="318"/>
      <c r="AJ76" s="318"/>
      <c r="AK76" s="318"/>
      <c r="AL76" s="318"/>
      <c r="AM76" s="318"/>
      <c r="AN76" s="318"/>
      <c r="AO76" s="318"/>
      <c r="AP76" s="318"/>
      <c r="AQ76" s="318"/>
      <c r="AR76" s="318"/>
      <c r="AS76" s="318"/>
      <c r="AT76" s="318"/>
      <c r="AU76" s="318"/>
      <c r="AV76" s="318"/>
      <c r="AW76" s="319"/>
      <c r="AX76" s="589"/>
      <c r="AY76" s="592"/>
      <c r="AZ76" s="592"/>
      <c r="BA76" s="594"/>
      <c r="BB76" s="301"/>
    </row>
    <row r="77" spans="1:54" ht="9" customHeight="1">
      <c r="A77" s="583">
        <v>23</v>
      </c>
      <c r="B77" s="584" t="str">
        <f>STUDENTS!B268</f>
        <v>ગરણિયા રાજલબેન સામતભાઇ</v>
      </c>
      <c r="C77" s="311"/>
      <c r="D77" s="312"/>
      <c r="E77" s="312"/>
      <c r="F77" s="312"/>
      <c r="G77" s="312"/>
      <c r="H77" s="312"/>
      <c r="I77" s="312"/>
      <c r="J77" s="312"/>
      <c r="K77" s="312"/>
      <c r="L77" s="312"/>
      <c r="M77" s="312"/>
      <c r="N77" s="312"/>
      <c r="O77" s="312"/>
      <c r="P77" s="312"/>
      <c r="Q77" s="312"/>
      <c r="R77" s="312"/>
      <c r="S77" s="312"/>
      <c r="T77" s="312"/>
      <c r="U77" s="312"/>
      <c r="V77" s="313"/>
      <c r="W77" s="587">
        <f>'A-CALC'!V68</f>
        <v>0</v>
      </c>
      <c r="X77" s="590">
        <f>'A-CALC'!W68</f>
        <v>0</v>
      </c>
      <c r="Y77" s="590">
        <f>'A-CALC'!X68</f>
        <v>0</v>
      </c>
      <c r="Z77" s="593">
        <f t="shared" ref="Z77" si="51">ROUND((40/$Y$7)*W77,0)</f>
        <v>0</v>
      </c>
      <c r="AA77" s="301"/>
      <c r="AB77" s="583">
        <v>23</v>
      </c>
      <c r="AC77" s="584" t="str">
        <f t="shared" si="10"/>
        <v>ગરણિયા રાજલબેન સામતભાઇ</v>
      </c>
      <c r="AD77" s="311"/>
      <c r="AE77" s="312"/>
      <c r="AF77" s="312"/>
      <c r="AG77" s="312"/>
      <c r="AH77" s="312"/>
      <c r="AI77" s="312"/>
      <c r="AJ77" s="312"/>
      <c r="AK77" s="312"/>
      <c r="AL77" s="312"/>
      <c r="AM77" s="312"/>
      <c r="AN77" s="312"/>
      <c r="AO77" s="312"/>
      <c r="AP77" s="312"/>
      <c r="AQ77" s="312"/>
      <c r="AR77" s="312"/>
      <c r="AS77" s="312"/>
      <c r="AT77" s="312"/>
      <c r="AU77" s="312"/>
      <c r="AV77" s="312"/>
      <c r="AW77" s="313"/>
      <c r="AX77" s="587">
        <f>'A-CALC'!AU68</f>
        <v>0</v>
      </c>
      <c r="AY77" s="590">
        <f>'A-CALC'!AV68</f>
        <v>0</v>
      </c>
      <c r="AZ77" s="590">
        <f>'A-CALC'!AW68</f>
        <v>0</v>
      </c>
      <c r="BA77" s="593">
        <f t="shared" ref="BA77" si="52">ROUND((40/$Y$7)*AX77,0)</f>
        <v>0</v>
      </c>
      <c r="BB77" s="301"/>
    </row>
    <row r="78" spans="1:54" ht="9" customHeight="1">
      <c r="A78" s="583"/>
      <c r="B78" s="585"/>
      <c r="C78" s="314"/>
      <c r="D78" s="315"/>
      <c r="E78" s="315"/>
      <c r="F78" s="315"/>
      <c r="G78" s="315"/>
      <c r="H78" s="315"/>
      <c r="I78" s="315"/>
      <c r="J78" s="315"/>
      <c r="K78" s="315"/>
      <c r="L78" s="315"/>
      <c r="M78" s="315"/>
      <c r="N78" s="315"/>
      <c r="O78" s="315"/>
      <c r="P78" s="315"/>
      <c r="Q78" s="315"/>
      <c r="R78" s="315"/>
      <c r="S78" s="315"/>
      <c r="T78" s="315"/>
      <c r="U78" s="315"/>
      <c r="V78" s="316"/>
      <c r="W78" s="588"/>
      <c r="X78" s="591"/>
      <c r="Y78" s="591"/>
      <c r="Z78" s="594"/>
      <c r="AA78" s="301"/>
      <c r="AB78" s="583"/>
      <c r="AC78" s="585"/>
      <c r="AD78" s="314"/>
      <c r="AE78" s="315"/>
      <c r="AF78" s="315"/>
      <c r="AG78" s="315"/>
      <c r="AH78" s="315"/>
      <c r="AI78" s="315"/>
      <c r="AJ78" s="315"/>
      <c r="AK78" s="315"/>
      <c r="AL78" s="315"/>
      <c r="AM78" s="315"/>
      <c r="AN78" s="315"/>
      <c r="AO78" s="315"/>
      <c r="AP78" s="315"/>
      <c r="AQ78" s="315"/>
      <c r="AR78" s="315"/>
      <c r="AS78" s="315"/>
      <c r="AT78" s="315"/>
      <c r="AU78" s="315"/>
      <c r="AV78" s="315"/>
      <c r="AW78" s="316"/>
      <c r="AX78" s="588"/>
      <c r="AY78" s="591"/>
      <c r="AZ78" s="591"/>
      <c r="BA78" s="594"/>
      <c r="BB78" s="301"/>
    </row>
    <row r="79" spans="1:54" ht="9" customHeight="1">
      <c r="A79" s="583"/>
      <c r="B79" s="586"/>
      <c r="C79" s="317"/>
      <c r="D79" s="318"/>
      <c r="E79" s="318"/>
      <c r="F79" s="318"/>
      <c r="G79" s="318"/>
      <c r="H79" s="318"/>
      <c r="I79" s="318"/>
      <c r="J79" s="318"/>
      <c r="K79" s="318"/>
      <c r="L79" s="318"/>
      <c r="M79" s="318"/>
      <c r="N79" s="318"/>
      <c r="O79" s="318"/>
      <c r="P79" s="318"/>
      <c r="Q79" s="318"/>
      <c r="R79" s="318"/>
      <c r="S79" s="318"/>
      <c r="T79" s="318"/>
      <c r="U79" s="318"/>
      <c r="V79" s="319"/>
      <c r="W79" s="589"/>
      <c r="X79" s="592"/>
      <c r="Y79" s="592"/>
      <c r="Z79" s="594"/>
      <c r="AA79" s="301"/>
      <c r="AB79" s="583"/>
      <c r="AC79" s="586"/>
      <c r="AD79" s="317"/>
      <c r="AE79" s="318"/>
      <c r="AF79" s="318"/>
      <c r="AG79" s="318"/>
      <c r="AH79" s="318"/>
      <c r="AI79" s="318"/>
      <c r="AJ79" s="318"/>
      <c r="AK79" s="318"/>
      <c r="AL79" s="318"/>
      <c r="AM79" s="318"/>
      <c r="AN79" s="318"/>
      <c r="AO79" s="318"/>
      <c r="AP79" s="318"/>
      <c r="AQ79" s="318"/>
      <c r="AR79" s="318"/>
      <c r="AS79" s="318"/>
      <c r="AT79" s="318"/>
      <c r="AU79" s="318"/>
      <c r="AV79" s="318"/>
      <c r="AW79" s="319"/>
      <c r="AX79" s="589"/>
      <c r="AY79" s="592"/>
      <c r="AZ79" s="592"/>
      <c r="BA79" s="594"/>
      <c r="BB79" s="301"/>
    </row>
    <row r="80" spans="1:54" ht="9" customHeight="1">
      <c r="A80" s="583">
        <v>24</v>
      </c>
      <c r="B80" s="584" t="str">
        <f>STUDENTS!B280</f>
        <v>ગરણિયા નિરાલીબેન પ્રદીપભાઇ</v>
      </c>
      <c r="C80" s="311"/>
      <c r="D80" s="312"/>
      <c r="E80" s="312"/>
      <c r="F80" s="312"/>
      <c r="G80" s="312"/>
      <c r="H80" s="312"/>
      <c r="I80" s="312"/>
      <c r="J80" s="312"/>
      <c r="K80" s="312"/>
      <c r="L80" s="312"/>
      <c r="M80" s="312"/>
      <c r="N80" s="312"/>
      <c r="O80" s="312"/>
      <c r="P80" s="312"/>
      <c r="Q80" s="312"/>
      <c r="R80" s="312"/>
      <c r="S80" s="312"/>
      <c r="T80" s="312"/>
      <c r="U80" s="312"/>
      <c r="V80" s="313"/>
      <c r="W80" s="587">
        <f>'A-CALC'!V71</f>
        <v>0</v>
      </c>
      <c r="X80" s="590">
        <f>'A-CALC'!W71</f>
        <v>0</v>
      </c>
      <c r="Y80" s="590">
        <f>'A-CALC'!X71</f>
        <v>0</v>
      </c>
      <c r="Z80" s="593">
        <f t="shared" ref="Z80" si="53">ROUND((40/$Y$7)*W80,0)</f>
        <v>0</v>
      </c>
      <c r="AA80" s="301"/>
      <c r="AB80" s="583">
        <v>24</v>
      </c>
      <c r="AC80" s="584" t="str">
        <f t="shared" si="13"/>
        <v>ગરણિયા નિરાલીબેન પ્રદીપભાઇ</v>
      </c>
      <c r="AD80" s="311"/>
      <c r="AE80" s="312"/>
      <c r="AF80" s="312"/>
      <c r="AG80" s="312"/>
      <c r="AH80" s="312"/>
      <c r="AI80" s="312"/>
      <c r="AJ80" s="312"/>
      <c r="AK80" s="312"/>
      <c r="AL80" s="312"/>
      <c r="AM80" s="312"/>
      <c r="AN80" s="312"/>
      <c r="AO80" s="312"/>
      <c r="AP80" s="312"/>
      <c r="AQ80" s="312"/>
      <c r="AR80" s="312"/>
      <c r="AS80" s="312"/>
      <c r="AT80" s="312"/>
      <c r="AU80" s="312"/>
      <c r="AV80" s="312"/>
      <c r="AW80" s="313"/>
      <c r="AX80" s="587">
        <f>'A-CALC'!AU71</f>
        <v>0</v>
      </c>
      <c r="AY80" s="590">
        <f>'A-CALC'!AV71</f>
        <v>0</v>
      </c>
      <c r="AZ80" s="590">
        <f>'A-CALC'!AW71</f>
        <v>0</v>
      </c>
      <c r="BA80" s="593">
        <f t="shared" ref="BA80" si="54">ROUND((40/$Y$7)*AX80,0)</f>
        <v>0</v>
      </c>
      <c r="BB80" s="301"/>
    </row>
    <row r="81" spans="1:54" ht="9" customHeight="1">
      <c r="A81" s="583"/>
      <c r="B81" s="585"/>
      <c r="C81" s="314"/>
      <c r="D81" s="315"/>
      <c r="E81" s="315"/>
      <c r="F81" s="315"/>
      <c r="G81" s="315"/>
      <c r="H81" s="315"/>
      <c r="I81" s="315"/>
      <c r="J81" s="315"/>
      <c r="K81" s="315"/>
      <c r="L81" s="315"/>
      <c r="M81" s="315"/>
      <c r="N81" s="315"/>
      <c r="O81" s="315"/>
      <c r="P81" s="315"/>
      <c r="Q81" s="315"/>
      <c r="R81" s="315"/>
      <c r="S81" s="315"/>
      <c r="T81" s="315"/>
      <c r="U81" s="315"/>
      <c r="V81" s="316"/>
      <c r="W81" s="588"/>
      <c r="X81" s="591"/>
      <c r="Y81" s="591"/>
      <c r="Z81" s="594"/>
      <c r="AA81" s="301"/>
      <c r="AB81" s="583"/>
      <c r="AC81" s="585"/>
      <c r="AD81" s="314"/>
      <c r="AE81" s="315"/>
      <c r="AF81" s="315"/>
      <c r="AG81" s="315"/>
      <c r="AH81" s="315"/>
      <c r="AI81" s="315"/>
      <c r="AJ81" s="315"/>
      <c r="AK81" s="315"/>
      <c r="AL81" s="315"/>
      <c r="AM81" s="315"/>
      <c r="AN81" s="315"/>
      <c r="AO81" s="315"/>
      <c r="AP81" s="315"/>
      <c r="AQ81" s="315"/>
      <c r="AR81" s="315"/>
      <c r="AS81" s="315"/>
      <c r="AT81" s="315"/>
      <c r="AU81" s="315"/>
      <c r="AV81" s="315"/>
      <c r="AW81" s="316"/>
      <c r="AX81" s="588"/>
      <c r="AY81" s="591"/>
      <c r="AZ81" s="591"/>
      <c r="BA81" s="594"/>
      <c r="BB81" s="301"/>
    </row>
    <row r="82" spans="1:54" ht="9" customHeight="1">
      <c r="A82" s="583"/>
      <c r="B82" s="586"/>
      <c r="C82" s="317"/>
      <c r="D82" s="318"/>
      <c r="E82" s="318"/>
      <c r="F82" s="318"/>
      <c r="G82" s="318"/>
      <c r="H82" s="318"/>
      <c r="I82" s="318"/>
      <c r="J82" s="318"/>
      <c r="K82" s="318"/>
      <c r="L82" s="318"/>
      <c r="M82" s="318"/>
      <c r="N82" s="318"/>
      <c r="O82" s="318"/>
      <c r="P82" s="318"/>
      <c r="Q82" s="318"/>
      <c r="R82" s="318"/>
      <c r="S82" s="318"/>
      <c r="T82" s="318"/>
      <c r="U82" s="318"/>
      <c r="V82" s="319"/>
      <c r="W82" s="589"/>
      <c r="X82" s="592"/>
      <c r="Y82" s="592"/>
      <c r="Z82" s="594"/>
      <c r="AA82" s="301"/>
      <c r="AB82" s="583"/>
      <c r="AC82" s="586"/>
      <c r="AD82" s="317"/>
      <c r="AE82" s="318"/>
      <c r="AF82" s="318"/>
      <c r="AG82" s="318"/>
      <c r="AH82" s="318"/>
      <c r="AI82" s="318"/>
      <c r="AJ82" s="318"/>
      <c r="AK82" s="318"/>
      <c r="AL82" s="318"/>
      <c r="AM82" s="318"/>
      <c r="AN82" s="318"/>
      <c r="AO82" s="318"/>
      <c r="AP82" s="318"/>
      <c r="AQ82" s="318"/>
      <c r="AR82" s="318"/>
      <c r="AS82" s="318"/>
      <c r="AT82" s="318"/>
      <c r="AU82" s="318"/>
      <c r="AV82" s="318"/>
      <c r="AW82" s="319"/>
      <c r="AX82" s="589"/>
      <c r="AY82" s="592"/>
      <c r="AZ82" s="592"/>
      <c r="BA82" s="594"/>
      <c r="BB82" s="301"/>
    </row>
    <row r="83" spans="1:54" ht="9" customHeight="1">
      <c r="A83" s="583">
        <v>25</v>
      </c>
      <c r="B83" s="584" t="str">
        <f>STUDENTS!B292</f>
        <v>ગરણિયા રાધાબેન લક્ષ્મણભાઇ</v>
      </c>
      <c r="C83" s="311"/>
      <c r="D83" s="312"/>
      <c r="E83" s="312"/>
      <c r="F83" s="312"/>
      <c r="G83" s="312"/>
      <c r="H83" s="312"/>
      <c r="I83" s="312"/>
      <c r="J83" s="312"/>
      <c r="K83" s="312"/>
      <c r="L83" s="312"/>
      <c r="M83" s="312"/>
      <c r="N83" s="312"/>
      <c r="O83" s="312"/>
      <c r="P83" s="312"/>
      <c r="Q83" s="312"/>
      <c r="R83" s="312"/>
      <c r="S83" s="312"/>
      <c r="T83" s="312"/>
      <c r="U83" s="312"/>
      <c r="V83" s="313"/>
      <c r="W83" s="587">
        <f>'A-CALC'!V74</f>
        <v>0</v>
      </c>
      <c r="X83" s="590">
        <f>'A-CALC'!W74</f>
        <v>0</v>
      </c>
      <c r="Y83" s="590">
        <f>'A-CALC'!X74</f>
        <v>0</v>
      </c>
      <c r="Z83" s="593">
        <f t="shared" ref="Z83" si="55">ROUND((40/$Y$7)*W83,0)</f>
        <v>0</v>
      </c>
      <c r="AA83" s="301"/>
      <c r="AB83" s="583">
        <v>25</v>
      </c>
      <c r="AC83" s="584" t="str">
        <f t="shared" ref="AC83" si="56">B83</f>
        <v>ગરણિયા રાધાબેન લક્ષ્મણભાઇ</v>
      </c>
      <c r="AD83" s="311"/>
      <c r="AE83" s="312"/>
      <c r="AF83" s="312"/>
      <c r="AG83" s="312"/>
      <c r="AH83" s="312"/>
      <c r="AI83" s="312"/>
      <c r="AJ83" s="312"/>
      <c r="AK83" s="312"/>
      <c r="AL83" s="312"/>
      <c r="AM83" s="312"/>
      <c r="AN83" s="312"/>
      <c r="AO83" s="312"/>
      <c r="AP83" s="312"/>
      <c r="AQ83" s="312"/>
      <c r="AR83" s="312"/>
      <c r="AS83" s="312"/>
      <c r="AT83" s="312"/>
      <c r="AU83" s="312"/>
      <c r="AV83" s="312"/>
      <c r="AW83" s="313"/>
      <c r="AX83" s="587">
        <f>'A-CALC'!AU74</f>
        <v>0</v>
      </c>
      <c r="AY83" s="590">
        <f>'A-CALC'!AV74</f>
        <v>0</v>
      </c>
      <c r="AZ83" s="590">
        <f>'A-CALC'!AW74</f>
        <v>0</v>
      </c>
      <c r="BA83" s="593">
        <f t="shared" ref="BA83" si="57">ROUND((40/$Y$7)*AX83,0)</f>
        <v>0</v>
      </c>
      <c r="BB83" s="301"/>
    </row>
    <row r="84" spans="1:54" ht="9" customHeight="1">
      <c r="A84" s="583"/>
      <c r="B84" s="585"/>
      <c r="C84" s="314"/>
      <c r="D84" s="315"/>
      <c r="E84" s="315"/>
      <c r="F84" s="315"/>
      <c r="G84" s="315"/>
      <c r="H84" s="315"/>
      <c r="I84" s="315"/>
      <c r="J84" s="315"/>
      <c r="K84" s="315"/>
      <c r="L84" s="315"/>
      <c r="M84" s="315"/>
      <c r="N84" s="315"/>
      <c r="O84" s="315"/>
      <c r="P84" s="315"/>
      <c r="Q84" s="315"/>
      <c r="R84" s="315"/>
      <c r="S84" s="315"/>
      <c r="T84" s="315"/>
      <c r="U84" s="315"/>
      <c r="V84" s="316"/>
      <c r="W84" s="588"/>
      <c r="X84" s="591"/>
      <c r="Y84" s="591"/>
      <c r="Z84" s="594"/>
      <c r="AA84" s="301"/>
      <c r="AB84" s="583"/>
      <c r="AC84" s="585"/>
      <c r="AD84" s="314"/>
      <c r="AE84" s="315"/>
      <c r="AF84" s="315"/>
      <c r="AG84" s="315"/>
      <c r="AH84" s="315"/>
      <c r="AI84" s="315"/>
      <c r="AJ84" s="315"/>
      <c r="AK84" s="315"/>
      <c r="AL84" s="315"/>
      <c r="AM84" s="315"/>
      <c r="AN84" s="315"/>
      <c r="AO84" s="315"/>
      <c r="AP84" s="315"/>
      <c r="AQ84" s="315"/>
      <c r="AR84" s="315"/>
      <c r="AS84" s="315"/>
      <c r="AT84" s="315"/>
      <c r="AU84" s="315"/>
      <c r="AV84" s="315"/>
      <c r="AW84" s="316"/>
      <c r="AX84" s="588"/>
      <c r="AY84" s="591"/>
      <c r="AZ84" s="591"/>
      <c r="BA84" s="594"/>
      <c r="BB84" s="301"/>
    </row>
    <row r="85" spans="1:54" ht="9" customHeight="1">
      <c r="A85" s="583"/>
      <c r="B85" s="586"/>
      <c r="C85" s="317"/>
      <c r="D85" s="318"/>
      <c r="E85" s="318"/>
      <c r="F85" s="318"/>
      <c r="G85" s="318"/>
      <c r="H85" s="318"/>
      <c r="I85" s="318"/>
      <c r="J85" s="318"/>
      <c r="K85" s="318"/>
      <c r="L85" s="318"/>
      <c r="M85" s="318"/>
      <c r="N85" s="318"/>
      <c r="O85" s="318"/>
      <c r="P85" s="318"/>
      <c r="Q85" s="318"/>
      <c r="R85" s="318"/>
      <c r="S85" s="318"/>
      <c r="T85" s="318"/>
      <c r="U85" s="318"/>
      <c r="V85" s="319"/>
      <c r="W85" s="589"/>
      <c r="X85" s="592"/>
      <c r="Y85" s="592"/>
      <c r="Z85" s="594"/>
      <c r="AA85" s="301"/>
      <c r="AB85" s="583"/>
      <c r="AC85" s="586"/>
      <c r="AD85" s="317"/>
      <c r="AE85" s="318"/>
      <c r="AF85" s="318"/>
      <c r="AG85" s="318"/>
      <c r="AH85" s="318"/>
      <c r="AI85" s="318"/>
      <c r="AJ85" s="318"/>
      <c r="AK85" s="318"/>
      <c r="AL85" s="318"/>
      <c r="AM85" s="318"/>
      <c r="AN85" s="318"/>
      <c r="AO85" s="318"/>
      <c r="AP85" s="318"/>
      <c r="AQ85" s="318"/>
      <c r="AR85" s="318"/>
      <c r="AS85" s="318"/>
      <c r="AT85" s="318"/>
      <c r="AU85" s="318"/>
      <c r="AV85" s="318"/>
      <c r="AW85" s="319"/>
      <c r="AX85" s="589"/>
      <c r="AY85" s="592"/>
      <c r="AZ85" s="592"/>
      <c r="BA85" s="594"/>
      <c r="BB85" s="301"/>
    </row>
    <row r="86" spans="1:54" ht="9" customHeight="1">
      <c r="A86" s="583">
        <v>26</v>
      </c>
      <c r="B86" s="584" t="str">
        <f>STUDENTS!B304</f>
        <v>ગૌસ્વામિ મયુરીબેન રમેશગીરી</v>
      </c>
      <c r="C86" s="311"/>
      <c r="D86" s="312"/>
      <c r="E86" s="312"/>
      <c r="F86" s="312"/>
      <c r="G86" s="312"/>
      <c r="H86" s="312"/>
      <c r="I86" s="312"/>
      <c r="J86" s="312"/>
      <c r="K86" s="312"/>
      <c r="L86" s="312"/>
      <c r="M86" s="312"/>
      <c r="N86" s="312"/>
      <c r="O86" s="312"/>
      <c r="P86" s="312"/>
      <c r="Q86" s="312"/>
      <c r="R86" s="312"/>
      <c r="S86" s="312"/>
      <c r="T86" s="312"/>
      <c r="U86" s="312"/>
      <c r="V86" s="313"/>
      <c r="W86" s="587">
        <f>'A-CALC'!V77</f>
        <v>0</v>
      </c>
      <c r="X86" s="590">
        <f>'A-CALC'!W77</f>
        <v>0</v>
      </c>
      <c r="Y86" s="590">
        <f>'A-CALC'!X77</f>
        <v>0</v>
      </c>
      <c r="Z86" s="593">
        <f t="shared" ref="Z86" si="58">ROUND((40/$Y$7)*W86,0)</f>
        <v>0</v>
      </c>
      <c r="AA86" s="301"/>
      <c r="AB86" s="583">
        <v>26</v>
      </c>
      <c r="AC86" s="584" t="str">
        <f t="shared" si="10"/>
        <v>ગૌસ્વામિ મયુરીબેન રમેશગીરી</v>
      </c>
      <c r="AD86" s="311"/>
      <c r="AE86" s="312"/>
      <c r="AF86" s="312"/>
      <c r="AG86" s="312"/>
      <c r="AH86" s="312"/>
      <c r="AI86" s="312"/>
      <c r="AJ86" s="312"/>
      <c r="AK86" s="312"/>
      <c r="AL86" s="312"/>
      <c r="AM86" s="312"/>
      <c r="AN86" s="312"/>
      <c r="AO86" s="312"/>
      <c r="AP86" s="312"/>
      <c r="AQ86" s="312"/>
      <c r="AR86" s="312"/>
      <c r="AS86" s="312"/>
      <c r="AT86" s="312"/>
      <c r="AU86" s="312"/>
      <c r="AV86" s="312"/>
      <c r="AW86" s="313"/>
      <c r="AX86" s="587">
        <f>'A-CALC'!AU77</f>
        <v>0</v>
      </c>
      <c r="AY86" s="590">
        <f>'A-CALC'!AV77</f>
        <v>0</v>
      </c>
      <c r="AZ86" s="590">
        <f>'A-CALC'!AW77</f>
        <v>0</v>
      </c>
      <c r="BA86" s="593">
        <f t="shared" ref="BA86" si="59">ROUND((40/$Y$7)*AX86,0)</f>
        <v>0</v>
      </c>
      <c r="BB86" s="301"/>
    </row>
    <row r="87" spans="1:54" ht="9" customHeight="1">
      <c r="A87" s="583"/>
      <c r="B87" s="585"/>
      <c r="C87" s="314"/>
      <c r="D87" s="315"/>
      <c r="E87" s="315"/>
      <c r="F87" s="315"/>
      <c r="G87" s="315"/>
      <c r="H87" s="315"/>
      <c r="I87" s="315"/>
      <c r="J87" s="315"/>
      <c r="K87" s="315"/>
      <c r="L87" s="315"/>
      <c r="M87" s="315"/>
      <c r="N87" s="315"/>
      <c r="O87" s="315"/>
      <c r="P87" s="315"/>
      <c r="Q87" s="315"/>
      <c r="R87" s="315"/>
      <c r="S87" s="315"/>
      <c r="T87" s="315"/>
      <c r="U87" s="315"/>
      <c r="V87" s="316"/>
      <c r="W87" s="588"/>
      <c r="X87" s="591"/>
      <c r="Y87" s="591"/>
      <c r="Z87" s="594"/>
      <c r="AA87" s="301"/>
      <c r="AB87" s="583"/>
      <c r="AC87" s="585"/>
      <c r="AD87" s="314"/>
      <c r="AE87" s="315"/>
      <c r="AF87" s="315"/>
      <c r="AG87" s="315"/>
      <c r="AH87" s="315"/>
      <c r="AI87" s="315"/>
      <c r="AJ87" s="315"/>
      <c r="AK87" s="315"/>
      <c r="AL87" s="315"/>
      <c r="AM87" s="315"/>
      <c r="AN87" s="315"/>
      <c r="AO87" s="315"/>
      <c r="AP87" s="315"/>
      <c r="AQ87" s="315"/>
      <c r="AR87" s="315"/>
      <c r="AS87" s="315"/>
      <c r="AT87" s="315"/>
      <c r="AU87" s="315"/>
      <c r="AV87" s="315"/>
      <c r="AW87" s="316"/>
      <c r="AX87" s="588"/>
      <c r="AY87" s="591"/>
      <c r="AZ87" s="591"/>
      <c r="BA87" s="594"/>
      <c r="BB87" s="301"/>
    </row>
    <row r="88" spans="1:54" ht="9" customHeight="1">
      <c r="A88" s="583"/>
      <c r="B88" s="586"/>
      <c r="C88" s="317"/>
      <c r="D88" s="318"/>
      <c r="E88" s="318"/>
      <c r="F88" s="318"/>
      <c r="G88" s="318"/>
      <c r="H88" s="318"/>
      <c r="I88" s="318"/>
      <c r="J88" s="318"/>
      <c r="K88" s="318"/>
      <c r="L88" s="318"/>
      <c r="M88" s="318"/>
      <c r="N88" s="318"/>
      <c r="O88" s="318"/>
      <c r="P88" s="318"/>
      <c r="Q88" s="318"/>
      <c r="R88" s="318"/>
      <c r="S88" s="318"/>
      <c r="T88" s="318"/>
      <c r="U88" s="318"/>
      <c r="V88" s="319"/>
      <c r="W88" s="589"/>
      <c r="X88" s="592"/>
      <c r="Y88" s="592"/>
      <c r="Z88" s="594"/>
      <c r="AA88" s="301"/>
      <c r="AB88" s="583"/>
      <c r="AC88" s="586"/>
      <c r="AD88" s="317"/>
      <c r="AE88" s="318"/>
      <c r="AF88" s="318"/>
      <c r="AG88" s="318"/>
      <c r="AH88" s="318"/>
      <c r="AI88" s="318"/>
      <c r="AJ88" s="318"/>
      <c r="AK88" s="318"/>
      <c r="AL88" s="318"/>
      <c r="AM88" s="318"/>
      <c r="AN88" s="318"/>
      <c r="AO88" s="318"/>
      <c r="AP88" s="318"/>
      <c r="AQ88" s="318"/>
      <c r="AR88" s="318"/>
      <c r="AS88" s="318"/>
      <c r="AT88" s="318"/>
      <c r="AU88" s="318"/>
      <c r="AV88" s="318"/>
      <c r="AW88" s="319"/>
      <c r="AX88" s="589"/>
      <c r="AY88" s="592"/>
      <c r="AZ88" s="592"/>
      <c r="BA88" s="594"/>
      <c r="BB88" s="301"/>
    </row>
    <row r="89" spans="1:54" ht="9" customHeight="1">
      <c r="A89" s="583">
        <v>27</v>
      </c>
      <c r="B89" s="584" t="str">
        <f>STUDENTS!B316</f>
        <v>બતાડા જાનકી વાલાભાઇ</v>
      </c>
      <c r="C89" s="311"/>
      <c r="D89" s="312"/>
      <c r="E89" s="312"/>
      <c r="F89" s="312"/>
      <c r="G89" s="312"/>
      <c r="H89" s="312"/>
      <c r="I89" s="312"/>
      <c r="J89" s="312"/>
      <c r="K89" s="312"/>
      <c r="L89" s="312"/>
      <c r="M89" s="312"/>
      <c r="N89" s="312"/>
      <c r="O89" s="312"/>
      <c r="P89" s="312"/>
      <c r="Q89" s="312"/>
      <c r="R89" s="312"/>
      <c r="S89" s="312"/>
      <c r="T89" s="312"/>
      <c r="U89" s="312"/>
      <c r="V89" s="313"/>
      <c r="W89" s="587">
        <f>'A-CALC'!V80</f>
        <v>0</v>
      </c>
      <c r="X89" s="590">
        <f>'A-CALC'!W80</f>
        <v>0</v>
      </c>
      <c r="Y89" s="590">
        <f>'A-CALC'!X80</f>
        <v>0</v>
      </c>
      <c r="Z89" s="593">
        <f t="shared" ref="Z89" si="60">ROUND((40/$Y$7)*W89,0)</f>
        <v>0</v>
      </c>
      <c r="AA89" s="301"/>
      <c r="AB89" s="583">
        <v>27</v>
      </c>
      <c r="AC89" s="584" t="str">
        <f t="shared" si="13"/>
        <v>બતાડા જાનકી વાલાભાઇ</v>
      </c>
      <c r="AD89" s="311"/>
      <c r="AE89" s="312"/>
      <c r="AF89" s="312"/>
      <c r="AG89" s="312"/>
      <c r="AH89" s="312"/>
      <c r="AI89" s="312"/>
      <c r="AJ89" s="312"/>
      <c r="AK89" s="312"/>
      <c r="AL89" s="312"/>
      <c r="AM89" s="312"/>
      <c r="AN89" s="312"/>
      <c r="AO89" s="312"/>
      <c r="AP89" s="312"/>
      <c r="AQ89" s="312"/>
      <c r="AR89" s="312"/>
      <c r="AS89" s="312"/>
      <c r="AT89" s="312"/>
      <c r="AU89" s="312"/>
      <c r="AV89" s="312"/>
      <c r="AW89" s="313"/>
      <c r="AX89" s="587">
        <f>'A-CALC'!AU80</f>
        <v>0</v>
      </c>
      <c r="AY89" s="590">
        <f>'A-CALC'!AV80</f>
        <v>0</v>
      </c>
      <c r="AZ89" s="590">
        <f>'A-CALC'!AW80</f>
        <v>0</v>
      </c>
      <c r="BA89" s="593">
        <f t="shared" ref="BA89" si="61">ROUND((40/$Y$7)*AX89,0)</f>
        <v>0</v>
      </c>
      <c r="BB89" s="301"/>
    </row>
    <row r="90" spans="1:54" ht="9" customHeight="1">
      <c r="A90" s="583"/>
      <c r="B90" s="585"/>
      <c r="C90" s="314"/>
      <c r="D90" s="315"/>
      <c r="E90" s="315"/>
      <c r="F90" s="315"/>
      <c r="G90" s="315"/>
      <c r="H90" s="315"/>
      <c r="I90" s="315"/>
      <c r="J90" s="315"/>
      <c r="K90" s="315"/>
      <c r="L90" s="315"/>
      <c r="M90" s="315"/>
      <c r="N90" s="315"/>
      <c r="O90" s="315"/>
      <c r="P90" s="315"/>
      <c r="Q90" s="315"/>
      <c r="R90" s="315"/>
      <c r="S90" s="315"/>
      <c r="T90" s="315"/>
      <c r="U90" s="315"/>
      <c r="V90" s="316"/>
      <c r="W90" s="588"/>
      <c r="X90" s="591"/>
      <c r="Y90" s="591"/>
      <c r="Z90" s="594"/>
      <c r="AA90" s="301"/>
      <c r="AB90" s="583"/>
      <c r="AC90" s="585"/>
      <c r="AD90" s="314"/>
      <c r="AE90" s="315"/>
      <c r="AF90" s="315"/>
      <c r="AG90" s="315"/>
      <c r="AH90" s="315"/>
      <c r="AI90" s="315"/>
      <c r="AJ90" s="315"/>
      <c r="AK90" s="315"/>
      <c r="AL90" s="315"/>
      <c r="AM90" s="315"/>
      <c r="AN90" s="315"/>
      <c r="AO90" s="315"/>
      <c r="AP90" s="315"/>
      <c r="AQ90" s="315"/>
      <c r="AR90" s="315"/>
      <c r="AS90" s="315"/>
      <c r="AT90" s="315"/>
      <c r="AU90" s="315"/>
      <c r="AV90" s="315"/>
      <c r="AW90" s="316"/>
      <c r="AX90" s="588"/>
      <c r="AY90" s="591"/>
      <c r="AZ90" s="591"/>
      <c r="BA90" s="594"/>
      <c r="BB90" s="301"/>
    </row>
    <row r="91" spans="1:54" ht="9" customHeight="1">
      <c r="A91" s="583"/>
      <c r="B91" s="586"/>
      <c r="C91" s="317"/>
      <c r="D91" s="318"/>
      <c r="E91" s="318"/>
      <c r="F91" s="318"/>
      <c r="G91" s="318"/>
      <c r="H91" s="318"/>
      <c r="I91" s="318"/>
      <c r="J91" s="318"/>
      <c r="K91" s="318"/>
      <c r="L91" s="318"/>
      <c r="M91" s="318"/>
      <c r="N91" s="318"/>
      <c r="O91" s="318"/>
      <c r="P91" s="318"/>
      <c r="Q91" s="318"/>
      <c r="R91" s="318"/>
      <c r="S91" s="318"/>
      <c r="T91" s="318"/>
      <c r="U91" s="318"/>
      <c r="V91" s="319"/>
      <c r="W91" s="589"/>
      <c r="X91" s="592"/>
      <c r="Y91" s="592"/>
      <c r="Z91" s="594"/>
      <c r="AA91" s="301"/>
      <c r="AB91" s="583"/>
      <c r="AC91" s="586"/>
      <c r="AD91" s="317"/>
      <c r="AE91" s="318"/>
      <c r="AF91" s="318"/>
      <c r="AG91" s="318"/>
      <c r="AH91" s="318"/>
      <c r="AI91" s="318"/>
      <c r="AJ91" s="318"/>
      <c r="AK91" s="318"/>
      <c r="AL91" s="318"/>
      <c r="AM91" s="318"/>
      <c r="AN91" s="318"/>
      <c r="AO91" s="318"/>
      <c r="AP91" s="318"/>
      <c r="AQ91" s="318"/>
      <c r="AR91" s="318"/>
      <c r="AS91" s="318"/>
      <c r="AT91" s="318"/>
      <c r="AU91" s="318"/>
      <c r="AV91" s="318"/>
      <c r="AW91" s="319"/>
      <c r="AX91" s="589"/>
      <c r="AY91" s="592"/>
      <c r="AZ91" s="592"/>
      <c r="BA91" s="594"/>
      <c r="BB91" s="301"/>
    </row>
    <row r="92" spans="1:54" ht="9" customHeight="1">
      <c r="A92" s="583">
        <v>28</v>
      </c>
      <c r="B92" s="584" t="str">
        <f>STUDENTS!B328</f>
        <v>બતાડા ક્રિષ્નાબેન દેવશીભાઇ</v>
      </c>
      <c r="C92" s="311"/>
      <c r="D92" s="312"/>
      <c r="E92" s="312"/>
      <c r="F92" s="312"/>
      <c r="G92" s="312"/>
      <c r="H92" s="312"/>
      <c r="I92" s="312"/>
      <c r="J92" s="312"/>
      <c r="K92" s="312"/>
      <c r="L92" s="312"/>
      <c r="M92" s="312"/>
      <c r="N92" s="312"/>
      <c r="O92" s="312"/>
      <c r="P92" s="312"/>
      <c r="Q92" s="312"/>
      <c r="R92" s="312"/>
      <c r="S92" s="312"/>
      <c r="T92" s="312"/>
      <c r="U92" s="312"/>
      <c r="V92" s="313"/>
      <c r="W92" s="587">
        <f>'A-CALC'!V83</f>
        <v>0</v>
      </c>
      <c r="X92" s="590">
        <f>'A-CALC'!W83</f>
        <v>0</v>
      </c>
      <c r="Y92" s="590">
        <f>'A-CALC'!X83</f>
        <v>0</v>
      </c>
      <c r="Z92" s="593">
        <f t="shared" ref="Z92" si="62">ROUND((40/$Y$7)*W92,0)</f>
        <v>0</v>
      </c>
      <c r="AA92" s="301"/>
      <c r="AB92" s="583">
        <v>28</v>
      </c>
      <c r="AC92" s="584" t="str">
        <f t="shared" ref="AC92" si="63">B92</f>
        <v>બતાડા ક્રિષ્નાબેન દેવશીભાઇ</v>
      </c>
      <c r="AD92" s="311"/>
      <c r="AE92" s="312"/>
      <c r="AF92" s="312"/>
      <c r="AG92" s="312"/>
      <c r="AH92" s="312"/>
      <c r="AI92" s="312"/>
      <c r="AJ92" s="312"/>
      <c r="AK92" s="312"/>
      <c r="AL92" s="312"/>
      <c r="AM92" s="312"/>
      <c r="AN92" s="312"/>
      <c r="AO92" s="312"/>
      <c r="AP92" s="312"/>
      <c r="AQ92" s="312"/>
      <c r="AR92" s="312"/>
      <c r="AS92" s="312"/>
      <c r="AT92" s="312"/>
      <c r="AU92" s="312"/>
      <c r="AV92" s="312"/>
      <c r="AW92" s="313"/>
      <c r="AX92" s="587">
        <f>'A-CALC'!AU83</f>
        <v>0</v>
      </c>
      <c r="AY92" s="590">
        <f>'A-CALC'!AV83</f>
        <v>0</v>
      </c>
      <c r="AZ92" s="590">
        <f>'A-CALC'!AW83</f>
        <v>0</v>
      </c>
      <c r="BA92" s="593">
        <f t="shared" ref="BA92" si="64">ROUND((40/$Y$7)*AX92,0)</f>
        <v>0</v>
      </c>
      <c r="BB92" s="301"/>
    </row>
    <row r="93" spans="1:54" ht="9" customHeight="1">
      <c r="A93" s="583"/>
      <c r="B93" s="585"/>
      <c r="C93" s="314"/>
      <c r="D93" s="315"/>
      <c r="E93" s="315"/>
      <c r="F93" s="315"/>
      <c r="G93" s="315"/>
      <c r="H93" s="315"/>
      <c r="I93" s="315"/>
      <c r="J93" s="315"/>
      <c r="K93" s="315"/>
      <c r="L93" s="315"/>
      <c r="M93" s="315"/>
      <c r="N93" s="315"/>
      <c r="O93" s="315"/>
      <c r="P93" s="315"/>
      <c r="Q93" s="315"/>
      <c r="R93" s="315"/>
      <c r="S93" s="315"/>
      <c r="T93" s="315"/>
      <c r="U93" s="315"/>
      <c r="V93" s="316"/>
      <c r="W93" s="588"/>
      <c r="X93" s="591"/>
      <c r="Y93" s="591"/>
      <c r="Z93" s="594"/>
      <c r="AA93" s="301"/>
      <c r="AB93" s="583"/>
      <c r="AC93" s="585"/>
      <c r="AD93" s="314"/>
      <c r="AE93" s="315"/>
      <c r="AF93" s="315"/>
      <c r="AG93" s="315"/>
      <c r="AH93" s="315"/>
      <c r="AI93" s="315"/>
      <c r="AJ93" s="315"/>
      <c r="AK93" s="315"/>
      <c r="AL93" s="315"/>
      <c r="AM93" s="315"/>
      <c r="AN93" s="315"/>
      <c r="AO93" s="315"/>
      <c r="AP93" s="315"/>
      <c r="AQ93" s="315"/>
      <c r="AR93" s="315"/>
      <c r="AS93" s="315"/>
      <c r="AT93" s="315"/>
      <c r="AU93" s="315"/>
      <c r="AV93" s="315"/>
      <c r="AW93" s="316"/>
      <c r="AX93" s="588"/>
      <c r="AY93" s="591"/>
      <c r="AZ93" s="591"/>
      <c r="BA93" s="594"/>
      <c r="BB93" s="301"/>
    </row>
    <row r="94" spans="1:54" ht="9" customHeight="1">
      <c r="A94" s="583"/>
      <c r="B94" s="586"/>
      <c r="C94" s="317"/>
      <c r="D94" s="318"/>
      <c r="E94" s="318"/>
      <c r="F94" s="318"/>
      <c r="G94" s="318"/>
      <c r="H94" s="318"/>
      <c r="I94" s="318"/>
      <c r="J94" s="318"/>
      <c r="K94" s="318"/>
      <c r="L94" s="318"/>
      <c r="M94" s="318"/>
      <c r="N94" s="318"/>
      <c r="O94" s="318"/>
      <c r="P94" s="318"/>
      <c r="Q94" s="318"/>
      <c r="R94" s="318"/>
      <c r="S94" s="318"/>
      <c r="T94" s="318"/>
      <c r="U94" s="318"/>
      <c r="V94" s="319"/>
      <c r="W94" s="589"/>
      <c r="X94" s="592"/>
      <c r="Y94" s="592"/>
      <c r="Z94" s="594"/>
      <c r="AA94" s="301"/>
      <c r="AB94" s="583"/>
      <c r="AC94" s="586"/>
      <c r="AD94" s="317"/>
      <c r="AE94" s="318"/>
      <c r="AF94" s="318"/>
      <c r="AG94" s="318"/>
      <c r="AH94" s="318"/>
      <c r="AI94" s="318"/>
      <c r="AJ94" s="318"/>
      <c r="AK94" s="318"/>
      <c r="AL94" s="318"/>
      <c r="AM94" s="318"/>
      <c r="AN94" s="318"/>
      <c r="AO94" s="318"/>
      <c r="AP94" s="318"/>
      <c r="AQ94" s="318"/>
      <c r="AR94" s="318"/>
      <c r="AS94" s="318"/>
      <c r="AT94" s="318"/>
      <c r="AU94" s="318"/>
      <c r="AV94" s="318"/>
      <c r="AW94" s="319"/>
      <c r="AX94" s="589"/>
      <c r="AY94" s="592"/>
      <c r="AZ94" s="592"/>
      <c r="BA94" s="594"/>
      <c r="BB94" s="301"/>
    </row>
    <row r="95" spans="1:54" ht="9" customHeight="1">
      <c r="A95" s="583">
        <v>29</v>
      </c>
      <c r="B95" s="584" t="str">
        <f>STUDENTS!B340</f>
        <v>પરમાર અનિષા રમેશભાઇ</v>
      </c>
      <c r="C95" s="311"/>
      <c r="D95" s="312"/>
      <c r="E95" s="312"/>
      <c r="F95" s="312"/>
      <c r="G95" s="312"/>
      <c r="H95" s="312"/>
      <c r="I95" s="312"/>
      <c r="J95" s="312"/>
      <c r="K95" s="312"/>
      <c r="L95" s="312"/>
      <c r="M95" s="312"/>
      <c r="N95" s="312"/>
      <c r="O95" s="312"/>
      <c r="P95" s="312"/>
      <c r="Q95" s="312"/>
      <c r="R95" s="312"/>
      <c r="S95" s="312"/>
      <c r="T95" s="312"/>
      <c r="U95" s="312"/>
      <c r="V95" s="313"/>
      <c r="W95" s="587">
        <f>'A-CALC'!V86</f>
        <v>0</v>
      </c>
      <c r="X95" s="590">
        <f>'A-CALC'!W86</f>
        <v>0</v>
      </c>
      <c r="Y95" s="590">
        <f>'A-CALC'!X86</f>
        <v>0</v>
      </c>
      <c r="Z95" s="593">
        <f t="shared" ref="Z95" si="65">ROUND((40/$Y$7)*W95,0)</f>
        <v>0</v>
      </c>
      <c r="AA95" s="301"/>
      <c r="AB95" s="583">
        <v>29</v>
      </c>
      <c r="AC95" s="584" t="str">
        <f t="shared" ref="AC95:AC113" si="66">B95</f>
        <v>પરમાર અનિષા રમેશભાઇ</v>
      </c>
      <c r="AD95" s="311"/>
      <c r="AE95" s="312"/>
      <c r="AF95" s="312"/>
      <c r="AG95" s="312"/>
      <c r="AH95" s="312"/>
      <c r="AI95" s="312"/>
      <c r="AJ95" s="312"/>
      <c r="AK95" s="312"/>
      <c r="AL95" s="312"/>
      <c r="AM95" s="312"/>
      <c r="AN95" s="312"/>
      <c r="AO95" s="312"/>
      <c r="AP95" s="312"/>
      <c r="AQ95" s="312"/>
      <c r="AR95" s="312"/>
      <c r="AS95" s="312"/>
      <c r="AT95" s="312"/>
      <c r="AU95" s="312"/>
      <c r="AV95" s="312"/>
      <c r="AW95" s="313"/>
      <c r="AX95" s="587">
        <f>'A-CALC'!AU86</f>
        <v>0</v>
      </c>
      <c r="AY95" s="590">
        <f>'A-CALC'!AV86</f>
        <v>0</v>
      </c>
      <c r="AZ95" s="590">
        <f>'A-CALC'!AW86</f>
        <v>0</v>
      </c>
      <c r="BA95" s="593">
        <f t="shared" ref="BA95" si="67">ROUND((40/$Y$7)*AX95,0)</f>
        <v>0</v>
      </c>
      <c r="BB95" s="301"/>
    </row>
    <row r="96" spans="1:54" ht="9" customHeight="1">
      <c r="A96" s="583"/>
      <c r="B96" s="585"/>
      <c r="C96" s="314"/>
      <c r="D96" s="315"/>
      <c r="E96" s="315"/>
      <c r="F96" s="315"/>
      <c r="G96" s="315"/>
      <c r="H96" s="315"/>
      <c r="I96" s="315"/>
      <c r="J96" s="315"/>
      <c r="K96" s="315"/>
      <c r="L96" s="315"/>
      <c r="M96" s="315"/>
      <c r="N96" s="315"/>
      <c r="O96" s="315"/>
      <c r="P96" s="315"/>
      <c r="Q96" s="315"/>
      <c r="R96" s="315"/>
      <c r="S96" s="315"/>
      <c r="T96" s="315"/>
      <c r="U96" s="315"/>
      <c r="V96" s="316"/>
      <c r="W96" s="588"/>
      <c r="X96" s="591"/>
      <c r="Y96" s="591"/>
      <c r="Z96" s="594"/>
      <c r="AA96" s="301"/>
      <c r="AB96" s="583"/>
      <c r="AC96" s="585"/>
      <c r="AD96" s="314"/>
      <c r="AE96" s="315"/>
      <c r="AF96" s="315"/>
      <c r="AG96" s="315"/>
      <c r="AH96" s="315"/>
      <c r="AI96" s="315"/>
      <c r="AJ96" s="315"/>
      <c r="AK96" s="315"/>
      <c r="AL96" s="315"/>
      <c r="AM96" s="315"/>
      <c r="AN96" s="315"/>
      <c r="AO96" s="315"/>
      <c r="AP96" s="315"/>
      <c r="AQ96" s="315"/>
      <c r="AR96" s="315"/>
      <c r="AS96" s="315"/>
      <c r="AT96" s="315"/>
      <c r="AU96" s="315"/>
      <c r="AV96" s="315"/>
      <c r="AW96" s="316"/>
      <c r="AX96" s="588"/>
      <c r="AY96" s="591"/>
      <c r="AZ96" s="591"/>
      <c r="BA96" s="594"/>
      <c r="BB96" s="301"/>
    </row>
    <row r="97" spans="1:54" ht="9" customHeight="1">
      <c r="A97" s="583"/>
      <c r="B97" s="586"/>
      <c r="C97" s="317"/>
      <c r="D97" s="318"/>
      <c r="E97" s="318"/>
      <c r="F97" s="318"/>
      <c r="G97" s="318"/>
      <c r="H97" s="318"/>
      <c r="I97" s="318"/>
      <c r="J97" s="318"/>
      <c r="K97" s="318"/>
      <c r="L97" s="318"/>
      <c r="M97" s="318"/>
      <c r="N97" s="318"/>
      <c r="O97" s="318"/>
      <c r="P97" s="318"/>
      <c r="Q97" s="318"/>
      <c r="R97" s="318"/>
      <c r="S97" s="318"/>
      <c r="T97" s="318"/>
      <c r="U97" s="318"/>
      <c r="V97" s="319"/>
      <c r="W97" s="589"/>
      <c r="X97" s="592"/>
      <c r="Y97" s="592"/>
      <c r="Z97" s="594"/>
      <c r="AA97" s="301"/>
      <c r="AB97" s="583"/>
      <c r="AC97" s="586"/>
      <c r="AD97" s="317"/>
      <c r="AE97" s="318"/>
      <c r="AF97" s="318"/>
      <c r="AG97" s="318"/>
      <c r="AH97" s="318"/>
      <c r="AI97" s="318"/>
      <c r="AJ97" s="318"/>
      <c r="AK97" s="318"/>
      <c r="AL97" s="318"/>
      <c r="AM97" s="318"/>
      <c r="AN97" s="318"/>
      <c r="AO97" s="318"/>
      <c r="AP97" s="318"/>
      <c r="AQ97" s="318"/>
      <c r="AR97" s="318"/>
      <c r="AS97" s="318"/>
      <c r="AT97" s="318"/>
      <c r="AU97" s="318"/>
      <c r="AV97" s="318"/>
      <c r="AW97" s="319"/>
      <c r="AX97" s="589"/>
      <c r="AY97" s="592"/>
      <c r="AZ97" s="592"/>
      <c r="BA97" s="594"/>
      <c r="BB97" s="301"/>
    </row>
    <row r="98" spans="1:54" ht="9" customHeight="1">
      <c r="A98" s="583">
        <v>30</v>
      </c>
      <c r="B98" s="584" t="str">
        <f>STUDENTS!B352</f>
        <v>મકરૂબિયા નમ્રતા વશરામભાઇ</v>
      </c>
      <c r="C98" s="311"/>
      <c r="D98" s="312"/>
      <c r="E98" s="312"/>
      <c r="F98" s="312"/>
      <c r="G98" s="312"/>
      <c r="H98" s="312"/>
      <c r="I98" s="312"/>
      <c r="J98" s="312"/>
      <c r="K98" s="312"/>
      <c r="L98" s="312"/>
      <c r="M98" s="312"/>
      <c r="N98" s="312"/>
      <c r="O98" s="312"/>
      <c r="P98" s="312"/>
      <c r="Q98" s="312"/>
      <c r="R98" s="312"/>
      <c r="S98" s="312"/>
      <c r="T98" s="312"/>
      <c r="U98" s="312"/>
      <c r="V98" s="313"/>
      <c r="W98" s="587">
        <f>'A-CALC'!V89</f>
        <v>0</v>
      </c>
      <c r="X98" s="590">
        <f>'A-CALC'!W89</f>
        <v>0</v>
      </c>
      <c r="Y98" s="590">
        <f>'A-CALC'!X89</f>
        <v>0</v>
      </c>
      <c r="Z98" s="593">
        <f t="shared" ref="Z98" si="68">ROUND((40/$Y$7)*W98,0)</f>
        <v>0</v>
      </c>
      <c r="AA98" s="301"/>
      <c r="AB98" s="583">
        <v>30</v>
      </c>
      <c r="AC98" s="584" t="str">
        <f t="shared" ref="AC98" si="69">B98</f>
        <v>મકરૂબિયા નમ્રતા વશરામભાઇ</v>
      </c>
      <c r="AD98" s="311"/>
      <c r="AE98" s="312"/>
      <c r="AF98" s="312"/>
      <c r="AG98" s="312"/>
      <c r="AH98" s="312"/>
      <c r="AI98" s="312"/>
      <c r="AJ98" s="312"/>
      <c r="AK98" s="312"/>
      <c r="AL98" s="312"/>
      <c r="AM98" s="312"/>
      <c r="AN98" s="312"/>
      <c r="AO98" s="312"/>
      <c r="AP98" s="312"/>
      <c r="AQ98" s="312"/>
      <c r="AR98" s="312"/>
      <c r="AS98" s="312"/>
      <c r="AT98" s="312"/>
      <c r="AU98" s="312"/>
      <c r="AV98" s="312"/>
      <c r="AW98" s="313"/>
      <c r="AX98" s="587">
        <f>'A-CALC'!AU89</f>
        <v>0</v>
      </c>
      <c r="AY98" s="590">
        <f>'A-CALC'!AV89</f>
        <v>0</v>
      </c>
      <c r="AZ98" s="590">
        <f>'A-CALC'!AW89</f>
        <v>0</v>
      </c>
      <c r="BA98" s="593">
        <f t="shared" ref="BA98" si="70">ROUND((40/$Y$7)*AX98,0)</f>
        <v>0</v>
      </c>
      <c r="BB98" s="301"/>
    </row>
    <row r="99" spans="1:54" ht="9" customHeight="1">
      <c r="A99" s="583"/>
      <c r="B99" s="585"/>
      <c r="C99" s="314"/>
      <c r="D99" s="315"/>
      <c r="E99" s="315"/>
      <c r="F99" s="315"/>
      <c r="G99" s="315"/>
      <c r="H99" s="315"/>
      <c r="I99" s="315"/>
      <c r="J99" s="315"/>
      <c r="K99" s="315"/>
      <c r="L99" s="315"/>
      <c r="M99" s="315"/>
      <c r="N99" s="315"/>
      <c r="O99" s="315"/>
      <c r="P99" s="315"/>
      <c r="Q99" s="315"/>
      <c r="R99" s="315"/>
      <c r="S99" s="315"/>
      <c r="T99" s="315"/>
      <c r="U99" s="315"/>
      <c r="V99" s="316"/>
      <c r="W99" s="588"/>
      <c r="X99" s="591"/>
      <c r="Y99" s="591"/>
      <c r="Z99" s="594"/>
      <c r="AA99" s="301"/>
      <c r="AB99" s="583"/>
      <c r="AC99" s="585"/>
      <c r="AD99" s="314"/>
      <c r="AE99" s="315"/>
      <c r="AF99" s="315"/>
      <c r="AG99" s="315"/>
      <c r="AH99" s="315"/>
      <c r="AI99" s="315"/>
      <c r="AJ99" s="315"/>
      <c r="AK99" s="315"/>
      <c r="AL99" s="315"/>
      <c r="AM99" s="315"/>
      <c r="AN99" s="315"/>
      <c r="AO99" s="315"/>
      <c r="AP99" s="315"/>
      <c r="AQ99" s="315"/>
      <c r="AR99" s="315"/>
      <c r="AS99" s="315"/>
      <c r="AT99" s="315"/>
      <c r="AU99" s="315"/>
      <c r="AV99" s="315"/>
      <c r="AW99" s="316"/>
      <c r="AX99" s="588"/>
      <c r="AY99" s="591"/>
      <c r="AZ99" s="591"/>
      <c r="BA99" s="594"/>
      <c r="BB99" s="301"/>
    </row>
    <row r="100" spans="1:54" ht="9" customHeight="1">
      <c r="A100" s="583"/>
      <c r="B100" s="586"/>
      <c r="C100" s="317"/>
      <c r="D100" s="318"/>
      <c r="E100" s="318"/>
      <c r="F100" s="318"/>
      <c r="G100" s="318"/>
      <c r="H100" s="318"/>
      <c r="I100" s="318"/>
      <c r="J100" s="318"/>
      <c r="K100" s="318"/>
      <c r="L100" s="318"/>
      <c r="M100" s="318"/>
      <c r="N100" s="318"/>
      <c r="O100" s="318"/>
      <c r="P100" s="318"/>
      <c r="Q100" s="318"/>
      <c r="R100" s="318"/>
      <c r="S100" s="318"/>
      <c r="T100" s="318"/>
      <c r="U100" s="318"/>
      <c r="V100" s="319"/>
      <c r="W100" s="589"/>
      <c r="X100" s="592"/>
      <c r="Y100" s="592"/>
      <c r="Z100" s="594"/>
      <c r="AA100" s="301"/>
      <c r="AB100" s="583"/>
      <c r="AC100" s="586"/>
      <c r="AD100" s="317"/>
      <c r="AE100" s="318"/>
      <c r="AF100" s="318"/>
      <c r="AG100" s="318"/>
      <c r="AH100" s="318"/>
      <c r="AI100" s="318"/>
      <c r="AJ100" s="318"/>
      <c r="AK100" s="318"/>
      <c r="AL100" s="318"/>
      <c r="AM100" s="318"/>
      <c r="AN100" s="318"/>
      <c r="AO100" s="318"/>
      <c r="AP100" s="318"/>
      <c r="AQ100" s="318"/>
      <c r="AR100" s="318"/>
      <c r="AS100" s="318"/>
      <c r="AT100" s="318"/>
      <c r="AU100" s="318"/>
      <c r="AV100" s="318"/>
      <c r="AW100" s="319"/>
      <c r="AX100" s="589"/>
      <c r="AY100" s="592"/>
      <c r="AZ100" s="592"/>
      <c r="BA100" s="594"/>
      <c r="BB100" s="301"/>
    </row>
    <row r="101" spans="1:54" ht="9" customHeight="1">
      <c r="A101" s="583">
        <v>31</v>
      </c>
      <c r="B101" s="584">
        <f>STUDENTS!B364</f>
        <v>0</v>
      </c>
      <c r="C101" s="311"/>
      <c r="D101" s="312"/>
      <c r="E101" s="312"/>
      <c r="F101" s="312"/>
      <c r="G101" s="312"/>
      <c r="H101" s="312"/>
      <c r="I101" s="312"/>
      <c r="J101" s="312"/>
      <c r="K101" s="312"/>
      <c r="L101" s="312"/>
      <c r="M101" s="312"/>
      <c r="N101" s="312"/>
      <c r="O101" s="312"/>
      <c r="P101" s="312"/>
      <c r="Q101" s="312"/>
      <c r="R101" s="312"/>
      <c r="S101" s="312"/>
      <c r="T101" s="312"/>
      <c r="U101" s="312"/>
      <c r="V101" s="313"/>
      <c r="W101" s="587">
        <f>'A-CALC'!V92</f>
        <v>0</v>
      </c>
      <c r="X101" s="590">
        <f>'A-CALC'!W92</f>
        <v>0</v>
      </c>
      <c r="Y101" s="590">
        <f>'A-CALC'!X92</f>
        <v>0</v>
      </c>
      <c r="Z101" s="593">
        <f t="shared" ref="Z101" si="71">ROUND((40/$Y$7)*W101,0)</f>
        <v>0</v>
      </c>
      <c r="AA101" s="301"/>
      <c r="AB101" s="583">
        <v>31</v>
      </c>
      <c r="AC101" s="584">
        <f t="shared" ref="AC101" si="72">B101</f>
        <v>0</v>
      </c>
      <c r="AD101" s="311"/>
      <c r="AE101" s="312"/>
      <c r="AF101" s="312"/>
      <c r="AG101" s="312"/>
      <c r="AH101" s="312"/>
      <c r="AI101" s="312"/>
      <c r="AJ101" s="312"/>
      <c r="AK101" s="312"/>
      <c r="AL101" s="312"/>
      <c r="AM101" s="312"/>
      <c r="AN101" s="312"/>
      <c r="AO101" s="312"/>
      <c r="AP101" s="312"/>
      <c r="AQ101" s="312"/>
      <c r="AR101" s="312"/>
      <c r="AS101" s="312"/>
      <c r="AT101" s="312"/>
      <c r="AU101" s="312"/>
      <c r="AV101" s="312"/>
      <c r="AW101" s="313"/>
      <c r="AX101" s="587">
        <f>'A-CALC'!AU92</f>
        <v>0</v>
      </c>
      <c r="AY101" s="590">
        <f>'A-CALC'!AV92</f>
        <v>0</v>
      </c>
      <c r="AZ101" s="590">
        <f>'A-CALC'!AW92</f>
        <v>0</v>
      </c>
      <c r="BA101" s="593">
        <f t="shared" ref="BA101" si="73">ROUND((40/$Y$7)*AX101,0)</f>
        <v>0</v>
      </c>
      <c r="BB101" s="301"/>
    </row>
    <row r="102" spans="1:54" ht="9" customHeight="1">
      <c r="A102" s="583"/>
      <c r="B102" s="585"/>
      <c r="C102" s="314"/>
      <c r="D102" s="315"/>
      <c r="E102" s="315"/>
      <c r="F102" s="315"/>
      <c r="G102" s="315"/>
      <c r="H102" s="315"/>
      <c r="I102" s="315"/>
      <c r="J102" s="315"/>
      <c r="K102" s="315"/>
      <c r="L102" s="315"/>
      <c r="M102" s="315"/>
      <c r="N102" s="315"/>
      <c r="O102" s="315"/>
      <c r="P102" s="315"/>
      <c r="Q102" s="315"/>
      <c r="R102" s="315"/>
      <c r="S102" s="315"/>
      <c r="T102" s="315"/>
      <c r="U102" s="315"/>
      <c r="V102" s="316"/>
      <c r="W102" s="588"/>
      <c r="X102" s="591"/>
      <c r="Y102" s="591"/>
      <c r="Z102" s="594"/>
      <c r="AA102" s="301"/>
      <c r="AB102" s="583"/>
      <c r="AC102" s="585"/>
      <c r="AD102" s="314"/>
      <c r="AE102" s="315"/>
      <c r="AF102" s="315"/>
      <c r="AG102" s="315"/>
      <c r="AH102" s="315"/>
      <c r="AI102" s="315"/>
      <c r="AJ102" s="315"/>
      <c r="AK102" s="315"/>
      <c r="AL102" s="315"/>
      <c r="AM102" s="315"/>
      <c r="AN102" s="315"/>
      <c r="AO102" s="315"/>
      <c r="AP102" s="315"/>
      <c r="AQ102" s="315"/>
      <c r="AR102" s="315"/>
      <c r="AS102" s="315"/>
      <c r="AT102" s="315"/>
      <c r="AU102" s="315"/>
      <c r="AV102" s="315"/>
      <c r="AW102" s="316"/>
      <c r="AX102" s="588"/>
      <c r="AY102" s="591"/>
      <c r="AZ102" s="591"/>
      <c r="BA102" s="594"/>
      <c r="BB102" s="301"/>
    </row>
    <row r="103" spans="1:54" ht="9" customHeight="1">
      <c r="A103" s="583"/>
      <c r="B103" s="586"/>
      <c r="C103" s="317"/>
      <c r="D103" s="318"/>
      <c r="E103" s="318"/>
      <c r="F103" s="318"/>
      <c r="G103" s="318"/>
      <c r="H103" s="318"/>
      <c r="I103" s="318"/>
      <c r="J103" s="318"/>
      <c r="K103" s="318"/>
      <c r="L103" s="318"/>
      <c r="M103" s="318"/>
      <c r="N103" s="318"/>
      <c r="O103" s="318"/>
      <c r="P103" s="318"/>
      <c r="Q103" s="318"/>
      <c r="R103" s="318"/>
      <c r="S103" s="318"/>
      <c r="T103" s="318"/>
      <c r="U103" s="318"/>
      <c r="V103" s="319"/>
      <c r="W103" s="589"/>
      <c r="X103" s="592"/>
      <c r="Y103" s="592"/>
      <c r="Z103" s="594"/>
      <c r="AA103" s="301"/>
      <c r="AB103" s="583"/>
      <c r="AC103" s="586"/>
      <c r="AD103" s="317"/>
      <c r="AE103" s="318"/>
      <c r="AF103" s="318"/>
      <c r="AG103" s="318"/>
      <c r="AH103" s="318"/>
      <c r="AI103" s="318"/>
      <c r="AJ103" s="318"/>
      <c r="AK103" s="318"/>
      <c r="AL103" s="318"/>
      <c r="AM103" s="318"/>
      <c r="AN103" s="318"/>
      <c r="AO103" s="318"/>
      <c r="AP103" s="318"/>
      <c r="AQ103" s="318"/>
      <c r="AR103" s="318"/>
      <c r="AS103" s="318"/>
      <c r="AT103" s="318"/>
      <c r="AU103" s="318"/>
      <c r="AV103" s="318"/>
      <c r="AW103" s="319"/>
      <c r="AX103" s="589"/>
      <c r="AY103" s="592"/>
      <c r="AZ103" s="592"/>
      <c r="BA103" s="594"/>
      <c r="BB103" s="301"/>
    </row>
    <row r="104" spans="1:54" ht="9" customHeight="1">
      <c r="A104" s="583">
        <v>32</v>
      </c>
      <c r="B104" s="584">
        <f>STUDENTS!B376</f>
        <v>0</v>
      </c>
      <c r="C104" s="311"/>
      <c r="D104" s="312"/>
      <c r="E104" s="312"/>
      <c r="F104" s="312"/>
      <c r="G104" s="312"/>
      <c r="H104" s="312"/>
      <c r="I104" s="312"/>
      <c r="J104" s="312"/>
      <c r="K104" s="312"/>
      <c r="L104" s="312"/>
      <c r="M104" s="312"/>
      <c r="N104" s="312"/>
      <c r="O104" s="312"/>
      <c r="P104" s="312"/>
      <c r="Q104" s="312"/>
      <c r="R104" s="312"/>
      <c r="S104" s="312"/>
      <c r="T104" s="312"/>
      <c r="U104" s="312"/>
      <c r="V104" s="313"/>
      <c r="W104" s="587">
        <f>'A-CALC'!V95</f>
        <v>0</v>
      </c>
      <c r="X104" s="590">
        <f>'A-CALC'!W95</f>
        <v>0</v>
      </c>
      <c r="Y104" s="590">
        <f>'A-CALC'!X95</f>
        <v>0</v>
      </c>
      <c r="Z104" s="593">
        <f t="shared" ref="Z104" si="74">ROUND((40/$Y$7)*W104,0)</f>
        <v>0</v>
      </c>
      <c r="AA104" s="301"/>
      <c r="AB104" s="583">
        <v>32</v>
      </c>
      <c r="AC104" s="584">
        <f t="shared" si="66"/>
        <v>0</v>
      </c>
      <c r="AD104" s="311"/>
      <c r="AE104" s="312"/>
      <c r="AF104" s="312"/>
      <c r="AG104" s="312"/>
      <c r="AH104" s="312"/>
      <c r="AI104" s="312"/>
      <c r="AJ104" s="312"/>
      <c r="AK104" s="312"/>
      <c r="AL104" s="312"/>
      <c r="AM104" s="312"/>
      <c r="AN104" s="312"/>
      <c r="AO104" s="312"/>
      <c r="AP104" s="312"/>
      <c r="AQ104" s="312"/>
      <c r="AR104" s="312"/>
      <c r="AS104" s="312"/>
      <c r="AT104" s="312"/>
      <c r="AU104" s="312"/>
      <c r="AV104" s="312"/>
      <c r="AW104" s="313"/>
      <c r="AX104" s="587">
        <f>'A-CALC'!AU95</f>
        <v>0</v>
      </c>
      <c r="AY104" s="590">
        <f>'A-CALC'!AV95</f>
        <v>0</v>
      </c>
      <c r="AZ104" s="590">
        <f>'A-CALC'!AW95</f>
        <v>0</v>
      </c>
      <c r="BA104" s="593">
        <f t="shared" ref="BA104" si="75">ROUND((40/$Y$7)*AX104,0)</f>
        <v>0</v>
      </c>
      <c r="BB104" s="301"/>
    </row>
    <row r="105" spans="1:54" ht="9" customHeight="1">
      <c r="A105" s="583"/>
      <c r="B105" s="585"/>
      <c r="C105" s="314"/>
      <c r="D105" s="315"/>
      <c r="E105" s="315"/>
      <c r="F105" s="315"/>
      <c r="G105" s="315"/>
      <c r="H105" s="315"/>
      <c r="I105" s="315"/>
      <c r="J105" s="315"/>
      <c r="K105" s="315"/>
      <c r="L105" s="315"/>
      <c r="M105" s="315"/>
      <c r="N105" s="315"/>
      <c r="O105" s="315"/>
      <c r="P105" s="315"/>
      <c r="Q105" s="315"/>
      <c r="R105" s="315"/>
      <c r="S105" s="315"/>
      <c r="T105" s="315"/>
      <c r="U105" s="315"/>
      <c r="V105" s="316"/>
      <c r="W105" s="588"/>
      <c r="X105" s="591"/>
      <c r="Y105" s="591"/>
      <c r="Z105" s="594"/>
      <c r="AA105" s="301"/>
      <c r="AB105" s="583"/>
      <c r="AC105" s="585"/>
      <c r="AD105" s="314"/>
      <c r="AE105" s="315"/>
      <c r="AF105" s="315"/>
      <c r="AG105" s="315"/>
      <c r="AH105" s="315"/>
      <c r="AI105" s="315"/>
      <c r="AJ105" s="315"/>
      <c r="AK105" s="315"/>
      <c r="AL105" s="315"/>
      <c r="AM105" s="315"/>
      <c r="AN105" s="315"/>
      <c r="AO105" s="315"/>
      <c r="AP105" s="315"/>
      <c r="AQ105" s="315"/>
      <c r="AR105" s="315"/>
      <c r="AS105" s="315"/>
      <c r="AT105" s="315"/>
      <c r="AU105" s="315"/>
      <c r="AV105" s="315"/>
      <c r="AW105" s="316"/>
      <c r="AX105" s="588"/>
      <c r="AY105" s="591"/>
      <c r="AZ105" s="591"/>
      <c r="BA105" s="594"/>
      <c r="BB105" s="301"/>
    </row>
    <row r="106" spans="1:54" ht="9" customHeight="1">
      <c r="A106" s="583"/>
      <c r="B106" s="586"/>
      <c r="C106" s="317"/>
      <c r="D106" s="318"/>
      <c r="E106" s="318"/>
      <c r="F106" s="318"/>
      <c r="G106" s="318"/>
      <c r="H106" s="318"/>
      <c r="I106" s="318"/>
      <c r="J106" s="318"/>
      <c r="K106" s="318"/>
      <c r="L106" s="318"/>
      <c r="M106" s="318"/>
      <c r="N106" s="318"/>
      <c r="O106" s="318"/>
      <c r="P106" s="318"/>
      <c r="Q106" s="318"/>
      <c r="R106" s="318"/>
      <c r="S106" s="318"/>
      <c r="T106" s="318"/>
      <c r="U106" s="318"/>
      <c r="V106" s="319"/>
      <c r="W106" s="589"/>
      <c r="X106" s="592"/>
      <c r="Y106" s="592"/>
      <c r="Z106" s="594"/>
      <c r="AA106" s="301"/>
      <c r="AB106" s="583"/>
      <c r="AC106" s="586"/>
      <c r="AD106" s="317"/>
      <c r="AE106" s="318"/>
      <c r="AF106" s="318"/>
      <c r="AG106" s="318"/>
      <c r="AH106" s="318"/>
      <c r="AI106" s="318"/>
      <c r="AJ106" s="318"/>
      <c r="AK106" s="318"/>
      <c r="AL106" s="318"/>
      <c r="AM106" s="318"/>
      <c r="AN106" s="318"/>
      <c r="AO106" s="318"/>
      <c r="AP106" s="318"/>
      <c r="AQ106" s="318"/>
      <c r="AR106" s="318"/>
      <c r="AS106" s="318"/>
      <c r="AT106" s="318"/>
      <c r="AU106" s="318"/>
      <c r="AV106" s="318"/>
      <c r="AW106" s="319"/>
      <c r="AX106" s="589"/>
      <c r="AY106" s="592"/>
      <c r="AZ106" s="592"/>
      <c r="BA106" s="594"/>
      <c r="BB106" s="301"/>
    </row>
    <row r="107" spans="1:54" ht="9" customHeight="1">
      <c r="A107" s="583">
        <v>33</v>
      </c>
      <c r="B107" s="584">
        <f>STUDENTS!B388</f>
        <v>0</v>
      </c>
      <c r="C107" s="311"/>
      <c r="D107" s="312"/>
      <c r="E107" s="312"/>
      <c r="F107" s="312"/>
      <c r="G107" s="312"/>
      <c r="H107" s="312"/>
      <c r="I107" s="312"/>
      <c r="J107" s="312"/>
      <c r="K107" s="312"/>
      <c r="L107" s="312"/>
      <c r="M107" s="312"/>
      <c r="N107" s="312"/>
      <c r="O107" s="312"/>
      <c r="P107" s="312"/>
      <c r="Q107" s="312"/>
      <c r="R107" s="312"/>
      <c r="S107" s="312"/>
      <c r="T107" s="312"/>
      <c r="U107" s="312"/>
      <c r="V107" s="313"/>
      <c r="W107" s="587">
        <f>'A-CALC'!V98</f>
        <v>0</v>
      </c>
      <c r="X107" s="590">
        <f>'A-CALC'!W98</f>
        <v>0</v>
      </c>
      <c r="Y107" s="590">
        <f>'A-CALC'!X98</f>
        <v>0</v>
      </c>
      <c r="Z107" s="593">
        <f t="shared" ref="Z107" si="76">ROUND((40/$Y$7)*W107,0)</f>
        <v>0</v>
      </c>
      <c r="AA107" s="301"/>
      <c r="AB107" s="583">
        <v>33</v>
      </c>
      <c r="AC107" s="584">
        <f>B107</f>
        <v>0</v>
      </c>
      <c r="AD107" s="311"/>
      <c r="AE107" s="312"/>
      <c r="AF107" s="312"/>
      <c r="AG107" s="312"/>
      <c r="AH107" s="312"/>
      <c r="AI107" s="312"/>
      <c r="AJ107" s="312"/>
      <c r="AK107" s="312"/>
      <c r="AL107" s="312"/>
      <c r="AM107" s="312"/>
      <c r="AN107" s="312"/>
      <c r="AO107" s="312"/>
      <c r="AP107" s="312"/>
      <c r="AQ107" s="312"/>
      <c r="AR107" s="312"/>
      <c r="AS107" s="312"/>
      <c r="AT107" s="312"/>
      <c r="AU107" s="312"/>
      <c r="AV107" s="312"/>
      <c r="AW107" s="313"/>
      <c r="AX107" s="587">
        <f>'A-CALC'!AU98</f>
        <v>0</v>
      </c>
      <c r="AY107" s="590">
        <f>'A-CALC'!AV98</f>
        <v>0</v>
      </c>
      <c r="AZ107" s="590">
        <f>'A-CALC'!AW98</f>
        <v>0</v>
      </c>
      <c r="BA107" s="593">
        <f t="shared" ref="BA107" si="77">ROUND((40/$Y$7)*AX107,0)</f>
        <v>0</v>
      </c>
      <c r="BB107" s="301"/>
    </row>
    <row r="108" spans="1:54" ht="9" customHeight="1">
      <c r="A108" s="583"/>
      <c r="B108" s="585"/>
      <c r="C108" s="314"/>
      <c r="D108" s="315"/>
      <c r="E108" s="315"/>
      <c r="F108" s="315"/>
      <c r="G108" s="315"/>
      <c r="H108" s="315"/>
      <c r="I108" s="315"/>
      <c r="J108" s="315"/>
      <c r="K108" s="315"/>
      <c r="L108" s="315"/>
      <c r="M108" s="315"/>
      <c r="N108" s="315"/>
      <c r="O108" s="315"/>
      <c r="P108" s="315"/>
      <c r="Q108" s="315"/>
      <c r="R108" s="315"/>
      <c r="S108" s="315"/>
      <c r="T108" s="315"/>
      <c r="U108" s="315"/>
      <c r="V108" s="316"/>
      <c r="W108" s="588"/>
      <c r="X108" s="591"/>
      <c r="Y108" s="591"/>
      <c r="Z108" s="594"/>
      <c r="AA108" s="301"/>
      <c r="AB108" s="583"/>
      <c r="AC108" s="585"/>
      <c r="AD108" s="314"/>
      <c r="AE108" s="315"/>
      <c r="AF108" s="315"/>
      <c r="AG108" s="315"/>
      <c r="AH108" s="315"/>
      <c r="AI108" s="315"/>
      <c r="AJ108" s="315"/>
      <c r="AK108" s="315"/>
      <c r="AL108" s="315"/>
      <c r="AM108" s="315"/>
      <c r="AN108" s="315"/>
      <c r="AO108" s="315"/>
      <c r="AP108" s="315"/>
      <c r="AQ108" s="315"/>
      <c r="AR108" s="315"/>
      <c r="AS108" s="315"/>
      <c r="AT108" s="315"/>
      <c r="AU108" s="315"/>
      <c r="AV108" s="315"/>
      <c r="AW108" s="316"/>
      <c r="AX108" s="588"/>
      <c r="AY108" s="591"/>
      <c r="AZ108" s="591"/>
      <c r="BA108" s="594"/>
      <c r="BB108" s="301"/>
    </row>
    <row r="109" spans="1:54" ht="9" customHeight="1">
      <c r="A109" s="583"/>
      <c r="B109" s="586"/>
      <c r="C109" s="317"/>
      <c r="D109" s="318"/>
      <c r="E109" s="318"/>
      <c r="F109" s="318"/>
      <c r="G109" s="318"/>
      <c r="H109" s="318"/>
      <c r="I109" s="318"/>
      <c r="J109" s="318"/>
      <c r="K109" s="318"/>
      <c r="L109" s="318"/>
      <c r="M109" s="318"/>
      <c r="N109" s="318"/>
      <c r="O109" s="318"/>
      <c r="P109" s="318"/>
      <c r="Q109" s="318"/>
      <c r="R109" s="318"/>
      <c r="S109" s="318"/>
      <c r="T109" s="318"/>
      <c r="U109" s="318"/>
      <c r="V109" s="319"/>
      <c r="W109" s="589"/>
      <c r="X109" s="592"/>
      <c r="Y109" s="592"/>
      <c r="Z109" s="594"/>
      <c r="AA109" s="301"/>
      <c r="AB109" s="583"/>
      <c r="AC109" s="586"/>
      <c r="AD109" s="317"/>
      <c r="AE109" s="318"/>
      <c r="AF109" s="318"/>
      <c r="AG109" s="318"/>
      <c r="AH109" s="318"/>
      <c r="AI109" s="318"/>
      <c r="AJ109" s="318"/>
      <c r="AK109" s="318"/>
      <c r="AL109" s="318"/>
      <c r="AM109" s="318"/>
      <c r="AN109" s="318"/>
      <c r="AO109" s="318"/>
      <c r="AP109" s="318"/>
      <c r="AQ109" s="318"/>
      <c r="AR109" s="318"/>
      <c r="AS109" s="318"/>
      <c r="AT109" s="318"/>
      <c r="AU109" s="318"/>
      <c r="AV109" s="318"/>
      <c r="AW109" s="319"/>
      <c r="AX109" s="589"/>
      <c r="AY109" s="592"/>
      <c r="AZ109" s="592"/>
      <c r="BA109" s="594"/>
      <c r="BB109" s="301"/>
    </row>
    <row r="110" spans="1:54" ht="9" customHeight="1">
      <c r="A110" s="583">
        <v>34</v>
      </c>
      <c r="B110" s="584">
        <f>STUDENTS!B400</f>
        <v>0</v>
      </c>
      <c r="C110" s="311"/>
      <c r="D110" s="312"/>
      <c r="E110" s="312"/>
      <c r="F110" s="312"/>
      <c r="G110" s="312"/>
      <c r="H110" s="312"/>
      <c r="I110" s="312"/>
      <c r="J110" s="312"/>
      <c r="K110" s="312"/>
      <c r="L110" s="312"/>
      <c r="M110" s="312"/>
      <c r="N110" s="312"/>
      <c r="O110" s="312"/>
      <c r="P110" s="312"/>
      <c r="Q110" s="312"/>
      <c r="R110" s="312"/>
      <c r="S110" s="312"/>
      <c r="T110" s="312"/>
      <c r="U110" s="312"/>
      <c r="V110" s="313"/>
      <c r="W110" s="587">
        <f>'A-CALC'!V101</f>
        <v>0</v>
      </c>
      <c r="X110" s="590">
        <f>'A-CALC'!W101</f>
        <v>0</v>
      </c>
      <c r="Y110" s="590">
        <f>'A-CALC'!X101</f>
        <v>0</v>
      </c>
      <c r="Z110" s="593">
        <f t="shared" ref="Z110" si="78">ROUND((40/$Y$7)*W110,0)</f>
        <v>0</v>
      </c>
      <c r="AA110" s="301"/>
      <c r="AB110" s="583">
        <v>34</v>
      </c>
      <c r="AC110" s="584">
        <f t="shared" ref="AC110" si="79">B110</f>
        <v>0</v>
      </c>
      <c r="AD110" s="311"/>
      <c r="AE110" s="312"/>
      <c r="AF110" s="312"/>
      <c r="AG110" s="312"/>
      <c r="AH110" s="312"/>
      <c r="AI110" s="312"/>
      <c r="AJ110" s="312"/>
      <c r="AK110" s="312"/>
      <c r="AL110" s="312"/>
      <c r="AM110" s="312"/>
      <c r="AN110" s="312"/>
      <c r="AO110" s="312"/>
      <c r="AP110" s="312"/>
      <c r="AQ110" s="312"/>
      <c r="AR110" s="312"/>
      <c r="AS110" s="312"/>
      <c r="AT110" s="312"/>
      <c r="AU110" s="312"/>
      <c r="AV110" s="312"/>
      <c r="AW110" s="313"/>
      <c r="AX110" s="587">
        <f>'A-CALC'!AU101</f>
        <v>0</v>
      </c>
      <c r="AY110" s="590">
        <f>'A-CALC'!AV101</f>
        <v>0</v>
      </c>
      <c r="AZ110" s="590">
        <f>'A-CALC'!AW101</f>
        <v>0</v>
      </c>
      <c r="BA110" s="593">
        <f t="shared" ref="BA110" si="80">ROUND((40/$Y$7)*AX110,0)</f>
        <v>0</v>
      </c>
      <c r="BB110" s="301"/>
    </row>
    <row r="111" spans="1:54" ht="9" customHeight="1">
      <c r="A111" s="583"/>
      <c r="B111" s="585"/>
      <c r="C111" s="314"/>
      <c r="D111" s="315"/>
      <c r="E111" s="315"/>
      <c r="F111" s="315"/>
      <c r="G111" s="315"/>
      <c r="H111" s="315"/>
      <c r="I111" s="315"/>
      <c r="J111" s="315"/>
      <c r="K111" s="315"/>
      <c r="L111" s="315"/>
      <c r="M111" s="315"/>
      <c r="N111" s="315"/>
      <c r="O111" s="315"/>
      <c r="P111" s="315"/>
      <c r="Q111" s="315"/>
      <c r="R111" s="315"/>
      <c r="S111" s="315"/>
      <c r="T111" s="315"/>
      <c r="U111" s="315"/>
      <c r="V111" s="316"/>
      <c r="W111" s="588"/>
      <c r="X111" s="591"/>
      <c r="Y111" s="591"/>
      <c r="Z111" s="594"/>
      <c r="AA111" s="301"/>
      <c r="AB111" s="583"/>
      <c r="AC111" s="585"/>
      <c r="AD111" s="314"/>
      <c r="AE111" s="315"/>
      <c r="AF111" s="315"/>
      <c r="AG111" s="315"/>
      <c r="AH111" s="315"/>
      <c r="AI111" s="315"/>
      <c r="AJ111" s="315"/>
      <c r="AK111" s="315"/>
      <c r="AL111" s="315"/>
      <c r="AM111" s="315"/>
      <c r="AN111" s="315"/>
      <c r="AO111" s="315"/>
      <c r="AP111" s="315"/>
      <c r="AQ111" s="315"/>
      <c r="AR111" s="315"/>
      <c r="AS111" s="315"/>
      <c r="AT111" s="315"/>
      <c r="AU111" s="315"/>
      <c r="AV111" s="315"/>
      <c r="AW111" s="316"/>
      <c r="AX111" s="588"/>
      <c r="AY111" s="591"/>
      <c r="AZ111" s="591"/>
      <c r="BA111" s="594"/>
      <c r="BB111" s="301"/>
    </row>
    <row r="112" spans="1:54" ht="9" customHeight="1">
      <c r="A112" s="583"/>
      <c r="B112" s="586"/>
      <c r="C112" s="317"/>
      <c r="D112" s="318"/>
      <c r="E112" s="318"/>
      <c r="F112" s="318"/>
      <c r="G112" s="318"/>
      <c r="H112" s="318"/>
      <c r="I112" s="318"/>
      <c r="J112" s="318"/>
      <c r="K112" s="318"/>
      <c r="L112" s="318"/>
      <c r="M112" s="318"/>
      <c r="N112" s="318"/>
      <c r="O112" s="318"/>
      <c r="P112" s="318"/>
      <c r="Q112" s="318"/>
      <c r="R112" s="318"/>
      <c r="S112" s="318"/>
      <c r="T112" s="318"/>
      <c r="U112" s="318"/>
      <c r="V112" s="319"/>
      <c r="W112" s="589"/>
      <c r="X112" s="592"/>
      <c r="Y112" s="592"/>
      <c r="Z112" s="594"/>
      <c r="AA112" s="301"/>
      <c r="AB112" s="583"/>
      <c r="AC112" s="586"/>
      <c r="AD112" s="317"/>
      <c r="AE112" s="318"/>
      <c r="AF112" s="318"/>
      <c r="AG112" s="318"/>
      <c r="AH112" s="318"/>
      <c r="AI112" s="318"/>
      <c r="AJ112" s="318"/>
      <c r="AK112" s="318"/>
      <c r="AL112" s="318"/>
      <c r="AM112" s="318"/>
      <c r="AN112" s="318"/>
      <c r="AO112" s="318"/>
      <c r="AP112" s="318"/>
      <c r="AQ112" s="318"/>
      <c r="AR112" s="318"/>
      <c r="AS112" s="318"/>
      <c r="AT112" s="318"/>
      <c r="AU112" s="318"/>
      <c r="AV112" s="318"/>
      <c r="AW112" s="319"/>
      <c r="AX112" s="589"/>
      <c r="AY112" s="592"/>
      <c r="AZ112" s="592"/>
      <c r="BA112" s="594"/>
      <c r="BB112" s="301"/>
    </row>
    <row r="113" spans="1:54" ht="9" customHeight="1">
      <c r="A113" s="583">
        <v>35</v>
      </c>
      <c r="B113" s="584">
        <f>STUDENTS!B412</f>
        <v>0</v>
      </c>
      <c r="C113" s="311"/>
      <c r="D113" s="312"/>
      <c r="E113" s="312"/>
      <c r="F113" s="312"/>
      <c r="G113" s="312"/>
      <c r="H113" s="312"/>
      <c r="I113" s="312"/>
      <c r="J113" s="312"/>
      <c r="K113" s="312"/>
      <c r="L113" s="312"/>
      <c r="M113" s="312"/>
      <c r="N113" s="312"/>
      <c r="O113" s="312"/>
      <c r="P113" s="312"/>
      <c r="Q113" s="312"/>
      <c r="R113" s="312"/>
      <c r="S113" s="312"/>
      <c r="T113" s="312"/>
      <c r="U113" s="312"/>
      <c r="V113" s="313"/>
      <c r="W113" s="587">
        <f>'A-CALC'!V104</f>
        <v>0</v>
      </c>
      <c r="X113" s="590">
        <f>'A-CALC'!W104</f>
        <v>0</v>
      </c>
      <c r="Y113" s="590">
        <f>'A-CALC'!X104</f>
        <v>0</v>
      </c>
      <c r="Z113" s="593">
        <f t="shared" ref="Z113" si="81">ROUND((40/$Y$7)*W113,0)</f>
        <v>0</v>
      </c>
      <c r="AA113" s="301"/>
      <c r="AB113" s="583">
        <v>35</v>
      </c>
      <c r="AC113" s="584">
        <f t="shared" si="66"/>
        <v>0</v>
      </c>
      <c r="AD113" s="311"/>
      <c r="AE113" s="312"/>
      <c r="AF113" s="312"/>
      <c r="AG113" s="312"/>
      <c r="AH113" s="312"/>
      <c r="AI113" s="312"/>
      <c r="AJ113" s="312"/>
      <c r="AK113" s="312"/>
      <c r="AL113" s="312"/>
      <c r="AM113" s="312"/>
      <c r="AN113" s="312"/>
      <c r="AO113" s="312"/>
      <c r="AP113" s="312"/>
      <c r="AQ113" s="312"/>
      <c r="AR113" s="312"/>
      <c r="AS113" s="312"/>
      <c r="AT113" s="312"/>
      <c r="AU113" s="312"/>
      <c r="AV113" s="312"/>
      <c r="AW113" s="313"/>
      <c r="AX113" s="587">
        <f>'A-CALC'!AU104</f>
        <v>0</v>
      </c>
      <c r="AY113" s="590">
        <f>'A-CALC'!AV104</f>
        <v>0</v>
      </c>
      <c r="AZ113" s="590">
        <f>'A-CALC'!AW104</f>
        <v>0</v>
      </c>
      <c r="BA113" s="593">
        <f t="shared" ref="BA113" si="82">ROUND((40/$Y$7)*AX113,0)</f>
        <v>0</v>
      </c>
      <c r="BB113" s="301"/>
    </row>
    <row r="114" spans="1:54" ht="9" customHeight="1">
      <c r="A114" s="583"/>
      <c r="B114" s="585"/>
      <c r="C114" s="314"/>
      <c r="D114" s="315"/>
      <c r="E114" s="315"/>
      <c r="F114" s="315"/>
      <c r="G114" s="315"/>
      <c r="H114" s="315"/>
      <c r="I114" s="315"/>
      <c r="J114" s="315"/>
      <c r="K114" s="315"/>
      <c r="L114" s="315"/>
      <c r="M114" s="315"/>
      <c r="N114" s="315"/>
      <c r="O114" s="315"/>
      <c r="P114" s="315"/>
      <c r="Q114" s="315"/>
      <c r="R114" s="315"/>
      <c r="S114" s="315"/>
      <c r="T114" s="315"/>
      <c r="U114" s="315"/>
      <c r="V114" s="316"/>
      <c r="W114" s="588"/>
      <c r="X114" s="591"/>
      <c r="Y114" s="591"/>
      <c r="Z114" s="594"/>
      <c r="AA114" s="301"/>
      <c r="AB114" s="583"/>
      <c r="AC114" s="585"/>
      <c r="AD114" s="314"/>
      <c r="AE114" s="315"/>
      <c r="AF114" s="315"/>
      <c r="AG114" s="315"/>
      <c r="AH114" s="315"/>
      <c r="AI114" s="315"/>
      <c r="AJ114" s="315"/>
      <c r="AK114" s="315"/>
      <c r="AL114" s="315"/>
      <c r="AM114" s="315"/>
      <c r="AN114" s="315"/>
      <c r="AO114" s="315"/>
      <c r="AP114" s="315"/>
      <c r="AQ114" s="315"/>
      <c r="AR114" s="315"/>
      <c r="AS114" s="315"/>
      <c r="AT114" s="315"/>
      <c r="AU114" s="315"/>
      <c r="AV114" s="315"/>
      <c r="AW114" s="316"/>
      <c r="AX114" s="588"/>
      <c r="AY114" s="591"/>
      <c r="AZ114" s="591"/>
      <c r="BA114" s="594"/>
      <c r="BB114" s="301"/>
    </row>
    <row r="115" spans="1:54" ht="9" customHeight="1">
      <c r="A115" s="583"/>
      <c r="B115" s="586"/>
      <c r="C115" s="317"/>
      <c r="D115" s="318"/>
      <c r="E115" s="318"/>
      <c r="F115" s="318"/>
      <c r="G115" s="318"/>
      <c r="H115" s="318"/>
      <c r="I115" s="318"/>
      <c r="J115" s="318"/>
      <c r="K115" s="318"/>
      <c r="L115" s="318"/>
      <c r="M115" s="318"/>
      <c r="N115" s="318"/>
      <c r="O115" s="318"/>
      <c r="P115" s="318"/>
      <c r="Q115" s="318"/>
      <c r="R115" s="318"/>
      <c r="S115" s="318"/>
      <c r="T115" s="318"/>
      <c r="U115" s="318"/>
      <c r="V115" s="319"/>
      <c r="W115" s="589"/>
      <c r="X115" s="592"/>
      <c r="Y115" s="592"/>
      <c r="Z115" s="608"/>
      <c r="AA115" s="301"/>
      <c r="AB115" s="583"/>
      <c r="AC115" s="586"/>
      <c r="AD115" s="317"/>
      <c r="AE115" s="318"/>
      <c r="AF115" s="318"/>
      <c r="AG115" s="318"/>
      <c r="AH115" s="318"/>
      <c r="AI115" s="318"/>
      <c r="AJ115" s="318"/>
      <c r="AK115" s="318"/>
      <c r="AL115" s="318"/>
      <c r="AM115" s="318"/>
      <c r="AN115" s="318"/>
      <c r="AO115" s="318"/>
      <c r="AP115" s="318"/>
      <c r="AQ115" s="318"/>
      <c r="AR115" s="318"/>
      <c r="AS115" s="318"/>
      <c r="AT115" s="318"/>
      <c r="AU115" s="318"/>
      <c r="AV115" s="318"/>
      <c r="AW115" s="319"/>
      <c r="AX115" s="589"/>
      <c r="AY115" s="592"/>
      <c r="AZ115" s="592"/>
      <c r="BA115" s="608"/>
      <c r="BB115" s="301"/>
    </row>
    <row r="116" spans="1:54">
      <c r="A116" s="320"/>
      <c r="B116" s="32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20"/>
      <c r="AC116" s="32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row>
    <row r="117" spans="1:54" ht="20.100000000000001" customHeight="1">
      <c r="A117" s="296" t="s">
        <v>286</v>
      </c>
      <c r="B117" s="581" t="s">
        <v>284</v>
      </c>
      <c r="C117" s="581"/>
      <c r="D117" s="581"/>
      <c r="E117" s="581"/>
      <c r="F117" s="581"/>
      <c r="G117" s="581"/>
      <c r="H117" s="581"/>
      <c r="I117" s="581"/>
      <c r="J117" s="581"/>
      <c r="K117" s="581"/>
      <c r="L117" s="581"/>
      <c r="M117" s="581"/>
      <c r="N117" s="581"/>
      <c r="O117" s="581"/>
      <c r="P117" s="581"/>
      <c r="Q117" s="581"/>
      <c r="R117" s="581"/>
      <c r="S117" s="581"/>
      <c r="T117" s="581"/>
      <c r="U117" s="581"/>
      <c r="V117" s="581"/>
      <c r="W117" s="581"/>
      <c r="X117" s="581"/>
      <c r="Y117" s="581"/>
      <c r="Z117" s="581"/>
      <c r="AA117" s="297"/>
      <c r="AB117" s="296" t="s">
        <v>286</v>
      </c>
      <c r="AC117" s="581" t="s">
        <v>284</v>
      </c>
      <c r="AD117" s="581"/>
      <c r="AE117" s="581"/>
      <c r="AF117" s="581"/>
      <c r="AG117" s="581"/>
      <c r="AH117" s="581"/>
      <c r="AI117" s="581"/>
      <c r="AJ117" s="581"/>
      <c r="AK117" s="581"/>
      <c r="AL117" s="581"/>
      <c r="AM117" s="581"/>
      <c r="AN117" s="581"/>
      <c r="AO117" s="581"/>
      <c r="AP117" s="581"/>
      <c r="AQ117" s="581"/>
      <c r="AR117" s="581"/>
      <c r="AS117" s="581"/>
      <c r="AT117" s="581"/>
      <c r="AU117" s="581"/>
      <c r="AV117" s="581"/>
      <c r="AW117" s="581"/>
      <c r="AX117" s="581"/>
      <c r="AY117" s="581"/>
      <c r="AZ117" s="581"/>
      <c r="BA117" s="581"/>
      <c r="BB117" s="297"/>
    </row>
    <row r="118" spans="1:54" ht="21.75" customHeight="1">
      <c r="A118" s="298"/>
      <c r="B118" s="612" t="s">
        <v>81</v>
      </c>
      <c r="C118" s="612"/>
      <c r="D118" s="612"/>
      <c r="E118" s="612"/>
      <c r="F118" s="612"/>
      <c r="G118" s="612"/>
      <c r="H118" s="612"/>
      <c r="I118" s="612"/>
      <c r="J118" s="612"/>
      <c r="K118" s="612"/>
      <c r="L118" s="612"/>
      <c r="M118" s="612"/>
      <c r="N118" s="612"/>
      <c r="O118" s="612"/>
      <c r="P118" s="612"/>
      <c r="Q118" s="612"/>
      <c r="R118" s="612"/>
      <c r="S118" s="612"/>
      <c r="T118" s="612"/>
      <c r="U118" s="612"/>
      <c r="V118" s="612"/>
      <c r="W118" s="612"/>
      <c r="X118" s="612"/>
      <c r="Y118" s="612"/>
      <c r="Z118" s="612"/>
      <c r="AA118" s="297"/>
      <c r="AB118" s="298"/>
      <c r="AC118" s="612" t="s">
        <v>81</v>
      </c>
      <c r="AD118" s="612"/>
      <c r="AE118" s="612"/>
      <c r="AF118" s="612"/>
      <c r="AG118" s="612"/>
      <c r="AH118" s="612"/>
      <c r="AI118" s="612"/>
      <c r="AJ118" s="612"/>
      <c r="AK118" s="612"/>
      <c r="AL118" s="612"/>
      <c r="AM118" s="612"/>
      <c r="AN118" s="612"/>
      <c r="AO118" s="612"/>
      <c r="AP118" s="612"/>
      <c r="AQ118" s="612"/>
      <c r="AR118" s="612"/>
      <c r="AS118" s="612"/>
      <c r="AT118" s="612"/>
      <c r="AU118" s="612"/>
      <c r="AV118" s="612"/>
      <c r="AW118" s="612"/>
      <c r="AX118" s="612"/>
      <c r="AY118" s="612"/>
      <c r="AZ118" s="612"/>
      <c r="BA118" s="612"/>
      <c r="BB118" s="297"/>
    </row>
    <row r="119" spans="1:54" s="295" customFormat="1" ht="20.25" customHeight="1">
      <c r="A119" s="298"/>
      <c r="B119" s="299" t="str">
        <f>CONCATENATE("ધોરણ - ",SCHOOL!$D$3)</f>
        <v>ધોરણ - 1</v>
      </c>
      <c r="C119" s="613" t="s">
        <v>313</v>
      </c>
      <c r="D119" s="613"/>
      <c r="E119" s="613"/>
      <c r="F119" s="613"/>
      <c r="G119" s="613"/>
      <c r="H119" s="613"/>
      <c r="I119" s="613"/>
      <c r="J119" s="613"/>
      <c r="K119" s="613" t="s">
        <v>288</v>
      </c>
      <c r="L119" s="613"/>
      <c r="M119" s="613"/>
      <c r="N119" s="613"/>
      <c r="O119" s="613"/>
      <c r="P119" s="613"/>
      <c r="Q119" s="613"/>
      <c r="R119" s="613" t="s">
        <v>289</v>
      </c>
      <c r="S119" s="613"/>
      <c r="T119" s="613"/>
      <c r="U119" s="613"/>
      <c r="V119" s="613"/>
      <c r="W119" s="613"/>
      <c r="X119" s="613"/>
      <c r="Y119" s="613">
        <f>COUNTA(C122:V122)</f>
        <v>15</v>
      </c>
      <c r="Z119" s="613"/>
      <c r="AA119" s="300"/>
      <c r="AB119" s="298"/>
      <c r="AC119" s="299" t="str">
        <f>CONCATENATE("ધોરણ - ",SCHOOL!$D$3)</f>
        <v>ધોરણ - 1</v>
      </c>
      <c r="AD119" s="613" t="str">
        <f>C119</f>
        <v xml:space="preserve"> વિષય-ગણિત  </v>
      </c>
      <c r="AE119" s="613"/>
      <c r="AF119" s="613"/>
      <c r="AG119" s="613"/>
      <c r="AH119" s="613"/>
      <c r="AI119" s="613"/>
      <c r="AJ119" s="613"/>
      <c r="AK119" s="613"/>
      <c r="AL119" s="613" t="s">
        <v>290</v>
      </c>
      <c r="AM119" s="613"/>
      <c r="AN119" s="613"/>
      <c r="AO119" s="613"/>
      <c r="AP119" s="613"/>
      <c r="AQ119" s="613"/>
      <c r="AR119" s="613"/>
      <c r="AS119" s="613" t="s">
        <v>289</v>
      </c>
      <c r="AT119" s="613"/>
      <c r="AU119" s="613"/>
      <c r="AV119" s="613"/>
      <c r="AW119" s="613"/>
      <c r="AX119" s="613"/>
      <c r="AY119" s="613"/>
      <c r="AZ119" s="613">
        <f>COUNTA(AD122:AW122)</f>
        <v>15</v>
      </c>
      <c r="BA119" s="613"/>
      <c r="BB119" s="300"/>
    </row>
    <row r="120" spans="1:54" ht="18.75" customHeight="1">
      <c r="A120" s="609" t="s">
        <v>291</v>
      </c>
      <c r="B120" s="614" t="s">
        <v>82</v>
      </c>
      <c r="C120" s="617" t="s">
        <v>292</v>
      </c>
      <c r="D120" s="618"/>
      <c r="E120" s="618"/>
      <c r="F120" s="618"/>
      <c r="G120" s="618"/>
      <c r="H120" s="618"/>
      <c r="I120" s="618"/>
      <c r="J120" s="618"/>
      <c r="K120" s="618"/>
      <c r="L120" s="618"/>
      <c r="M120" s="618"/>
      <c r="N120" s="618"/>
      <c r="O120" s="618"/>
      <c r="P120" s="618"/>
      <c r="Q120" s="618"/>
      <c r="R120" s="618"/>
      <c r="S120" s="618"/>
      <c r="T120" s="618"/>
      <c r="U120" s="618"/>
      <c r="V120" s="619"/>
      <c r="W120" s="599" t="s">
        <v>293</v>
      </c>
      <c r="X120" s="600"/>
      <c r="Y120" s="601"/>
      <c r="Z120" s="605" t="s">
        <v>294</v>
      </c>
      <c r="AA120" s="301"/>
      <c r="AB120" s="609" t="s">
        <v>291</v>
      </c>
      <c r="AC120" s="614" t="s">
        <v>82</v>
      </c>
      <c r="AD120" s="617" t="s">
        <v>292</v>
      </c>
      <c r="AE120" s="618"/>
      <c r="AF120" s="618"/>
      <c r="AG120" s="618"/>
      <c r="AH120" s="618"/>
      <c r="AI120" s="618"/>
      <c r="AJ120" s="618"/>
      <c r="AK120" s="618"/>
      <c r="AL120" s="618"/>
      <c r="AM120" s="618"/>
      <c r="AN120" s="618"/>
      <c r="AO120" s="618"/>
      <c r="AP120" s="618"/>
      <c r="AQ120" s="618"/>
      <c r="AR120" s="618"/>
      <c r="AS120" s="618"/>
      <c r="AT120" s="618"/>
      <c r="AU120" s="618"/>
      <c r="AV120" s="618"/>
      <c r="AW120" s="619"/>
      <c r="AX120" s="599" t="s">
        <v>293</v>
      </c>
      <c r="AY120" s="600"/>
      <c r="AZ120" s="601"/>
      <c r="BA120" s="605" t="s">
        <v>294</v>
      </c>
      <c r="BB120" s="301"/>
    </row>
    <row r="121" spans="1:54" ht="15" customHeight="1">
      <c r="A121" s="609"/>
      <c r="B121" s="615"/>
      <c r="C121" s="302">
        <v>1</v>
      </c>
      <c r="D121" s="303">
        <v>2</v>
      </c>
      <c r="E121" s="303">
        <v>3</v>
      </c>
      <c r="F121" s="303">
        <v>4</v>
      </c>
      <c r="G121" s="303">
        <v>5</v>
      </c>
      <c r="H121" s="303">
        <v>6</v>
      </c>
      <c r="I121" s="303">
        <v>7</v>
      </c>
      <c r="J121" s="303">
        <v>8</v>
      </c>
      <c r="K121" s="303">
        <v>9</v>
      </c>
      <c r="L121" s="303">
        <v>10</v>
      </c>
      <c r="M121" s="303">
        <v>11</v>
      </c>
      <c r="N121" s="303">
        <v>12</v>
      </c>
      <c r="O121" s="303">
        <v>13</v>
      </c>
      <c r="P121" s="303">
        <v>14</v>
      </c>
      <c r="Q121" s="303">
        <v>15</v>
      </c>
      <c r="R121" s="303">
        <v>16</v>
      </c>
      <c r="S121" s="303">
        <v>17</v>
      </c>
      <c r="T121" s="303">
        <v>18</v>
      </c>
      <c r="U121" s="303">
        <v>19</v>
      </c>
      <c r="V121" s="304">
        <v>20</v>
      </c>
      <c r="W121" s="602"/>
      <c r="X121" s="603"/>
      <c r="Y121" s="604"/>
      <c r="Z121" s="620"/>
      <c r="AA121" s="301"/>
      <c r="AB121" s="609"/>
      <c r="AC121" s="615"/>
      <c r="AD121" s="302">
        <v>1</v>
      </c>
      <c r="AE121" s="303">
        <v>2</v>
      </c>
      <c r="AF121" s="303">
        <v>3</v>
      </c>
      <c r="AG121" s="303">
        <v>4</v>
      </c>
      <c r="AH121" s="303">
        <v>5</v>
      </c>
      <c r="AI121" s="303">
        <v>6</v>
      </c>
      <c r="AJ121" s="303">
        <v>7</v>
      </c>
      <c r="AK121" s="303">
        <v>8</v>
      </c>
      <c r="AL121" s="303">
        <v>9</v>
      </c>
      <c r="AM121" s="303">
        <v>10</v>
      </c>
      <c r="AN121" s="303">
        <v>11</v>
      </c>
      <c r="AO121" s="303">
        <v>12</v>
      </c>
      <c r="AP121" s="303">
        <v>13</v>
      </c>
      <c r="AQ121" s="303">
        <v>14</v>
      </c>
      <c r="AR121" s="303">
        <v>15</v>
      </c>
      <c r="AS121" s="303">
        <v>16</v>
      </c>
      <c r="AT121" s="303">
        <v>17</v>
      </c>
      <c r="AU121" s="303">
        <v>18</v>
      </c>
      <c r="AV121" s="303">
        <v>19</v>
      </c>
      <c r="AW121" s="304">
        <v>20</v>
      </c>
      <c r="AX121" s="602"/>
      <c r="AY121" s="603"/>
      <c r="AZ121" s="604"/>
      <c r="BA121" s="620"/>
      <c r="BB121" s="301"/>
    </row>
    <row r="122" spans="1:54" ht="45" customHeight="1">
      <c r="A122" s="609"/>
      <c r="B122" s="616"/>
      <c r="C122" s="305" t="s">
        <v>295</v>
      </c>
      <c r="D122" s="306" t="s">
        <v>296</v>
      </c>
      <c r="E122" s="306" t="s">
        <v>297</v>
      </c>
      <c r="F122" s="306" t="s">
        <v>298</v>
      </c>
      <c r="G122" s="306" t="s">
        <v>299</v>
      </c>
      <c r="H122" s="306" t="s">
        <v>300</v>
      </c>
      <c r="I122" s="306" t="s">
        <v>301</v>
      </c>
      <c r="J122" s="306" t="s">
        <v>302</v>
      </c>
      <c r="K122" s="306" t="s">
        <v>303</v>
      </c>
      <c r="L122" s="306" t="s">
        <v>304</v>
      </c>
      <c r="M122" s="306" t="s">
        <v>305</v>
      </c>
      <c r="N122" s="306" t="s">
        <v>306</v>
      </c>
      <c r="O122" s="306" t="s">
        <v>307</v>
      </c>
      <c r="P122" s="306" t="s">
        <v>308</v>
      </c>
      <c r="Q122" s="306" t="s">
        <v>309</v>
      </c>
      <c r="R122" s="306"/>
      <c r="S122" s="306"/>
      <c r="T122" s="306"/>
      <c r="U122" s="306"/>
      <c r="V122" s="307"/>
      <c r="W122" s="308" t="s">
        <v>310</v>
      </c>
      <c r="X122" s="309" t="s">
        <v>311</v>
      </c>
      <c r="Y122" s="310" t="s">
        <v>312</v>
      </c>
      <c r="Z122" s="621"/>
      <c r="AA122" s="301"/>
      <c r="AB122" s="609"/>
      <c r="AC122" s="616"/>
      <c r="AD122" s="305" t="s">
        <v>295</v>
      </c>
      <c r="AE122" s="306" t="s">
        <v>296</v>
      </c>
      <c r="AF122" s="306" t="s">
        <v>297</v>
      </c>
      <c r="AG122" s="306" t="s">
        <v>298</v>
      </c>
      <c r="AH122" s="306" t="s">
        <v>299</v>
      </c>
      <c r="AI122" s="306" t="s">
        <v>300</v>
      </c>
      <c r="AJ122" s="306" t="s">
        <v>301</v>
      </c>
      <c r="AK122" s="306" t="s">
        <v>302</v>
      </c>
      <c r="AL122" s="306" t="s">
        <v>303</v>
      </c>
      <c r="AM122" s="306" t="s">
        <v>304</v>
      </c>
      <c r="AN122" s="306" t="s">
        <v>305</v>
      </c>
      <c r="AO122" s="306" t="s">
        <v>306</v>
      </c>
      <c r="AP122" s="306" t="s">
        <v>307</v>
      </c>
      <c r="AQ122" s="306" t="s">
        <v>308</v>
      </c>
      <c r="AR122" s="306" t="s">
        <v>309</v>
      </c>
      <c r="AS122" s="306"/>
      <c r="AT122" s="306"/>
      <c r="AU122" s="306"/>
      <c r="AV122" s="306"/>
      <c r="AW122" s="307"/>
      <c r="AX122" s="308" t="s">
        <v>310</v>
      </c>
      <c r="AY122" s="309" t="s">
        <v>311</v>
      </c>
      <c r="AZ122" s="310" t="s">
        <v>312</v>
      </c>
      <c r="BA122" s="621"/>
      <c r="BB122" s="301"/>
    </row>
    <row r="123" spans="1:54" ht="9" customHeight="1">
      <c r="A123" s="583">
        <v>1</v>
      </c>
      <c r="B123" s="584" t="str">
        <f>B11</f>
        <v>ગોહેલ રાજેશભાઇ ચીથરભાઇ</v>
      </c>
      <c r="C123" s="311"/>
      <c r="D123" s="312"/>
      <c r="E123" s="312"/>
      <c r="F123" s="312" t="s">
        <v>312</v>
      </c>
      <c r="G123" s="312"/>
      <c r="H123" s="312"/>
      <c r="I123" s="312"/>
      <c r="J123" s="312" t="s">
        <v>312</v>
      </c>
      <c r="K123" s="312"/>
      <c r="L123" s="312"/>
      <c r="M123" s="312" t="s">
        <v>312</v>
      </c>
      <c r="N123" s="312"/>
      <c r="O123" s="312" t="s">
        <v>312</v>
      </c>
      <c r="P123" s="312"/>
      <c r="Q123" s="312"/>
      <c r="R123" s="312"/>
      <c r="S123" s="312"/>
      <c r="T123" s="312"/>
      <c r="U123" s="312"/>
      <c r="V123" s="313"/>
      <c r="W123" s="587">
        <f>'A-CALC'!V109</f>
        <v>2</v>
      </c>
      <c r="X123" s="590">
        <f>'A-CALC'!W109</f>
        <v>1</v>
      </c>
      <c r="Y123" s="590">
        <f>'A-CALC'!X109</f>
        <v>2</v>
      </c>
      <c r="Z123" s="593">
        <f>ROUND((40/$Y$7)*W123,0)</f>
        <v>6</v>
      </c>
      <c r="AA123" s="301"/>
      <c r="AB123" s="583">
        <v>1</v>
      </c>
      <c r="AC123" s="584" t="str">
        <f>AC11</f>
        <v>ગોહેલ રાજેશભાઇ ચીથરભાઇ</v>
      </c>
      <c r="AD123" s="311"/>
      <c r="AE123" s="312"/>
      <c r="AF123" s="312"/>
      <c r="AG123" s="312"/>
      <c r="AH123" s="312"/>
      <c r="AI123" s="312"/>
      <c r="AJ123" s="312"/>
      <c r="AK123" s="312"/>
      <c r="AL123" s="312"/>
      <c r="AM123" s="312"/>
      <c r="AN123" s="312"/>
      <c r="AO123" s="312"/>
      <c r="AP123" s="312"/>
      <c r="AQ123" s="312"/>
      <c r="AR123" s="312"/>
      <c r="AS123" s="312"/>
      <c r="AT123" s="312"/>
      <c r="AU123" s="312"/>
      <c r="AV123" s="312"/>
      <c r="AW123" s="313"/>
      <c r="AX123" s="587">
        <f>'A-CALC'!AU109</f>
        <v>0</v>
      </c>
      <c r="AY123" s="590">
        <f>'A-CALC'!AV109</f>
        <v>0</v>
      </c>
      <c r="AZ123" s="590">
        <f>'A-CALC'!AW109</f>
        <v>0</v>
      </c>
      <c r="BA123" s="593">
        <f>ROUND((40/$Y$7)*AX123,0)</f>
        <v>0</v>
      </c>
      <c r="BB123" s="301"/>
    </row>
    <row r="124" spans="1:54" ht="9" customHeight="1">
      <c r="A124" s="583"/>
      <c r="B124" s="585"/>
      <c r="C124" s="314"/>
      <c r="D124" s="315" t="s">
        <v>311</v>
      </c>
      <c r="E124" s="315"/>
      <c r="F124" s="315"/>
      <c r="G124" s="315"/>
      <c r="H124" s="315"/>
      <c r="I124" s="315"/>
      <c r="J124" s="315" t="s">
        <v>311</v>
      </c>
      <c r="K124" s="315"/>
      <c r="L124" s="315"/>
      <c r="M124" s="315"/>
      <c r="N124" s="315"/>
      <c r="O124" s="315"/>
      <c r="P124" s="315"/>
      <c r="Q124" s="315"/>
      <c r="R124" s="315"/>
      <c r="S124" s="315"/>
      <c r="T124" s="315"/>
      <c r="U124" s="315"/>
      <c r="V124" s="316"/>
      <c r="W124" s="588"/>
      <c r="X124" s="591"/>
      <c r="Y124" s="591"/>
      <c r="Z124" s="594"/>
      <c r="AA124" s="301"/>
      <c r="AB124" s="583"/>
      <c r="AC124" s="585"/>
      <c r="AD124" s="314"/>
      <c r="AE124" s="315"/>
      <c r="AF124" s="315"/>
      <c r="AG124" s="315"/>
      <c r="AH124" s="315"/>
      <c r="AI124" s="315"/>
      <c r="AJ124" s="315"/>
      <c r="AK124" s="315"/>
      <c r="AL124" s="315"/>
      <c r="AM124" s="315"/>
      <c r="AN124" s="315"/>
      <c r="AO124" s="315"/>
      <c r="AP124" s="315"/>
      <c r="AQ124" s="315"/>
      <c r="AR124" s="315"/>
      <c r="AS124" s="315"/>
      <c r="AT124" s="315"/>
      <c r="AU124" s="315"/>
      <c r="AV124" s="315"/>
      <c r="AW124" s="316"/>
      <c r="AX124" s="588"/>
      <c r="AY124" s="591"/>
      <c r="AZ124" s="591"/>
      <c r="BA124" s="594"/>
      <c r="BB124" s="301"/>
    </row>
    <row r="125" spans="1:54" ht="9" customHeight="1">
      <c r="A125" s="583"/>
      <c r="B125" s="586"/>
      <c r="C125" s="317"/>
      <c r="D125" s="318" t="s">
        <v>310</v>
      </c>
      <c r="E125" s="318"/>
      <c r="F125" s="318"/>
      <c r="G125" s="318"/>
      <c r="H125" s="318"/>
      <c r="I125" s="318"/>
      <c r="J125" s="318"/>
      <c r="K125" s="318"/>
      <c r="L125" s="318"/>
      <c r="M125" s="318"/>
      <c r="N125" s="318"/>
      <c r="O125" s="318" t="s">
        <v>310</v>
      </c>
      <c r="P125" s="318"/>
      <c r="Q125" s="318"/>
      <c r="R125" s="318"/>
      <c r="S125" s="318"/>
      <c r="T125" s="318"/>
      <c r="U125" s="318"/>
      <c r="V125" s="319"/>
      <c r="W125" s="589"/>
      <c r="X125" s="592"/>
      <c r="Y125" s="592"/>
      <c r="Z125" s="608"/>
      <c r="AA125" s="301"/>
      <c r="AB125" s="583"/>
      <c r="AC125" s="586"/>
      <c r="AD125" s="317"/>
      <c r="AE125" s="318"/>
      <c r="AF125" s="318"/>
      <c r="AG125" s="318"/>
      <c r="AH125" s="318"/>
      <c r="AI125" s="318"/>
      <c r="AJ125" s="318"/>
      <c r="AK125" s="318"/>
      <c r="AL125" s="318"/>
      <c r="AM125" s="318"/>
      <c r="AN125" s="318"/>
      <c r="AO125" s="318"/>
      <c r="AP125" s="318"/>
      <c r="AQ125" s="318"/>
      <c r="AR125" s="318"/>
      <c r="AS125" s="318"/>
      <c r="AT125" s="318"/>
      <c r="AU125" s="318"/>
      <c r="AV125" s="318"/>
      <c r="AW125" s="319"/>
      <c r="AX125" s="589"/>
      <c r="AY125" s="592"/>
      <c r="AZ125" s="592"/>
      <c r="BA125" s="608"/>
      <c r="BB125" s="301"/>
    </row>
    <row r="126" spans="1:54" ht="9" customHeight="1">
      <c r="A126" s="583">
        <v>2</v>
      </c>
      <c r="B126" s="584" t="str">
        <f t="shared" ref="B126" si="83">B14</f>
        <v>ખિમસુરીયા સાહિલકુમાર અરજણભાઇ</v>
      </c>
      <c r="C126" s="311"/>
      <c r="D126" s="312"/>
      <c r="E126" s="312"/>
      <c r="F126" s="312"/>
      <c r="G126" s="312"/>
      <c r="H126" s="312"/>
      <c r="I126" s="312"/>
      <c r="J126" s="312"/>
      <c r="K126" s="312"/>
      <c r="L126" s="312"/>
      <c r="M126" s="312"/>
      <c r="N126" s="312"/>
      <c r="O126" s="312"/>
      <c r="P126" s="312"/>
      <c r="Q126" s="312"/>
      <c r="R126" s="312"/>
      <c r="S126" s="312"/>
      <c r="T126" s="312"/>
      <c r="U126" s="312"/>
      <c r="V126" s="313"/>
      <c r="W126" s="587">
        <f>'A-CALC'!V112</f>
        <v>0</v>
      </c>
      <c r="X126" s="590">
        <f>'A-CALC'!W112</f>
        <v>0</v>
      </c>
      <c r="Y126" s="590">
        <f>'A-CALC'!X112</f>
        <v>0</v>
      </c>
      <c r="Z126" s="593">
        <f t="shared" ref="Z126" si="84">ROUND((40/$Y$7)*W126,0)</f>
        <v>0</v>
      </c>
      <c r="AA126" s="301"/>
      <c r="AB126" s="583">
        <v>2</v>
      </c>
      <c r="AC126" s="584" t="str">
        <f t="shared" ref="AC126" si="85">AC14</f>
        <v>ખિમસુરીયા સાહિલકુમાર અરજણભાઇ</v>
      </c>
      <c r="AD126" s="311"/>
      <c r="AE126" s="312"/>
      <c r="AF126" s="312"/>
      <c r="AG126" s="312"/>
      <c r="AH126" s="312"/>
      <c r="AI126" s="312"/>
      <c r="AJ126" s="312"/>
      <c r="AK126" s="312"/>
      <c r="AL126" s="312"/>
      <c r="AM126" s="312"/>
      <c r="AN126" s="312"/>
      <c r="AO126" s="312"/>
      <c r="AP126" s="312"/>
      <c r="AQ126" s="312"/>
      <c r="AR126" s="312"/>
      <c r="AS126" s="312"/>
      <c r="AT126" s="312"/>
      <c r="AU126" s="312"/>
      <c r="AV126" s="312"/>
      <c r="AW126" s="313"/>
      <c r="AX126" s="587">
        <f>'A-CALC'!AU112</f>
        <v>0</v>
      </c>
      <c r="AY126" s="590">
        <f>'A-CALC'!AV112</f>
        <v>0</v>
      </c>
      <c r="AZ126" s="590">
        <f>'A-CALC'!AW112</f>
        <v>0</v>
      </c>
      <c r="BA126" s="593">
        <f t="shared" ref="BA126" si="86">ROUND((40/$Y$7)*AX126,0)</f>
        <v>0</v>
      </c>
      <c r="BB126" s="301"/>
    </row>
    <row r="127" spans="1:54" ht="9" customHeight="1">
      <c r="A127" s="583"/>
      <c r="B127" s="585"/>
      <c r="C127" s="314"/>
      <c r="D127" s="315"/>
      <c r="E127" s="315"/>
      <c r="F127" s="315"/>
      <c r="G127" s="315"/>
      <c r="H127" s="315"/>
      <c r="I127" s="315"/>
      <c r="J127" s="315"/>
      <c r="K127" s="315"/>
      <c r="L127" s="315"/>
      <c r="M127" s="315"/>
      <c r="N127" s="315"/>
      <c r="O127" s="315"/>
      <c r="P127" s="315"/>
      <c r="Q127" s="315"/>
      <c r="R127" s="315"/>
      <c r="S127" s="315"/>
      <c r="T127" s="315"/>
      <c r="U127" s="315"/>
      <c r="V127" s="316"/>
      <c r="W127" s="588"/>
      <c r="X127" s="591"/>
      <c r="Y127" s="591"/>
      <c r="Z127" s="594"/>
      <c r="AA127" s="301"/>
      <c r="AB127" s="583"/>
      <c r="AC127" s="585"/>
      <c r="AD127" s="314"/>
      <c r="AE127" s="315"/>
      <c r="AF127" s="315"/>
      <c r="AG127" s="315"/>
      <c r="AH127" s="315"/>
      <c r="AI127" s="315"/>
      <c r="AJ127" s="315"/>
      <c r="AK127" s="315"/>
      <c r="AL127" s="315"/>
      <c r="AM127" s="315"/>
      <c r="AN127" s="315"/>
      <c r="AO127" s="315"/>
      <c r="AP127" s="315"/>
      <c r="AQ127" s="315"/>
      <c r="AR127" s="315"/>
      <c r="AS127" s="315"/>
      <c r="AT127" s="315"/>
      <c r="AU127" s="315"/>
      <c r="AV127" s="315"/>
      <c r="AW127" s="316"/>
      <c r="AX127" s="588"/>
      <c r="AY127" s="591"/>
      <c r="AZ127" s="591"/>
      <c r="BA127" s="594"/>
      <c r="BB127" s="301"/>
    </row>
    <row r="128" spans="1:54" ht="9" customHeight="1">
      <c r="A128" s="583"/>
      <c r="B128" s="586"/>
      <c r="C128" s="317"/>
      <c r="D128" s="318"/>
      <c r="E128" s="318"/>
      <c r="F128" s="318"/>
      <c r="G128" s="318"/>
      <c r="H128" s="318"/>
      <c r="I128" s="318"/>
      <c r="J128" s="318"/>
      <c r="K128" s="318"/>
      <c r="L128" s="318"/>
      <c r="M128" s="318"/>
      <c r="N128" s="318"/>
      <c r="O128" s="318"/>
      <c r="P128" s="318"/>
      <c r="Q128" s="318"/>
      <c r="R128" s="318"/>
      <c r="S128" s="318"/>
      <c r="T128" s="318"/>
      <c r="U128" s="318"/>
      <c r="V128" s="319"/>
      <c r="W128" s="589"/>
      <c r="X128" s="592"/>
      <c r="Y128" s="592"/>
      <c r="Z128" s="608"/>
      <c r="AA128" s="301"/>
      <c r="AB128" s="583"/>
      <c r="AC128" s="586"/>
      <c r="AD128" s="317"/>
      <c r="AE128" s="318"/>
      <c r="AF128" s="318"/>
      <c r="AG128" s="318"/>
      <c r="AH128" s="318"/>
      <c r="AI128" s="318"/>
      <c r="AJ128" s="318"/>
      <c r="AK128" s="318"/>
      <c r="AL128" s="318"/>
      <c r="AM128" s="318"/>
      <c r="AN128" s="318"/>
      <c r="AO128" s="318"/>
      <c r="AP128" s="318"/>
      <c r="AQ128" s="318"/>
      <c r="AR128" s="318"/>
      <c r="AS128" s="318"/>
      <c r="AT128" s="318"/>
      <c r="AU128" s="318"/>
      <c r="AV128" s="318"/>
      <c r="AW128" s="319"/>
      <c r="AX128" s="589"/>
      <c r="AY128" s="592"/>
      <c r="AZ128" s="592"/>
      <c r="BA128" s="608"/>
      <c r="BB128" s="301"/>
    </row>
    <row r="129" spans="1:54" ht="9" customHeight="1">
      <c r="A129" s="583">
        <v>3</v>
      </c>
      <c r="B129" s="584" t="str">
        <f t="shared" ref="B129" si="87">B17</f>
        <v>ગરણિયા મયુરકુમાર અશોકભાઇ</v>
      </c>
      <c r="C129" s="311"/>
      <c r="D129" s="312"/>
      <c r="E129" s="312"/>
      <c r="F129" s="312"/>
      <c r="G129" s="312"/>
      <c r="H129" s="312"/>
      <c r="I129" s="312"/>
      <c r="J129" s="312"/>
      <c r="K129" s="312"/>
      <c r="L129" s="312"/>
      <c r="M129" s="312"/>
      <c r="N129" s="312"/>
      <c r="O129" s="312"/>
      <c r="P129" s="312"/>
      <c r="Q129" s="312"/>
      <c r="R129" s="312"/>
      <c r="S129" s="312"/>
      <c r="T129" s="312"/>
      <c r="U129" s="312"/>
      <c r="V129" s="313"/>
      <c r="W129" s="587">
        <f>'A-CALC'!V115</f>
        <v>0</v>
      </c>
      <c r="X129" s="590">
        <f>'A-CALC'!W115</f>
        <v>0</v>
      </c>
      <c r="Y129" s="590">
        <f>'A-CALC'!X115</f>
        <v>0</v>
      </c>
      <c r="Z129" s="593">
        <f t="shared" ref="Z129" si="88">ROUND((40/$Y$7)*W129,0)</f>
        <v>0</v>
      </c>
      <c r="AA129" s="301"/>
      <c r="AB129" s="583">
        <v>3</v>
      </c>
      <c r="AC129" s="584" t="str">
        <f t="shared" ref="AC129" si="89">AC17</f>
        <v>ગરણિયા મયુરકુમાર અશોકભાઇ</v>
      </c>
      <c r="AD129" s="311"/>
      <c r="AE129" s="312"/>
      <c r="AF129" s="312"/>
      <c r="AG129" s="312"/>
      <c r="AH129" s="312"/>
      <c r="AI129" s="312"/>
      <c r="AJ129" s="312"/>
      <c r="AK129" s="312"/>
      <c r="AL129" s="312"/>
      <c r="AM129" s="312"/>
      <c r="AN129" s="312"/>
      <c r="AO129" s="312"/>
      <c r="AP129" s="312"/>
      <c r="AQ129" s="312"/>
      <c r="AR129" s="312"/>
      <c r="AS129" s="312"/>
      <c r="AT129" s="312"/>
      <c r="AU129" s="312"/>
      <c r="AV129" s="312"/>
      <c r="AW129" s="313"/>
      <c r="AX129" s="587">
        <f>'A-CALC'!AU115</f>
        <v>0</v>
      </c>
      <c r="AY129" s="590">
        <f>'A-CALC'!AV115</f>
        <v>0</v>
      </c>
      <c r="AZ129" s="590">
        <f>'A-CALC'!AW115</f>
        <v>0</v>
      </c>
      <c r="BA129" s="593">
        <f t="shared" ref="BA129" si="90">ROUND((40/$Y$7)*AX129,0)</f>
        <v>0</v>
      </c>
      <c r="BB129" s="301"/>
    </row>
    <row r="130" spans="1:54" ht="9" customHeight="1">
      <c r="A130" s="583"/>
      <c r="B130" s="585"/>
      <c r="C130" s="314"/>
      <c r="D130" s="315"/>
      <c r="E130" s="315"/>
      <c r="F130" s="315"/>
      <c r="G130" s="315"/>
      <c r="H130" s="315"/>
      <c r="I130" s="315"/>
      <c r="J130" s="315"/>
      <c r="K130" s="315"/>
      <c r="L130" s="315"/>
      <c r="M130" s="315"/>
      <c r="N130" s="315"/>
      <c r="O130" s="315"/>
      <c r="P130" s="315"/>
      <c r="Q130" s="315"/>
      <c r="R130" s="315"/>
      <c r="S130" s="315"/>
      <c r="T130" s="315"/>
      <c r="U130" s="315"/>
      <c r="V130" s="316"/>
      <c r="W130" s="588"/>
      <c r="X130" s="591"/>
      <c r="Y130" s="591"/>
      <c r="Z130" s="594"/>
      <c r="AA130" s="301"/>
      <c r="AB130" s="583"/>
      <c r="AC130" s="585"/>
      <c r="AD130" s="314"/>
      <c r="AE130" s="315"/>
      <c r="AF130" s="315"/>
      <c r="AG130" s="315"/>
      <c r="AH130" s="315"/>
      <c r="AI130" s="315"/>
      <c r="AJ130" s="315"/>
      <c r="AK130" s="315"/>
      <c r="AL130" s="315"/>
      <c r="AM130" s="315"/>
      <c r="AN130" s="315"/>
      <c r="AO130" s="315"/>
      <c r="AP130" s="315"/>
      <c r="AQ130" s="315"/>
      <c r="AR130" s="315"/>
      <c r="AS130" s="315"/>
      <c r="AT130" s="315"/>
      <c r="AU130" s="315"/>
      <c r="AV130" s="315"/>
      <c r="AW130" s="316"/>
      <c r="AX130" s="588"/>
      <c r="AY130" s="591"/>
      <c r="AZ130" s="591"/>
      <c r="BA130" s="594"/>
      <c r="BB130" s="301"/>
    </row>
    <row r="131" spans="1:54" ht="9" customHeight="1">
      <c r="A131" s="583"/>
      <c r="B131" s="586"/>
      <c r="C131" s="317"/>
      <c r="D131" s="318"/>
      <c r="E131" s="318"/>
      <c r="F131" s="318"/>
      <c r="G131" s="318"/>
      <c r="H131" s="318"/>
      <c r="I131" s="318"/>
      <c r="J131" s="318"/>
      <c r="K131" s="318"/>
      <c r="L131" s="318"/>
      <c r="M131" s="318"/>
      <c r="N131" s="318"/>
      <c r="O131" s="318"/>
      <c r="P131" s="318"/>
      <c r="Q131" s="318"/>
      <c r="R131" s="318"/>
      <c r="S131" s="318"/>
      <c r="T131" s="318"/>
      <c r="U131" s="318"/>
      <c r="V131" s="319"/>
      <c r="W131" s="589"/>
      <c r="X131" s="592"/>
      <c r="Y131" s="592"/>
      <c r="Z131" s="608"/>
      <c r="AA131" s="301"/>
      <c r="AB131" s="583"/>
      <c r="AC131" s="586"/>
      <c r="AD131" s="317"/>
      <c r="AE131" s="318"/>
      <c r="AF131" s="318"/>
      <c r="AG131" s="318"/>
      <c r="AH131" s="318"/>
      <c r="AI131" s="318"/>
      <c r="AJ131" s="318"/>
      <c r="AK131" s="318"/>
      <c r="AL131" s="318"/>
      <c r="AM131" s="318"/>
      <c r="AN131" s="318"/>
      <c r="AO131" s="318"/>
      <c r="AP131" s="318"/>
      <c r="AQ131" s="318"/>
      <c r="AR131" s="318"/>
      <c r="AS131" s="318"/>
      <c r="AT131" s="318"/>
      <c r="AU131" s="318"/>
      <c r="AV131" s="318"/>
      <c r="AW131" s="319"/>
      <c r="AX131" s="589"/>
      <c r="AY131" s="592"/>
      <c r="AZ131" s="592"/>
      <c r="BA131" s="608"/>
      <c r="BB131" s="301"/>
    </row>
    <row r="132" spans="1:54" ht="9" customHeight="1">
      <c r="A132" s="583">
        <v>4</v>
      </c>
      <c r="B132" s="584" t="str">
        <f t="shared" ref="B132" si="91">B20</f>
        <v>ગરણિયા અલ્પેશકુમાર મેરામભાઇ</v>
      </c>
      <c r="C132" s="311"/>
      <c r="D132" s="312"/>
      <c r="E132" s="312"/>
      <c r="F132" s="312"/>
      <c r="G132" s="312"/>
      <c r="H132" s="312"/>
      <c r="I132" s="312"/>
      <c r="J132" s="312"/>
      <c r="K132" s="312"/>
      <c r="L132" s="312"/>
      <c r="M132" s="312"/>
      <c r="N132" s="312"/>
      <c r="O132" s="312"/>
      <c r="P132" s="312"/>
      <c r="Q132" s="312"/>
      <c r="R132" s="312"/>
      <c r="S132" s="312"/>
      <c r="T132" s="312"/>
      <c r="U132" s="312"/>
      <c r="V132" s="313"/>
      <c r="W132" s="587">
        <f>'A-CALC'!V118</f>
        <v>0</v>
      </c>
      <c r="X132" s="590">
        <f>'A-CALC'!W118</f>
        <v>0</v>
      </c>
      <c r="Y132" s="590">
        <f>'A-CALC'!X118</f>
        <v>0</v>
      </c>
      <c r="Z132" s="593">
        <f t="shared" ref="Z132" si="92">ROUND((40/$Y$7)*W132,0)</f>
        <v>0</v>
      </c>
      <c r="AA132" s="301"/>
      <c r="AB132" s="583">
        <v>4</v>
      </c>
      <c r="AC132" s="584" t="str">
        <f t="shared" ref="AC132" si="93">AC20</f>
        <v>ગરણિયા અલ્પેશકુમાર મેરામભાઇ</v>
      </c>
      <c r="AD132" s="311"/>
      <c r="AE132" s="312"/>
      <c r="AF132" s="312"/>
      <c r="AG132" s="312"/>
      <c r="AH132" s="312"/>
      <c r="AI132" s="312"/>
      <c r="AJ132" s="312"/>
      <c r="AK132" s="312"/>
      <c r="AL132" s="312"/>
      <c r="AM132" s="312"/>
      <c r="AN132" s="312"/>
      <c r="AO132" s="312"/>
      <c r="AP132" s="312"/>
      <c r="AQ132" s="312"/>
      <c r="AR132" s="312"/>
      <c r="AS132" s="312"/>
      <c r="AT132" s="312"/>
      <c r="AU132" s="312"/>
      <c r="AV132" s="312"/>
      <c r="AW132" s="313"/>
      <c r="AX132" s="587">
        <f>'A-CALC'!AU118</f>
        <v>0</v>
      </c>
      <c r="AY132" s="590">
        <f>'A-CALC'!AV118</f>
        <v>0</v>
      </c>
      <c r="AZ132" s="590">
        <f>'A-CALC'!AW118</f>
        <v>0</v>
      </c>
      <c r="BA132" s="593">
        <f t="shared" ref="BA132" si="94">ROUND((40/$Y$7)*AX132,0)</f>
        <v>0</v>
      </c>
      <c r="BB132" s="301"/>
    </row>
    <row r="133" spans="1:54" ht="9" customHeight="1">
      <c r="A133" s="583"/>
      <c r="B133" s="585"/>
      <c r="C133" s="314"/>
      <c r="D133" s="315"/>
      <c r="E133" s="315"/>
      <c r="F133" s="315"/>
      <c r="G133" s="315"/>
      <c r="H133" s="315"/>
      <c r="I133" s="315"/>
      <c r="J133" s="315"/>
      <c r="K133" s="315"/>
      <c r="L133" s="315"/>
      <c r="M133" s="315"/>
      <c r="N133" s="315"/>
      <c r="O133" s="315"/>
      <c r="P133" s="315"/>
      <c r="Q133" s="315"/>
      <c r="R133" s="315"/>
      <c r="S133" s="315"/>
      <c r="T133" s="315"/>
      <c r="U133" s="315"/>
      <c r="V133" s="316"/>
      <c r="W133" s="588"/>
      <c r="X133" s="591"/>
      <c r="Y133" s="591"/>
      <c r="Z133" s="594"/>
      <c r="AA133" s="301"/>
      <c r="AB133" s="583"/>
      <c r="AC133" s="585"/>
      <c r="AD133" s="314"/>
      <c r="AE133" s="315"/>
      <c r="AF133" s="315"/>
      <c r="AG133" s="315"/>
      <c r="AH133" s="315"/>
      <c r="AI133" s="315"/>
      <c r="AJ133" s="315"/>
      <c r="AK133" s="315"/>
      <c r="AL133" s="315"/>
      <c r="AM133" s="315"/>
      <c r="AN133" s="315"/>
      <c r="AO133" s="315"/>
      <c r="AP133" s="315"/>
      <c r="AQ133" s="315"/>
      <c r="AR133" s="315"/>
      <c r="AS133" s="315"/>
      <c r="AT133" s="315"/>
      <c r="AU133" s="315"/>
      <c r="AV133" s="315"/>
      <c r="AW133" s="316"/>
      <c r="AX133" s="588"/>
      <c r="AY133" s="591"/>
      <c r="AZ133" s="591"/>
      <c r="BA133" s="594"/>
      <c r="BB133" s="301"/>
    </row>
    <row r="134" spans="1:54" ht="9" customHeight="1">
      <c r="A134" s="583"/>
      <c r="B134" s="586"/>
      <c r="C134" s="317"/>
      <c r="D134" s="318"/>
      <c r="E134" s="318"/>
      <c r="F134" s="318"/>
      <c r="G134" s="318"/>
      <c r="H134" s="318"/>
      <c r="I134" s="318"/>
      <c r="J134" s="318"/>
      <c r="K134" s="318"/>
      <c r="L134" s="318"/>
      <c r="M134" s="318"/>
      <c r="N134" s="318"/>
      <c r="O134" s="318"/>
      <c r="P134" s="318"/>
      <c r="Q134" s="318"/>
      <c r="R134" s="318"/>
      <c r="S134" s="318"/>
      <c r="T134" s="318"/>
      <c r="U134" s="318"/>
      <c r="V134" s="319"/>
      <c r="W134" s="589"/>
      <c r="X134" s="592"/>
      <c r="Y134" s="592"/>
      <c r="Z134" s="608"/>
      <c r="AA134" s="301"/>
      <c r="AB134" s="583"/>
      <c r="AC134" s="586"/>
      <c r="AD134" s="317"/>
      <c r="AE134" s="318"/>
      <c r="AF134" s="318"/>
      <c r="AG134" s="318"/>
      <c r="AH134" s="318"/>
      <c r="AI134" s="318"/>
      <c r="AJ134" s="318"/>
      <c r="AK134" s="318"/>
      <c r="AL134" s="318"/>
      <c r="AM134" s="318"/>
      <c r="AN134" s="318"/>
      <c r="AO134" s="318"/>
      <c r="AP134" s="318"/>
      <c r="AQ134" s="318"/>
      <c r="AR134" s="318"/>
      <c r="AS134" s="318"/>
      <c r="AT134" s="318"/>
      <c r="AU134" s="318"/>
      <c r="AV134" s="318"/>
      <c r="AW134" s="319"/>
      <c r="AX134" s="589"/>
      <c r="AY134" s="592"/>
      <c r="AZ134" s="592"/>
      <c r="BA134" s="608"/>
      <c r="BB134" s="301"/>
    </row>
    <row r="135" spans="1:54" ht="9" customHeight="1">
      <c r="A135" s="583">
        <v>5</v>
      </c>
      <c r="B135" s="584" t="str">
        <f t="shared" ref="B135" si="95">B23</f>
        <v>ગરણિયા મિલન પોપટભાઇ</v>
      </c>
      <c r="C135" s="311"/>
      <c r="D135" s="312"/>
      <c r="E135" s="312"/>
      <c r="F135" s="312"/>
      <c r="G135" s="312"/>
      <c r="H135" s="312"/>
      <c r="I135" s="312"/>
      <c r="J135" s="312"/>
      <c r="K135" s="312"/>
      <c r="L135" s="312"/>
      <c r="M135" s="312"/>
      <c r="N135" s="312"/>
      <c r="O135" s="312"/>
      <c r="P135" s="312"/>
      <c r="Q135" s="312"/>
      <c r="R135" s="312"/>
      <c r="S135" s="312"/>
      <c r="T135" s="312"/>
      <c r="U135" s="312"/>
      <c r="V135" s="313"/>
      <c r="W135" s="587">
        <f>'A-CALC'!V121</f>
        <v>0</v>
      </c>
      <c r="X135" s="590">
        <f>'A-CALC'!W121</f>
        <v>0</v>
      </c>
      <c r="Y135" s="590">
        <f>'A-CALC'!X121</f>
        <v>0</v>
      </c>
      <c r="Z135" s="593">
        <f t="shared" ref="Z135" si="96">ROUND((40/$Y$7)*W135,0)</f>
        <v>0</v>
      </c>
      <c r="AA135" s="301"/>
      <c r="AB135" s="583">
        <v>5</v>
      </c>
      <c r="AC135" s="584" t="str">
        <f t="shared" ref="AC135" si="97">AC23</f>
        <v>ગરણિયા મિલન પોપટભાઇ</v>
      </c>
      <c r="AD135" s="311"/>
      <c r="AE135" s="312"/>
      <c r="AF135" s="312"/>
      <c r="AG135" s="312"/>
      <c r="AH135" s="312" t="s">
        <v>312</v>
      </c>
      <c r="AI135" s="312"/>
      <c r="AJ135" s="312"/>
      <c r="AK135" s="312"/>
      <c r="AL135" s="312"/>
      <c r="AM135" s="312"/>
      <c r="AN135" s="312"/>
      <c r="AO135" s="312"/>
      <c r="AP135" s="312"/>
      <c r="AQ135" s="312"/>
      <c r="AR135" s="312"/>
      <c r="AS135" s="312"/>
      <c r="AT135" s="312"/>
      <c r="AU135" s="312"/>
      <c r="AV135" s="312"/>
      <c r="AW135" s="313"/>
      <c r="AX135" s="587">
        <f>'A-CALC'!AU121</f>
        <v>1</v>
      </c>
      <c r="AY135" s="590">
        <f>'A-CALC'!AV121</f>
        <v>2</v>
      </c>
      <c r="AZ135" s="590">
        <f>'A-CALC'!AW121</f>
        <v>0</v>
      </c>
      <c r="BA135" s="593">
        <f t="shared" ref="BA135" si="98">ROUND((40/$Y$7)*AX135,0)</f>
        <v>3</v>
      </c>
      <c r="BB135" s="301"/>
    </row>
    <row r="136" spans="1:54" ht="9" customHeight="1">
      <c r="A136" s="583"/>
      <c r="B136" s="585"/>
      <c r="C136" s="314"/>
      <c r="D136" s="315"/>
      <c r="E136" s="315"/>
      <c r="F136" s="315"/>
      <c r="G136" s="315"/>
      <c r="H136" s="315"/>
      <c r="I136" s="315"/>
      <c r="J136" s="315"/>
      <c r="K136" s="315"/>
      <c r="L136" s="315"/>
      <c r="M136" s="315"/>
      <c r="N136" s="315"/>
      <c r="O136" s="315"/>
      <c r="P136" s="315"/>
      <c r="Q136" s="315"/>
      <c r="R136" s="315"/>
      <c r="S136" s="315"/>
      <c r="T136" s="315"/>
      <c r="U136" s="315"/>
      <c r="V136" s="316"/>
      <c r="W136" s="588"/>
      <c r="X136" s="591"/>
      <c r="Y136" s="591"/>
      <c r="Z136" s="594"/>
      <c r="AA136" s="301"/>
      <c r="AB136" s="583"/>
      <c r="AC136" s="585"/>
      <c r="AD136" s="314" t="s">
        <v>311</v>
      </c>
      <c r="AE136" s="315"/>
      <c r="AF136" s="315"/>
      <c r="AG136" s="315"/>
      <c r="AH136" s="315" t="s">
        <v>311</v>
      </c>
      <c r="AI136" s="315"/>
      <c r="AJ136" s="315" t="s">
        <v>311</v>
      </c>
      <c r="AK136" s="315"/>
      <c r="AL136" s="315"/>
      <c r="AM136" s="315"/>
      <c r="AN136" s="315"/>
      <c r="AO136" s="315"/>
      <c r="AP136" s="315"/>
      <c r="AQ136" s="315"/>
      <c r="AR136" s="315"/>
      <c r="AS136" s="315"/>
      <c r="AT136" s="315"/>
      <c r="AU136" s="315"/>
      <c r="AV136" s="315"/>
      <c r="AW136" s="316"/>
      <c r="AX136" s="588"/>
      <c r="AY136" s="591"/>
      <c r="AZ136" s="591"/>
      <c r="BA136" s="594"/>
      <c r="BB136" s="301"/>
    </row>
    <row r="137" spans="1:54" ht="9" customHeight="1">
      <c r="A137" s="583"/>
      <c r="B137" s="586"/>
      <c r="C137" s="317"/>
      <c r="D137" s="318"/>
      <c r="E137" s="318"/>
      <c r="F137" s="318"/>
      <c r="G137" s="318"/>
      <c r="H137" s="318"/>
      <c r="I137" s="318"/>
      <c r="J137" s="318"/>
      <c r="K137" s="318"/>
      <c r="L137" s="318"/>
      <c r="M137" s="318"/>
      <c r="N137" s="318"/>
      <c r="O137" s="318"/>
      <c r="P137" s="318"/>
      <c r="Q137" s="318"/>
      <c r="R137" s="318"/>
      <c r="S137" s="318"/>
      <c r="T137" s="318"/>
      <c r="U137" s="318"/>
      <c r="V137" s="319"/>
      <c r="W137" s="589"/>
      <c r="X137" s="592"/>
      <c r="Y137" s="592"/>
      <c r="Z137" s="608"/>
      <c r="AA137" s="301"/>
      <c r="AB137" s="583"/>
      <c r="AC137" s="586"/>
      <c r="AD137" s="317"/>
      <c r="AE137" s="318"/>
      <c r="AF137" s="318"/>
      <c r="AG137" s="318"/>
      <c r="AH137" s="318"/>
      <c r="AI137" s="318"/>
      <c r="AJ137" s="318" t="s">
        <v>310</v>
      </c>
      <c r="AK137" s="318"/>
      <c r="AL137" s="318"/>
      <c r="AM137" s="318"/>
      <c r="AN137" s="318"/>
      <c r="AO137" s="318"/>
      <c r="AP137" s="318"/>
      <c r="AQ137" s="318"/>
      <c r="AR137" s="318"/>
      <c r="AS137" s="318"/>
      <c r="AT137" s="318"/>
      <c r="AU137" s="318"/>
      <c r="AV137" s="318"/>
      <c r="AW137" s="319"/>
      <c r="AX137" s="589"/>
      <c r="AY137" s="592"/>
      <c r="AZ137" s="592"/>
      <c r="BA137" s="608"/>
      <c r="BB137" s="301"/>
    </row>
    <row r="138" spans="1:54" ht="9" customHeight="1">
      <c r="A138" s="583">
        <v>6</v>
      </c>
      <c r="B138" s="584" t="str">
        <f t="shared" ref="B138" si="99">B26</f>
        <v>ગરણિયા મોહિત રાવતભાઇ</v>
      </c>
      <c r="C138" s="311"/>
      <c r="D138" s="312"/>
      <c r="E138" s="312"/>
      <c r="F138" s="312"/>
      <c r="G138" s="312"/>
      <c r="H138" s="312"/>
      <c r="I138" s="312"/>
      <c r="J138" s="312"/>
      <c r="K138" s="312"/>
      <c r="L138" s="312"/>
      <c r="M138" s="312"/>
      <c r="N138" s="312"/>
      <c r="O138" s="312"/>
      <c r="P138" s="312"/>
      <c r="Q138" s="312"/>
      <c r="R138" s="312"/>
      <c r="S138" s="312"/>
      <c r="T138" s="312"/>
      <c r="U138" s="312"/>
      <c r="V138" s="313"/>
      <c r="W138" s="587">
        <f>'A-CALC'!V124</f>
        <v>0</v>
      </c>
      <c r="X138" s="590">
        <f>'A-CALC'!W124</f>
        <v>0</v>
      </c>
      <c r="Y138" s="590">
        <f>'A-CALC'!X124</f>
        <v>0</v>
      </c>
      <c r="Z138" s="593">
        <f t="shared" ref="Z138" si="100">ROUND((40/$Y$7)*W138,0)</f>
        <v>0</v>
      </c>
      <c r="AA138" s="301"/>
      <c r="AB138" s="583">
        <v>6</v>
      </c>
      <c r="AC138" s="584" t="str">
        <f t="shared" ref="AC138" si="101">AC26</f>
        <v>ગરણિયા મોહિત રાવતભાઇ</v>
      </c>
      <c r="AD138" s="311"/>
      <c r="AE138" s="312"/>
      <c r="AF138" s="312"/>
      <c r="AG138" s="312"/>
      <c r="AH138" s="312"/>
      <c r="AI138" s="312"/>
      <c r="AJ138" s="312"/>
      <c r="AK138" s="312"/>
      <c r="AL138" s="312"/>
      <c r="AM138" s="312"/>
      <c r="AN138" s="312"/>
      <c r="AO138" s="312"/>
      <c r="AP138" s="312"/>
      <c r="AQ138" s="312"/>
      <c r="AR138" s="312"/>
      <c r="AS138" s="312"/>
      <c r="AT138" s="312"/>
      <c r="AU138" s="312"/>
      <c r="AV138" s="312"/>
      <c r="AW138" s="313"/>
      <c r="AX138" s="587">
        <f>'A-CALC'!AU124</f>
        <v>0</v>
      </c>
      <c r="AY138" s="590">
        <f>'A-CALC'!AV124</f>
        <v>0</v>
      </c>
      <c r="AZ138" s="590">
        <f>'A-CALC'!AW124</f>
        <v>0</v>
      </c>
      <c r="BA138" s="593">
        <f t="shared" ref="BA138" si="102">ROUND((40/$Y$7)*AX138,0)</f>
        <v>0</v>
      </c>
      <c r="BB138" s="301"/>
    </row>
    <row r="139" spans="1:54" ht="9" customHeight="1">
      <c r="A139" s="583"/>
      <c r="B139" s="585"/>
      <c r="C139" s="314"/>
      <c r="D139" s="315"/>
      <c r="E139" s="315"/>
      <c r="F139" s="315"/>
      <c r="G139" s="315"/>
      <c r="H139" s="315"/>
      <c r="I139" s="315"/>
      <c r="J139" s="315"/>
      <c r="K139" s="315"/>
      <c r="L139" s="315"/>
      <c r="M139" s="315"/>
      <c r="N139" s="315"/>
      <c r="O139" s="315"/>
      <c r="P139" s="315"/>
      <c r="Q139" s="315"/>
      <c r="R139" s="315"/>
      <c r="S139" s="315"/>
      <c r="T139" s="315"/>
      <c r="U139" s="315"/>
      <c r="V139" s="316"/>
      <c r="W139" s="588"/>
      <c r="X139" s="591"/>
      <c r="Y139" s="591"/>
      <c r="Z139" s="594"/>
      <c r="AA139" s="301"/>
      <c r="AB139" s="583"/>
      <c r="AC139" s="585"/>
      <c r="AD139" s="314"/>
      <c r="AE139" s="315"/>
      <c r="AF139" s="315"/>
      <c r="AG139" s="315"/>
      <c r="AH139" s="315"/>
      <c r="AI139" s="315"/>
      <c r="AJ139" s="315"/>
      <c r="AK139" s="315"/>
      <c r="AL139" s="315"/>
      <c r="AM139" s="315"/>
      <c r="AN139" s="315"/>
      <c r="AO139" s="315"/>
      <c r="AP139" s="315"/>
      <c r="AQ139" s="315"/>
      <c r="AR139" s="315"/>
      <c r="AS139" s="315"/>
      <c r="AT139" s="315"/>
      <c r="AU139" s="315"/>
      <c r="AV139" s="315"/>
      <c r="AW139" s="316"/>
      <c r="AX139" s="588"/>
      <c r="AY139" s="591"/>
      <c r="AZ139" s="591"/>
      <c r="BA139" s="594"/>
      <c r="BB139" s="301"/>
    </row>
    <row r="140" spans="1:54" ht="9" customHeight="1">
      <c r="A140" s="583"/>
      <c r="B140" s="586"/>
      <c r="C140" s="317"/>
      <c r="D140" s="318"/>
      <c r="E140" s="318"/>
      <c r="F140" s="318"/>
      <c r="G140" s="318"/>
      <c r="H140" s="318"/>
      <c r="I140" s="318"/>
      <c r="J140" s="318"/>
      <c r="K140" s="318"/>
      <c r="L140" s="318"/>
      <c r="M140" s="318"/>
      <c r="N140" s="318"/>
      <c r="O140" s="318"/>
      <c r="P140" s="318"/>
      <c r="Q140" s="318"/>
      <c r="R140" s="318"/>
      <c r="S140" s="318"/>
      <c r="T140" s="318"/>
      <c r="U140" s="318"/>
      <c r="V140" s="319"/>
      <c r="W140" s="589"/>
      <c r="X140" s="592"/>
      <c r="Y140" s="592"/>
      <c r="Z140" s="608"/>
      <c r="AA140" s="301"/>
      <c r="AB140" s="583"/>
      <c r="AC140" s="586"/>
      <c r="AD140" s="317"/>
      <c r="AE140" s="318"/>
      <c r="AF140" s="318"/>
      <c r="AG140" s="318"/>
      <c r="AH140" s="318"/>
      <c r="AI140" s="318"/>
      <c r="AJ140" s="318"/>
      <c r="AK140" s="318"/>
      <c r="AL140" s="318"/>
      <c r="AM140" s="318"/>
      <c r="AN140" s="318"/>
      <c r="AO140" s="318"/>
      <c r="AP140" s="318"/>
      <c r="AQ140" s="318"/>
      <c r="AR140" s="318"/>
      <c r="AS140" s="318"/>
      <c r="AT140" s="318"/>
      <c r="AU140" s="318"/>
      <c r="AV140" s="318"/>
      <c r="AW140" s="319"/>
      <c r="AX140" s="589"/>
      <c r="AY140" s="592"/>
      <c r="AZ140" s="592"/>
      <c r="BA140" s="608"/>
      <c r="BB140" s="301"/>
    </row>
    <row r="141" spans="1:54" ht="9" customHeight="1">
      <c r="A141" s="583">
        <v>7</v>
      </c>
      <c r="B141" s="584" t="str">
        <f t="shared" ref="B141" si="103">B29</f>
        <v>ગરણિયા સુમિત પોપટભાઇ</v>
      </c>
      <c r="C141" s="311"/>
      <c r="D141" s="312"/>
      <c r="E141" s="312"/>
      <c r="F141" s="312"/>
      <c r="G141" s="312"/>
      <c r="H141" s="312"/>
      <c r="I141" s="312"/>
      <c r="J141" s="312"/>
      <c r="K141" s="312"/>
      <c r="L141" s="312"/>
      <c r="M141" s="312"/>
      <c r="N141" s="312"/>
      <c r="O141" s="312"/>
      <c r="P141" s="312"/>
      <c r="Q141" s="312"/>
      <c r="R141" s="312"/>
      <c r="S141" s="312"/>
      <c r="T141" s="312"/>
      <c r="U141" s="312"/>
      <c r="V141" s="313"/>
      <c r="W141" s="587">
        <f>'A-CALC'!V127</f>
        <v>0</v>
      </c>
      <c r="X141" s="590">
        <f>'A-CALC'!W127</f>
        <v>0</v>
      </c>
      <c r="Y141" s="590">
        <f>'A-CALC'!X127</f>
        <v>0</v>
      </c>
      <c r="Z141" s="593">
        <f t="shared" ref="Z141" si="104">ROUND((40/$Y$7)*W141,0)</f>
        <v>0</v>
      </c>
      <c r="AA141" s="301"/>
      <c r="AB141" s="583">
        <v>7</v>
      </c>
      <c r="AC141" s="584" t="str">
        <f t="shared" ref="AC141" si="105">AC29</f>
        <v>ગરણિયા સુમિત પોપટભાઇ</v>
      </c>
      <c r="AD141" s="311"/>
      <c r="AE141" s="312"/>
      <c r="AF141" s="312"/>
      <c r="AG141" s="312"/>
      <c r="AH141" s="312"/>
      <c r="AI141" s="312"/>
      <c r="AJ141" s="312"/>
      <c r="AK141" s="312"/>
      <c r="AL141" s="312"/>
      <c r="AM141" s="312"/>
      <c r="AN141" s="312"/>
      <c r="AO141" s="312"/>
      <c r="AP141" s="312"/>
      <c r="AQ141" s="312"/>
      <c r="AR141" s="312"/>
      <c r="AS141" s="312"/>
      <c r="AT141" s="312"/>
      <c r="AU141" s="312"/>
      <c r="AV141" s="312"/>
      <c r="AW141" s="313"/>
      <c r="AX141" s="587">
        <f>'A-CALC'!AU127</f>
        <v>0</v>
      </c>
      <c r="AY141" s="590">
        <f>'A-CALC'!AV127</f>
        <v>0</v>
      </c>
      <c r="AZ141" s="590">
        <f>'A-CALC'!AW127</f>
        <v>0</v>
      </c>
      <c r="BA141" s="593">
        <f t="shared" ref="BA141" si="106">ROUND((40/$Y$7)*AX141,0)</f>
        <v>0</v>
      </c>
      <c r="BB141" s="301"/>
    </row>
    <row r="142" spans="1:54" ht="9" customHeight="1">
      <c r="A142" s="583"/>
      <c r="B142" s="585"/>
      <c r="C142" s="314"/>
      <c r="D142" s="315"/>
      <c r="E142" s="315"/>
      <c r="F142" s="315"/>
      <c r="G142" s="315"/>
      <c r="H142" s="315"/>
      <c r="I142" s="315"/>
      <c r="J142" s="315"/>
      <c r="K142" s="315"/>
      <c r="L142" s="315"/>
      <c r="M142" s="315"/>
      <c r="N142" s="315"/>
      <c r="O142" s="315"/>
      <c r="P142" s="315"/>
      <c r="Q142" s="315"/>
      <c r="R142" s="315"/>
      <c r="S142" s="315"/>
      <c r="T142" s="315"/>
      <c r="U142" s="315"/>
      <c r="V142" s="316"/>
      <c r="W142" s="588"/>
      <c r="X142" s="591"/>
      <c r="Y142" s="591"/>
      <c r="Z142" s="594"/>
      <c r="AA142" s="301"/>
      <c r="AB142" s="583"/>
      <c r="AC142" s="585"/>
      <c r="AD142" s="314"/>
      <c r="AE142" s="315"/>
      <c r="AF142" s="315"/>
      <c r="AG142" s="315"/>
      <c r="AH142" s="315"/>
      <c r="AI142" s="315"/>
      <c r="AJ142" s="315"/>
      <c r="AK142" s="315"/>
      <c r="AL142" s="315"/>
      <c r="AM142" s="315"/>
      <c r="AN142" s="315"/>
      <c r="AO142" s="315"/>
      <c r="AP142" s="315"/>
      <c r="AQ142" s="315"/>
      <c r="AR142" s="315"/>
      <c r="AS142" s="315"/>
      <c r="AT142" s="315"/>
      <c r="AU142" s="315"/>
      <c r="AV142" s="315"/>
      <c r="AW142" s="316"/>
      <c r="AX142" s="588"/>
      <c r="AY142" s="591"/>
      <c r="AZ142" s="591"/>
      <c r="BA142" s="594"/>
      <c r="BB142" s="301"/>
    </row>
    <row r="143" spans="1:54" ht="9" customHeight="1">
      <c r="A143" s="583"/>
      <c r="B143" s="586"/>
      <c r="C143" s="317"/>
      <c r="D143" s="318"/>
      <c r="E143" s="318"/>
      <c r="F143" s="318"/>
      <c r="G143" s="318"/>
      <c r="H143" s="318"/>
      <c r="I143" s="318"/>
      <c r="J143" s="318"/>
      <c r="K143" s="318"/>
      <c r="L143" s="318"/>
      <c r="M143" s="318"/>
      <c r="N143" s="318"/>
      <c r="O143" s="318"/>
      <c r="P143" s="318"/>
      <c r="Q143" s="318"/>
      <c r="R143" s="318"/>
      <c r="S143" s="318"/>
      <c r="T143" s="318"/>
      <c r="U143" s="318"/>
      <c r="V143" s="319"/>
      <c r="W143" s="589"/>
      <c r="X143" s="592"/>
      <c r="Y143" s="592"/>
      <c r="Z143" s="608"/>
      <c r="AA143" s="301"/>
      <c r="AB143" s="583"/>
      <c r="AC143" s="586"/>
      <c r="AD143" s="317"/>
      <c r="AE143" s="318"/>
      <c r="AF143" s="318"/>
      <c r="AG143" s="318"/>
      <c r="AH143" s="318"/>
      <c r="AI143" s="318"/>
      <c r="AJ143" s="318"/>
      <c r="AK143" s="318"/>
      <c r="AL143" s="318"/>
      <c r="AM143" s="318"/>
      <c r="AN143" s="318"/>
      <c r="AO143" s="318"/>
      <c r="AP143" s="318"/>
      <c r="AQ143" s="318"/>
      <c r="AR143" s="318"/>
      <c r="AS143" s="318"/>
      <c r="AT143" s="318"/>
      <c r="AU143" s="318"/>
      <c r="AV143" s="318"/>
      <c r="AW143" s="319"/>
      <c r="AX143" s="589"/>
      <c r="AY143" s="592"/>
      <c r="AZ143" s="592"/>
      <c r="BA143" s="608"/>
      <c r="BB143" s="301"/>
    </row>
    <row r="144" spans="1:54" ht="9" customHeight="1">
      <c r="A144" s="583">
        <v>8</v>
      </c>
      <c r="B144" s="584" t="str">
        <f t="shared" ref="B144:B207" si="107">B32</f>
        <v>ગરણિયા રામકુભાઇ સાર્દૂળભાઇ</v>
      </c>
      <c r="C144" s="311"/>
      <c r="D144" s="312"/>
      <c r="E144" s="312"/>
      <c r="F144" s="312"/>
      <c r="G144" s="312"/>
      <c r="H144" s="312"/>
      <c r="I144" s="312"/>
      <c r="J144" s="312"/>
      <c r="K144" s="312"/>
      <c r="L144" s="312"/>
      <c r="M144" s="312"/>
      <c r="N144" s="312"/>
      <c r="O144" s="312"/>
      <c r="P144" s="312"/>
      <c r="Q144" s="312"/>
      <c r="R144" s="312"/>
      <c r="S144" s="312"/>
      <c r="T144" s="312"/>
      <c r="U144" s="312"/>
      <c r="V144" s="313"/>
      <c r="W144" s="587">
        <f>'A-CALC'!V130</f>
        <v>0</v>
      </c>
      <c r="X144" s="590">
        <f>'A-CALC'!W130</f>
        <v>0</v>
      </c>
      <c r="Y144" s="590">
        <f>'A-CALC'!X130</f>
        <v>0</v>
      </c>
      <c r="Z144" s="593">
        <f t="shared" ref="Z144" si="108">ROUND((40/$Y$7)*W144,0)</f>
        <v>0</v>
      </c>
      <c r="AA144" s="301"/>
      <c r="AB144" s="583">
        <v>8</v>
      </c>
      <c r="AC144" s="584" t="str">
        <f t="shared" ref="AC144:AC207" si="109">AC32</f>
        <v>ગરણિયા રામકુભાઇ સાર્દૂળભાઇ</v>
      </c>
      <c r="AD144" s="311"/>
      <c r="AE144" s="312"/>
      <c r="AF144" s="312"/>
      <c r="AG144" s="312"/>
      <c r="AH144" s="312"/>
      <c r="AI144" s="312"/>
      <c r="AJ144" s="312"/>
      <c r="AK144" s="312"/>
      <c r="AL144" s="312"/>
      <c r="AM144" s="312"/>
      <c r="AN144" s="312"/>
      <c r="AO144" s="312"/>
      <c r="AP144" s="312"/>
      <c r="AQ144" s="312"/>
      <c r="AR144" s="312"/>
      <c r="AS144" s="312"/>
      <c r="AT144" s="312"/>
      <c r="AU144" s="312"/>
      <c r="AV144" s="312"/>
      <c r="AW144" s="313"/>
      <c r="AX144" s="587">
        <f>'A-CALC'!AU130</f>
        <v>0</v>
      </c>
      <c r="AY144" s="590">
        <f>'A-CALC'!AV130</f>
        <v>0</v>
      </c>
      <c r="AZ144" s="590">
        <f>'A-CALC'!AW130</f>
        <v>0</v>
      </c>
      <c r="BA144" s="593">
        <f t="shared" ref="BA144" si="110">ROUND((40/$Y$7)*AX144,0)</f>
        <v>0</v>
      </c>
      <c r="BB144" s="301"/>
    </row>
    <row r="145" spans="1:54" ht="9" customHeight="1">
      <c r="A145" s="583"/>
      <c r="B145" s="585"/>
      <c r="C145" s="314"/>
      <c r="D145" s="315"/>
      <c r="E145" s="315"/>
      <c r="F145" s="315"/>
      <c r="G145" s="315"/>
      <c r="H145" s="315"/>
      <c r="I145" s="315"/>
      <c r="J145" s="315"/>
      <c r="K145" s="315"/>
      <c r="L145" s="315"/>
      <c r="M145" s="315"/>
      <c r="N145" s="315"/>
      <c r="O145" s="315"/>
      <c r="P145" s="315"/>
      <c r="Q145" s="315"/>
      <c r="R145" s="315"/>
      <c r="S145" s="315"/>
      <c r="T145" s="315"/>
      <c r="U145" s="315"/>
      <c r="V145" s="316"/>
      <c r="W145" s="588"/>
      <c r="X145" s="591"/>
      <c r="Y145" s="591"/>
      <c r="Z145" s="594"/>
      <c r="AA145" s="301"/>
      <c r="AB145" s="583"/>
      <c r="AC145" s="585"/>
      <c r="AD145" s="314"/>
      <c r="AE145" s="315"/>
      <c r="AF145" s="315"/>
      <c r="AG145" s="315"/>
      <c r="AH145" s="315"/>
      <c r="AI145" s="315"/>
      <c r="AJ145" s="315"/>
      <c r="AK145" s="315"/>
      <c r="AL145" s="315"/>
      <c r="AM145" s="315"/>
      <c r="AN145" s="315"/>
      <c r="AO145" s="315"/>
      <c r="AP145" s="315"/>
      <c r="AQ145" s="315"/>
      <c r="AR145" s="315"/>
      <c r="AS145" s="315"/>
      <c r="AT145" s="315"/>
      <c r="AU145" s="315"/>
      <c r="AV145" s="315"/>
      <c r="AW145" s="316"/>
      <c r="AX145" s="588"/>
      <c r="AY145" s="591"/>
      <c r="AZ145" s="591"/>
      <c r="BA145" s="594"/>
      <c r="BB145" s="301"/>
    </row>
    <row r="146" spans="1:54" ht="9" customHeight="1">
      <c r="A146" s="583"/>
      <c r="B146" s="586"/>
      <c r="C146" s="317"/>
      <c r="D146" s="318"/>
      <c r="E146" s="318"/>
      <c r="F146" s="318"/>
      <c r="G146" s="318"/>
      <c r="H146" s="318"/>
      <c r="I146" s="318"/>
      <c r="J146" s="318"/>
      <c r="K146" s="318"/>
      <c r="L146" s="318"/>
      <c r="M146" s="318"/>
      <c r="N146" s="318"/>
      <c r="O146" s="318"/>
      <c r="P146" s="318"/>
      <c r="Q146" s="318"/>
      <c r="R146" s="318"/>
      <c r="S146" s="318"/>
      <c r="T146" s="318"/>
      <c r="U146" s="318"/>
      <c r="V146" s="319"/>
      <c r="W146" s="589"/>
      <c r="X146" s="592"/>
      <c r="Y146" s="592"/>
      <c r="Z146" s="608"/>
      <c r="AA146" s="301"/>
      <c r="AB146" s="583"/>
      <c r="AC146" s="586"/>
      <c r="AD146" s="317"/>
      <c r="AE146" s="318"/>
      <c r="AF146" s="318"/>
      <c r="AG146" s="318"/>
      <c r="AH146" s="318"/>
      <c r="AI146" s="318"/>
      <c r="AJ146" s="318"/>
      <c r="AK146" s="318"/>
      <c r="AL146" s="318"/>
      <c r="AM146" s="318"/>
      <c r="AN146" s="318"/>
      <c r="AO146" s="318"/>
      <c r="AP146" s="318"/>
      <c r="AQ146" s="318"/>
      <c r="AR146" s="318"/>
      <c r="AS146" s="318"/>
      <c r="AT146" s="318"/>
      <c r="AU146" s="318"/>
      <c r="AV146" s="318"/>
      <c r="AW146" s="319"/>
      <c r="AX146" s="589"/>
      <c r="AY146" s="592"/>
      <c r="AZ146" s="592"/>
      <c r="BA146" s="608"/>
      <c r="BB146" s="301"/>
    </row>
    <row r="147" spans="1:54" ht="9" customHeight="1">
      <c r="A147" s="583">
        <v>9</v>
      </c>
      <c r="B147" s="584" t="str">
        <f t="shared" si="107"/>
        <v>ડેર હિતેષકુમાર પ્રતાપભાઇ</v>
      </c>
      <c r="C147" s="311"/>
      <c r="D147" s="312"/>
      <c r="E147" s="312"/>
      <c r="F147" s="312"/>
      <c r="G147" s="312"/>
      <c r="H147" s="312"/>
      <c r="I147" s="312"/>
      <c r="J147" s="312"/>
      <c r="K147" s="312"/>
      <c r="L147" s="312"/>
      <c r="M147" s="312"/>
      <c r="N147" s="312"/>
      <c r="O147" s="312"/>
      <c r="P147" s="312"/>
      <c r="Q147" s="312"/>
      <c r="R147" s="312"/>
      <c r="S147" s="312"/>
      <c r="T147" s="312"/>
      <c r="U147" s="312"/>
      <c r="V147" s="313"/>
      <c r="W147" s="587">
        <f>'A-CALC'!V133</f>
        <v>0</v>
      </c>
      <c r="X147" s="590">
        <f>'A-CALC'!W133</f>
        <v>0</v>
      </c>
      <c r="Y147" s="590">
        <f>'A-CALC'!X133</f>
        <v>0</v>
      </c>
      <c r="Z147" s="593">
        <f t="shared" ref="Z147" si="111">ROUND((40/$Y$7)*W147,0)</f>
        <v>0</v>
      </c>
      <c r="AA147" s="301"/>
      <c r="AB147" s="583">
        <v>9</v>
      </c>
      <c r="AC147" s="584" t="str">
        <f t="shared" si="109"/>
        <v>ડેર હિતેષકુમાર પ્રતાપભાઇ</v>
      </c>
      <c r="AD147" s="311"/>
      <c r="AE147" s="312"/>
      <c r="AF147" s="312"/>
      <c r="AG147" s="312"/>
      <c r="AH147" s="312"/>
      <c r="AI147" s="312"/>
      <c r="AJ147" s="312"/>
      <c r="AK147" s="312"/>
      <c r="AL147" s="312"/>
      <c r="AM147" s="312"/>
      <c r="AN147" s="312"/>
      <c r="AO147" s="312"/>
      <c r="AP147" s="312"/>
      <c r="AQ147" s="312"/>
      <c r="AR147" s="312"/>
      <c r="AS147" s="312"/>
      <c r="AT147" s="312"/>
      <c r="AU147" s="312"/>
      <c r="AV147" s="312"/>
      <c r="AW147" s="313"/>
      <c r="AX147" s="587">
        <f>'A-CALC'!AU133</f>
        <v>0</v>
      </c>
      <c r="AY147" s="590">
        <f>'A-CALC'!AV133</f>
        <v>0</v>
      </c>
      <c r="AZ147" s="590">
        <f>'A-CALC'!AW133</f>
        <v>0</v>
      </c>
      <c r="BA147" s="593">
        <f t="shared" ref="BA147" si="112">ROUND((40/$Y$7)*AX147,0)</f>
        <v>0</v>
      </c>
      <c r="BB147" s="301"/>
    </row>
    <row r="148" spans="1:54" ht="9" customHeight="1">
      <c r="A148" s="583"/>
      <c r="B148" s="585"/>
      <c r="C148" s="314"/>
      <c r="D148" s="315"/>
      <c r="E148" s="315"/>
      <c r="F148" s="315"/>
      <c r="G148" s="315"/>
      <c r="H148" s="315"/>
      <c r="I148" s="315"/>
      <c r="J148" s="315"/>
      <c r="K148" s="315"/>
      <c r="L148" s="315"/>
      <c r="M148" s="315"/>
      <c r="N148" s="315"/>
      <c r="O148" s="315"/>
      <c r="P148" s="315"/>
      <c r="Q148" s="315"/>
      <c r="R148" s="315"/>
      <c r="S148" s="315"/>
      <c r="T148" s="315"/>
      <c r="U148" s="315"/>
      <c r="V148" s="316"/>
      <c r="W148" s="588"/>
      <c r="X148" s="591"/>
      <c r="Y148" s="591"/>
      <c r="Z148" s="594"/>
      <c r="AA148" s="301"/>
      <c r="AB148" s="583"/>
      <c r="AC148" s="585"/>
      <c r="AD148" s="314"/>
      <c r="AE148" s="315"/>
      <c r="AF148" s="315"/>
      <c r="AG148" s="315"/>
      <c r="AH148" s="315"/>
      <c r="AI148" s="315"/>
      <c r="AJ148" s="315"/>
      <c r="AK148" s="315"/>
      <c r="AL148" s="315"/>
      <c r="AM148" s="315"/>
      <c r="AN148" s="315"/>
      <c r="AO148" s="315"/>
      <c r="AP148" s="315"/>
      <c r="AQ148" s="315"/>
      <c r="AR148" s="315"/>
      <c r="AS148" s="315"/>
      <c r="AT148" s="315"/>
      <c r="AU148" s="315"/>
      <c r="AV148" s="315"/>
      <c r="AW148" s="316"/>
      <c r="AX148" s="588"/>
      <c r="AY148" s="591"/>
      <c r="AZ148" s="591"/>
      <c r="BA148" s="594"/>
      <c r="BB148" s="301"/>
    </row>
    <row r="149" spans="1:54" ht="9" customHeight="1">
      <c r="A149" s="583"/>
      <c r="B149" s="586"/>
      <c r="C149" s="317"/>
      <c r="D149" s="318"/>
      <c r="E149" s="318"/>
      <c r="F149" s="318"/>
      <c r="G149" s="318"/>
      <c r="H149" s="318"/>
      <c r="I149" s="318"/>
      <c r="J149" s="318"/>
      <c r="K149" s="318"/>
      <c r="L149" s="318"/>
      <c r="M149" s="318"/>
      <c r="N149" s="318"/>
      <c r="O149" s="318"/>
      <c r="P149" s="318"/>
      <c r="Q149" s="318"/>
      <c r="R149" s="318"/>
      <c r="S149" s="318"/>
      <c r="T149" s="318"/>
      <c r="U149" s="318"/>
      <c r="V149" s="319"/>
      <c r="W149" s="589"/>
      <c r="X149" s="592"/>
      <c r="Y149" s="592"/>
      <c r="Z149" s="608"/>
      <c r="AA149" s="301"/>
      <c r="AB149" s="583"/>
      <c r="AC149" s="586"/>
      <c r="AD149" s="317"/>
      <c r="AE149" s="318"/>
      <c r="AF149" s="318"/>
      <c r="AG149" s="318"/>
      <c r="AH149" s="318"/>
      <c r="AI149" s="318"/>
      <c r="AJ149" s="318"/>
      <c r="AK149" s="318"/>
      <c r="AL149" s="318"/>
      <c r="AM149" s="318"/>
      <c r="AN149" s="318"/>
      <c r="AO149" s="318"/>
      <c r="AP149" s="318"/>
      <c r="AQ149" s="318"/>
      <c r="AR149" s="318"/>
      <c r="AS149" s="318"/>
      <c r="AT149" s="318"/>
      <c r="AU149" s="318"/>
      <c r="AV149" s="318"/>
      <c r="AW149" s="319"/>
      <c r="AX149" s="589"/>
      <c r="AY149" s="592"/>
      <c r="AZ149" s="592"/>
      <c r="BA149" s="608"/>
      <c r="BB149" s="301"/>
    </row>
    <row r="150" spans="1:54" ht="9" customHeight="1">
      <c r="A150" s="583">
        <v>10</v>
      </c>
      <c r="B150" s="584" t="str">
        <f t="shared" si="107"/>
        <v>વેકરીયા વિશાલકુમાર દિપકભાઇ</v>
      </c>
      <c r="C150" s="311"/>
      <c r="D150" s="312"/>
      <c r="E150" s="312"/>
      <c r="F150" s="312"/>
      <c r="G150" s="312"/>
      <c r="H150" s="312"/>
      <c r="I150" s="312"/>
      <c r="J150" s="312"/>
      <c r="K150" s="312"/>
      <c r="L150" s="312"/>
      <c r="M150" s="312"/>
      <c r="N150" s="312"/>
      <c r="O150" s="312"/>
      <c r="P150" s="312"/>
      <c r="Q150" s="312"/>
      <c r="R150" s="312"/>
      <c r="S150" s="312"/>
      <c r="T150" s="312"/>
      <c r="U150" s="312"/>
      <c r="V150" s="313"/>
      <c r="W150" s="587">
        <f>'A-CALC'!V136</f>
        <v>0</v>
      </c>
      <c r="X150" s="590">
        <f>'A-CALC'!W136</f>
        <v>0</v>
      </c>
      <c r="Y150" s="590">
        <f>'A-CALC'!X136</f>
        <v>0</v>
      </c>
      <c r="Z150" s="593">
        <f t="shared" ref="Z150" si="113">ROUND((40/$Y$7)*W150,0)</f>
        <v>0</v>
      </c>
      <c r="AA150" s="301"/>
      <c r="AB150" s="583">
        <v>10</v>
      </c>
      <c r="AC150" s="584" t="str">
        <f t="shared" si="109"/>
        <v>વેકરીયા વિશાલકુમાર દિપકભાઇ</v>
      </c>
      <c r="AD150" s="311"/>
      <c r="AE150" s="312"/>
      <c r="AF150" s="312"/>
      <c r="AG150" s="312"/>
      <c r="AH150" s="312"/>
      <c r="AI150" s="312"/>
      <c r="AJ150" s="312"/>
      <c r="AK150" s="312"/>
      <c r="AL150" s="312"/>
      <c r="AM150" s="312"/>
      <c r="AN150" s="312"/>
      <c r="AO150" s="312"/>
      <c r="AP150" s="312"/>
      <c r="AQ150" s="312"/>
      <c r="AR150" s="312"/>
      <c r="AS150" s="312"/>
      <c r="AT150" s="312"/>
      <c r="AU150" s="312"/>
      <c r="AV150" s="312"/>
      <c r="AW150" s="313"/>
      <c r="AX150" s="587">
        <f>'A-CALC'!AU136</f>
        <v>0</v>
      </c>
      <c r="AY150" s="590">
        <f>'A-CALC'!AV136</f>
        <v>0</v>
      </c>
      <c r="AZ150" s="590">
        <f>'A-CALC'!AW136</f>
        <v>0</v>
      </c>
      <c r="BA150" s="593">
        <f t="shared" ref="BA150" si="114">ROUND((40/$Y$7)*AX150,0)</f>
        <v>0</v>
      </c>
      <c r="BB150" s="301"/>
    </row>
    <row r="151" spans="1:54" ht="9" customHeight="1">
      <c r="A151" s="583"/>
      <c r="B151" s="585"/>
      <c r="C151" s="314"/>
      <c r="D151" s="315"/>
      <c r="E151" s="315"/>
      <c r="F151" s="315"/>
      <c r="G151" s="315"/>
      <c r="H151" s="315"/>
      <c r="I151" s="315"/>
      <c r="J151" s="315"/>
      <c r="K151" s="315"/>
      <c r="L151" s="315"/>
      <c r="M151" s="315"/>
      <c r="N151" s="315"/>
      <c r="O151" s="315"/>
      <c r="P151" s="315"/>
      <c r="Q151" s="315"/>
      <c r="R151" s="315"/>
      <c r="S151" s="315"/>
      <c r="T151" s="315"/>
      <c r="U151" s="315"/>
      <c r="V151" s="316"/>
      <c r="W151" s="588"/>
      <c r="X151" s="591"/>
      <c r="Y151" s="591"/>
      <c r="Z151" s="594"/>
      <c r="AA151" s="301"/>
      <c r="AB151" s="583"/>
      <c r="AC151" s="585"/>
      <c r="AD151" s="314"/>
      <c r="AE151" s="315"/>
      <c r="AF151" s="315"/>
      <c r="AG151" s="315"/>
      <c r="AH151" s="315"/>
      <c r="AI151" s="315"/>
      <c r="AJ151" s="315"/>
      <c r="AK151" s="315"/>
      <c r="AL151" s="315"/>
      <c r="AM151" s="315"/>
      <c r="AN151" s="315"/>
      <c r="AO151" s="315"/>
      <c r="AP151" s="315"/>
      <c r="AQ151" s="315"/>
      <c r="AR151" s="315"/>
      <c r="AS151" s="315"/>
      <c r="AT151" s="315"/>
      <c r="AU151" s="315"/>
      <c r="AV151" s="315"/>
      <c r="AW151" s="316"/>
      <c r="AX151" s="588"/>
      <c r="AY151" s="591"/>
      <c r="AZ151" s="591"/>
      <c r="BA151" s="594"/>
      <c r="BB151" s="301"/>
    </row>
    <row r="152" spans="1:54" ht="9" customHeight="1">
      <c r="A152" s="583"/>
      <c r="B152" s="586"/>
      <c r="C152" s="317"/>
      <c r="D152" s="318"/>
      <c r="E152" s="318"/>
      <c r="F152" s="318"/>
      <c r="G152" s="318"/>
      <c r="H152" s="318"/>
      <c r="I152" s="318"/>
      <c r="J152" s="318"/>
      <c r="K152" s="318"/>
      <c r="L152" s="318"/>
      <c r="M152" s="318"/>
      <c r="N152" s="318"/>
      <c r="O152" s="318"/>
      <c r="P152" s="318"/>
      <c r="Q152" s="318"/>
      <c r="R152" s="318"/>
      <c r="S152" s="318"/>
      <c r="T152" s="318"/>
      <c r="U152" s="318"/>
      <c r="V152" s="319"/>
      <c r="W152" s="589"/>
      <c r="X152" s="592"/>
      <c r="Y152" s="592"/>
      <c r="Z152" s="608"/>
      <c r="AA152" s="301"/>
      <c r="AB152" s="583"/>
      <c r="AC152" s="586"/>
      <c r="AD152" s="317"/>
      <c r="AE152" s="318"/>
      <c r="AF152" s="318"/>
      <c r="AG152" s="318"/>
      <c r="AH152" s="318"/>
      <c r="AI152" s="318"/>
      <c r="AJ152" s="318"/>
      <c r="AK152" s="318"/>
      <c r="AL152" s="318"/>
      <c r="AM152" s="318"/>
      <c r="AN152" s="318"/>
      <c r="AO152" s="318"/>
      <c r="AP152" s="318"/>
      <c r="AQ152" s="318"/>
      <c r="AR152" s="318"/>
      <c r="AS152" s="318"/>
      <c r="AT152" s="318"/>
      <c r="AU152" s="318"/>
      <c r="AV152" s="318"/>
      <c r="AW152" s="319"/>
      <c r="AX152" s="589"/>
      <c r="AY152" s="592"/>
      <c r="AZ152" s="592"/>
      <c r="BA152" s="608"/>
      <c r="BB152" s="301"/>
    </row>
    <row r="153" spans="1:54" ht="9" customHeight="1">
      <c r="A153" s="583">
        <v>11</v>
      </c>
      <c r="B153" s="584" t="str">
        <f t="shared" si="107"/>
        <v>માણસુરીયા મહેન્દ્રભાઇ ભૂપતભાઇ</v>
      </c>
      <c r="C153" s="311"/>
      <c r="D153" s="312"/>
      <c r="E153" s="312"/>
      <c r="F153" s="312"/>
      <c r="G153" s="312"/>
      <c r="H153" s="312"/>
      <c r="I153" s="312"/>
      <c r="J153" s="312"/>
      <c r="K153" s="312"/>
      <c r="L153" s="312"/>
      <c r="M153" s="312"/>
      <c r="N153" s="312"/>
      <c r="O153" s="312"/>
      <c r="P153" s="312"/>
      <c r="Q153" s="312"/>
      <c r="R153" s="312"/>
      <c r="S153" s="312"/>
      <c r="T153" s="312"/>
      <c r="U153" s="312"/>
      <c r="V153" s="313"/>
      <c r="W153" s="587">
        <f>'A-CALC'!V139</f>
        <v>0</v>
      </c>
      <c r="X153" s="590">
        <f>'A-CALC'!W139</f>
        <v>0</v>
      </c>
      <c r="Y153" s="590">
        <f>'A-CALC'!X139</f>
        <v>0</v>
      </c>
      <c r="Z153" s="593">
        <f t="shared" ref="Z153" si="115">ROUND((40/$Y$7)*W153,0)</f>
        <v>0</v>
      </c>
      <c r="AA153" s="301"/>
      <c r="AB153" s="583">
        <v>11</v>
      </c>
      <c r="AC153" s="584" t="str">
        <f t="shared" si="109"/>
        <v>માણસુરીયા મહેન્દ્રભાઇ ભૂપતભાઇ</v>
      </c>
      <c r="AD153" s="311"/>
      <c r="AE153" s="312"/>
      <c r="AF153" s="312"/>
      <c r="AG153" s="312"/>
      <c r="AH153" s="312"/>
      <c r="AI153" s="312"/>
      <c r="AJ153" s="312"/>
      <c r="AK153" s="312"/>
      <c r="AL153" s="312"/>
      <c r="AM153" s="312"/>
      <c r="AN153" s="312"/>
      <c r="AO153" s="312"/>
      <c r="AP153" s="312"/>
      <c r="AQ153" s="312"/>
      <c r="AR153" s="312"/>
      <c r="AS153" s="312"/>
      <c r="AT153" s="312"/>
      <c r="AU153" s="312"/>
      <c r="AV153" s="312"/>
      <c r="AW153" s="313"/>
      <c r="AX153" s="587">
        <f>'A-CALC'!AU139</f>
        <v>0</v>
      </c>
      <c r="AY153" s="590">
        <f>'A-CALC'!AV139</f>
        <v>0</v>
      </c>
      <c r="AZ153" s="590">
        <f>'A-CALC'!AW139</f>
        <v>0</v>
      </c>
      <c r="BA153" s="593">
        <f t="shared" ref="BA153" si="116">ROUND((40/$Y$7)*AX153,0)</f>
        <v>0</v>
      </c>
      <c r="BB153" s="301"/>
    </row>
    <row r="154" spans="1:54" ht="9" customHeight="1">
      <c r="A154" s="583"/>
      <c r="B154" s="585"/>
      <c r="C154" s="314"/>
      <c r="D154" s="315"/>
      <c r="E154" s="315"/>
      <c r="F154" s="315"/>
      <c r="G154" s="315"/>
      <c r="H154" s="315"/>
      <c r="I154" s="315"/>
      <c r="J154" s="315"/>
      <c r="K154" s="315"/>
      <c r="L154" s="315"/>
      <c r="M154" s="315"/>
      <c r="N154" s="315"/>
      <c r="O154" s="315"/>
      <c r="P154" s="315"/>
      <c r="Q154" s="315"/>
      <c r="R154" s="315"/>
      <c r="S154" s="315"/>
      <c r="T154" s="315"/>
      <c r="U154" s="315"/>
      <c r="V154" s="316"/>
      <c r="W154" s="588"/>
      <c r="X154" s="591"/>
      <c r="Y154" s="591"/>
      <c r="Z154" s="594"/>
      <c r="AA154" s="301"/>
      <c r="AB154" s="583"/>
      <c r="AC154" s="585"/>
      <c r="AD154" s="314"/>
      <c r="AE154" s="315"/>
      <c r="AF154" s="315"/>
      <c r="AG154" s="315"/>
      <c r="AH154" s="315"/>
      <c r="AI154" s="315"/>
      <c r="AJ154" s="315"/>
      <c r="AK154" s="315"/>
      <c r="AL154" s="315"/>
      <c r="AM154" s="315"/>
      <c r="AN154" s="315"/>
      <c r="AO154" s="315"/>
      <c r="AP154" s="315"/>
      <c r="AQ154" s="315"/>
      <c r="AR154" s="315"/>
      <c r="AS154" s="315"/>
      <c r="AT154" s="315"/>
      <c r="AU154" s="315"/>
      <c r="AV154" s="315"/>
      <c r="AW154" s="316"/>
      <c r="AX154" s="588"/>
      <c r="AY154" s="591"/>
      <c r="AZ154" s="591"/>
      <c r="BA154" s="594"/>
      <c r="BB154" s="301"/>
    </row>
    <row r="155" spans="1:54" ht="9" customHeight="1">
      <c r="A155" s="583"/>
      <c r="B155" s="586"/>
      <c r="C155" s="317"/>
      <c r="D155" s="318"/>
      <c r="E155" s="318"/>
      <c r="F155" s="318"/>
      <c r="G155" s="318"/>
      <c r="H155" s="318"/>
      <c r="I155" s="318"/>
      <c r="J155" s="318"/>
      <c r="K155" s="318"/>
      <c r="L155" s="318"/>
      <c r="M155" s="318"/>
      <c r="N155" s="318"/>
      <c r="O155" s="318"/>
      <c r="P155" s="318"/>
      <c r="Q155" s="318"/>
      <c r="R155" s="318"/>
      <c r="S155" s="318"/>
      <c r="T155" s="318"/>
      <c r="U155" s="318"/>
      <c r="V155" s="319"/>
      <c r="W155" s="589"/>
      <c r="X155" s="592"/>
      <c r="Y155" s="592"/>
      <c r="Z155" s="608"/>
      <c r="AA155" s="301"/>
      <c r="AB155" s="583"/>
      <c r="AC155" s="586"/>
      <c r="AD155" s="317"/>
      <c r="AE155" s="318"/>
      <c r="AF155" s="318"/>
      <c r="AG155" s="318"/>
      <c r="AH155" s="318"/>
      <c r="AI155" s="318"/>
      <c r="AJ155" s="318"/>
      <c r="AK155" s="318"/>
      <c r="AL155" s="318"/>
      <c r="AM155" s="318"/>
      <c r="AN155" s="318"/>
      <c r="AO155" s="318"/>
      <c r="AP155" s="318"/>
      <c r="AQ155" s="318"/>
      <c r="AR155" s="318"/>
      <c r="AS155" s="318"/>
      <c r="AT155" s="318"/>
      <c r="AU155" s="318"/>
      <c r="AV155" s="318"/>
      <c r="AW155" s="319"/>
      <c r="AX155" s="589"/>
      <c r="AY155" s="592"/>
      <c r="AZ155" s="592"/>
      <c r="BA155" s="608"/>
      <c r="BB155" s="301"/>
    </row>
    <row r="156" spans="1:54" ht="9" customHeight="1">
      <c r="A156" s="583">
        <v>12</v>
      </c>
      <c r="B156" s="584" t="str">
        <f t="shared" si="107"/>
        <v>પરમાર અજયકુમાર રમેશભાઇ</v>
      </c>
      <c r="C156" s="311"/>
      <c r="D156" s="312"/>
      <c r="E156" s="312"/>
      <c r="F156" s="312"/>
      <c r="G156" s="312"/>
      <c r="H156" s="312"/>
      <c r="I156" s="312"/>
      <c r="J156" s="312"/>
      <c r="K156" s="312"/>
      <c r="L156" s="312"/>
      <c r="M156" s="312"/>
      <c r="N156" s="312"/>
      <c r="O156" s="312"/>
      <c r="P156" s="312"/>
      <c r="Q156" s="312"/>
      <c r="R156" s="312"/>
      <c r="S156" s="312"/>
      <c r="T156" s="312"/>
      <c r="U156" s="312"/>
      <c r="V156" s="313"/>
      <c r="W156" s="587">
        <f>'A-CALC'!V142</f>
        <v>0</v>
      </c>
      <c r="X156" s="590">
        <f>'A-CALC'!W142</f>
        <v>0</v>
      </c>
      <c r="Y156" s="590">
        <f>'A-CALC'!X142</f>
        <v>0</v>
      </c>
      <c r="Z156" s="593">
        <f t="shared" ref="Z156" si="117">ROUND((40/$Y$7)*W156,0)</f>
        <v>0</v>
      </c>
      <c r="AA156" s="301"/>
      <c r="AB156" s="583">
        <v>12</v>
      </c>
      <c r="AC156" s="584" t="str">
        <f t="shared" si="109"/>
        <v>પરમાર અજયકુમાર રમેશભાઇ</v>
      </c>
      <c r="AD156" s="311"/>
      <c r="AE156" s="312"/>
      <c r="AF156" s="312"/>
      <c r="AG156" s="312"/>
      <c r="AH156" s="312"/>
      <c r="AI156" s="312"/>
      <c r="AJ156" s="312"/>
      <c r="AK156" s="312"/>
      <c r="AL156" s="312"/>
      <c r="AM156" s="312"/>
      <c r="AN156" s="312"/>
      <c r="AO156" s="312"/>
      <c r="AP156" s="312"/>
      <c r="AQ156" s="312"/>
      <c r="AR156" s="312"/>
      <c r="AS156" s="312"/>
      <c r="AT156" s="312"/>
      <c r="AU156" s="312"/>
      <c r="AV156" s="312"/>
      <c r="AW156" s="313"/>
      <c r="AX156" s="587">
        <f>'A-CALC'!AU142</f>
        <v>0</v>
      </c>
      <c r="AY156" s="590">
        <f>'A-CALC'!AV142</f>
        <v>0</v>
      </c>
      <c r="AZ156" s="590">
        <f>'A-CALC'!AW142</f>
        <v>0</v>
      </c>
      <c r="BA156" s="593">
        <f t="shared" ref="BA156" si="118">ROUND((40/$Y$7)*AX156,0)</f>
        <v>0</v>
      </c>
      <c r="BB156" s="301"/>
    </row>
    <row r="157" spans="1:54" ht="9" customHeight="1">
      <c r="A157" s="583"/>
      <c r="B157" s="585"/>
      <c r="C157" s="314"/>
      <c r="D157" s="315"/>
      <c r="E157" s="315"/>
      <c r="F157" s="315"/>
      <c r="G157" s="315"/>
      <c r="H157" s="315"/>
      <c r="I157" s="315"/>
      <c r="J157" s="315"/>
      <c r="K157" s="315"/>
      <c r="L157" s="315"/>
      <c r="M157" s="315"/>
      <c r="N157" s="315"/>
      <c r="O157" s="315"/>
      <c r="P157" s="315"/>
      <c r="Q157" s="315"/>
      <c r="R157" s="315"/>
      <c r="S157" s="315"/>
      <c r="T157" s="315"/>
      <c r="U157" s="315"/>
      <c r="V157" s="316"/>
      <c r="W157" s="588"/>
      <c r="X157" s="591"/>
      <c r="Y157" s="591"/>
      <c r="Z157" s="594"/>
      <c r="AA157" s="301"/>
      <c r="AB157" s="583"/>
      <c r="AC157" s="585"/>
      <c r="AD157" s="314"/>
      <c r="AE157" s="315"/>
      <c r="AF157" s="315"/>
      <c r="AG157" s="315"/>
      <c r="AH157" s="315"/>
      <c r="AI157" s="315"/>
      <c r="AJ157" s="315"/>
      <c r="AK157" s="315"/>
      <c r="AL157" s="315"/>
      <c r="AM157" s="315"/>
      <c r="AN157" s="315"/>
      <c r="AO157" s="315"/>
      <c r="AP157" s="315"/>
      <c r="AQ157" s="315"/>
      <c r="AR157" s="315"/>
      <c r="AS157" s="315"/>
      <c r="AT157" s="315"/>
      <c r="AU157" s="315"/>
      <c r="AV157" s="315"/>
      <c r="AW157" s="316"/>
      <c r="AX157" s="588"/>
      <c r="AY157" s="591"/>
      <c r="AZ157" s="591"/>
      <c r="BA157" s="594"/>
      <c r="BB157" s="301"/>
    </row>
    <row r="158" spans="1:54" ht="9" customHeight="1">
      <c r="A158" s="583"/>
      <c r="B158" s="586"/>
      <c r="C158" s="317"/>
      <c r="D158" s="318"/>
      <c r="E158" s="318"/>
      <c r="F158" s="318"/>
      <c r="G158" s="318"/>
      <c r="H158" s="318"/>
      <c r="I158" s="318"/>
      <c r="J158" s="318"/>
      <c r="K158" s="318"/>
      <c r="L158" s="318"/>
      <c r="M158" s="318"/>
      <c r="N158" s="318"/>
      <c r="O158" s="318"/>
      <c r="P158" s="318"/>
      <c r="Q158" s="318"/>
      <c r="R158" s="318"/>
      <c r="S158" s="318"/>
      <c r="T158" s="318"/>
      <c r="U158" s="318"/>
      <c r="V158" s="319"/>
      <c r="W158" s="589"/>
      <c r="X158" s="592"/>
      <c r="Y158" s="592"/>
      <c r="Z158" s="608"/>
      <c r="AA158" s="301"/>
      <c r="AB158" s="583"/>
      <c r="AC158" s="586"/>
      <c r="AD158" s="317"/>
      <c r="AE158" s="318"/>
      <c r="AF158" s="318"/>
      <c r="AG158" s="318"/>
      <c r="AH158" s="318"/>
      <c r="AI158" s="318"/>
      <c r="AJ158" s="318"/>
      <c r="AK158" s="318"/>
      <c r="AL158" s="318"/>
      <c r="AM158" s="318"/>
      <c r="AN158" s="318"/>
      <c r="AO158" s="318"/>
      <c r="AP158" s="318"/>
      <c r="AQ158" s="318"/>
      <c r="AR158" s="318"/>
      <c r="AS158" s="318"/>
      <c r="AT158" s="318"/>
      <c r="AU158" s="318"/>
      <c r="AV158" s="318"/>
      <c r="AW158" s="319"/>
      <c r="AX158" s="589"/>
      <c r="AY158" s="592"/>
      <c r="AZ158" s="592"/>
      <c r="BA158" s="608"/>
      <c r="BB158" s="301"/>
    </row>
    <row r="159" spans="1:54" ht="9" customHeight="1">
      <c r="A159" s="583">
        <v>13</v>
      </c>
      <c r="B159" s="584" t="str">
        <f t="shared" si="107"/>
        <v>કંડોળીયા અલ્પેશકુમાર ભરતભાઇ</v>
      </c>
      <c r="C159" s="311"/>
      <c r="D159" s="312"/>
      <c r="E159" s="312"/>
      <c r="F159" s="312"/>
      <c r="G159" s="312"/>
      <c r="H159" s="312"/>
      <c r="I159" s="312"/>
      <c r="J159" s="312"/>
      <c r="K159" s="312"/>
      <c r="L159" s="312"/>
      <c r="M159" s="312"/>
      <c r="N159" s="312"/>
      <c r="O159" s="312"/>
      <c r="P159" s="312"/>
      <c r="Q159" s="312"/>
      <c r="R159" s="312"/>
      <c r="S159" s="312"/>
      <c r="T159" s="312"/>
      <c r="U159" s="312"/>
      <c r="V159" s="313"/>
      <c r="W159" s="587">
        <f>'A-CALC'!V145</f>
        <v>0</v>
      </c>
      <c r="X159" s="590">
        <f>'A-CALC'!W145</f>
        <v>0</v>
      </c>
      <c r="Y159" s="590">
        <f>'A-CALC'!X145</f>
        <v>0</v>
      </c>
      <c r="Z159" s="593">
        <f>ROUND((40/$Y$7)*W159,0)</f>
        <v>0</v>
      </c>
      <c r="AA159" s="301"/>
      <c r="AB159" s="583">
        <v>13</v>
      </c>
      <c r="AC159" s="584" t="str">
        <f t="shared" si="109"/>
        <v>કંડોળીયા અલ્પેશકુમાર ભરતભાઇ</v>
      </c>
      <c r="AD159" s="311"/>
      <c r="AE159" s="312"/>
      <c r="AF159" s="312"/>
      <c r="AG159" s="312"/>
      <c r="AH159" s="312"/>
      <c r="AI159" s="312"/>
      <c r="AJ159" s="312"/>
      <c r="AK159" s="312"/>
      <c r="AL159" s="312"/>
      <c r="AM159" s="312"/>
      <c r="AN159" s="312"/>
      <c r="AO159" s="312"/>
      <c r="AP159" s="312"/>
      <c r="AQ159" s="312"/>
      <c r="AR159" s="312"/>
      <c r="AS159" s="312"/>
      <c r="AT159" s="312"/>
      <c r="AU159" s="312"/>
      <c r="AV159" s="312"/>
      <c r="AW159" s="313"/>
      <c r="AX159" s="587">
        <f>'A-CALC'!AU145</f>
        <v>0</v>
      </c>
      <c r="AY159" s="590">
        <f>'A-CALC'!AV145</f>
        <v>0</v>
      </c>
      <c r="AZ159" s="590">
        <f>'A-CALC'!AW145</f>
        <v>0</v>
      </c>
      <c r="BA159" s="593">
        <f>ROUND((40/$Y$7)*AX159,0)</f>
        <v>0</v>
      </c>
      <c r="BB159" s="301"/>
    </row>
    <row r="160" spans="1:54" ht="9" customHeight="1">
      <c r="A160" s="583"/>
      <c r="B160" s="585"/>
      <c r="C160" s="314"/>
      <c r="D160" s="315"/>
      <c r="E160" s="315"/>
      <c r="F160" s="315"/>
      <c r="G160" s="315"/>
      <c r="H160" s="315"/>
      <c r="I160" s="315"/>
      <c r="J160" s="315"/>
      <c r="K160" s="315"/>
      <c r="L160" s="315"/>
      <c r="M160" s="315"/>
      <c r="N160" s="315"/>
      <c r="O160" s="315"/>
      <c r="P160" s="315"/>
      <c r="Q160" s="315"/>
      <c r="R160" s="315"/>
      <c r="S160" s="315"/>
      <c r="T160" s="315"/>
      <c r="U160" s="315"/>
      <c r="V160" s="316"/>
      <c r="W160" s="588"/>
      <c r="X160" s="591"/>
      <c r="Y160" s="591"/>
      <c r="Z160" s="594"/>
      <c r="AA160" s="301"/>
      <c r="AB160" s="583"/>
      <c r="AC160" s="585"/>
      <c r="AD160" s="314"/>
      <c r="AE160" s="315"/>
      <c r="AF160" s="315"/>
      <c r="AG160" s="315"/>
      <c r="AH160" s="315"/>
      <c r="AI160" s="315"/>
      <c r="AJ160" s="315"/>
      <c r="AK160" s="315"/>
      <c r="AL160" s="315"/>
      <c r="AM160" s="315"/>
      <c r="AN160" s="315"/>
      <c r="AO160" s="315"/>
      <c r="AP160" s="315"/>
      <c r="AQ160" s="315"/>
      <c r="AR160" s="315"/>
      <c r="AS160" s="315"/>
      <c r="AT160" s="315"/>
      <c r="AU160" s="315"/>
      <c r="AV160" s="315"/>
      <c r="AW160" s="316"/>
      <c r="AX160" s="588"/>
      <c r="AY160" s="591"/>
      <c r="AZ160" s="591"/>
      <c r="BA160" s="594"/>
      <c r="BB160" s="301"/>
    </row>
    <row r="161" spans="1:54" s="295" customFormat="1" ht="9" customHeight="1">
      <c r="A161" s="583"/>
      <c r="B161" s="586"/>
      <c r="C161" s="317"/>
      <c r="D161" s="318"/>
      <c r="E161" s="318"/>
      <c r="F161" s="318"/>
      <c r="G161" s="318"/>
      <c r="H161" s="318"/>
      <c r="I161" s="318"/>
      <c r="J161" s="318"/>
      <c r="K161" s="318"/>
      <c r="L161" s="318"/>
      <c r="M161" s="318"/>
      <c r="N161" s="318"/>
      <c r="O161" s="318"/>
      <c r="P161" s="318"/>
      <c r="Q161" s="318"/>
      <c r="R161" s="318"/>
      <c r="S161" s="318"/>
      <c r="T161" s="318"/>
      <c r="U161" s="318"/>
      <c r="V161" s="319"/>
      <c r="W161" s="589"/>
      <c r="X161" s="592"/>
      <c r="Y161" s="592"/>
      <c r="Z161" s="608"/>
      <c r="AA161" s="301"/>
      <c r="AB161" s="583"/>
      <c r="AC161" s="586"/>
      <c r="AD161" s="317"/>
      <c r="AE161" s="318"/>
      <c r="AF161" s="318"/>
      <c r="AG161" s="318"/>
      <c r="AH161" s="318"/>
      <c r="AI161" s="318"/>
      <c r="AJ161" s="318"/>
      <c r="AK161" s="318"/>
      <c r="AL161" s="318"/>
      <c r="AM161" s="318"/>
      <c r="AN161" s="318"/>
      <c r="AO161" s="318"/>
      <c r="AP161" s="318"/>
      <c r="AQ161" s="318"/>
      <c r="AR161" s="318"/>
      <c r="AS161" s="318"/>
      <c r="AT161" s="318"/>
      <c r="AU161" s="318"/>
      <c r="AV161" s="318"/>
      <c r="AW161" s="319"/>
      <c r="AX161" s="589"/>
      <c r="AY161" s="592"/>
      <c r="AZ161" s="592"/>
      <c r="BA161" s="608"/>
      <c r="BB161" s="321"/>
    </row>
    <row r="162" spans="1:54" ht="9" customHeight="1">
      <c r="A162" s="583">
        <v>14</v>
      </c>
      <c r="B162" s="584" t="str">
        <f t="shared" si="107"/>
        <v>મકવાણા તરંગકુમાર કિશોરભાઇ</v>
      </c>
      <c r="C162" s="311"/>
      <c r="D162" s="312"/>
      <c r="E162" s="312"/>
      <c r="F162" s="312"/>
      <c r="G162" s="312"/>
      <c r="H162" s="312"/>
      <c r="I162" s="312"/>
      <c r="J162" s="312"/>
      <c r="K162" s="312"/>
      <c r="L162" s="312"/>
      <c r="M162" s="312"/>
      <c r="N162" s="312"/>
      <c r="O162" s="312"/>
      <c r="P162" s="312"/>
      <c r="Q162" s="312"/>
      <c r="R162" s="312"/>
      <c r="S162" s="312"/>
      <c r="T162" s="312"/>
      <c r="U162" s="312"/>
      <c r="V162" s="313"/>
      <c r="W162" s="587">
        <f>'A-CALC'!V148</f>
        <v>0</v>
      </c>
      <c r="X162" s="590">
        <f>'A-CALC'!W148</f>
        <v>0</v>
      </c>
      <c r="Y162" s="590">
        <f>'A-CALC'!X148</f>
        <v>0</v>
      </c>
      <c r="Z162" s="593">
        <f t="shared" ref="Z162" si="119">ROUND((40/$Y$7)*W162,0)</f>
        <v>0</v>
      </c>
      <c r="AA162" s="301"/>
      <c r="AB162" s="583">
        <v>14</v>
      </c>
      <c r="AC162" s="584" t="str">
        <f t="shared" si="109"/>
        <v>મકવાણા તરંગકુમાર કિશોરભાઇ</v>
      </c>
      <c r="AD162" s="311"/>
      <c r="AE162" s="312"/>
      <c r="AF162" s="312"/>
      <c r="AG162" s="312"/>
      <c r="AH162" s="312"/>
      <c r="AI162" s="312"/>
      <c r="AJ162" s="312"/>
      <c r="AK162" s="312"/>
      <c r="AL162" s="312"/>
      <c r="AM162" s="312"/>
      <c r="AN162" s="312"/>
      <c r="AO162" s="312"/>
      <c r="AP162" s="312"/>
      <c r="AQ162" s="312"/>
      <c r="AR162" s="312"/>
      <c r="AS162" s="312"/>
      <c r="AT162" s="312"/>
      <c r="AU162" s="312"/>
      <c r="AV162" s="312"/>
      <c r="AW162" s="313"/>
      <c r="AX162" s="587">
        <f>'A-CALC'!AU148</f>
        <v>0</v>
      </c>
      <c r="AY162" s="590">
        <f>'A-CALC'!AV148</f>
        <v>0</v>
      </c>
      <c r="AZ162" s="590">
        <f>'A-CALC'!AW148</f>
        <v>0</v>
      </c>
      <c r="BA162" s="593">
        <f t="shared" ref="BA162" si="120">ROUND((40/$Y$7)*AX162,0)</f>
        <v>0</v>
      </c>
      <c r="BB162" s="301"/>
    </row>
    <row r="163" spans="1:54" ht="9" customHeight="1">
      <c r="A163" s="583"/>
      <c r="B163" s="585"/>
      <c r="C163" s="314"/>
      <c r="D163" s="315"/>
      <c r="E163" s="315"/>
      <c r="F163" s="315"/>
      <c r="G163" s="315"/>
      <c r="H163" s="315"/>
      <c r="I163" s="315"/>
      <c r="J163" s="315"/>
      <c r="K163" s="315"/>
      <c r="L163" s="315"/>
      <c r="M163" s="315"/>
      <c r="N163" s="315"/>
      <c r="O163" s="315"/>
      <c r="P163" s="315"/>
      <c r="Q163" s="315"/>
      <c r="R163" s="315"/>
      <c r="S163" s="315"/>
      <c r="T163" s="315"/>
      <c r="U163" s="315"/>
      <c r="V163" s="316"/>
      <c r="W163" s="588"/>
      <c r="X163" s="591"/>
      <c r="Y163" s="591"/>
      <c r="Z163" s="594"/>
      <c r="AA163" s="301"/>
      <c r="AB163" s="583"/>
      <c r="AC163" s="585"/>
      <c r="AD163" s="314"/>
      <c r="AE163" s="315"/>
      <c r="AF163" s="315"/>
      <c r="AG163" s="315"/>
      <c r="AH163" s="315"/>
      <c r="AI163" s="315"/>
      <c r="AJ163" s="315"/>
      <c r="AK163" s="315"/>
      <c r="AL163" s="315"/>
      <c r="AM163" s="315"/>
      <c r="AN163" s="315"/>
      <c r="AO163" s="315"/>
      <c r="AP163" s="315"/>
      <c r="AQ163" s="315"/>
      <c r="AR163" s="315"/>
      <c r="AS163" s="315"/>
      <c r="AT163" s="315"/>
      <c r="AU163" s="315"/>
      <c r="AV163" s="315"/>
      <c r="AW163" s="316"/>
      <c r="AX163" s="588"/>
      <c r="AY163" s="591"/>
      <c r="AZ163" s="591"/>
      <c r="BA163" s="594"/>
      <c r="BB163" s="301"/>
    </row>
    <row r="164" spans="1:54" ht="9" customHeight="1">
      <c r="A164" s="583"/>
      <c r="B164" s="586"/>
      <c r="C164" s="317"/>
      <c r="D164" s="318"/>
      <c r="E164" s="318"/>
      <c r="F164" s="318"/>
      <c r="G164" s="318"/>
      <c r="H164" s="318"/>
      <c r="I164" s="318"/>
      <c r="J164" s="318"/>
      <c r="K164" s="318"/>
      <c r="L164" s="318"/>
      <c r="M164" s="318"/>
      <c r="N164" s="318"/>
      <c r="O164" s="318"/>
      <c r="P164" s="318"/>
      <c r="Q164" s="318"/>
      <c r="R164" s="318"/>
      <c r="S164" s="318"/>
      <c r="T164" s="318"/>
      <c r="U164" s="318"/>
      <c r="V164" s="319"/>
      <c r="W164" s="589"/>
      <c r="X164" s="592"/>
      <c r="Y164" s="592"/>
      <c r="Z164" s="608"/>
      <c r="AA164" s="301"/>
      <c r="AB164" s="583"/>
      <c r="AC164" s="586"/>
      <c r="AD164" s="317"/>
      <c r="AE164" s="318"/>
      <c r="AF164" s="318"/>
      <c r="AG164" s="318"/>
      <c r="AH164" s="318"/>
      <c r="AI164" s="318"/>
      <c r="AJ164" s="318"/>
      <c r="AK164" s="318"/>
      <c r="AL164" s="318"/>
      <c r="AM164" s="318"/>
      <c r="AN164" s="318"/>
      <c r="AO164" s="318"/>
      <c r="AP164" s="318"/>
      <c r="AQ164" s="318"/>
      <c r="AR164" s="318"/>
      <c r="AS164" s="318"/>
      <c r="AT164" s="318"/>
      <c r="AU164" s="318"/>
      <c r="AV164" s="318"/>
      <c r="AW164" s="319"/>
      <c r="AX164" s="589"/>
      <c r="AY164" s="592"/>
      <c r="AZ164" s="592"/>
      <c r="BA164" s="608"/>
      <c r="BB164" s="301"/>
    </row>
    <row r="165" spans="1:54" ht="9" customHeight="1">
      <c r="A165" s="583">
        <v>15</v>
      </c>
      <c r="B165" s="584" t="str">
        <f t="shared" si="107"/>
        <v>ઢીમેચા સતીષ હનુભાઇ</v>
      </c>
      <c r="C165" s="311"/>
      <c r="D165" s="312"/>
      <c r="E165" s="312"/>
      <c r="F165" s="312"/>
      <c r="G165" s="312"/>
      <c r="H165" s="312"/>
      <c r="I165" s="312"/>
      <c r="J165" s="312"/>
      <c r="K165" s="312"/>
      <c r="L165" s="312"/>
      <c r="M165" s="312"/>
      <c r="N165" s="312"/>
      <c r="O165" s="312"/>
      <c r="P165" s="312"/>
      <c r="Q165" s="312"/>
      <c r="R165" s="312"/>
      <c r="S165" s="312"/>
      <c r="T165" s="312"/>
      <c r="U165" s="312"/>
      <c r="V165" s="313"/>
      <c r="W165" s="587">
        <f>'A-CALC'!V151</f>
        <v>0</v>
      </c>
      <c r="X165" s="590">
        <f>'A-CALC'!W151</f>
        <v>0</v>
      </c>
      <c r="Y165" s="590">
        <f>'A-CALC'!X151</f>
        <v>0</v>
      </c>
      <c r="Z165" s="593">
        <f t="shared" ref="Z165" si="121">ROUND((40/$Y$7)*W165,0)</f>
        <v>0</v>
      </c>
      <c r="AA165" s="301"/>
      <c r="AB165" s="583">
        <v>15</v>
      </c>
      <c r="AC165" s="584" t="str">
        <f t="shared" si="109"/>
        <v>ઢીમેચા સતીષ હનુભાઇ</v>
      </c>
      <c r="AD165" s="311"/>
      <c r="AE165" s="312"/>
      <c r="AF165" s="312"/>
      <c r="AG165" s="312"/>
      <c r="AH165" s="312"/>
      <c r="AI165" s="312"/>
      <c r="AJ165" s="312"/>
      <c r="AK165" s="312"/>
      <c r="AL165" s="312"/>
      <c r="AM165" s="312"/>
      <c r="AN165" s="312"/>
      <c r="AO165" s="312"/>
      <c r="AP165" s="312"/>
      <c r="AQ165" s="312"/>
      <c r="AR165" s="312"/>
      <c r="AS165" s="312"/>
      <c r="AT165" s="312"/>
      <c r="AU165" s="312"/>
      <c r="AV165" s="312"/>
      <c r="AW165" s="313"/>
      <c r="AX165" s="587">
        <f>'A-CALC'!AU151</f>
        <v>0</v>
      </c>
      <c r="AY165" s="590">
        <f>'A-CALC'!AV151</f>
        <v>0</v>
      </c>
      <c r="AZ165" s="590">
        <f>'A-CALC'!AW151</f>
        <v>0</v>
      </c>
      <c r="BA165" s="593">
        <f t="shared" ref="BA165" si="122">ROUND((40/$Y$7)*AX165,0)</f>
        <v>0</v>
      </c>
      <c r="BB165" s="301"/>
    </row>
    <row r="166" spans="1:54" ht="9" customHeight="1">
      <c r="A166" s="583"/>
      <c r="B166" s="585"/>
      <c r="C166" s="314"/>
      <c r="D166" s="315"/>
      <c r="E166" s="315"/>
      <c r="F166" s="315"/>
      <c r="G166" s="315"/>
      <c r="H166" s="315"/>
      <c r="I166" s="315"/>
      <c r="J166" s="315"/>
      <c r="K166" s="315"/>
      <c r="L166" s="315"/>
      <c r="M166" s="315"/>
      <c r="N166" s="315"/>
      <c r="O166" s="315"/>
      <c r="P166" s="315"/>
      <c r="Q166" s="315"/>
      <c r="R166" s="315"/>
      <c r="S166" s="315"/>
      <c r="T166" s="315"/>
      <c r="U166" s="315"/>
      <c r="V166" s="316"/>
      <c r="W166" s="588"/>
      <c r="X166" s="591"/>
      <c r="Y166" s="591"/>
      <c r="Z166" s="594"/>
      <c r="AA166" s="301"/>
      <c r="AB166" s="583"/>
      <c r="AC166" s="585"/>
      <c r="AD166" s="314"/>
      <c r="AE166" s="315"/>
      <c r="AF166" s="315"/>
      <c r="AG166" s="315"/>
      <c r="AH166" s="315"/>
      <c r="AI166" s="315"/>
      <c r="AJ166" s="315"/>
      <c r="AK166" s="315"/>
      <c r="AL166" s="315"/>
      <c r="AM166" s="315"/>
      <c r="AN166" s="315"/>
      <c r="AO166" s="315"/>
      <c r="AP166" s="315"/>
      <c r="AQ166" s="315"/>
      <c r="AR166" s="315"/>
      <c r="AS166" s="315"/>
      <c r="AT166" s="315"/>
      <c r="AU166" s="315"/>
      <c r="AV166" s="315"/>
      <c r="AW166" s="316"/>
      <c r="AX166" s="588"/>
      <c r="AY166" s="591"/>
      <c r="AZ166" s="591"/>
      <c r="BA166" s="594"/>
      <c r="BB166" s="301"/>
    </row>
    <row r="167" spans="1:54" ht="9" customHeight="1">
      <c r="A167" s="583"/>
      <c r="B167" s="586"/>
      <c r="C167" s="317"/>
      <c r="D167" s="318"/>
      <c r="E167" s="318"/>
      <c r="F167" s="318"/>
      <c r="G167" s="318"/>
      <c r="H167" s="318"/>
      <c r="I167" s="318"/>
      <c r="J167" s="318"/>
      <c r="K167" s="318"/>
      <c r="L167" s="318"/>
      <c r="M167" s="318"/>
      <c r="N167" s="318"/>
      <c r="O167" s="318"/>
      <c r="P167" s="318"/>
      <c r="Q167" s="318"/>
      <c r="R167" s="318"/>
      <c r="S167" s="318"/>
      <c r="T167" s="318"/>
      <c r="U167" s="318"/>
      <c r="V167" s="319"/>
      <c r="W167" s="589"/>
      <c r="X167" s="592"/>
      <c r="Y167" s="592"/>
      <c r="Z167" s="608"/>
      <c r="AA167" s="301"/>
      <c r="AB167" s="583"/>
      <c r="AC167" s="586"/>
      <c r="AD167" s="317"/>
      <c r="AE167" s="318"/>
      <c r="AF167" s="318"/>
      <c r="AG167" s="318"/>
      <c r="AH167" s="318"/>
      <c r="AI167" s="318"/>
      <c r="AJ167" s="318"/>
      <c r="AK167" s="318"/>
      <c r="AL167" s="318"/>
      <c r="AM167" s="318"/>
      <c r="AN167" s="318"/>
      <c r="AO167" s="318"/>
      <c r="AP167" s="318"/>
      <c r="AQ167" s="318"/>
      <c r="AR167" s="318"/>
      <c r="AS167" s="318"/>
      <c r="AT167" s="318"/>
      <c r="AU167" s="318"/>
      <c r="AV167" s="318"/>
      <c r="AW167" s="319"/>
      <c r="AX167" s="589"/>
      <c r="AY167" s="592"/>
      <c r="AZ167" s="592"/>
      <c r="BA167" s="608"/>
      <c r="BB167" s="301"/>
    </row>
    <row r="168" spans="1:54" ht="9" customHeight="1">
      <c r="A168" s="583">
        <v>16</v>
      </c>
      <c r="B168" s="584" t="str">
        <f t="shared" si="107"/>
        <v>ખુમાણ શિવરાજભાઇ બાબુભાઇ</v>
      </c>
      <c r="C168" s="311"/>
      <c r="D168" s="312"/>
      <c r="E168" s="312"/>
      <c r="F168" s="312"/>
      <c r="G168" s="312"/>
      <c r="H168" s="312"/>
      <c r="I168" s="312"/>
      <c r="J168" s="312"/>
      <c r="K168" s="312"/>
      <c r="L168" s="312"/>
      <c r="M168" s="312"/>
      <c r="N168" s="312"/>
      <c r="O168" s="312"/>
      <c r="P168" s="312"/>
      <c r="Q168" s="312"/>
      <c r="R168" s="312"/>
      <c r="S168" s="312"/>
      <c r="T168" s="312"/>
      <c r="U168" s="312"/>
      <c r="V168" s="313"/>
      <c r="W168" s="587">
        <f>'A-CALC'!V154</f>
        <v>0</v>
      </c>
      <c r="X168" s="590">
        <f>'A-CALC'!W154</f>
        <v>0</v>
      </c>
      <c r="Y168" s="590">
        <f>'A-CALC'!X154</f>
        <v>0</v>
      </c>
      <c r="Z168" s="593">
        <f t="shared" ref="Z168" si="123">ROUND((40/$Y$7)*W168,0)</f>
        <v>0</v>
      </c>
      <c r="AA168" s="301"/>
      <c r="AB168" s="583">
        <v>16</v>
      </c>
      <c r="AC168" s="584" t="str">
        <f t="shared" si="109"/>
        <v>ખુમાણ શિવરાજભાઇ બાબુભાઇ</v>
      </c>
      <c r="AD168" s="311"/>
      <c r="AE168" s="312"/>
      <c r="AF168" s="312"/>
      <c r="AG168" s="312"/>
      <c r="AH168" s="312"/>
      <c r="AI168" s="312"/>
      <c r="AJ168" s="312"/>
      <c r="AK168" s="312"/>
      <c r="AL168" s="312"/>
      <c r="AM168" s="312"/>
      <c r="AN168" s="312"/>
      <c r="AO168" s="312"/>
      <c r="AP168" s="312"/>
      <c r="AQ168" s="312"/>
      <c r="AR168" s="312"/>
      <c r="AS168" s="312"/>
      <c r="AT168" s="312"/>
      <c r="AU168" s="312"/>
      <c r="AV168" s="312"/>
      <c r="AW168" s="313"/>
      <c r="AX168" s="587">
        <f>'A-CALC'!AU154</f>
        <v>0</v>
      </c>
      <c r="AY168" s="590">
        <f>'A-CALC'!AV154</f>
        <v>0</v>
      </c>
      <c r="AZ168" s="590">
        <f>'A-CALC'!AW154</f>
        <v>0</v>
      </c>
      <c r="BA168" s="593">
        <f t="shared" ref="BA168" si="124">ROUND((40/$Y$7)*AX168,0)</f>
        <v>0</v>
      </c>
      <c r="BB168" s="301"/>
    </row>
    <row r="169" spans="1:54" ht="9" customHeight="1">
      <c r="A169" s="583"/>
      <c r="B169" s="585"/>
      <c r="C169" s="314"/>
      <c r="D169" s="315"/>
      <c r="E169" s="315"/>
      <c r="F169" s="315"/>
      <c r="G169" s="315"/>
      <c r="H169" s="315"/>
      <c r="I169" s="315"/>
      <c r="J169" s="315"/>
      <c r="K169" s="315"/>
      <c r="L169" s="315"/>
      <c r="M169" s="315"/>
      <c r="N169" s="315"/>
      <c r="O169" s="315"/>
      <c r="P169" s="315"/>
      <c r="Q169" s="315"/>
      <c r="R169" s="315"/>
      <c r="S169" s="315"/>
      <c r="T169" s="315"/>
      <c r="U169" s="315"/>
      <c r="V169" s="316"/>
      <c r="W169" s="588"/>
      <c r="X169" s="591"/>
      <c r="Y169" s="591"/>
      <c r="Z169" s="594"/>
      <c r="AA169" s="301"/>
      <c r="AB169" s="583"/>
      <c r="AC169" s="585"/>
      <c r="AD169" s="314"/>
      <c r="AE169" s="315"/>
      <c r="AF169" s="315"/>
      <c r="AG169" s="315"/>
      <c r="AH169" s="315"/>
      <c r="AI169" s="315"/>
      <c r="AJ169" s="315"/>
      <c r="AK169" s="315"/>
      <c r="AL169" s="315"/>
      <c r="AM169" s="315"/>
      <c r="AN169" s="315"/>
      <c r="AO169" s="315"/>
      <c r="AP169" s="315"/>
      <c r="AQ169" s="315"/>
      <c r="AR169" s="315"/>
      <c r="AS169" s="315"/>
      <c r="AT169" s="315"/>
      <c r="AU169" s="315"/>
      <c r="AV169" s="315"/>
      <c r="AW169" s="316"/>
      <c r="AX169" s="588"/>
      <c r="AY169" s="591"/>
      <c r="AZ169" s="591"/>
      <c r="BA169" s="594"/>
      <c r="BB169" s="301"/>
    </row>
    <row r="170" spans="1:54" ht="9" customHeight="1">
      <c r="A170" s="583"/>
      <c r="B170" s="586"/>
      <c r="C170" s="317"/>
      <c r="D170" s="318"/>
      <c r="E170" s="318"/>
      <c r="F170" s="318"/>
      <c r="G170" s="318"/>
      <c r="H170" s="318"/>
      <c r="I170" s="318"/>
      <c r="J170" s="318"/>
      <c r="K170" s="318"/>
      <c r="L170" s="318"/>
      <c r="M170" s="318"/>
      <c r="N170" s="318"/>
      <c r="O170" s="318"/>
      <c r="P170" s="318"/>
      <c r="Q170" s="318"/>
      <c r="R170" s="318"/>
      <c r="S170" s="318"/>
      <c r="T170" s="318"/>
      <c r="U170" s="318"/>
      <c r="V170" s="319"/>
      <c r="W170" s="589"/>
      <c r="X170" s="592"/>
      <c r="Y170" s="592"/>
      <c r="Z170" s="608"/>
      <c r="AA170" s="301"/>
      <c r="AB170" s="583"/>
      <c r="AC170" s="586"/>
      <c r="AD170" s="317"/>
      <c r="AE170" s="318"/>
      <c r="AF170" s="318"/>
      <c r="AG170" s="318"/>
      <c r="AH170" s="318"/>
      <c r="AI170" s="318"/>
      <c r="AJ170" s="318"/>
      <c r="AK170" s="318"/>
      <c r="AL170" s="318"/>
      <c r="AM170" s="318"/>
      <c r="AN170" s="318"/>
      <c r="AO170" s="318"/>
      <c r="AP170" s="318"/>
      <c r="AQ170" s="318"/>
      <c r="AR170" s="318"/>
      <c r="AS170" s="318"/>
      <c r="AT170" s="318"/>
      <c r="AU170" s="318"/>
      <c r="AV170" s="318"/>
      <c r="AW170" s="319"/>
      <c r="AX170" s="589"/>
      <c r="AY170" s="592"/>
      <c r="AZ170" s="592"/>
      <c r="BA170" s="608"/>
      <c r="BB170" s="301"/>
    </row>
    <row r="171" spans="1:54" ht="9" customHeight="1">
      <c r="A171" s="583">
        <v>17</v>
      </c>
      <c r="B171" s="584" t="str">
        <f t="shared" si="107"/>
        <v>માથાસુરીયા દિનેશભાઇ અમરાભાઇ</v>
      </c>
      <c r="C171" s="311"/>
      <c r="D171" s="312"/>
      <c r="E171" s="312"/>
      <c r="F171" s="312"/>
      <c r="G171" s="312"/>
      <c r="H171" s="312"/>
      <c r="I171" s="312"/>
      <c r="J171" s="312"/>
      <c r="K171" s="312"/>
      <c r="L171" s="312"/>
      <c r="M171" s="312"/>
      <c r="N171" s="312"/>
      <c r="O171" s="312"/>
      <c r="P171" s="312"/>
      <c r="Q171" s="312"/>
      <c r="R171" s="312"/>
      <c r="S171" s="312"/>
      <c r="T171" s="312"/>
      <c r="U171" s="312"/>
      <c r="V171" s="313"/>
      <c r="W171" s="587">
        <f>'A-CALC'!V157</f>
        <v>0</v>
      </c>
      <c r="X171" s="590">
        <f>'A-CALC'!W157</f>
        <v>0</v>
      </c>
      <c r="Y171" s="590">
        <f>'A-CALC'!X157</f>
        <v>0</v>
      </c>
      <c r="Z171" s="593">
        <f t="shared" ref="Z171" si="125">ROUND((40/$Y$7)*W171,0)</f>
        <v>0</v>
      </c>
      <c r="AA171" s="301"/>
      <c r="AB171" s="583">
        <v>17</v>
      </c>
      <c r="AC171" s="584" t="str">
        <f t="shared" si="109"/>
        <v>માથાસુરીયા દિનેશભાઇ અમરાભાઇ</v>
      </c>
      <c r="AD171" s="311"/>
      <c r="AE171" s="312"/>
      <c r="AF171" s="312"/>
      <c r="AG171" s="312"/>
      <c r="AH171" s="312"/>
      <c r="AI171" s="312"/>
      <c r="AJ171" s="312"/>
      <c r="AK171" s="312"/>
      <c r="AL171" s="312"/>
      <c r="AM171" s="312"/>
      <c r="AN171" s="312"/>
      <c r="AO171" s="312"/>
      <c r="AP171" s="312"/>
      <c r="AQ171" s="312"/>
      <c r="AR171" s="312"/>
      <c r="AS171" s="312"/>
      <c r="AT171" s="312"/>
      <c r="AU171" s="312"/>
      <c r="AV171" s="312"/>
      <c r="AW171" s="313"/>
      <c r="AX171" s="587">
        <f>'A-CALC'!AU157</f>
        <v>0</v>
      </c>
      <c r="AY171" s="590">
        <f>'A-CALC'!AV157</f>
        <v>0</v>
      </c>
      <c r="AZ171" s="590">
        <f>'A-CALC'!AW157</f>
        <v>0</v>
      </c>
      <c r="BA171" s="593">
        <f t="shared" ref="BA171" si="126">ROUND((40/$Y$7)*AX171,0)</f>
        <v>0</v>
      </c>
      <c r="BB171" s="301"/>
    </row>
    <row r="172" spans="1:54" ht="9" customHeight="1">
      <c r="A172" s="583"/>
      <c r="B172" s="585"/>
      <c r="C172" s="314"/>
      <c r="D172" s="315"/>
      <c r="E172" s="315"/>
      <c r="F172" s="315"/>
      <c r="G172" s="315"/>
      <c r="H172" s="315"/>
      <c r="I172" s="315"/>
      <c r="J172" s="315"/>
      <c r="K172" s="315"/>
      <c r="L172" s="315"/>
      <c r="M172" s="315"/>
      <c r="N172" s="315"/>
      <c r="O172" s="315"/>
      <c r="P172" s="315"/>
      <c r="Q172" s="315"/>
      <c r="R172" s="315"/>
      <c r="S172" s="315"/>
      <c r="T172" s="315"/>
      <c r="U172" s="315"/>
      <c r="V172" s="316"/>
      <c r="W172" s="588"/>
      <c r="X172" s="591"/>
      <c r="Y172" s="591"/>
      <c r="Z172" s="594"/>
      <c r="AA172" s="301"/>
      <c r="AB172" s="583"/>
      <c r="AC172" s="585"/>
      <c r="AD172" s="314"/>
      <c r="AE172" s="315"/>
      <c r="AF172" s="315"/>
      <c r="AG172" s="315"/>
      <c r="AH172" s="315"/>
      <c r="AI172" s="315"/>
      <c r="AJ172" s="315"/>
      <c r="AK172" s="315"/>
      <c r="AL172" s="315"/>
      <c r="AM172" s="315"/>
      <c r="AN172" s="315"/>
      <c r="AO172" s="315"/>
      <c r="AP172" s="315"/>
      <c r="AQ172" s="315"/>
      <c r="AR172" s="315"/>
      <c r="AS172" s="315"/>
      <c r="AT172" s="315"/>
      <c r="AU172" s="315"/>
      <c r="AV172" s="315"/>
      <c r="AW172" s="316"/>
      <c r="AX172" s="588"/>
      <c r="AY172" s="591"/>
      <c r="AZ172" s="591"/>
      <c r="BA172" s="594"/>
      <c r="BB172" s="301"/>
    </row>
    <row r="173" spans="1:54" ht="9" customHeight="1">
      <c r="A173" s="583"/>
      <c r="B173" s="586"/>
      <c r="C173" s="317"/>
      <c r="D173" s="318"/>
      <c r="E173" s="318"/>
      <c r="F173" s="318"/>
      <c r="G173" s="318"/>
      <c r="H173" s="318"/>
      <c r="I173" s="318"/>
      <c r="J173" s="318"/>
      <c r="K173" s="318"/>
      <c r="L173" s="318"/>
      <c r="M173" s="318"/>
      <c r="N173" s="318"/>
      <c r="O173" s="318"/>
      <c r="P173" s="318"/>
      <c r="Q173" s="318"/>
      <c r="R173" s="318"/>
      <c r="S173" s="318"/>
      <c r="T173" s="318"/>
      <c r="U173" s="318"/>
      <c r="V173" s="319"/>
      <c r="W173" s="589"/>
      <c r="X173" s="592"/>
      <c r="Y173" s="592"/>
      <c r="Z173" s="608"/>
      <c r="AA173" s="301"/>
      <c r="AB173" s="583"/>
      <c r="AC173" s="586"/>
      <c r="AD173" s="317"/>
      <c r="AE173" s="318"/>
      <c r="AF173" s="318"/>
      <c r="AG173" s="318"/>
      <c r="AH173" s="318"/>
      <c r="AI173" s="318"/>
      <c r="AJ173" s="318"/>
      <c r="AK173" s="318"/>
      <c r="AL173" s="318"/>
      <c r="AM173" s="318"/>
      <c r="AN173" s="318"/>
      <c r="AO173" s="318"/>
      <c r="AP173" s="318"/>
      <c r="AQ173" s="318"/>
      <c r="AR173" s="318"/>
      <c r="AS173" s="318"/>
      <c r="AT173" s="318"/>
      <c r="AU173" s="318"/>
      <c r="AV173" s="318"/>
      <c r="AW173" s="319"/>
      <c r="AX173" s="589"/>
      <c r="AY173" s="592"/>
      <c r="AZ173" s="592"/>
      <c r="BA173" s="608"/>
      <c r="BB173" s="301"/>
    </row>
    <row r="174" spans="1:54" ht="9" customHeight="1">
      <c r="A174" s="583">
        <v>18</v>
      </c>
      <c r="B174" s="584" t="str">
        <f t="shared" si="107"/>
        <v>વાઘેલા હરેશ જીલુભાઇ</v>
      </c>
      <c r="C174" s="311"/>
      <c r="D174" s="312"/>
      <c r="E174" s="312"/>
      <c r="F174" s="312"/>
      <c r="G174" s="312"/>
      <c r="H174" s="312"/>
      <c r="I174" s="312"/>
      <c r="J174" s="312"/>
      <c r="K174" s="312"/>
      <c r="L174" s="312"/>
      <c r="M174" s="312"/>
      <c r="N174" s="312"/>
      <c r="O174" s="312"/>
      <c r="P174" s="312"/>
      <c r="Q174" s="312"/>
      <c r="R174" s="312"/>
      <c r="S174" s="312"/>
      <c r="T174" s="312"/>
      <c r="U174" s="312"/>
      <c r="V174" s="313"/>
      <c r="W174" s="587">
        <f>'A-CALC'!V160</f>
        <v>0</v>
      </c>
      <c r="X174" s="590">
        <f>'A-CALC'!W160</f>
        <v>0</v>
      </c>
      <c r="Y174" s="590">
        <f>'A-CALC'!X160</f>
        <v>0</v>
      </c>
      <c r="Z174" s="593">
        <f t="shared" ref="Z174" si="127">ROUND((40/$Y$7)*W174,0)</f>
        <v>0</v>
      </c>
      <c r="AA174" s="301"/>
      <c r="AB174" s="583">
        <v>18</v>
      </c>
      <c r="AC174" s="584" t="str">
        <f t="shared" si="109"/>
        <v>વાઘેલા હરેશ જીલુભાઇ</v>
      </c>
      <c r="AD174" s="311"/>
      <c r="AE174" s="312"/>
      <c r="AF174" s="312"/>
      <c r="AG174" s="312"/>
      <c r="AH174" s="312"/>
      <c r="AI174" s="312"/>
      <c r="AJ174" s="312"/>
      <c r="AK174" s="312"/>
      <c r="AL174" s="312"/>
      <c r="AM174" s="312"/>
      <c r="AN174" s="312"/>
      <c r="AO174" s="312"/>
      <c r="AP174" s="312"/>
      <c r="AQ174" s="312"/>
      <c r="AR174" s="312"/>
      <c r="AS174" s="312"/>
      <c r="AT174" s="312"/>
      <c r="AU174" s="312"/>
      <c r="AV174" s="312"/>
      <c r="AW174" s="313"/>
      <c r="AX174" s="587">
        <f>'A-CALC'!AU160</f>
        <v>0</v>
      </c>
      <c r="AY174" s="590">
        <f>'A-CALC'!AV160</f>
        <v>0</v>
      </c>
      <c r="AZ174" s="590">
        <f>'A-CALC'!AW160</f>
        <v>0</v>
      </c>
      <c r="BA174" s="593">
        <f t="shared" ref="BA174" si="128">ROUND((40/$Y$7)*AX174,0)</f>
        <v>0</v>
      </c>
      <c r="BB174" s="301"/>
    </row>
    <row r="175" spans="1:54" ht="9" customHeight="1">
      <c r="A175" s="583"/>
      <c r="B175" s="585"/>
      <c r="C175" s="314"/>
      <c r="D175" s="315"/>
      <c r="E175" s="315"/>
      <c r="F175" s="315"/>
      <c r="G175" s="315"/>
      <c r="H175" s="315"/>
      <c r="I175" s="315"/>
      <c r="J175" s="315"/>
      <c r="K175" s="315"/>
      <c r="L175" s="315"/>
      <c r="M175" s="315"/>
      <c r="N175" s="315"/>
      <c r="O175" s="315"/>
      <c r="P175" s="315"/>
      <c r="Q175" s="315"/>
      <c r="R175" s="315"/>
      <c r="S175" s="315"/>
      <c r="T175" s="315"/>
      <c r="U175" s="315"/>
      <c r="V175" s="316"/>
      <c r="W175" s="588"/>
      <c r="X175" s="591"/>
      <c r="Y175" s="591"/>
      <c r="Z175" s="594"/>
      <c r="AA175" s="301"/>
      <c r="AB175" s="583"/>
      <c r="AC175" s="585"/>
      <c r="AD175" s="314"/>
      <c r="AE175" s="315"/>
      <c r="AF175" s="315"/>
      <c r="AG175" s="315"/>
      <c r="AH175" s="315"/>
      <c r="AI175" s="315"/>
      <c r="AJ175" s="315"/>
      <c r="AK175" s="315"/>
      <c r="AL175" s="315"/>
      <c r="AM175" s="315"/>
      <c r="AN175" s="315"/>
      <c r="AO175" s="315"/>
      <c r="AP175" s="315"/>
      <c r="AQ175" s="315"/>
      <c r="AR175" s="315"/>
      <c r="AS175" s="315"/>
      <c r="AT175" s="315"/>
      <c r="AU175" s="315"/>
      <c r="AV175" s="315"/>
      <c r="AW175" s="316"/>
      <c r="AX175" s="588"/>
      <c r="AY175" s="591"/>
      <c r="AZ175" s="591"/>
      <c r="BA175" s="594"/>
      <c r="BB175" s="301"/>
    </row>
    <row r="176" spans="1:54" ht="9" customHeight="1">
      <c r="A176" s="583"/>
      <c r="B176" s="586"/>
      <c r="C176" s="317"/>
      <c r="D176" s="318"/>
      <c r="E176" s="318"/>
      <c r="F176" s="318"/>
      <c r="G176" s="318"/>
      <c r="H176" s="318"/>
      <c r="I176" s="318"/>
      <c r="J176" s="318"/>
      <c r="K176" s="318"/>
      <c r="L176" s="318"/>
      <c r="M176" s="318"/>
      <c r="N176" s="318"/>
      <c r="O176" s="318"/>
      <c r="P176" s="318"/>
      <c r="Q176" s="318"/>
      <c r="R176" s="318"/>
      <c r="S176" s="318"/>
      <c r="T176" s="318"/>
      <c r="U176" s="318"/>
      <c r="V176" s="319"/>
      <c r="W176" s="589"/>
      <c r="X176" s="592"/>
      <c r="Y176" s="592"/>
      <c r="Z176" s="608"/>
      <c r="AA176" s="301"/>
      <c r="AB176" s="583"/>
      <c r="AC176" s="586"/>
      <c r="AD176" s="317"/>
      <c r="AE176" s="318"/>
      <c r="AF176" s="318"/>
      <c r="AG176" s="318"/>
      <c r="AH176" s="318"/>
      <c r="AI176" s="318"/>
      <c r="AJ176" s="318"/>
      <c r="AK176" s="318"/>
      <c r="AL176" s="318"/>
      <c r="AM176" s="318"/>
      <c r="AN176" s="318"/>
      <c r="AO176" s="318"/>
      <c r="AP176" s="318"/>
      <c r="AQ176" s="318"/>
      <c r="AR176" s="318"/>
      <c r="AS176" s="318"/>
      <c r="AT176" s="318"/>
      <c r="AU176" s="318"/>
      <c r="AV176" s="318"/>
      <c r="AW176" s="319"/>
      <c r="AX176" s="589"/>
      <c r="AY176" s="592"/>
      <c r="AZ176" s="592"/>
      <c r="BA176" s="608"/>
      <c r="BB176" s="301"/>
    </row>
    <row r="177" spans="1:54" ht="9" customHeight="1">
      <c r="A177" s="583">
        <v>19</v>
      </c>
      <c r="B177" s="584" t="str">
        <f t="shared" si="107"/>
        <v>પરમાર દિલીપકુમાર મધુભાઇ</v>
      </c>
      <c r="C177" s="311"/>
      <c r="D177" s="312"/>
      <c r="E177" s="312"/>
      <c r="F177" s="312"/>
      <c r="G177" s="312"/>
      <c r="H177" s="312"/>
      <c r="I177" s="312"/>
      <c r="J177" s="312"/>
      <c r="K177" s="312"/>
      <c r="L177" s="312"/>
      <c r="M177" s="312"/>
      <c r="N177" s="312"/>
      <c r="O177" s="312"/>
      <c r="P177" s="312"/>
      <c r="Q177" s="312"/>
      <c r="R177" s="312"/>
      <c r="S177" s="312"/>
      <c r="T177" s="312"/>
      <c r="U177" s="312"/>
      <c r="V177" s="313"/>
      <c r="W177" s="587">
        <f>'A-CALC'!V163</f>
        <v>0</v>
      </c>
      <c r="X177" s="590">
        <f>'A-CALC'!W163</f>
        <v>0</v>
      </c>
      <c r="Y177" s="590">
        <f>'A-CALC'!X163</f>
        <v>0</v>
      </c>
      <c r="Z177" s="593">
        <f t="shared" ref="Z177" si="129">ROUND((40/$Y$7)*W177,0)</f>
        <v>0</v>
      </c>
      <c r="AA177" s="301"/>
      <c r="AB177" s="583">
        <v>19</v>
      </c>
      <c r="AC177" s="584" t="str">
        <f t="shared" si="109"/>
        <v>પરમાર દિલીપકુમાર મધુભાઇ</v>
      </c>
      <c r="AD177" s="311"/>
      <c r="AE177" s="312"/>
      <c r="AF177" s="312"/>
      <c r="AG177" s="312"/>
      <c r="AH177" s="312"/>
      <c r="AI177" s="312"/>
      <c r="AJ177" s="312"/>
      <c r="AK177" s="312"/>
      <c r="AL177" s="312"/>
      <c r="AM177" s="312"/>
      <c r="AN177" s="312"/>
      <c r="AO177" s="312"/>
      <c r="AP177" s="312"/>
      <c r="AQ177" s="312"/>
      <c r="AR177" s="312"/>
      <c r="AS177" s="312"/>
      <c r="AT177" s="312"/>
      <c r="AU177" s="312"/>
      <c r="AV177" s="312"/>
      <c r="AW177" s="313"/>
      <c r="AX177" s="587">
        <f>'A-CALC'!AU163</f>
        <v>0</v>
      </c>
      <c r="AY177" s="590">
        <f>'A-CALC'!AV163</f>
        <v>0</v>
      </c>
      <c r="AZ177" s="590">
        <f>'A-CALC'!AW163</f>
        <v>0</v>
      </c>
      <c r="BA177" s="593">
        <f t="shared" ref="BA177" si="130">ROUND((40/$Y$7)*AX177,0)</f>
        <v>0</v>
      </c>
      <c r="BB177" s="301"/>
    </row>
    <row r="178" spans="1:54" ht="9" customHeight="1">
      <c r="A178" s="583"/>
      <c r="B178" s="585"/>
      <c r="C178" s="314"/>
      <c r="D178" s="315"/>
      <c r="E178" s="315"/>
      <c r="F178" s="315"/>
      <c r="G178" s="315"/>
      <c r="H178" s="315"/>
      <c r="I178" s="315"/>
      <c r="J178" s="315"/>
      <c r="K178" s="315"/>
      <c r="L178" s="315"/>
      <c r="M178" s="315"/>
      <c r="N178" s="315"/>
      <c r="O178" s="315"/>
      <c r="P178" s="315"/>
      <c r="Q178" s="315"/>
      <c r="R178" s="315"/>
      <c r="S178" s="315"/>
      <c r="T178" s="315"/>
      <c r="U178" s="315"/>
      <c r="V178" s="316"/>
      <c r="W178" s="588"/>
      <c r="X178" s="591"/>
      <c r="Y178" s="591"/>
      <c r="Z178" s="594"/>
      <c r="AA178" s="301"/>
      <c r="AB178" s="583"/>
      <c r="AC178" s="585"/>
      <c r="AD178" s="314"/>
      <c r="AE178" s="315"/>
      <c r="AF178" s="315"/>
      <c r="AG178" s="315"/>
      <c r="AH178" s="315"/>
      <c r="AI178" s="315"/>
      <c r="AJ178" s="315"/>
      <c r="AK178" s="315"/>
      <c r="AL178" s="315"/>
      <c r="AM178" s="315"/>
      <c r="AN178" s="315"/>
      <c r="AO178" s="315"/>
      <c r="AP178" s="315"/>
      <c r="AQ178" s="315"/>
      <c r="AR178" s="315"/>
      <c r="AS178" s="315"/>
      <c r="AT178" s="315"/>
      <c r="AU178" s="315"/>
      <c r="AV178" s="315"/>
      <c r="AW178" s="316"/>
      <c r="AX178" s="588"/>
      <c r="AY178" s="591"/>
      <c r="AZ178" s="591"/>
      <c r="BA178" s="594"/>
      <c r="BB178" s="301"/>
    </row>
    <row r="179" spans="1:54" ht="9" customHeight="1">
      <c r="A179" s="583"/>
      <c r="B179" s="586"/>
      <c r="C179" s="317"/>
      <c r="D179" s="318"/>
      <c r="E179" s="318"/>
      <c r="F179" s="318"/>
      <c r="G179" s="318"/>
      <c r="H179" s="318"/>
      <c r="I179" s="318"/>
      <c r="J179" s="318"/>
      <c r="K179" s="318"/>
      <c r="L179" s="318"/>
      <c r="M179" s="318"/>
      <c r="N179" s="318"/>
      <c r="O179" s="318"/>
      <c r="P179" s="318"/>
      <c r="Q179" s="318"/>
      <c r="R179" s="318"/>
      <c r="S179" s="318"/>
      <c r="T179" s="318"/>
      <c r="U179" s="318"/>
      <c r="V179" s="319"/>
      <c r="W179" s="589"/>
      <c r="X179" s="592"/>
      <c r="Y179" s="592"/>
      <c r="Z179" s="608"/>
      <c r="AA179" s="301"/>
      <c r="AB179" s="583"/>
      <c r="AC179" s="586"/>
      <c r="AD179" s="317"/>
      <c r="AE179" s="318"/>
      <c r="AF179" s="318"/>
      <c r="AG179" s="318"/>
      <c r="AH179" s="318"/>
      <c r="AI179" s="318"/>
      <c r="AJ179" s="318"/>
      <c r="AK179" s="318"/>
      <c r="AL179" s="318"/>
      <c r="AM179" s="318"/>
      <c r="AN179" s="318"/>
      <c r="AO179" s="318"/>
      <c r="AP179" s="318"/>
      <c r="AQ179" s="318"/>
      <c r="AR179" s="318"/>
      <c r="AS179" s="318"/>
      <c r="AT179" s="318"/>
      <c r="AU179" s="318"/>
      <c r="AV179" s="318"/>
      <c r="AW179" s="319"/>
      <c r="AX179" s="589"/>
      <c r="AY179" s="592"/>
      <c r="AZ179" s="592"/>
      <c r="BA179" s="608"/>
      <c r="BB179" s="301"/>
    </row>
    <row r="180" spans="1:54" ht="9" customHeight="1">
      <c r="A180" s="583">
        <v>20</v>
      </c>
      <c r="B180" s="584" t="str">
        <f t="shared" si="107"/>
        <v>વિરપરા કૃણાલ હરેશભાઇ</v>
      </c>
      <c r="C180" s="311"/>
      <c r="D180" s="312"/>
      <c r="E180" s="312"/>
      <c r="F180" s="312"/>
      <c r="G180" s="312"/>
      <c r="H180" s="312"/>
      <c r="I180" s="312"/>
      <c r="J180" s="312"/>
      <c r="K180" s="312"/>
      <c r="L180" s="312"/>
      <c r="M180" s="312"/>
      <c r="N180" s="312"/>
      <c r="O180" s="312"/>
      <c r="P180" s="312"/>
      <c r="Q180" s="312"/>
      <c r="R180" s="312"/>
      <c r="S180" s="312"/>
      <c r="T180" s="312"/>
      <c r="U180" s="312"/>
      <c r="V180" s="313"/>
      <c r="W180" s="587">
        <f>'A-CALC'!V166</f>
        <v>0</v>
      </c>
      <c r="X180" s="590">
        <f>'A-CALC'!W166</f>
        <v>0</v>
      </c>
      <c r="Y180" s="590">
        <f>'A-CALC'!X166</f>
        <v>0</v>
      </c>
      <c r="Z180" s="593">
        <f t="shared" ref="Z180" si="131">ROUND((40/$Y$7)*W180,0)</f>
        <v>0</v>
      </c>
      <c r="AA180" s="301"/>
      <c r="AB180" s="583">
        <v>20</v>
      </c>
      <c r="AC180" s="584" t="str">
        <f t="shared" si="109"/>
        <v>વિરપરા કૃણાલ હરેશભાઇ</v>
      </c>
      <c r="AD180" s="311"/>
      <c r="AE180" s="312"/>
      <c r="AF180" s="312"/>
      <c r="AG180" s="312"/>
      <c r="AH180" s="312"/>
      <c r="AI180" s="312"/>
      <c r="AJ180" s="312"/>
      <c r="AK180" s="312"/>
      <c r="AL180" s="312"/>
      <c r="AM180" s="312"/>
      <c r="AN180" s="312"/>
      <c r="AO180" s="312"/>
      <c r="AP180" s="312"/>
      <c r="AQ180" s="312"/>
      <c r="AR180" s="312"/>
      <c r="AS180" s="312"/>
      <c r="AT180" s="312"/>
      <c r="AU180" s="312"/>
      <c r="AV180" s="312"/>
      <c r="AW180" s="313"/>
      <c r="AX180" s="587">
        <f>'A-CALC'!AU166</f>
        <v>0</v>
      </c>
      <c r="AY180" s="590">
        <f>'A-CALC'!AV166</f>
        <v>0</v>
      </c>
      <c r="AZ180" s="590">
        <f>'A-CALC'!AW166</f>
        <v>0</v>
      </c>
      <c r="BA180" s="593">
        <f t="shared" ref="BA180" si="132">ROUND((40/$Y$7)*AX180,0)</f>
        <v>0</v>
      </c>
      <c r="BB180" s="301"/>
    </row>
    <row r="181" spans="1:54" ht="9" customHeight="1">
      <c r="A181" s="583"/>
      <c r="B181" s="585"/>
      <c r="C181" s="314"/>
      <c r="D181" s="315"/>
      <c r="E181" s="315"/>
      <c r="F181" s="315"/>
      <c r="G181" s="315"/>
      <c r="H181" s="315"/>
      <c r="I181" s="315"/>
      <c r="J181" s="315"/>
      <c r="K181" s="315"/>
      <c r="L181" s="315"/>
      <c r="M181" s="315"/>
      <c r="N181" s="315"/>
      <c r="O181" s="315"/>
      <c r="P181" s="315"/>
      <c r="Q181" s="315"/>
      <c r="R181" s="315"/>
      <c r="S181" s="315"/>
      <c r="T181" s="315"/>
      <c r="U181" s="315"/>
      <c r="V181" s="316"/>
      <c r="W181" s="588"/>
      <c r="X181" s="591"/>
      <c r="Y181" s="591"/>
      <c r="Z181" s="594"/>
      <c r="AA181" s="301"/>
      <c r="AB181" s="583"/>
      <c r="AC181" s="585"/>
      <c r="AD181" s="314"/>
      <c r="AE181" s="315"/>
      <c r="AF181" s="315"/>
      <c r="AG181" s="315"/>
      <c r="AH181" s="315"/>
      <c r="AI181" s="315"/>
      <c r="AJ181" s="315"/>
      <c r="AK181" s="315"/>
      <c r="AL181" s="315"/>
      <c r="AM181" s="315"/>
      <c r="AN181" s="315"/>
      <c r="AO181" s="315"/>
      <c r="AP181" s="315"/>
      <c r="AQ181" s="315"/>
      <c r="AR181" s="315"/>
      <c r="AS181" s="315"/>
      <c r="AT181" s="315"/>
      <c r="AU181" s="315"/>
      <c r="AV181" s="315"/>
      <c r="AW181" s="316"/>
      <c r="AX181" s="588"/>
      <c r="AY181" s="591"/>
      <c r="AZ181" s="591"/>
      <c r="BA181" s="594"/>
      <c r="BB181" s="301"/>
    </row>
    <row r="182" spans="1:54" ht="9" customHeight="1">
      <c r="A182" s="583"/>
      <c r="B182" s="586"/>
      <c r="C182" s="317"/>
      <c r="D182" s="318"/>
      <c r="E182" s="318"/>
      <c r="F182" s="318"/>
      <c r="G182" s="318"/>
      <c r="H182" s="318"/>
      <c r="I182" s="318"/>
      <c r="J182" s="318"/>
      <c r="K182" s="318"/>
      <c r="L182" s="318"/>
      <c r="M182" s="318"/>
      <c r="N182" s="318"/>
      <c r="O182" s="318"/>
      <c r="P182" s="318"/>
      <c r="Q182" s="318"/>
      <c r="R182" s="318"/>
      <c r="S182" s="318"/>
      <c r="T182" s="318"/>
      <c r="U182" s="318"/>
      <c r="V182" s="319"/>
      <c r="W182" s="589"/>
      <c r="X182" s="592"/>
      <c r="Y182" s="592"/>
      <c r="Z182" s="608"/>
      <c r="AA182" s="301"/>
      <c r="AB182" s="583"/>
      <c r="AC182" s="586"/>
      <c r="AD182" s="317"/>
      <c r="AE182" s="318"/>
      <c r="AF182" s="318"/>
      <c r="AG182" s="318"/>
      <c r="AH182" s="318"/>
      <c r="AI182" s="318"/>
      <c r="AJ182" s="318"/>
      <c r="AK182" s="318"/>
      <c r="AL182" s="318"/>
      <c r="AM182" s="318"/>
      <c r="AN182" s="318"/>
      <c r="AO182" s="318"/>
      <c r="AP182" s="318"/>
      <c r="AQ182" s="318"/>
      <c r="AR182" s="318"/>
      <c r="AS182" s="318"/>
      <c r="AT182" s="318"/>
      <c r="AU182" s="318"/>
      <c r="AV182" s="318"/>
      <c r="AW182" s="319"/>
      <c r="AX182" s="589"/>
      <c r="AY182" s="592"/>
      <c r="AZ182" s="592"/>
      <c r="BA182" s="608"/>
      <c r="BB182" s="301"/>
    </row>
    <row r="183" spans="1:54" ht="9" customHeight="1">
      <c r="A183" s="583">
        <v>21</v>
      </c>
      <c r="B183" s="584" t="str">
        <f t="shared" si="107"/>
        <v>મકરૂબિયા જીજ્ઞેશભાઇ અશોકભાઇ</v>
      </c>
      <c r="C183" s="311"/>
      <c r="D183" s="312"/>
      <c r="E183" s="312"/>
      <c r="F183" s="312"/>
      <c r="G183" s="312"/>
      <c r="H183" s="312"/>
      <c r="I183" s="312"/>
      <c r="J183" s="312"/>
      <c r="K183" s="312"/>
      <c r="L183" s="312"/>
      <c r="M183" s="312"/>
      <c r="N183" s="312"/>
      <c r="O183" s="312"/>
      <c r="P183" s="312"/>
      <c r="Q183" s="312"/>
      <c r="R183" s="312"/>
      <c r="S183" s="312"/>
      <c r="T183" s="312"/>
      <c r="U183" s="312"/>
      <c r="V183" s="313"/>
      <c r="W183" s="587">
        <f>'A-CALC'!V169</f>
        <v>0</v>
      </c>
      <c r="X183" s="590">
        <f>'A-CALC'!W169</f>
        <v>0</v>
      </c>
      <c r="Y183" s="590">
        <f>'A-CALC'!X169</f>
        <v>0</v>
      </c>
      <c r="Z183" s="593">
        <f t="shared" ref="Z183" si="133">ROUND((40/$Y$7)*W183,0)</f>
        <v>0</v>
      </c>
      <c r="AA183" s="301"/>
      <c r="AB183" s="583">
        <v>21</v>
      </c>
      <c r="AC183" s="584" t="str">
        <f t="shared" si="109"/>
        <v>મકરૂબિયા જીજ્ઞેશભાઇ અશોકભાઇ</v>
      </c>
      <c r="AD183" s="311"/>
      <c r="AE183" s="312"/>
      <c r="AF183" s="312"/>
      <c r="AG183" s="312"/>
      <c r="AH183" s="312"/>
      <c r="AI183" s="312"/>
      <c r="AJ183" s="312"/>
      <c r="AK183" s="312"/>
      <c r="AL183" s="312"/>
      <c r="AM183" s="312"/>
      <c r="AN183" s="312"/>
      <c r="AO183" s="312"/>
      <c r="AP183" s="312"/>
      <c r="AQ183" s="312"/>
      <c r="AR183" s="312"/>
      <c r="AS183" s="312"/>
      <c r="AT183" s="312"/>
      <c r="AU183" s="312"/>
      <c r="AV183" s="312"/>
      <c r="AW183" s="313"/>
      <c r="AX183" s="587">
        <f>'A-CALC'!AU169</f>
        <v>0</v>
      </c>
      <c r="AY183" s="590">
        <f>'A-CALC'!AV169</f>
        <v>0</v>
      </c>
      <c r="AZ183" s="590">
        <f>'A-CALC'!AW169</f>
        <v>0</v>
      </c>
      <c r="BA183" s="593">
        <f t="shared" ref="BA183" si="134">ROUND((40/$Y$7)*AX183,0)</f>
        <v>0</v>
      </c>
      <c r="BB183" s="301"/>
    </row>
    <row r="184" spans="1:54" ht="9" customHeight="1">
      <c r="A184" s="583"/>
      <c r="B184" s="585"/>
      <c r="C184" s="314"/>
      <c r="D184" s="315"/>
      <c r="E184" s="315"/>
      <c r="F184" s="315"/>
      <c r="G184" s="315"/>
      <c r="H184" s="315"/>
      <c r="I184" s="315"/>
      <c r="J184" s="315"/>
      <c r="K184" s="315"/>
      <c r="L184" s="315"/>
      <c r="M184" s="315"/>
      <c r="N184" s="315"/>
      <c r="O184" s="315"/>
      <c r="P184" s="315"/>
      <c r="Q184" s="315"/>
      <c r="R184" s="315"/>
      <c r="S184" s="315"/>
      <c r="T184" s="315"/>
      <c r="U184" s="315"/>
      <c r="V184" s="316"/>
      <c r="W184" s="588"/>
      <c r="X184" s="591"/>
      <c r="Y184" s="591"/>
      <c r="Z184" s="594"/>
      <c r="AA184" s="301"/>
      <c r="AB184" s="583"/>
      <c r="AC184" s="585"/>
      <c r="AD184" s="314"/>
      <c r="AE184" s="315"/>
      <c r="AF184" s="315"/>
      <c r="AG184" s="315"/>
      <c r="AH184" s="315"/>
      <c r="AI184" s="315"/>
      <c r="AJ184" s="315"/>
      <c r="AK184" s="315"/>
      <c r="AL184" s="315"/>
      <c r="AM184" s="315"/>
      <c r="AN184" s="315"/>
      <c r="AO184" s="315"/>
      <c r="AP184" s="315"/>
      <c r="AQ184" s="315"/>
      <c r="AR184" s="315"/>
      <c r="AS184" s="315"/>
      <c r="AT184" s="315"/>
      <c r="AU184" s="315"/>
      <c r="AV184" s="315"/>
      <c r="AW184" s="316"/>
      <c r="AX184" s="588"/>
      <c r="AY184" s="591"/>
      <c r="AZ184" s="591"/>
      <c r="BA184" s="594"/>
      <c r="BB184" s="301"/>
    </row>
    <row r="185" spans="1:54" ht="9" customHeight="1">
      <c r="A185" s="583"/>
      <c r="B185" s="586"/>
      <c r="C185" s="317"/>
      <c r="D185" s="318"/>
      <c r="E185" s="318"/>
      <c r="F185" s="318"/>
      <c r="G185" s="318"/>
      <c r="H185" s="318"/>
      <c r="I185" s="318"/>
      <c r="J185" s="318"/>
      <c r="K185" s="318"/>
      <c r="L185" s="318"/>
      <c r="M185" s="318"/>
      <c r="N185" s="318"/>
      <c r="O185" s="318"/>
      <c r="P185" s="318"/>
      <c r="Q185" s="318"/>
      <c r="R185" s="318"/>
      <c r="S185" s="318"/>
      <c r="T185" s="318"/>
      <c r="U185" s="318"/>
      <c r="V185" s="319"/>
      <c r="W185" s="589"/>
      <c r="X185" s="592"/>
      <c r="Y185" s="592"/>
      <c r="Z185" s="608"/>
      <c r="AA185" s="301"/>
      <c r="AB185" s="583"/>
      <c r="AC185" s="586"/>
      <c r="AD185" s="317"/>
      <c r="AE185" s="318"/>
      <c r="AF185" s="318"/>
      <c r="AG185" s="318"/>
      <c r="AH185" s="318"/>
      <c r="AI185" s="318"/>
      <c r="AJ185" s="318"/>
      <c r="AK185" s="318"/>
      <c r="AL185" s="318"/>
      <c r="AM185" s="318"/>
      <c r="AN185" s="318"/>
      <c r="AO185" s="318"/>
      <c r="AP185" s="318"/>
      <c r="AQ185" s="318"/>
      <c r="AR185" s="318"/>
      <c r="AS185" s="318"/>
      <c r="AT185" s="318"/>
      <c r="AU185" s="318"/>
      <c r="AV185" s="318"/>
      <c r="AW185" s="319"/>
      <c r="AX185" s="589"/>
      <c r="AY185" s="592"/>
      <c r="AZ185" s="592"/>
      <c r="BA185" s="608"/>
      <c r="BB185" s="301"/>
    </row>
    <row r="186" spans="1:54" ht="9" customHeight="1">
      <c r="A186" s="583">
        <v>22</v>
      </c>
      <c r="B186" s="584" t="str">
        <f t="shared" si="107"/>
        <v>ખિમસુરીયા જ્યોત્સના મુકેશભાઇ</v>
      </c>
      <c r="C186" s="311"/>
      <c r="D186" s="312"/>
      <c r="E186" s="312"/>
      <c r="F186" s="312"/>
      <c r="G186" s="312"/>
      <c r="H186" s="312"/>
      <c r="I186" s="312"/>
      <c r="J186" s="312"/>
      <c r="K186" s="312"/>
      <c r="L186" s="312"/>
      <c r="M186" s="312"/>
      <c r="N186" s="312"/>
      <c r="O186" s="312"/>
      <c r="P186" s="312"/>
      <c r="Q186" s="312"/>
      <c r="R186" s="312"/>
      <c r="S186" s="312"/>
      <c r="T186" s="312"/>
      <c r="U186" s="312"/>
      <c r="V186" s="313"/>
      <c r="W186" s="587">
        <f>'A-CALC'!V172</f>
        <v>0</v>
      </c>
      <c r="X186" s="590">
        <f>'A-CALC'!W172</f>
        <v>0</v>
      </c>
      <c r="Y186" s="590">
        <f>'A-CALC'!X172</f>
        <v>0</v>
      </c>
      <c r="Z186" s="593">
        <f t="shared" ref="Z186" si="135">ROUND((40/$Y$7)*W186,0)</f>
        <v>0</v>
      </c>
      <c r="AA186" s="301"/>
      <c r="AB186" s="583">
        <v>22</v>
      </c>
      <c r="AC186" s="584" t="str">
        <f t="shared" si="109"/>
        <v>ખિમસુરીયા જ્યોત્સના મુકેશભાઇ</v>
      </c>
      <c r="AD186" s="311"/>
      <c r="AE186" s="312"/>
      <c r="AF186" s="312"/>
      <c r="AG186" s="312"/>
      <c r="AH186" s="312"/>
      <c r="AI186" s="312"/>
      <c r="AJ186" s="312"/>
      <c r="AK186" s="312"/>
      <c r="AL186" s="312"/>
      <c r="AM186" s="312"/>
      <c r="AN186" s="312"/>
      <c r="AO186" s="312"/>
      <c r="AP186" s="312"/>
      <c r="AQ186" s="312"/>
      <c r="AR186" s="312"/>
      <c r="AS186" s="312"/>
      <c r="AT186" s="312"/>
      <c r="AU186" s="312"/>
      <c r="AV186" s="312"/>
      <c r="AW186" s="313"/>
      <c r="AX186" s="587">
        <f>'A-CALC'!AU172</f>
        <v>0</v>
      </c>
      <c r="AY186" s="590">
        <f>'A-CALC'!AV172</f>
        <v>0</v>
      </c>
      <c r="AZ186" s="590">
        <f>'A-CALC'!AW172</f>
        <v>0</v>
      </c>
      <c r="BA186" s="593">
        <f t="shared" ref="BA186" si="136">ROUND((40/$Y$7)*AX186,0)</f>
        <v>0</v>
      </c>
      <c r="BB186" s="301"/>
    </row>
    <row r="187" spans="1:54" ht="9" customHeight="1">
      <c r="A187" s="583"/>
      <c r="B187" s="585"/>
      <c r="C187" s="314"/>
      <c r="D187" s="315"/>
      <c r="E187" s="315"/>
      <c r="F187" s="315"/>
      <c r="G187" s="315"/>
      <c r="H187" s="315"/>
      <c r="I187" s="315"/>
      <c r="J187" s="315"/>
      <c r="K187" s="315"/>
      <c r="L187" s="315"/>
      <c r="M187" s="315"/>
      <c r="N187" s="315"/>
      <c r="O187" s="315"/>
      <c r="P187" s="315"/>
      <c r="Q187" s="315"/>
      <c r="R187" s="315"/>
      <c r="S187" s="315"/>
      <c r="T187" s="315"/>
      <c r="U187" s="315"/>
      <c r="V187" s="316"/>
      <c r="W187" s="588"/>
      <c r="X187" s="591"/>
      <c r="Y187" s="591"/>
      <c r="Z187" s="594"/>
      <c r="AA187" s="301"/>
      <c r="AB187" s="583"/>
      <c r="AC187" s="585"/>
      <c r="AD187" s="314"/>
      <c r="AE187" s="315"/>
      <c r="AF187" s="315"/>
      <c r="AG187" s="315"/>
      <c r="AH187" s="315"/>
      <c r="AI187" s="315"/>
      <c r="AJ187" s="315"/>
      <c r="AK187" s="315"/>
      <c r="AL187" s="315"/>
      <c r="AM187" s="315"/>
      <c r="AN187" s="315"/>
      <c r="AO187" s="315"/>
      <c r="AP187" s="315"/>
      <c r="AQ187" s="315"/>
      <c r="AR187" s="315"/>
      <c r="AS187" s="315"/>
      <c r="AT187" s="315"/>
      <c r="AU187" s="315"/>
      <c r="AV187" s="315"/>
      <c r="AW187" s="316"/>
      <c r="AX187" s="588"/>
      <c r="AY187" s="591"/>
      <c r="AZ187" s="591"/>
      <c r="BA187" s="594"/>
      <c r="BB187" s="301"/>
    </row>
    <row r="188" spans="1:54" ht="9" customHeight="1">
      <c r="A188" s="583"/>
      <c r="B188" s="586"/>
      <c r="C188" s="317"/>
      <c r="D188" s="318"/>
      <c r="E188" s="318"/>
      <c r="F188" s="318"/>
      <c r="G188" s="318"/>
      <c r="H188" s="318"/>
      <c r="I188" s="318"/>
      <c r="J188" s="318"/>
      <c r="K188" s="318"/>
      <c r="L188" s="318"/>
      <c r="M188" s="318"/>
      <c r="N188" s="318"/>
      <c r="O188" s="318"/>
      <c r="P188" s="318"/>
      <c r="Q188" s="318"/>
      <c r="R188" s="318"/>
      <c r="S188" s="318"/>
      <c r="T188" s="318"/>
      <c r="U188" s="318"/>
      <c r="V188" s="319"/>
      <c r="W188" s="589"/>
      <c r="X188" s="592"/>
      <c r="Y188" s="592"/>
      <c r="Z188" s="608"/>
      <c r="AA188" s="301"/>
      <c r="AB188" s="583"/>
      <c r="AC188" s="586"/>
      <c r="AD188" s="317"/>
      <c r="AE188" s="318"/>
      <c r="AF188" s="318"/>
      <c r="AG188" s="318"/>
      <c r="AH188" s="318"/>
      <c r="AI188" s="318"/>
      <c r="AJ188" s="318"/>
      <c r="AK188" s="318"/>
      <c r="AL188" s="318"/>
      <c r="AM188" s="318"/>
      <c r="AN188" s="318"/>
      <c r="AO188" s="318"/>
      <c r="AP188" s="318"/>
      <c r="AQ188" s="318"/>
      <c r="AR188" s="318"/>
      <c r="AS188" s="318"/>
      <c r="AT188" s="318"/>
      <c r="AU188" s="318"/>
      <c r="AV188" s="318"/>
      <c r="AW188" s="319"/>
      <c r="AX188" s="589"/>
      <c r="AY188" s="592"/>
      <c r="AZ188" s="592"/>
      <c r="BA188" s="608"/>
      <c r="BB188" s="301"/>
    </row>
    <row r="189" spans="1:54" ht="9" customHeight="1">
      <c r="A189" s="583">
        <v>23</v>
      </c>
      <c r="B189" s="584" t="str">
        <f t="shared" si="107"/>
        <v>ગરણિયા રાજલબેન સામતભાઇ</v>
      </c>
      <c r="C189" s="311"/>
      <c r="D189" s="312"/>
      <c r="E189" s="312"/>
      <c r="F189" s="312"/>
      <c r="G189" s="312"/>
      <c r="H189" s="312"/>
      <c r="I189" s="312"/>
      <c r="J189" s="312"/>
      <c r="K189" s="312"/>
      <c r="L189" s="312"/>
      <c r="M189" s="312"/>
      <c r="N189" s="312"/>
      <c r="O189" s="312"/>
      <c r="P189" s="312"/>
      <c r="Q189" s="312"/>
      <c r="R189" s="312"/>
      <c r="S189" s="312"/>
      <c r="T189" s="312"/>
      <c r="U189" s="312"/>
      <c r="V189" s="313"/>
      <c r="W189" s="587">
        <f>'A-CALC'!V175</f>
        <v>0</v>
      </c>
      <c r="X189" s="590">
        <f>'A-CALC'!W175</f>
        <v>0</v>
      </c>
      <c r="Y189" s="590">
        <f>'A-CALC'!X175</f>
        <v>0</v>
      </c>
      <c r="Z189" s="593">
        <f t="shared" ref="Z189" si="137">ROUND((40/$Y$7)*W189,0)</f>
        <v>0</v>
      </c>
      <c r="AA189" s="301"/>
      <c r="AB189" s="583">
        <v>23</v>
      </c>
      <c r="AC189" s="584" t="str">
        <f t="shared" si="109"/>
        <v>ગરણિયા રાજલબેન સામતભાઇ</v>
      </c>
      <c r="AD189" s="311"/>
      <c r="AE189" s="312"/>
      <c r="AF189" s="312"/>
      <c r="AG189" s="312"/>
      <c r="AH189" s="312"/>
      <c r="AI189" s="312"/>
      <c r="AJ189" s="312"/>
      <c r="AK189" s="312"/>
      <c r="AL189" s="312"/>
      <c r="AM189" s="312"/>
      <c r="AN189" s="312"/>
      <c r="AO189" s="312"/>
      <c r="AP189" s="312"/>
      <c r="AQ189" s="312"/>
      <c r="AR189" s="312"/>
      <c r="AS189" s="312"/>
      <c r="AT189" s="312"/>
      <c r="AU189" s="312"/>
      <c r="AV189" s="312"/>
      <c r="AW189" s="313"/>
      <c r="AX189" s="587">
        <f>'A-CALC'!AU175</f>
        <v>0</v>
      </c>
      <c r="AY189" s="590">
        <f>'A-CALC'!AV175</f>
        <v>0</v>
      </c>
      <c r="AZ189" s="590">
        <f>'A-CALC'!AW175</f>
        <v>0</v>
      </c>
      <c r="BA189" s="593">
        <f t="shared" ref="BA189" si="138">ROUND((40/$Y$7)*AX189,0)</f>
        <v>0</v>
      </c>
      <c r="BB189" s="301"/>
    </row>
    <row r="190" spans="1:54" ht="9" customHeight="1">
      <c r="A190" s="583"/>
      <c r="B190" s="585"/>
      <c r="C190" s="314"/>
      <c r="D190" s="315"/>
      <c r="E190" s="315"/>
      <c r="F190" s="315"/>
      <c r="G190" s="315"/>
      <c r="H190" s="315"/>
      <c r="I190" s="315"/>
      <c r="J190" s="315"/>
      <c r="K190" s="315"/>
      <c r="L190" s="315"/>
      <c r="M190" s="315"/>
      <c r="N190" s="315"/>
      <c r="O190" s="315"/>
      <c r="P190" s="315"/>
      <c r="Q190" s="315"/>
      <c r="R190" s="315"/>
      <c r="S190" s="315"/>
      <c r="T190" s="315"/>
      <c r="U190" s="315"/>
      <c r="V190" s="316"/>
      <c r="W190" s="588"/>
      <c r="X190" s="591"/>
      <c r="Y190" s="591"/>
      <c r="Z190" s="594"/>
      <c r="AA190" s="301"/>
      <c r="AB190" s="583"/>
      <c r="AC190" s="585"/>
      <c r="AD190" s="314"/>
      <c r="AE190" s="315"/>
      <c r="AF190" s="315"/>
      <c r="AG190" s="315"/>
      <c r="AH190" s="315"/>
      <c r="AI190" s="315"/>
      <c r="AJ190" s="315"/>
      <c r="AK190" s="315"/>
      <c r="AL190" s="315"/>
      <c r="AM190" s="315"/>
      <c r="AN190" s="315"/>
      <c r="AO190" s="315"/>
      <c r="AP190" s="315"/>
      <c r="AQ190" s="315"/>
      <c r="AR190" s="315"/>
      <c r="AS190" s="315"/>
      <c r="AT190" s="315"/>
      <c r="AU190" s="315"/>
      <c r="AV190" s="315"/>
      <c r="AW190" s="316"/>
      <c r="AX190" s="588"/>
      <c r="AY190" s="591"/>
      <c r="AZ190" s="591"/>
      <c r="BA190" s="594"/>
      <c r="BB190" s="301"/>
    </row>
    <row r="191" spans="1:54" ht="9" customHeight="1">
      <c r="A191" s="583"/>
      <c r="B191" s="586"/>
      <c r="C191" s="317"/>
      <c r="D191" s="318"/>
      <c r="E191" s="318"/>
      <c r="F191" s="318"/>
      <c r="G191" s="318"/>
      <c r="H191" s="318"/>
      <c r="I191" s="318"/>
      <c r="J191" s="318"/>
      <c r="K191" s="318"/>
      <c r="L191" s="318"/>
      <c r="M191" s="318"/>
      <c r="N191" s="318"/>
      <c r="O191" s="318"/>
      <c r="P191" s="318"/>
      <c r="Q191" s="318"/>
      <c r="R191" s="318"/>
      <c r="S191" s="318"/>
      <c r="T191" s="318"/>
      <c r="U191" s="318"/>
      <c r="V191" s="319"/>
      <c r="W191" s="589"/>
      <c r="X191" s="592"/>
      <c r="Y191" s="592"/>
      <c r="Z191" s="608"/>
      <c r="AA191" s="301"/>
      <c r="AB191" s="583"/>
      <c r="AC191" s="586"/>
      <c r="AD191" s="317"/>
      <c r="AE191" s="318"/>
      <c r="AF191" s="318"/>
      <c r="AG191" s="318"/>
      <c r="AH191" s="318"/>
      <c r="AI191" s="318"/>
      <c r="AJ191" s="318"/>
      <c r="AK191" s="318"/>
      <c r="AL191" s="318"/>
      <c r="AM191" s="318"/>
      <c r="AN191" s="318"/>
      <c r="AO191" s="318"/>
      <c r="AP191" s="318"/>
      <c r="AQ191" s="318"/>
      <c r="AR191" s="318"/>
      <c r="AS191" s="318"/>
      <c r="AT191" s="318"/>
      <c r="AU191" s="318"/>
      <c r="AV191" s="318"/>
      <c r="AW191" s="319"/>
      <c r="AX191" s="589"/>
      <c r="AY191" s="592"/>
      <c r="AZ191" s="592"/>
      <c r="BA191" s="608"/>
      <c r="BB191" s="301"/>
    </row>
    <row r="192" spans="1:54" ht="9" customHeight="1">
      <c r="A192" s="583">
        <v>24</v>
      </c>
      <c r="B192" s="584" t="str">
        <f t="shared" si="107"/>
        <v>ગરણિયા નિરાલીબેન પ્રદીપભાઇ</v>
      </c>
      <c r="C192" s="311"/>
      <c r="D192" s="312"/>
      <c r="E192" s="312"/>
      <c r="F192" s="312"/>
      <c r="G192" s="312"/>
      <c r="H192" s="312"/>
      <c r="I192" s="312"/>
      <c r="J192" s="312"/>
      <c r="K192" s="312"/>
      <c r="L192" s="312"/>
      <c r="M192" s="312"/>
      <c r="N192" s="312"/>
      <c r="O192" s="312"/>
      <c r="P192" s="312"/>
      <c r="Q192" s="312"/>
      <c r="R192" s="312"/>
      <c r="S192" s="312"/>
      <c r="T192" s="312"/>
      <c r="U192" s="312"/>
      <c r="V192" s="313"/>
      <c r="W192" s="587">
        <f>'A-CALC'!V178</f>
        <v>0</v>
      </c>
      <c r="X192" s="590">
        <f>'A-CALC'!W178</f>
        <v>0</v>
      </c>
      <c r="Y192" s="590">
        <f>'A-CALC'!X178</f>
        <v>0</v>
      </c>
      <c r="Z192" s="593">
        <f t="shared" ref="Z192" si="139">ROUND((40/$Y$7)*W192,0)</f>
        <v>0</v>
      </c>
      <c r="AA192" s="301"/>
      <c r="AB192" s="583">
        <v>24</v>
      </c>
      <c r="AC192" s="584" t="str">
        <f t="shared" si="109"/>
        <v>ગરણિયા નિરાલીબેન પ્રદીપભાઇ</v>
      </c>
      <c r="AD192" s="311"/>
      <c r="AE192" s="312"/>
      <c r="AF192" s="312"/>
      <c r="AG192" s="312"/>
      <c r="AH192" s="312"/>
      <c r="AI192" s="312"/>
      <c r="AJ192" s="312"/>
      <c r="AK192" s="312"/>
      <c r="AL192" s="312"/>
      <c r="AM192" s="312"/>
      <c r="AN192" s="312"/>
      <c r="AO192" s="312"/>
      <c r="AP192" s="312"/>
      <c r="AQ192" s="312"/>
      <c r="AR192" s="312"/>
      <c r="AS192" s="312"/>
      <c r="AT192" s="312"/>
      <c r="AU192" s="312"/>
      <c r="AV192" s="312"/>
      <c r="AW192" s="313"/>
      <c r="AX192" s="587">
        <f>'A-CALC'!AU178</f>
        <v>0</v>
      </c>
      <c r="AY192" s="590">
        <f>'A-CALC'!AV178</f>
        <v>0</v>
      </c>
      <c r="AZ192" s="590">
        <f>'A-CALC'!AW178</f>
        <v>0</v>
      </c>
      <c r="BA192" s="593">
        <f t="shared" ref="BA192" si="140">ROUND((40/$Y$7)*AX192,0)</f>
        <v>0</v>
      </c>
      <c r="BB192" s="301"/>
    </row>
    <row r="193" spans="1:54" ht="9" customHeight="1">
      <c r="A193" s="583"/>
      <c r="B193" s="585"/>
      <c r="C193" s="314"/>
      <c r="D193" s="315"/>
      <c r="E193" s="315"/>
      <c r="F193" s="315"/>
      <c r="G193" s="315"/>
      <c r="H193" s="315"/>
      <c r="I193" s="315"/>
      <c r="J193" s="315"/>
      <c r="K193" s="315"/>
      <c r="L193" s="315"/>
      <c r="M193" s="315"/>
      <c r="N193" s="315"/>
      <c r="O193" s="315"/>
      <c r="P193" s="315"/>
      <c r="Q193" s="315"/>
      <c r="R193" s="315"/>
      <c r="S193" s="315"/>
      <c r="T193" s="315"/>
      <c r="U193" s="315"/>
      <c r="V193" s="316"/>
      <c r="W193" s="588"/>
      <c r="X193" s="591"/>
      <c r="Y193" s="591"/>
      <c r="Z193" s="594"/>
      <c r="AA193" s="301"/>
      <c r="AB193" s="583"/>
      <c r="AC193" s="585"/>
      <c r="AD193" s="314"/>
      <c r="AE193" s="315"/>
      <c r="AF193" s="315"/>
      <c r="AG193" s="315"/>
      <c r="AH193" s="315"/>
      <c r="AI193" s="315"/>
      <c r="AJ193" s="315"/>
      <c r="AK193" s="315"/>
      <c r="AL193" s="315"/>
      <c r="AM193" s="315"/>
      <c r="AN193" s="315"/>
      <c r="AO193" s="315"/>
      <c r="AP193" s="315"/>
      <c r="AQ193" s="315"/>
      <c r="AR193" s="315"/>
      <c r="AS193" s="315"/>
      <c r="AT193" s="315"/>
      <c r="AU193" s="315"/>
      <c r="AV193" s="315"/>
      <c r="AW193" s="316"/>
      <c r="AX193" s="588"/>
      <c r="AY193" s="591"/>
      <c r="AZ193" s="591"/>
      <c r="BA193" s="594"/>
      <c r="BB193" s="301"/>
    </row>
    <row r="194" spans="1:54" ht="9" customHeight="1">
      <c r="A194" s="583"/>
      <c r="B194" s="586"/>
      <c r="C194" s="317"/>
      <c r="D194" s="318"/>
      <c r="E194" s="318"/>
      <c r="F194" s="318"/>
      <c r="G194" s="318"/>
      <c r="H194" s="318"/>
      <c r="I194" s="318"/>
      <c r="J194" s="318"/>
      <c r="K194" s="318"/>
      <c r="L194" s="318"/>
      <c r="M194" s="318"/>
      <c r="N194" s="318"/>
      <c r="O194" s="318"/>
      <c r="P194" s="318"/>
      <c r="Q194" s="318"/>
      <c r="R194" s="318"/>
      <c r="S194" s="318"/>
      <c r="T194" s="318"/>
      <c r="U194" s="318"/>
      <c r="V194" s="319"/>
      <c r="W194" s="589"/>
      <c r="X194" s="592"/>
      <c r="Y194" s="592"/>
      <c r="Z194" s="608"/>
      <c r="AA194" s="301"/>
      <c r="AB194" s="583"/>
      <c r="AC194" s="586"/>
      <c r="AD194" s="317"/>
      <c r="AE194" s="318"/>
      <c r="AF194" s="318"/>
      <c r="AG194" s="318"/>
      <c r="AH194" s="318"/>
      <c r="AI194" s="318"/>
      <c r="AJ194" s="318"/>
      <c r="AK194" s="318"/>
      <c r="AL194" s="318"/>
      <c r="AM194" s="318"/>
      <c r="AN194" s="318"/>
      <c r="AO194" s="318"/>
      <c r="AP194" s="318"/>
      <c r="AQ194" s="318"/>
      <c r="AR194" s="318"/>
      <c r="AS194" s="318"/>
      <c r="AT194" s="318"/>
      <c r="AU194" s="318"/>
      <c r="AV194" s="318"/>
      <c r="AW194" s="319"/>
      <c r="AX194" s="589"/>
      <c r="AY194" s="592"/>
      <c r="AZ194" s="592"/>
      <c r="BA194" s="608"/>
      <c r="BB194" s="301"/>
    </row>
    <row r="195" spans="1:54" ht="9" customHeight="1">
      <c r="A195" s="583">
        <v>25</v>
      </c>
      <c r="B195" s="584" t="str">
        <f t="shared" si="107"/>
        <v>ગરણિયા રાધાબેન લક્ષ્મણભાઇ</v>
      </c>
      <c r="C195" s="311"/>
      <c r="D195" s="312"/>
      <c r="E195" s="312"/>
      <c r="F195" s="312"/>
      <c r="G195" s="312"/>
      <c r="H195" s="312"/>
      <c r="I195" s="312"/>
      <c r="J195" s="312"/>
      <c r="K195" s="312"/>
      <c r="L195" s="312"/>
      <c r="M195" s="312"/>
      <c r="N195" s="312"/>
      <c r="O195" s="312"/>
      <c r="P195" s="312"/>
      <c r="Q195" s="312"/>
      <c r="R195" s="312"/>
      <c r="S195" s="312"/>
      <c r="T195" s="312"/>
      <c r="U195" s="312"/>
      <c r="V195" s="313"/>
      <c r="W195" s="587">
        <f>'A-CALC'!V181</f>
        <v>0</v>
      </c>
      <c r="X195" s="590">
        <f>'A-CALC'!W181</f>
        <v>0</v>
      </c>
      <c r="Y195" s="590">
        <f>'A-CALC'!X181</f>
        <v>0</v>
      </c>
      <c r="Z195" s="593">
        <f t="shared" ref="Z195" si="141">ROUND((40/$Y$7)*W195,0)</f>
        <v>0</v>
      </c>
      <c r="AA195" s="301"/>
      <c r="AB195" s="583">
        <v>25</v>
      </c>
      <c r="AC195" s="584" t="str">
        <f t="shared" si="109"/>
        <v>ગરણિયા રાધાબેન લક્ષ્મણભાઇ</v>
      </c>
      <c r="AD195" s="311"/>
      <c r="AE195" s="312"/>
      <c r="AF195" s="312"/>
      <c r="AG195" s="312"/>
      <c r="AH195" s="312"/>
      <c r="AI195" s="312"/>
      <c r="AJ195" s="312"/>
      <c r="AK195" s="312"/>
      <c r="AL195" s="312"/>
      <c r="AM195" s="312"/>
      <c r="AN195" s="312"/>
      <c r="AO195" s="312"/>
      <c r="AP195" s="312"/>
      <c r="AQ195" s="312"/>
      <c r="AR195" s="312"/>
      <c r="AS195" s="312"/>
      <c r="AT195" s="312"/>
      <c r="AU195" s="312"/>
      <c r="AV195" s="312"/>
      <c r="AW195" s="313"/>
      <c r="AX195" s="587">
        <f>'A-CALC'!AU181</f>
        <v>0</v>
      </c>
      <c r="AY195" s="590">
        <f>'A-CALC'!AV181</f>
        <v>0</v>
      </c>
      <c r="AZ195" s="590">
        <f>'A-CALC'!AW181</f>
        <v>0</v>
      </c>
      <c r="BA195" s="593">
        <f t="shared" ref="BA195" si="142">ROUND((40/$Y$7)*AX195,0)</f>
        <v>0</v>
      </c>
      <c r="BB195" s="301"/>
    </row>
    <row r="196" spans="1:54" ht="9" customHeight="1">
      <c r="A196" s="583"/>
      <c r="B196" s="585"/>
      <c r="C196" s="314"/>
      <c r="D196" s="315"/>
      <c r="E196" s="315"/>
      <c r="F196" s="315"/>
      <c r="G196" s="315"/>
      <c r="H196" s="315"/>
      <c r="I196" s="315"/>
      <c r="J196" s="315"/>
      <c r="K196" s="315"/>
      <c r="L196" s="315"/>
      <c r="M196" s="315"/>
      <c r="N196" s="315"/>
      <c r="O196" s="315"/>
      <c r="P196" s="315"/>
      <c r="Q196" s="315"/>
      <c r="R196" s="315"/>
      <c r="S196" s="315"/>
      <c r="T196" s="315"/>
      <c r="U196" s="315"/>
      <c r="V196" s="316"/>
      <c r="W196" s="588"/>
      <c r="X196" s="591"/>
      <c r="Y196" s="591"/>
      <c r="Z196" s="594"/>
      <c r="AA196" s="301"/>
      <c r="AB196" s="583"/>
      <c r="AC196" s="585"/>
      <c r="AD196" s="314"/>
      <c r="AE196" s="315"/>
      <c r="AF196" s="315"/>
      <c r="AG196" s="315"/>
      <c r="AH196" s="315"/>
      <c r="AI196" s="315"/>
      <c r="AJ196" s="315"/>
      <c r="AK196" s="315"/>
      <c r="AL196" s="315"/>
      <c r="AM196" s="315"/>
      <c r="AN196" s="315"/>
      <c r="AO196" s="315"/>
      <c r="AP196" s="315"/>
      <c r="AQ196" s="315"/>
      <c r="AR196" s="315"/>
      <c r="AS196" s="315"/>
      <c r="AT196" s="315"/>
      <c r="AU196" s="315"/>
      <c r="AV196" s="315"/>
      <c r="AW196" s="316"/>
      <c r="AX196" s="588"/>
      <c r="AY196" s="591"/>
      <c r="AZ196" s="591"/>
      <c r="BA196" s="594"/>
      <c r="BB196" s="301"/>
    </row>
    <row r="197" spans="1:54" ht="9" customHeight="1">
      <c r="A197" s="583"/>
      <c r="B197" s="586"/>
      <c r="C197" s="317"/>
      <c r="D197" s="318"/>
      <c r="E197" s="318"/>
      <c r="F197" s="318"/>
      <c r="G197" s="318"/>
      <c r="H197" s="318"/>
      <c r="I197" s="318"/>
      <c r="J197" s="318"/>
      <c r="K197" s="318"/>
      <c r="L197" s="318"/>
      <c r="M197" s="318"/>
      <c r="N197" s="318"/>
      <c r="O197" s="318"/>
      <c r="P197" s="318"/>
      <c r="Q197" s="318"/>
      <c r="R197" s="318"/>
      <c r="S197" s="318"/>
      <c r="T197" s="318"/>
      <c r="U197" s="318"/>
      <c r="V197" s="319"/>
      <c r="W197" s="589"/>
      <c r="X197" s="592"/>
      <c r="Y197" s="592"/>
      <c r="Z197" s="608"/>
      <c r="AA197" s="301"/>
      <c r="AB197" s="583"/>
      <c r="AC197" s="586"/>
      <c r="AD197" s="317"/>
      <c r="AE197" s="318"/>
      <c r="AF197" s="318"/>
      <c r="AG197" s="318"/>
      <c r="AH197" s="318"/>
      <c r="AI197" s="318"/>
      <c r="AJ197" s="318"/>
      <c r="AK197" s="318"/>
      <c r="AL197" s="318"/>
      <c r="AM197" s="318"/>
      <c r="AN197" s="318"/>
      <c r="AO197" s="318"/>
      <c r="AP197" s="318"/>
      <c r="AQ197" s="318"/>
      <c r="AR197" s="318"/>
      <c r="AS197" s="318"/>
      <c r="AT197" s="318"/>
      <c r="AU197" s="318"/>
      <c r="AV197" s="318"/>
      <c r="AW197" s="319"/>
      <c r="AX197" s="589"/>
      <c r="AY197" s="592"/>
      <c r="AZ197" s="592"/>
      <c r="BA197" s="608"/>
      <c r="BB197" s="301"/>
    </row>
    <row r="198" spans="1:54" ht="9" customHeight="1">
      <c r="A198" s="583">
        <v>26</v>
      </c>
      <c r="B198" s="584" t="str">
        <f t="shared" si="107"/>
        <v>ગૌસ્વામિ મયુરીબેન રમેશગીરી</v>
      </c>
      <c r="C198" s="311"/>
      <c r="D198" s="312"/>
      <c r="E198" s="312"/>
      <c r="F198" s="312"/>
      <c r="G198" s="312"/>
      <c r="H198" s="312"/>
      <c r="I198" s="312"/>
      <c r="J198" s="312"/>
      <c r="K198" s="312"/>
      <c r="L198" s="312"/>
      <c r="M198" s="312"/>
      <c r="N198" s="312"/>
      <c r="O198" s="312"/>
      <c r="P198" s="312"/>
      <c r="Q198" s="312"/>
      <c r="R198" s="312"/>
      <c r="S198" s="312"/>
      <c r="T198" s="312"/>
      <c r="U198" s="312"/>
      <c r="V198" s="313"/>
      <c r="W198" s="587">
        <f>'A-CALC'!V184</f>
        <v>0</v>
      </c>
      <c r="X198" s="590">
        <f>'A-CALC'!W184</f>
        <v>0</v>
      </c>
      <c r="Y198" s="590">
        <f>'A-CALC'!X184</f>
        <v>0</v>
      </c>
      <c r="Z198" s="593">
        <f t="shared" ref="Z198" si="143">ROUND((40/$Y$7)*W198,0)</f>
        <v>0</v>
      </c>
      <c r="AA198" s="301"/>
      <c r="AB198" s="583">
        <v>26</v>
      </c>
      <c r="AC198" s="584" t="str">
        <f t="shared" si="109"/>
        <v>ગૌસ્વામિ મયુરીબેન રમેશગીરી</v>
      </c>
      <c r="AD198" s="311"/>
      <c r="AE198" s="312"/>
      <c r="AF198" s="312"/>
      <c r="AG198" s="312"/>
      <c r="AH198" s="312"/>
      <c r="AI198" s="312"/>
      <c r="AJ198" s="312"/>
      <c r="AK198" s="312"/>
      <c r="AL198" s="312"/>
      <c r="AM198" s="312"/>
      <c r="AN198" s="312"/>
      <c r="AO198" s="312"/>
      <c r="AP198" s="312"/>
      <c r="AQ198" s="312"/>
      <c r="AR198" s="312"/>
      <c r="AS198" s="312"/>
      <c r="AT198" s="312"/>
      <c r="AU198" s="312"/>
      <c r="AV198" s="312"/>
      <c r="AW198" s="313"/>
      <c r="AX198" s="587">
        <f>'A-CALC'!AU184</f>
        <v>0</v>
      </c>
      <c r="AY198" s="590">
        <f>'A-CALC'!AV184</f>
        <v>0</v>
      </c>
      <c r="AZ198" s="590">
        <f>'A-CALC'!AW184</f>
        <v>0</v>
      </c>
      <c r="BA198" s="593">
        <f t="shared" ref="BA198" si="144">ROUND((40/$Y$7)*AX198,0)</f>
        <v>0</v>
      </c>
      <c r="BB198" s="301"/>
    </row>
    <row r="199" spans="1:54" ht="9" customHeight="1">
      <c r="A199" s="583"/>
      <c r="B199" s="585"/>
      <c r="C199" s="314"/>
      <c r="D199" s="315"/>
      <c r="E199" s="315"/>
      <c r="F199" s="315"/>
      <c r="G199" s="315"/>
      <c r="H199" s="315"/>
      <c r="I199" s="315"/>
      <c r="J199" s="315"/>
      <c r="K199" s="315"/>
      <c r="L199" s="315"/>
      <c r="M199" s="315"/>
      <c r="N199" s="315"/>
      <c r="O199" s="315"/>
      <c r="P199" s="315"/>
      <c r="Q199" s="315"/>
      <c r="R199" s="315"/>
      <c r="S199" s="315"/>
      <c r="T199" s="315"/>
      <c r="U199" s="315"/>
      <c r="V199" s="316"/>
      <c r="W199" s="588"/>
      <c r="X199" s="591"/>
      <c r="Y199" s="591"/>
      <c r="Z199" s="594"/>
      <c r="AA199" s="301"/>
      <c r="AB199" s="583"/>
      <c r="AC199" s="585"/>
      <c r="AD199" s="314"/>
      <c r="AE199" s="315"/>
      <c r="AF199" s="315"/>
      <c r="AG199" s="315"/>
      <c r="AH199" s="315"/>
      <c r="AI199" s="315"/>
      <c r="AJ199" s="315"/>
      <c r="AK199" s="315"/>
      <c r="AL199" s="315"/>
      <c r="AM199" s="315"/>
      <c r="AN199" s="315"/>
      <c r="AO199" s="315"/>
      <c r="AP199" s="315"/>
      <c r="AQ199" s="315"/>
      <c r="AR199" s="315"/>
      <c r="AS199" s="315"/>
      <c r="AT199" s="315"/>
      <c r="AU199" s="315"/>
      <c r="AV199" s="315"/>
      <c r="AW199" s="316"/>
      <c r="AX199" s="588"/>
      <c r="AY199" s="591"/>
      <c r="AZ199" s="591"/>
      <c r="BA199" s="594"/>
      <c r="BB199" s="301"/>
    </row>
    <row r="200" spans="1:54" ht="9" customHeight="1">
      <c r="A200" s="583"/>
      <c r="B200" s="586"/>
      <c r="C200" s="317"/>
      <c r="D200" s="318"/>
      <c r="E200" s="318"/>
      <c r="F200" s="318"/>
      <c r="G200" s="318"/>
      <c r="H200" s="318"/>
      <c r="I200" s="318"/>
      <c r="J200" s="318"/>
      <c r="K200" s="318"/>
      <c r="L200" s="318"/>
      <c r="M200" s="318"/>
      <c r="N200" s="318"/>
      <c r="O200" s="318"/>
      <c r="P200" s="318"/>
      <c r="Q200" s="318"/>
      <c r="R200" s="318"/>
      <c r="S200" s="318"/>
      <c r="T200" s="318"/>
      <c r="U200" s="318"/>
      <c r="V200" s="319"/>
      <c r="W200" s="589"/>
      <c r="X200" s="592"/>
      <c r="Y200" s="592"/>
      <c r="Z200" s="608"/>
      <c r="AA200" s="301"/>
      <c r="AB200" s="583"/>
      <c r="AC200" s="586"/>
      <c r="AD200" s="317"/>
      <c r="AE200" s="318"/>
      <c r="AF200" s="318"/>
      <c r="AG200" s="318"/>
      <c r="AH200" s="318"/>
      <c r="AI200" s="318"/>
      <c r="AJ200" s="318"/>
      <c r="AK200" s="318"/>
      <c r="AL200" s="318"/>
      <c r="AM200" s="318"/>
      <c r="AN200" s="318"/>
      <c r="AO200" s="318"/>
      <c r="AP200" s="318"/>
      <c r="AQ200" s="318"/>
      <c r="AR200" s="318"/>
      <c r="AS200" s="318"/>
      <c r="AT200" s="318"/>
      <c r="AU200" s="318"/>
      <c r="AV200" s="318"/>
      <c r="AW200" s="319"/>
      <c r="AX200" s="589"/>
      <c r="AY200" s="592"/>
      <c r="AZ200" s="592"/>
      <c r="BA200" s="608"/>
      <c r="BB200" s="301"/>
    </row>
    <row r="201" spans="1:54" ht="9" customHeight="1">
      <c r="A201" s="583">
        <v>27</v>
      </c>
      <c r="B201" s="584" t="str">
        <f t="shared" si="107"/>
        <v>બતાડા જાનકી વાલાભાઇ</v>
      </c>
      <c r="C201" s="311"/>
      <c r="D201" s="312"/>
      <c r="E201" s="312"/>
      <c r="F201" s="312"/>
      <c r="G201" s="312"/>
      <c r="H201" s="312"/>
      <c r="I201" s="312"/>
      <c r="J201" s="312"/>
      <c r="K201" s="312"/>
      <c r="L201" s="312"/>
      <c r="M201" s="312"/>
      <c r="N201" s="312"/>
      <c r="O201" s="312"/>
      <c r="P201" s="312"/>
      <c r="Q201" s="312"/>
      <c r="R201" s="312"/>
      <c r="S201" s="312"/>
      <c r="T201" s="312"/>
      <c r="U201" s="312"/>
      <c r="V201" s="313"/>
      <c r="W201" s="587">
        <f>'A-CALC'!V187</f>
        <v>0</v>
      </c>
      <c r="X201" s="590">
        <f>'A-CALC'!W187</f>
        <v>0</v>
      </c>
      <c r="Y201" s="590">
        <f>'A-CALC'!X187</f>
        <v>0</v>
      </c>
      <c r="Z201" s="593">
        <f t="shared" ref="Z201" si="145">ROUND((40/$Y$7)*W201,0)</f>
        <v>0</v>
      </c>
      <c r="AA201" s="301"/>
      <c r="AB201" s="583">
        <v>27</v>
      </c>
      <c r="AC201" s="584" t="str">
        <f t="shared" si="109"/>
        <v>બતાડા જાનકી વાલાભાઇ</v>
      </c>
      <c r="AD201" s="311"/>
      <c r="AE201" s="312"/>
      <c r="AF201" s="312"/>
      <c r="AG201" s="312"/>
      <c r="AH201" s="312"/>
      <c r="AI201" s="312"/>
      <c r="AJ201" s="312"/>
      <c r="AK201" s="312"/>
      <c r="AL201" s="312"/>
      <c r="AM201" s="312"/>
      <c r="AN201" s="312"/>
      <c r="AO201" s="312"/>
      <c r="AP201" s="312"/>
      <c r="AQ201" s="312"/>
      <c r="AR201" s="312"/>
      <c r="AS201" s="312"/>
      <c r="AT201" s="312"/>
      <c r="AU201" s="312"/>
      <c r="AV201" s="312"/>
      <c r="AW201" s="313"/>
      <c r="AX201" s="587">
        <f>'A-CALC'!AU187</f>
        <v>0</v>
      </c>
      <c r="AY201" s="590">
        <f>'A-CALC'!AV187</f>
        <v>0</v>
      </c>
      <c r="AZ201" s="590">
        <f>'A-CALC'!AW187</f>
        <v>0</v>
      </c>
      <c r="BA201" s="593">
        <f t="shared" ref="BA201" si="146">ROUND((40/$Y$7)*AX201,0)</f>
        <v>0</v>
      </c>
      <c r="BB201" s="301"/>
    </row>
    <row r="202" spans="1:54" ht="9" customHeight="1">
      <c r="A202" s="583"/>
      <c r="B202" s="585"/>
      <c r="C202" s="314"/>
      <c r="D202" s="315"/>
      <c r="E202" s="315"/>
      <c r="F202" s="315"/>
      <c r="G202" s="315"/>
      <c r="H202" s="315"/>
      <c r="I202" s="315"/>
      <c r="J202" s="315"/>
      <c r="K202" s="315"/>
      <c r="L202" s="315"/>
      <c r="M202" s="315"/>
      <c r="N202" s="315"/>
      <c r="O202" s="315"/>
      <c r="P202" s="315"/>
      <c r="Q202" s="315"/>
      <c r="R202" s="315"/>
      <c r="S202" s="315"/>
      <c r="T202" s="315"/>
      <c r="U202" s="315"/>
      <c r="V202" s="316"/>
      <c r="W202" s="588"/>
      <c r="X202" s="591"/>
      <c r="Y202" s="591"/>
      <c r="Z202" s="594"/>
      <c r="AA202" s="301"/>
      <c r="AB202" s="583"/>
      <c r="AC202" s="585"/>
      <c r="AD202" s="314"/>
      <c r="AE202" s="315"/>
      <c r="AF202" s="315"/>
      <c r="AG202" s="315"/>
      <c r="AH202" s="315"/>
      <c r="AI202" s="315"/>
      <c r="AJ202" s="315"/>
      <c r="AK202" s="315"/>
      <c r="AL202" s="315"/>
      <c r="AM202" s="315"/>
      <c r="AN202" s="315"/>
      <c r="AO202" s="315"/>
      <c r="AP202" s="315"/>
      <c r="AQ202" s="315"/>
      <c r="AR202" s="315"/>
      <c r="AS202" s="315"/>
      <c r="AT202" s="315"/>
      <c r="AU202" s="315"/>
      <c r="AV202" s="315"/>
      <c r="AW202" s="316"/>
      <c r="AX202" s="588"/>
      <c r="AY202" s="591"/>
      <c r="AZ202" s="591"/>
      <c r="BA202" s="594"/>
      <c r="BB202" s="301"/>
    </row>
    <row r="203" spans="1:54" s="295" customFormat="1" ht="9" customHeight="1">
      <c r="A203" s="583"/>
      <c r="B203" s="586"/>
      <c r="C203" s="317"/>
      <c r="D203" s="318"/>
      <c r="E203" s="318"/>
      <c r="F203" s="318"/>
      <c r="G203" s="318"/>
      <c r="H203" s="318"/>
      <c r="I203" s="318"/>
      <c r="J203" s="318"/>
      <c r="K203" s="318"/>
      <c r="L203" s="318"/>
      <c r="M203" s="318"/>
      <c r="N203" s="318"/>
      <c r="O203" s="318"/>
      <c r="P203" s="318"/>
      <c r="Q203" s="318"/>
      <c r="R203" s="318"/>
      <c r="S203" s="318"/>
      <c r="T203" s="318"/>
      <c r="U203" s="318"/>
      <c r="V203" s="319"/>
      <c r="W203" s="589"/>
      <c r="X203" s="592"/>
      <c r="Y203" s="592"/>
      <c r="Z203" s="608"/>
      <c r="AA203" s="301"/>
      <c r="AB203" s="583"/>
      <c r="AC203" s="586"/>
      <c r="AD203" s="317"/>
      <c r="AE203" s="318"/>
      <c r="AF203" s="318"/>
      <c r="AG203" s="318"/>
      <c r="AH203" s="318"/>
      <c r="AI203" s="318"/>
      <c r="AJ203" s="318"/>
      <c r="AK203" s="318"/>
      <c r="AL203" s="318"/>
      <c r="AM203" s="318"/>
      <c r="AN203" s="318"/>
      <c r="AO203" s="318"/>
      <c r="AP203" s="318"/>
      <c r="AQ203" s="318"/>
      <c r="AR203" s="318"/>
      <c r="AS203" s="318"/>
      <c r="AT203" s="318"/>
      <c r="AU203" s="318"/>
      <c r="AV203" s="318"/>
      <c r="AW203" s="319"/>
      <c r="AX203" s="589"/>
      <c r="AY203" s="592"/>
      <c r="AZ203" s="592"/>
      <c r="BA203" s="608"/>
      <c r="BB203" s="321"/>
    </row>
    <row r="204" spans="1:54" ht="9" customHeight="1">
      <c r="A204" s="583">
        <v>28</v>
      </c>
      <c r="B204" s="584" t="str">
        <f t="shared" si="107"/>
        <v>બતાડા ક્રિષ્નાબેન દેવશીભાઇ</v>
      </c>
      <c r="C204" s="311"/>
      <c r="D204" s="312"/>
      <c r="E204" s="312"/>
      <c r="F204" s="312"/>
      <c r="G204" s="312"/>
      <c r="H204" s="312"/>
      <c r="I204" s="312"/>
      <c r="J204" s="312"/>
      <c r="K204" s="312"/>
      <c r="L204" s="312"/>
      <c r="M204" s="312"/>
      <c r="N204" s="312"/>
      <c r="O204" s="312"/>
      <c r="P204" s="312"/>
      <c r="Q204" s="312"/>
      <c r="R204" s="312"/>
      <c r="S204" s="312"/>
      <c r="T204" s="312"/>
      <c r="U204" s="312"/>
      <c r="V204" s="313"/>
      <c r="W204" s="587">
        <f>'A-CALC'!V190</f>
        <v>0</v>
      </c>
      <c r="X204" s="590">
        <f>'A-CALC'!W190</f>
        <v>0</v>
      </c>
      <c r="Y204" s="590">
        <f>'A-CALC'!X190</f>
        <v>0</v>
      </c>
      <c r="Z204" s="593">
        <f t="shared" ref="Z204" si="147">ROUND((40/$Y$7)*W204,0)</f>
        <v>0</v>
      </c>
      <c r="AA204" s="301"/>
      <c r="AB204" s="583">
        <v>28</v>
      </c>
      <c r="AC204" s="584" t="str">
        <f t="shared" si="109"/>
        <v>બતાડા ક્રિષ્નાબેન દેવશીભાઇ</v>
      </c>
      <c r="AD204" s="311"/>
      <c r="AE204" s="312"/>
      <c r="AF204" s="312"/>
      <c r="AG204" s="312"/>
      <c r="AH204" s="312"/>
      <c r="AI204" s="312"/>
      <c r="AJ204" s="312"/>
      <c r="AK204" s="312"/>
      <c r="AL204" s="312"/>
      <c r="AM204" s="312"/>
      <c r="AN204" s="312"/>
      <c r="AO204" s="312"/>
      <c r="AP204" s="312"/>
      <c r="AQ204" s="312"/>
      <c r="AR204" s="312"/>
      <c r="AS204" s="312"/>
      <c r="AT204" s="312"/>
      <c r="AU204" s="312"/>
      <c r="AV204" s="312"/>
      <c r="AW204" s="313"/>
      <c r="AX204" s="587">
        <f>'A-CALC'!AU190</f>
        <v>0</v>
      </c>
      <c r="AY204" s="590">
        <f>'A-CALC'!AV190</f>
        <v>0</v>
      </c>
      <c r="AZ204" s="590">
        <f>'A-CALC'!AW190</f>
        <v>0</v>
      </c>
      <c r="BA204" s="593">
        <f t="shared" ref="BA204" si="148">ROUND((40/$Y$7)*AX204,0)</f>
        <v>0</v>
      </c>
      <c r="BB204" s="301"/>
    </row>
    <row r="205" spans="1:54" ht="9" customHeight="1">
      <c r="A205" s="583"/>
      <c r="B205" s="585"/>
      <c r="C205" s="314"/>
      <c r="D205" s="315"/>
      <c r="E205" s="315"/>
      <c r="F205" s="315"/>
      <c r="G205" s="315"/>
      <c r="H205" s="315"/>
      <c r="I205" s="315"/>
      <c r="J205" s="315"/>
      <c r="K205" s="315"/>
      <c r="L205" s="315"/>
      <c r="M205" s="315"/>
      <c r="N205" s="315"/>
      <c r="O205" s="315"/>
      <c r="P205" s="315"/>
      <c r="Q205" s="315"/>
      <c r="R205" s="315"/>
      <c r="S205" s="315"/>
      <c r="T205" s="315"/>
      <c r="U205" s="315"/>
      <c r="V205" s="316"/>
      <c r="W205" s="588"/>
      <c r="X205" s="591"/>
      <c r="Y205" s="591"/>
      <c r="Z205" s="594"/>
      <c r="AA205" s="301"/>
      <c r="AB205" s="583"/>
      <c r="AC205" s="585"/>
      <c r="AD205" s="314"/>
      <c r="AE205" s="315"/>
      <c r="AF205" s="315"/>
      <c r="AG205" s="315"/>
      <c r="AH205" s="315"/>
      <c r="AI205" s="315"/>
      <c r="AJ205" s="315"/>
      <c r="AK205" s="315"/>
      <c r="AL205" s="315"/>
      <c r="AM205" s="315"/>
      <c r="AN205" s="315"/>
      <c r="AO205" s="315"/>
      <c r="AP205" s="315"/>
      <c r="AQ205" s="315"/>
      <c r="AR205" s="315"/>
      <c r="AS205" s="315"/>
      <c r="AT205" s="315"/>
      <c r="AU205" s="315"/>
      <c r="AV205" s="315"/>
      <c r="AW205" s="316"/>
      <c r="AX205" s="588"/>
      <c r="AY205" s="591"/>
      <c r="AZ205" s="591"/>
      <c r="BA205" s="594"/>
      <c r="BB205" s="301"/>
    </row>
    <row r="206" spans="1:54" ht="9" customHeight="1">
      <c r="A206" s="583"/>
      <c r="B206" s="586"/>
      <c r="C206" s="317"/>
      <c r="D206" s="318"/>
      <c r="E206" s="318"/>
      <c r="F206" s="318"/>
      <c r="G206" s="318"/>
      <c r="H206" s="318"/>
      <c r="I206" s="318"/>
      <c r="J206" s="318"/>
      <c r="K206" s="318"/>
      <c r="L206" s="318"/>
      <c r="M206" s="318"/>
      <c r="N206" s="318"/>
      <c r="O206" s="318"/>
      <c r="P206" s="318"/>
      <c r="Q206" s="318"/>
      <c r="R206" s="318"/>
      <c r="S206" s="318"/>
      <c r="T206" s="318"/>
      <c r="U206" s="318"/>
      <c r="V206" s="319"/>
      <c r="W206" s="589"/>
      <c r="X206" s="592"/>
      <c r="Y206" s="592"/>
      <c r="Z206" s="608"/>
      <c r="AA206" s="301"/>
      <c r="AB206" s="583"/>
      <c r="AC206" s="586"/>
      <c r="AD206" s="317"/>
      <c r="AE206" s="318"/>
      <c r="AF206" s="318"/>
      <c r="AG206" s="318"/>
      <c r="AH206" s="318"/>
      <c r="AI206" s="318"/>
      <c r="AJ206" s="318"/>
      <c r="AK206" s="318"/>
      <c r="AL206" s="318"/>
      <c r="AM206" s="318"/>
      <c r="AN206" s="318"/>
      <c r="AO206" s="318"/>
      <c r="AP206" s="318"/>
      <c r="AQ206" s="318"/>
      <c r="AR206" s="318"/>
      <c r="AS206" s="318"/>
      <c r="AT206" s="318"/>
      <c r="AU206" s="318"/>
      <c r="AV206" s="318"/>
      <c r="AW206" s="319"/>
      <c r="AX206" s="589"/>
      <c r="AY206" s="592"/>
      <c r="AZ206" s="592"/>
      <c r="BA206" s="608"/>
      <c r="BB206" s="301"/>
    </row>
    <row r="207" spans="1:54" ht="9" customHeight="1">
      <c r="A207" s="583">
        <v>29</v>
      </c>
      <c r="B207" s="584" t="str">
        <f t="shared" si="107"/>
        <v>પરમાર અનિષા રમેશભાઇ</v>
      </c>
      <c r="C207" s="311"/>
      <c r="D207" s="312"/>
      <c r="E207" s="312"/>
      <c r="F207" s="312"/>
      <c r="G207" s="312"/>
      <c r="H207" s="312"/>
      <c r="I207" s="312"/>
      <c r="J207" s="312"/>
      <c r="K207" s="312"/>
      <c r="L207" s="312"/>
      <c r="M207" s="312"/>
      <c r="N207" s="312"/>
      <c r="O207" s="312"/>
      <c r="P207" s="312"/>
      <c r="Q207" s="312"/>
      <c r="R207" s="312"/>
      <c r="S207" s="312"/>
      <c r="T207" s="312"/>
      <c r="U207" s="312"/>
      <c r="V207" s="313"/>
      <c r="W207" s="587">
        <f>'A-CALC'!V193</f>
        <v>0</v>
      </c>
      <c r="X207" s="590">
        <f>'A-CALC'!W193</f>
        <v>0</v>
      </c>
      <c r="Y207" s="590">
        <f>'A-CALC'!X193</f>
        <v>0</v>
      </c>
      <c r="Z207" s="593">
        <f t="shared" ref="Z207" si="149">ROUND((40/$Y$7)*W207,0)</f>
        <v>0</v>
      </c>
      <c r="AA207" s="301"/>
      <c r="AB207" s="583">
        <v>29</v>
      </c>
      <c r="AC207" s="584" t="str">
        <f t="shared" si="109"/>
        <v>પરમાર અનિષા રમેશભાઇ</v>
      </c>
      <c r="AD207" s="311"/>
      <c r="AE207" s="312"/>
      <c r="AF207" s="312"/>
      <c r="AG207" s="312"/>
      <c r="AH207" s="312"/>
      <c r="AI207" s="312"/>
      <c r="AJ207" s="312"/>
      <c r="AK207" s="312"/>
      <c r="AL207" s="312"/>
      <c r="AM207" s="312"/>
      <c r="AN207" s="312"/>
      <c r="AO207" s="312"/>
      <c r="AP207" s="312"/>
      <c r="AQ207" s="312"/>
      <c r="AR207" s="312"/>
      <c r="AS207" s="312"/>
      <c r="AT207" s="312"/>
      <c r="AU207" s="312"/>
      <c r="AV207" s="312"/>
      <c r="AW207" s="313"/>
      <c r="AX207" s="587">
        <f>'A-CALC'!AU193</f>
        <v>0</v>
      </c>
      <c r="AY207" s="590">
        <f>'A-CALC'!AV193</f>
        <v>0</v>
      </c>
      <c r="AZ207" s="590">
        <f>'A-CALC'!AW193</f>
        <v>0</v>
      </c>
      <c r="BA207" s="593">
        <f t="shared" ref="BA207" si="150">ROUND((40/$Y$7)*AX207,0)</f>
        <v>0</v>
      </c>
      <c r="BB207" s="301"/>
    </row>
    <row r="208" spans="1:54" ht="9" customHeight="1">
      <c r="A208" s="583"/>
      <c r="B208" s="585"/>
      <c r="C208" s="314"/>
      <c r="D208" s="315"/>
      <c r="E208" s="315"/>
      <c r="F208" s="315"/>
      <c r="G208" s="315"/>
      <c r="H208" s="315"/>
      <c r="I208" s="315"/>
      <c r="J208" s="315"/>
      <c r="K208" s="315"/>
      <c r="L208" s="315"/>
      <c r="M208" s="315"/>
      <c r="N208" s="315"/>
      <c r="O208" s="315"/>
      <c r="P208" s="315"/>
      <c r="Q208" s="315"/>
      <c r="R208" s="315"/>
      <c r="S208" s="315"/>
      <c r="T208" s="315"/>
      <c r="U208" s="315"/>
      <c r="V208" s="316"/>
      <c r="W208" s="588"/>
      <c r="X208" s="591"/>
      <c r="Y208" s="591"/>
      <c r="Z208" s="594"/>
      <c r="AA208" s="301"/>
      <c r="AB208" s="583"/>
      <c r="AC208" s="585"/>
      <c r="AD208" s="314"/>
      <c r="AE208" s="315"/>
      <c r="AF208" s="315"/>
      <c r="AG208" s="315"/>
      <c r="AH208" s="315"/>
      <c r="AI208" s="315"/>
      <c r="AJ208" s="315"/>
      <c r="AK208" s="315"/>
      <c r="AL208" s="315"/>
      <c r="AM208" s="315"/>
      <c r="AN208" s="315"/>
      <c r="AO208" s="315"/>
      <c r="AP208" s="315"/>
      <c r="AQ208" s="315"/>
      <c r="AR208" s="315"/>
      <c r="AS208" s="315"/>
      <c r="AT208" s="315"/>
      <c r="AU208" s="315"/>
      <c r="AV208" s="315"/>
      <c r="AW208" s="316"/>
      <c r="AX208" s="588"/>
      <c r="AY208" s="591"/>
      <c r="AZ208" s="591"/>
      <c r="BA208" s="594"/>
      <c r="BB208" s="301"/>
    </row>
    <row r="209" spans="1:54" ht="9" customHeight="1">
      <c r="A209" s="583"/>
      <c r="B209" s="586"/>
      <c r="C209" s="317"/>
      <c r="D209" s="318"/>
      <c r="E209" s="318"/>
      <c r="F209" s="318"/>
      <c r="G209" s="318"/>
      <c r="H209" s="318"/>
      <c r="I209" s="318"/>
      <c r="J209" s="318"/>
      <c r="K209" s="318"/>
      <c r="L209" s="318"/>
      <c r="M209" s="318"/>
      <c r="N209" s="318"/>
      <c r="O209" s="318"/>
      <c r="P209" s="318"/>
      <c r="Q209" s="318"/>
      <c r="R209" s="318"/>
      <c r="S209" s="318"/>
      <c r="T209" s="318"/>
      <c r="U209" s="318"/>
      <c r="V209" s="319"/>
      <c r="W209" s="589"/>
      <c r="X209" s="592"/>
      <c r="Y209" s="592"/>
      <c r="Z209" s="608"/>
      <c r="AA209" s="301"/>
      <c r="AB209" s="583"/>
      <c r="AC209" s="586"/>
      <c r="AD209" s="317"/>
      <c r="AE209" s="318"/>
      <c r="AF209" s="318"/>
      <c r="AG209" s="318"/>
      <c r="AH209" s="318"/>
      <c r="AI209" s="318"/>
      <c r="AJ209" s="318"/>
      <c r="AK209" s="318"/>
      <c r="AL209" s="318"/>
      <c r="AM209" s="318"/>
      <c r="AN209" s="318"/>
      <c r="AO209" s="318"/>
      <c r="AP209" s="318"/>
      <c r="AQ209" s="318"/>
      <c r="AR209" s="318"/>
      <c r="AS209" s="318"/>
      <c r="AT209" s="318"/>
      <c r="AU209" s="318"/>
      <c r="AV209" s="318"/>
      <c r="AW209" s="319"/>
      <c r="AX209" s="589"/>
      <c r="AY209" s="592"/>
      <c r="AZ209" s="592"/>
      <c r="BA209" s="608"/>
      <c r="BB209" s="301"/>
    </row>
    <row r="210" spans="1:54" ht="9" customHeight="1">
      <c r="A210" s="583">
        <v>30</v>
      </c>
      <c r="B210" s="584" t="str">
        <f t="shared" ref="B210:B225" si="151">B98</f>
        <v>મકરૂબિયા નમ્રતા વશરામભાઇ</v>
      </c>
      <c r="C210" s="311"/>
      <c r="D210" s="312"/>
      <c r="E210" s="312"/>
      <c r="F210" s="312"/>
      <c r="G210" s="312"/>
      <c r="H210" s="312"/>
      <c r="I210" s="312"/>
      <c r="J210" s="312"/>
      <c r="K210" s="312"/>
      <c r="L210" s="312"/>
      <c r="M210" s="312"/>
      <c r="N210" s="312"/>
      <c r="O210" s="312"/>
      <c r="P210" s="312"/>
      <c r="Q210" s="312"/>
      <c r="R210" s="312"/>
      <c r="S210" s="312"/>
      <c r="T210" s="312"/>
      <c r="U210" s="312"/>
      <c r="V210" s="313"/>
      <c r="W210" s="587">
        <f>'A-CALC'!V196</f>
        <v>0</v>
      </c>
      <c r="X210" s="590">
        <f>'A-CALC'!W196</f>
        <v>0</v>
      </c>
      <c r="Y210" s="590">
        <f>'A-CALC'!X196</f>
        <v>0</v>
      </c>
      <c r="Z210" s="593">
        <f t="shared" ref="Z210" si="152">ROUND((40/$Y$7)*W210,0)</f>
        <v>0</v>
      </c>
      <c r="AA210" s="301"/>
      <c r="AB210" s="583">
        <v>30</v>
      </c>
      <c r="AC210" s="584" t="str">
        <f t="shared" ref="AC210:AC225" si="153">AC98</f>
        <v>મકરૂબિયા નમ્રતા વશરામભાઇ</v>
      </c>
      <c r="AD210" s="311"/>
      <c r="AE210" s="312"/>
      <c r="AF210" s="312"/>
      <c r="AG210" s="312"/>
      <c r="AH210" s="312"/>
      <c r="AI210" s="312"/>
      <c r="AJ210" s="312"/>
      <c r="AK210" s="312"/>
      <c r="AL210" s="312"/>
      <c r="AM210" s="312"/>
      <c r="AN210" s="312"/>
      <c r="AO210" s="312"/>
      <c r="AP210" s="312"/>
      <c r="AQ210" s="312"/>
      <c r="AR210" s="312"/>
      <c r="AS210" s="312"/>
      <c r="AT210" s="312"/>
      <c r="AU210" s="312"/>
      <c r="AV210" s="312"/>
      <c r="AW210" s="313"/>
      <c r="AX210" s="587">
        <f>'A-CALC'!AU196</f>
        <v>0</v>
      </c>
      <c r="AY210" s="590">
        <f>'A-CALC'!AV196</f>
        <v>0</v>
      </c>
      <c r="AZ210" s="590">
        <f>'A-CALC'!AW196</f>
        <v>0</v>
      </c>
      <c r="BA210" s="593">
        <f t="shared" ref="BA210" si="154">ROUND((40/$Y$7)*AX210,0)</f>
        <v>0</v>
      </c>
      <c r="BB210" s="301"/>
    </row>
    <row r="211" spans="1:54" ht="9" customHeight="1">
      <c r="A211" s="583"/>
      <c r="B211" s="585"/>
      <c r="C211" s="314"/>
      <c r="D211" s="315"/>
      <c r="E211" s="315"/>
      <c r="F211" s="315"/>
      <c r="G211" s="315"/>
      <c r="H211" s="315"/>
      <c r="I211" s="315"/>
      <c r="J211" s="315"/>
      <c r="K211" s="315"/>
      <c r="L211" s="315"/>
      <c r="M211" s="315"/>
      <c r="N211" s="315"/>
      <c r="O211" s="315"/>
      <c r="P211" s="315"/>
      <c r="Q211" s="315"/>
      <c r="R211" s="315"/>
      <c r="S211" s="315"/>
      <c r="T211" s="315"/>
      <c r="U211" s="315"/>
      <c r="V211" s="316"/>
      <c r="W211" s="588"/>
      <c r="X211" s="591"/>
      <c r="Y211" s="591"/>
      <c r="Z211" s="594"/>
      <c r="AA211" s="301"/>
      <c r="AB211" s="583"/>
      <c r="AC211" s="585"/>
      <c r="AD211" s="314"/>
      <c r="AE211" s="315"/>
      <c r="AF211" s="315"/>
      <c r="AG211" s="315"/>
      <c r="AH211" s="315"/>
      <c r="AI211" s="315"/>
      <c r="AJ211" s="315"/>
      <c r="AK211" s="315"/>
      <c r="AL211" s="315"/>
      <c r="AM211" s="315"/>
      <c r="AN211" s="315"/>
      <c r="AO211" s="315"/>
      <c r="AP211" s="315"/>
      <c r="AQ211" s="315"/>
      <c r="AR211" s="315"/>
      <c r="AS211" s="315"/>
      <c r="AT211" s="315"/>
      <c r="AU211" s="315"/>
      <c r="AV211" s="315"/>
      <c r="AW211" s="316"/>
      <c r="AX211" s="588"/>
      <c r="AY211" s="591"/>
      <c r="AZ211" s="591"/>
      <c r="BA211" s="594"/>
      <c r="BB211" s="301"/>
    </row>
    <row r="212" spans="1:54" ht="9" customHeight="1">
      <c r="A212" s="583"/>
      <c r="B212" s="586"/>
      <c r="C212" s="317"/>
      <c r="D212" s="318"/>
      <c r="E212" s="318"/>
      <c r="F212" s="318"/>
      <c r="G212" s="318"/>
      <c r="H212" s="318"/>
      <c r="I212" s="318"/>
      <c r="J212" s="318"/>
      <c r="K212" s="318"/>
      <c r="L212" s="318"/>
      <c r="M212" s="318"/>
      <c r="N212" s="318"/>
      <c r="O212" s="318"/>
      <c r="P212" s="318"/>
      <c r="Q212" s="318"/>
      <c r="R212" s="318"/>
      <c r="S212" s="318"/>
      <c r="T212" s="318"/>
      <c r="U212" s="318"/>
      <c r="V212" s="319"/>
      <c r="W212" s="589"/>
      <c r="X212" s="592"/>
      <c r="Y212" s="592"/>
      <c r="Z212" s="608"/>
      <c r="AA212" s="301"/>
      <c r="AB212" s="583"/>
      <c r="AC212" s="586"/>
      <c r="AD212" s="317"/>
      <c r="AE212" s="318"/>
      <c r="AF212" s="318"/>
      <c r="AG212" s="318"/>
      <c r="AH212" s="318"/>
      <c r="AI212" s="318"/>
      <c r="AJ212" s="318"/>
      <c r="AK212" s="318"/>
      <c r="AL212" s="318"/>
      <c r="AM212" s="318"/>
      <c r="AN212" s="318"/>
      <c r="AO212" s="318"/>
      <c r="AP212" s="318"/>
      <c r="AQ212" s="318"/>
      <c r="AR212" s="318"/>
      <c r="AS212" s="318"/>
      <c r="AT212" s="318"/>
      <c r="AU212" s="318"/>
      <c r="AV212" s="318"/>
      <c r="AW212" s="319"/>
      <c r="AX212" s="589"/>
      <c r="AY212" s="592"/>
      <c r="AZ212" s="592"/>
      <c r="BA212" s="608"/>
      <c r="BB212" s="301"/>
    </row>
    <row r="213" spans="1:54" ht="9" customHeight="1">
      <c r="A213" s="583">
        <v>31</v>
      </c>
      <c r="B213" s="584">
        <f t="shared" si="151"/>
        <v>0</v>
      </c>
      <c r="C213" s="311"/>
      <c r="D213" s="312"/>
      <c r="E213" s="312"/>
      <c r="F213" s="312"/>
      <c r="G213" s="312"/>
      <c r="H213" s="312"/>
      <c r="I213" s="312"/>
      <c r="J213" s="312"/>
      <c r="K213" s="312"/>
      <c r="L213" s="312"/>
      <c r="M213" s="312"/>
      <c r="N213" s="312"/>
      <c r="O213" s="312"/>
      <c r="P213" s="312"/>
      <c r="Q213" s="312"/>
      <c r="R213" s="312"/>
      <c r="S213" s="312"/>
      <c r="T213" s="312"/>
      <c r="U213" s="312"/>
      <c r="V213" s="313"/>
      <c r="W213" s="587">
        <f>'A-CALC'!V199</f>
        <v>0</v>
      </c>
      <c r="X213" s="590">
        <f>'A-CALC'!W199</f>
        <v>0</v>
      </c>
      <c r="Y213" s="590">
        <f>'A-CALC'!X199</f>
        <v>0</v>
      </c>
      <c r="Z213" s="593">
        <f t="shared" ref="Z213" si="155">ROUND((40/$Y$7)*W213,0)</f>
        <v>0</v>
      </c>
      <c r="AA213" s="301"/>
      <c r="AB213" s="583">
        <v>31</v>
      </c>
      <c r="AC213" s="584">
        <f t="shared" si="153"/>
        <v>0</v>
      </c>
      <c r="AD213" s="311"/>
      <c r="AE213" s="312"/>
      <c r="AF213" s="312"/>
      <c r="AG213" s="312"/>
      <c r="AH213" s="312"/>
      <c r="AI213" s="312"/>
      <c r="AJ213" s="312"/>
      <c r="AK213" s="312"/>
      <c r="AL213" s="312"/>
      <c r="AM213" s="312"/>
      <c r="AN213" s="312"/>
      <c r="AO213" s="312"/>
      <c r="AP213" s="312"/>
      <c r="AQ213" s="312"/>
      <c r="AR213" s="312"/>
      <c r="AS213" s="312"/>
      <c r="AT213" s="312"/>
      <c r="AU213" s="312"/>
      <c r="AV213" s="312"/>
      <c r="AW213" s="313"/>
      <c r="AX213" s="587">
        <f>'A-CALC'!AU199</f>
        <v>0</v>
      </c>
      <c r="AY213" s="590">
        <f>'A-CALC'!AV199</f>
        <v>0</v>
      </c>
      <c r="AZ213" s="590">
        <f>'A-CALC'!AW199</f>
        <v>0</v>
      </c>
      <c r="BA213" s="593">
        <f t="shared" ref="BA213" si="156">ROUND((40/$Y$7)*AX213,0)</f>
        <v>0</v>
      </c>
      <c r="BB213" s="301"/>
    </row>
    <row r="214" spans="1:54" ht="9" customHeight="1">
      <c r="A214" s="583"/>
      <c r="B214" s="585"/>
      <c r="C214" s="314"/>
      <c r="D214" s="315"/>
      <c r="E214" s="315"/>
      <c r="F214" s="315"/>
      <c r="G214" s="315"/>
      <c r="H214" s="315"/>
      <c r="I214" s="315"/>
      <c r="J214" s="315"/>
      <c r="K214" s="315"/>
      <c r="L214" s="315"/>
      <c r="M214" s="315"/>
      <c r="N214" s="315"/>
      <c r="O214" s="315"/>
      <c r="P214" s="315"/>
      <c r="Q214" s="315"/>
      <c r="R214" s="315"/>
      <c r="S214" s="315"/>
      <c r="T214" s="315"/>
      <c r="U214" s="315"/>
      <c r="V214" s="316"/>
      <c r="W214" s="588"/>
      <c r="X214" s="591"/>
      <c r="Y214" s="591"/>
      <c r="Z214" s="594"/>
      <c r="AA214" s="301"/>
      <c r="AB214" s="583"/>
      <c r="AC214" s="585"/>
      <c r="AD214" s="314"/>
      <c r="AE214" s="315"/>
      <c r="AF214" s="315"/>
      <c r="AG214" s="315"/>
      <c r="AH214" s="315"/>
      <c r="AI214" s="315"/>
      <c r="AJ214" s="315"/>
      <c r="AK214" s="315"/>
      <c r="AL214" s="315"/>
      <c r="AM214" s="315"/>
      <c r="AN214" s="315"/>
      <c r="AO214" s="315"/>
      <c r="AP214" s="315"/>
      <c r="AQ214" s="315"/>
      <c r="AR214" s="315"/>
      <c r="AS214" s="315"/>
      <c r="AT214" s="315"/>
      <c r="AU214" s="315"/>
      <c r="AV214" s="315"/>
      <c r="AW214" s="316"/>
      <c r="AX214" s="588"/>
      <c r="AY214" s="591"/>
      <c r="AZ214" s="591"/>
      <c r="BA214" s="594"/>
      <c r="BB214" s="301"/>
    </row>
    <row r="215" spans="1:54" ht="9" customHeight="1">
      <c r="A215" s="583"/>
      <c r="B215" s="586"/>
      <c r="C215" s="317"/>
      <c r="D215" s="318"/>
      <c r="E215" s="318"/>
      <c r="F215" s="318"/>
      <c r="G215" s="318"/>
      <c r="H215" s="318"/>
      <c r="I215" s="318"/>
      <c r="J215" s="318"/>
      <c r="K215" s="318"/>
      <c r="L215" s="318"/>
      <c r="M215" s="318"/>
      <c r="N215" s="318"/>
      <c r="O215" s="318"/>
      <c r="P215" s="318"/>
      <c r="Q215" s="318"/>
      <c r="R215" s="318"/>
      <c r="S215" s="318"/>
      <c r="T215" s="318"/>
      <c r="U215" s="318"/>
      <c r="V215" s="319"/>
      <c r="W215" s="589"/>
      <c r="X215" s="592"/>
      <c r="Y215" s="592"/>
      <c r="Z215" s="608"/>
      <c r="AA215" s="301"/>
      <c r="AB215" s="583"/>
      <c r="AC215" s="586"/>
      <c r="AD215" s="317"/>
      <c r="AE215" s="318"/>
      <c r="AF215" s="318"/>
      <c r="AG215" s="318"/>
      <c r="AH215" s="318"/>
      <c r="AI215" s="318"/>
      <c r="AJ215" s="318"/>
      <c r="AK215" s="318"/>
      <c r="AL215" s="318"/>
      <c r="AM215" s="318"/>
      <c r="AN215" s="318"/>
      <c r="AO215" s="318"/>
      <c r="AP215" s="318"/>
      <c r="AQ215" s="318"/>
      <c r="AR215" s="318"/>
      <c r="AS215" s="318"/>
      <c r="AT215" s="318"/>
      <c r="AU215" s="318"/>
      <c r="AV215" s="318"/>
      <c r="AW215" s="319"/>
      <c r="AX215" s="589"/>
      <c r="AY215" s="592"/>
      <c r="AZ215" s="592"/>
      <c r="BA215" s="608"/>
      <c r="BB215" s="301"/>
    </row>
    <row r="216" spans="1:54" ht="9" customHeight="1">
      <c r="A216" s="583">
        <v>32</v>
      </c>
      <c r="B216" s="584">
        <f t="shared" si="151"/>
        <v>0</v>
      </c>
      <c r="C216" s="311"/>
      <c r="D216" s="312"/>
      <c r="E216" s="312"/>
      <c r="F216" s="312"/>
      <c r="G216" s="312"/>
      <c r="H216" s="312"/>
      <c r="I216" s="312"/>
      <c r="J216" s="312"/>
      <c r="K216" s="312"/>
      <c r="L216" s="312"/>
      <c r="M216" s="312"/>
      <c r="N216" s="312"/>
      <c r="O216" s="312"/>
      <c r="P216" s="312"/>
      <c r="Q216" s="312"/>
      <c r="R216" s="312"/>
      <c r="S216" s="312"/>
      <c r="T216" s="312"/>
      <c r="U216" s="312"/>
      <c r="V216" s="313"/>
      <c r="W216" s="587">
        <f>'A-CALC'!V202</f>
        <v>0</v>
      </c>
      <c r="X216" s="590">
        <f>'A-CALC'!W202</f>
        <v>0</v>
      </c>
      <c r="Y216" s="590">
        <f>'A-CALC'!X202</f>
        <v>0</v>
      </c>
      <c r="Z216" s="593">
        <f t="shared" ref="Z216" si="157">ROUND((40/$Y$7)*W216,0)</f>
        <v>0</v>
      </c>
      <c r="AA216" s="301"/>
      <c r="AB216" s="583">
        <v>32</v>
      </c>
      <c r="AC216" s="584">
        <f t="shared" si="153"/>
        <v>0</v>
      </c>
      <c r="AD216" s="311"/>
      <c r="AE216" s="312"/>
      <c r="AF216" s="312"/>
      <c r="AG216" s="312"/>
      <c r="AH216" s="312"/>
      <c r="AI216" s="312"/>
      <c r="AJ216" s="312"/>
      <c r="AK216" s="312"/>
      <c r="AL216" s="312"/>
      <c r="AM216" s="312"/>
      <c r="AN216" s="312"/>
      <c r="AO216" s="312"/>
      <c r="AP216" s="312"/>
      <c r="AQ216" s="312"/>
      <c r="AR216" s="312"/>
      <c r="AS216" s="312"/>
      <c r="AT216" s="312"/>
      <c r="AU216" s="312"/>
      <c r="AV216" s="312"/>
      <c r="AW216" s="313"/>
      <c r="AX216" s="587">
        <f>'A-CALC'!AU202</f>
        <v>0</v>
      </c>
      <c r="AY216" s="590">
        <f>'A-CALC'!AV202</f>
        <v>0</v>
      </c>
      <c r="AZ216" s="590">
        <f>'A-CALC'!AW202</f>
        <v>0</v>
      </c>
      <c r="BA216" s="593">
        <f t="shared" ref="BA216" si="158">ROUND((40/$Y$7)*AX216,0)</f>
        <v>0</v>
      </c>
      <c r="BB216" s="301"/>
    </row>
    <row r="217" spans="1:54" ht="9" customHeight="1">
      <c r="A217" s="583"/>
      <c r="B217" s="585"/>
      <c r="C217" s="314"/>
      <c r="D217" s="315"/>
      <c r="E217" s="315"/>
      <c r="F217" s="315"/>
      <c r="G217" s="315"/>
      <c r="H217" s="315"/>
      <c r="I217" s="315"/>
      <c r="J217" s="315"/>
      <c r="K217" s="315"/>
      <c r="L217" s="315"/>
      <c r="M217" s="315"/>
      <c r="N217" s="315"/>
      <c r="O217" s="315"/>
      <c r="P217" s="315"/>
      <c r="Q217" s="315"/>
      <c r="R217" s="315"/>
      <c r="S217" s="315"/>
      <c r="T217" s="315"/>
      <c r="U217" s="315"/>
      <c r="V217" s="316"/>
      <c r="W217" s="588"/>
      <c r="X217" s="591"/>
      <c r="Y217" s="591"/>
      <c r="Z217" s="594"/>
      <c r="AA217" s="301"/>
      <c r="AB217" s="583"/>
      <c r="AC217" s="585"/>
      <c r="AD217" s="314"/>
      <c r="AE217" s="315"/>
      <c r="AF217" s="315"/>
      <c r="AG217" s="315"/>
      <c r="AH217" s="315"/>
      <c r="AI217" s="315"/>
      <c r="AJ217" s="315"/>
      <c r="AK217" s="315"/>
      <c r="AL217" s="315"/>
      <c r="AM217" s="315"/>
      <c r="AN217" s="315"/>
      <c r="AO217" s="315"/>
      <c r="AP217" s="315"/>
      <c r="AQ217" s="315"/>
      <c r="AR217" s="315"/>
      <c r="AS217" s="315"/>
      <c r="AT217" s="315"/>
      <c r="AU217" s="315"/>
      <c r="AV217" s="315"/>
      <c r="AW217" s="316"/>
      <c r="AX217" s="588"/>
      <c r="AY217" s="591"/>
      <c r="AZ217" s="591"/>
      <c r="BA217" s="594"/>
      <c r="BB217" s="301"/>
    </row>
    <row r="218" spans="1:54" ht="9" customHeight="1">
      <c r="A218" s="583"/>
      <c r="B218" s="586"/>
      <c r="C218" s="317"/>
      <c r="D218" s="318"/>
      <c r="E218" s="318"/>
      <c r="F218" s="318"/>
      <c r="G218" s="318"/>
      <c r="H218" s="318"/>
      <c r="I218" s="318"/>
      <c r="J218" s="318"/>
      <c r="K218" s="318"/>
      <c r="L218" s="318"/>
      <c r="M218" s="318"/>
      <c r="N218" s="318"/>
      <c r="O218" s="318"/>
      <c r="P218" s="318"/>
      <c r="Q218" s="318"/>
      <c r="R218" s="318"/>
      <c r="S218" s="318"/>
      <c r="T218" s="318"/>
      <c r="U218" s="318"/>
      <c r="V218" s="319"/>
      <c r="W218" s="589"/>
      <c r="X218" s="592"/>
      <c r="Y218" s="592"/>
      <c r="Z218" s="608"/>
      <c r="AA218" s="301"/>
      <c r="AB218" s="583"/>
      <c r="AC218" s="586"/>
      <c r="AD218" s="317"/>
      <c r="AE218" s="318"/>
      <c r="AF218" s="318"/>
      <c r="AG218" s="318"/>
      <c r="AH218" s="318"/>
      <c r="AI218" s="318"/>
      <c r="AJ218" s="318"/>
      <c r="AK218" s="318"/>
      <c r="AL218" s="318"/>
      <c r="AM218" s="318"/>
      <c r="AN218" s="318"/>
      <c r="AO218" s="318"/>
      <c r="AP218" s="318"/>
      <c r="AQ218" s="318"/>
      <c r="AR218" s="318"/>
      <c r="AS218" s="318"/>
      <c r="AT218" s="318"/>
      <c r="AU218" s="318"/>
      <c r="AV218" s="318"/>
      <c r="AW218" s="319"/>
      <c r="AX218" s="589"/>
      <c r="AY218" s="592"/>
      <c r="AZ218" s="592"/>
      <c r="BA218" s="608"/>
      <c r="BB218" s="301"/>
    </row>
    <row r="219" spans="1:54" ht="9" customHeight="1">
      <c r="A219" s="583">
        <v>33</v>
      </c>
      <c r="B219" s="584">
        <f t="shared" si="151"/>
        <v>0</v>
      </c>
      <c r="C219" s="311"/>
      <c r="D219" s="312"/>
      <c r="E219" s="312"/>
      <c r="F219" s="312"/>
      <c r="G219" s="312"/>
      <c r="H219" s="312"/>
      <c r="I219" s="312"/>
      <c r="J219" s="312"/>
      <c r="K219" s="312"/>
      <c r="L219" s="312"/>
      <c r="M219" s="312"/>
      <c r="N219" s="312"/>
      <c r="O219" s="312"/>
      <c r="P219" s="312"/>
      <c r="Q219" s="312"/>
      <c r="R219" s="312"/>
      <c r="S219" s="312"/>
      <c r="T219" s="312"/>
      <c r="U219" s="312"/>
      <c r="V219" s="313"/>
      <c r="W219" s="587">
        <f>'A-CALC'!V205</f>
        <v>0</v>
      </c>
      <c r="X219" s="590">
        <f>'A-CALC'!W205</f>
        <v>0</v>
      </c>
      <c r="Y219" s="590">
        <f>'A-CALC'!X205</f>
        <v>0</v>
      </c>
      <c r="Z219" s="593">
        <f t="shared" ref="Z219" si="159">ROUND((40/$Y$7)*W219,0)</f>
        <v>0</v>
      </c>
      <c r="AA219" s="301"/>
      <c r="AB219" s="583">
        <v>33</v>
      </c>
      <c r="AC219" s="584">
        <f t="shared" si="153"/>
        <v>0</v>
      </c>
      <c r="AD219" s="311"/>
      <c r="AE219" s="312"/>
      <c r="AF219" s="312"/>
      <c r="AG219" s="312"/>
      <c r="AH219" s="312"/>
      <c r="AI219" s="312"/>
      <c r="AJ219" s="312"/>
      <c r="AK219" s="312"/>
      <c r="AL219" s="312"/>
      <c r="AM219" s="312"/>
      <c r="AN219" s="312"/>
      <c r="AO219" s="312"/>
      <c r="AP219" s="312"/>
      <c r="AQ219" s="312"/>
      <c r="AR219" s="312"/>
      <c r="AS219" s="312"/>
      <c r="AT219" s="312"/>
      <c r="AU219" s="312"/>
      <c r="AV219" s="312"/>
      <c r="AW219" s="313"/>
      <c r="AX219" s="587">
        <f>'A-CALC'!AU205</f>
        <v>0</v>
      </c>
      <c r="AY219" s="590">
        <f>'A-CALC'!AV205</f>
        <v>0</v>
      </c>
      <c r="AZ219" s="590">
        <f>'A-CALC'!AW205</f>
        <v>0</v>
      </c>
      <c r="BA219" s="593">
        <f t="shared" ref="BA219" si="160">ROUND((40/$Y$7)*AX219,0)</f>
        <v>0</v>
      </c>
      <c r="BB219" s="301"/>
    </row>
    <row r="220" spans="1:54" ht="9" customHeight="1">
      <c r="A220" s="583"/>
      <c r="B220" s="585"/>
      <c r="C220" s="314"/>
      <c r="D220" s="315"/>
      <c r="E220" s="315"/>
      <c r="F220" s="315"/>
      <c r="G220" s="315"/>
      <c r="H220" s="315"/>
      <c r="I220" s="315"/>
      <c r="J220" s="315"/>
      <c r="K220" s="315"/>
      <c r="L220" s="315"/>
      <c r="M220" s="315"/>
      <c r="N220" s="315"/>
      <c r="O220" s="315"/>
      <c r="P220" s="315"/>
      <c r="Q220" s="315"/>
      <c r="R220" s="315"/>
      <c r="S220" s="315"/>
      <c r="T220" s="315"/>
      <c r="U220" s="315"/>
      <c r="V220" s="316"/>
      <c r="W220" s="588"/>
      <c r="X220" s="591"/>
      <c r="Y220" s="591"/>
      <c r="Z220" s="594"/>
      <c r="AA220" s="301"/>
      <c r="AB220" s="583"/>
      <c r="AC220" s="585"/>
      <c r="AD220" s="314"/>
      <c r="AE220" s="315"/>
      <c r="AF220" s="315"/>
      <c r="AG220" s="315"/>
      <c r="AH220" s="315"/>
      <c r="AI220" s="315"/>
      <c r="AJ220" s="315"/>
      <c r="AK220" s="315"/>
      <c r="AL220" s="315"/>
      <c r="AM220" s="315"/>
      <c r="AN220" s="315"/>
      <c r="AO220" s="315"/>
      <c r="AP220" s="315"/>
      <c r="AQ220" s="315"/>
      <c r="AR220" s="315"/>
      <c r="AS220" s="315"/>
      <c r="AT220" s="315"/>
      <c r="AU220" s="315"/>
      <c r="AV220" s="315"/>
      <c r="AW220" s="316"/>
      <c r="AX220" s="588"/>
      <c r="AY220" s="591"/>
      <c r="AZ220" s="591"/>
      <c r="BA220" s="594"/>
      <c r="BB220" s="301"/>
    </row>
    <row r="221" spans="1:54" ht="9" customHeight="1">
      <c r="A221" s="583"/>
      <c r="B221" s="586"/>
      <c r="C221" s="317"/>
      <c r="D221" s="318"/>
      <c r="E221" s="318"/>
      <c r="F221" s="318"/>
      <c r="G221" s="318"/>
      <c r="H221" s="318"/>
      <c r="I221" s="318"/>
      <c r="J221" s="318"/>
      <c r="K221" s="318"/>
      <c r="L221" s="318"/>
      <c r="M221" s="318"/>
      <c r="N221" s="318"/>
      <c r="O221" s="318"/>
      <c r="P221" s="318"/>
      <c r="Q221" s="318"/>
      <c r="R221" s="318"/>
      <c r="S221" s="318"/>
      <c r="T221" s="318"/>
      <c r="U221" s="318"/>
      <c r="V221" s="319"/>
      <c r="W221" s="589"/>
      <c r="X221" s="592"/>
      <c r="Y221" s="592"/>
      <c r="Z221" s="608"/>
      <c r="AA221" s="301"/>
      <c r="AB221" s="583"/>
      <c r="AC221" s="586"/>
      <c r="AD221" s="317"/>
      <c r="AE221" s="318"/>
      <c r="AF221" s="318"/>
      <c r="AG221" s="318"/>
      <c r="AH221" s="318"/>
      <c r="AI221" s="318"/>
      <c r="AJ221" s="318"/>
      <c r="AK221" s="318"/>
      <c r="AL221" s="318"/>
      <c r="AM221" s="318"/>
      <c r="AN221" s="318"/>
      <c r="AO221" s="318"/>
      <c r="AP221" s="318"/>
      <c r="AQ221" s="318"/>
      <c r="AR221" s="318"/>
      <c r="AS221" s="318"/>
      <c r="AT221" s="318"/>
      <c r="AU221" s="318"/>
      <c r="AV221" s="318"/>
      <c r="AW221" s="319"/>
      <c r="AX221" s="589"/>
      <c r="AY221" s="592"/>
      <c r="AZ221" s="592"/>
      <c r="BA221" s="608"/>
      <c r="BB221" s="301"/>
    </row>
    <row r="222" spans="1:54" ht="9" customHeight="1">
      <c r="A222" s="583">
        <v>34</v>
      </c>
      <c r="B222" s="584">
        <f t="shared" si="151"/>
        <v>0</v>
      </c>
      <c r="C222" s="311"/>
      <c r="D222" s="312"/>
      <c r="E222" s="312"/>
      <c r="F222" s="312"/>
      <c r="G222" s="312"/>
      <c r="H222" s="312"/>
      <c r="I222" s="312"/>
      <c r="J222" s="312"/>
      <c r="K222" s="312"/>
      <c r="L222" s="312"/>
      <c r="M222" s="312"/>
      <c r="N222" s="312"/>
      <c r="O222" s="312"/>
      <c r="P222" s="312"/>
      <c r="Q222" s="312"/>
      <c r="R222" s="312"/>
      <c r="S222" s="312"/>
      <c r="T222" s="312"/>
      <c r="U222" s="312"/>
      <c r="V222" s="313"/>
      <c r="W222" s="587">
        <f>'A-CALC'!V208</f>
        <v>0</v>
      </c>
      <c r="X222" s="590">
        <f>'A-CALC'!W208</f>
        <v>0</v>
      </c>
      <c r="Y222" s="590">
        <f>'A-CALC'!X208</f>
        <v>0</v>
      </c>
      <c r="Z222" s="593">
        <f t="shared" ref="Z222" si="161">ROUND((40/$Y$7)*W222,0)</f>
        <v>0</v>
      </c>
      <c r="AA222" s="301"/>
      <c r="AB222" s="583">
        <v>34</v>
      </c>
      <c r="AC222" s="584">
        <f t="shared" si="153"/>
        <v>0</v>
      </c>
      <c r="AD222" s="311"/>
      <c r="AE222" s="312"/>
      <c r="AF222" s="312"/>
      <c r="AG222" s="312"/>
      <c r="AH222" s="312"/>
      <c r="AI222" s="312"/>
      <c r="AJ222" s="312"/>
      <c r="AK222" s="312"/>
      <c r="AL222" s="312"/>
      <c r="AM222" s="312"/>
      <c r="AN222" s="312"/>
      <c r="AO222" s="312"/>
      <c r="AP222" s="312"/>
      <c r="AQ222" s="312"/>
      <c r="AR222" s="312"/>
      <c r="AS222" s="312"/>
      <c r="AT222" s="312"/>
      <c r="AU222" s="312"/>
      <c r="AV222" s="312"/>
      <c r="AW222" s="313"/>
      <c r="AX222" s="587">
        <f>'A-CALC'!AU208</f>
        <v>0</v>
      </c>
      <c r="AY222" s="590">
        <f>'A-CALC'!AV208</f>
        <v>0</v>
      </c>
      <c r="AZ222" s="590">
        <f>'A-CALC'!AW208</f>
        <v>0</v>
      </c>
      <c r="BA222" s="593">
        <f t="shared" ref="BA222" si="162">ROUND((40/$Y$7)*AX222,0)</f>
        <v>0</v>
      </c>
      <c r="BB222" s="301"/>
    </row>
    <row r="223" spans="1:54" ht="9" customHeight="1">
      <c r="A223" s="583"/>
      <c r="B223" s="585"/>
      <c r="C223" s="314"/>
      <c r="D223" s="315"/>
      <c r="E223" s="315"/>
      <c r="F223" s="315"/>
      <c r="G223" s="315"/>
      <c r="H223" s="315"/>
      <c r="I223" s="315"/>
      <c r="J223" s="315"/>
      <c r="K223" s="315"/>
      <c r="L223" s="315"/>
      <c r="M223" s="315"/>
      <c r="N223" s="315"/>
      <c r="O223" s="315"/>
      <c r="P223" s="315"/>
      <c r="Q223" s="315"/>
      <c r="R223" s="315"/>
      <c r="S223" s="315"/>
      <c r="T223" s="315"/>
      <c r="U223" s="315"/>
      <c r="V223" s="316"/>
      <c r="W223" s="588"/>
      <c r="X223" s="591"/>
      <c r="Y223" s="591"/>
      <c r="Z223" s="594"/>
      <c r="AA223" s="301"/>
      <c r="AB223" s="583"/>
      <c r="AC223" s="585"/>
      <c r="AD223" s="314"/>
      <c r="AE223" s="315"/>
      <c r="AF223" s="315"/>
      <c r="AG223" s="315"/>
      <c r="AH223" s="315"/>
      <c r="AI223" s="315"/>
      <c r="AJ223" s="315"/>
      <c r="AK223" s="315"/>
      <c r="AL223" s="315"/>
      <c r="AM223" s="315"/>
      <c r="AN223" s="315"/>
      <c r="AO223" s="315"/>
      <c r="AP223" s="315"/>
      <c r="AQ223" s="315"/>
      <c r="AR223" s="315"/>
      <c r="AS223" s="315"/>
      <c r="AT223" s="315"/>
      <c r="AU223" s="315"/>
      <c r="AV223" s="315"/>
      <c r="AW223" s="316"/>
      <c r="AX223" s="588"/>
      <c r="AY223" s="591"/>
      <c r="AZ223" s="591"/>
      <c r="BA223" s="594"/>
      <c r="BB223" s="301"/>
    </row>
    <row r="224" spans="1:54" ht="9" customHeight="1">
      <c r="A224" s="583"/>
      <c r="B224" s="586"/>
      <c r="C224" s="317"/>
      <c r="D224" s="318"/>
      <c r="E224" s="318"/>
      <c r="F224" s="318"/>
      <c r="G224" s="318"/>
      <c r="H224" s="318"/>
      <c r="I224" s="318"/>
      <c r="J224" s="318"/>
      <c r="K224" s="318"/>
      <c r="L224" s="318"/>
      <c r="M224" s="318"/>
      <c r="N224" s="318"/>
      <c r="O224" s="318"/>
      <c r="P224" s="318"/>
      <c r="Q224" s="318"/>
      <c r="R224" s="318"/>
      <c r="S224" s="318"/>
      <c r="T224" s="318"/>
      <c r="U224" s="318"/>
      <c r="V224" s="319"/>
      <c r="W224" s="589"/>
      <c r="X224" s="592"/>
      <c r="Y224" s="592"/>
      <c r="Z224" s="608"/>
      <c r="AA224" s="301"/>
      <c r="AB224" s="583"/>
      <c r="AC224" s="586"/>
      <c r="AD224" s="317"/>
      <c r="AE224" s="318"/>
      <c r="AF224" s="318"/>
      <c r="AG224" s="318"/>
      <c r="AH224" s="318"/>
      <c r="AI224" s="318"/>
      <c r="AJ224" s="318"/>
      <c r="AK224" s="318"/>
      <c r="AL224" s="318"/>
      <c r="AM224" s="318"/>
      <c r="AN224" s="318"/>
      <c r="AO224" s="318"/>
      <c r="AP224" s="318"/>
      <c r="AQ224" s="318"/>
      <c r="AR224" s="318"/>
      <c r="AS224" s="318"/>
      <c r="AT224" s="318"/>
      <c r="AU224" s="318"/>
      <c r="AV224" s="318"/>
      <c r="AW224" s="319"/>
      <c r="AX224" s="589"/>
      <c r="AY224" s="592"/>
      <c r="AZ224" s="592"/>
      <c r="BA224" s="608"/>
      <c r="BB224" s="301"/>
    </row>
    <row r="225" spans="1:54" ht="9" customHeight="1">
      <c r="A225" s="583">
        <v>35</v>
      </c>
      <c r="B225" s="584">
        <f t="shared" si="151"/>
        <v>0</v>
      </c>
      <c r="C225" s="311"/>
      <c r="D225" s="312"/>
      <c r="E225" s="312"/>
      <c r="F225" s="312"/>
      <c r="G225" s="312"/>
      <c r="H225" s="312"/>
      <c r="I225" s="312"/>
      <c r="J225" s="312"/>
      <c r="K225" s="312"/>
      <c r="L225" s="312"/>
      <c r="M225" s="312"/>
      <c r="N225" s="312"/>
      <c r="O225" s="312"/>
      <c r="P225" s="312"/>
      <c r="Q225" s="312"/>
      <c r="R225" s="312"/>
      <c r="S225" s="312"/>
      <c r="T225" s="312"/>
      <c r="U225" s="312"/>
      <c r="V225" s="313"/>
      <c r="W225" s="587">
        <f>'A-CALC'!V211</f>
        <v>0</v>
      </c>
      <c r="X225" s="590">
        <f>'A-CALC'!W211</f>
        <v>0</v>
      </c>
      <c r="Y225" s="590">
        <f>'A-CALC'!X211</f>
        <v>0</v>
      </c>
      <c r="Z225" s="593">
        <f t="shared" ref="Z225" si="163">ROUND((40/$Y$7)*W225,0)</f>
        <v>0</v>
      </c>
      <c r="AA225" s="301"/>
      <c r="AB225" s="583">
        <v>35</v>
      </c>
      <c r="AC225" s="584">
        <f t="shared" si="153"/>
        <v>0</v>
      </c>
      <c r="AD225" s="311"/>
      <c r="AE225" s="312"/>
      <c r="AF225" s="312"/>
      <c r="AG225" s="312"/>
      <c r="AH225" s="312"/>
      <c r="AI225" s="312"/>
      <c r="AJ225" s="312"/>
      <c r="AK225" s="312"/>
      <c r="AL225" s="312"/>
      <c r="AM225" s="312"/>
      <c r="AN225" s="312"/>
      <c r="AO225" s="312"/>
      <c r="AP225" s="312"/>
      <c r="AQ225" s="312"/>
      <c r="AR225" s="312"/>
      <c r="AS225" s="312"/>
      <c r="AT225" s="312"/>
      <c r="AU225" s="312"/>
      <c r="AV225" s="312"/>
      <c r="AW225" s="313"/>
      <c r="AX225" s="587">
        <f>'A-CALC'!AU211</f>
        <v>0</v>
      </c>
      <c r="AY225" s="590">
        <f>'A-CALC'!AV211</f>
        <v>0</v>
      </c>
      <c r="AZ225" s="590">
        <f>'A-CALC'!AW211</f>
        <v>0</v>
      </c>
      <c r="BA225" s="593">
        <f t="shared" ref="BA225" si="164">ROUND((40/$Y$7)*AX225,0)</f>
        <v>0</v>
      </c>
      <c r="BB225" s="301"/>
    </row>
    <row r="226" spans="1:54" ht="9" customHeight="1">
      <c r="A226" s="583"/>
      <c r="B226" s="585"/>
      <c r="C226" s="314"/>
      <c r="D226" s="315"/>
      <c r="E226" s="315"/>
      <c r="F226" s="315"/>
      <c r="G226" s="315"/>
      <c r="H226" s="315"/>
      <c r="I226" s="315"/>
      <c r="J226" s="315"/>
      <c r="K226" s="315"/>
      <c r="L226" s="315"/>
      <c r="M226" s="315"/>
      <c r="N226" s="315"/>
      <c r="O226" s="315"/>
      <c r="P226" s="315"/>
      <c r="Q226" s="315"/>
      <c r="R226" s="315"/>
      <c r="S226" s="315"/>
      <c r="T226" s="315"/>
      <c r="U226" s="315"/>
      <c r="V226" s="316"/>
      <c r="W226" s="588"/>
      <c r="X226" s="591"/>
      <c r="Y226" s="591"/>
      <c r="Z226" s="594"/>
      <c r="AA226" s="301"/>
      <c r="AB226" s="583"/>
      <c r="AC226" s="585"/>
      <c r="AD226" s="314"/>
      <c r="AE226" s="315"/>
      <c r="AF226" s="315"/>
      <c r="AG226" s="315"/>
      <c r="AH226" s="315"/>
      <c r="AI226" s="315"/>
      <c r="AJ226" s="315"/>
      <c r="AK226" s="315"/>
      <c r="AL226" s="315"/>
      <c r="AM226" s="315"/>
      <c r="AN226" s="315"/>
      <c r="AO226" s="315"/>
      <c r="AP226" s="315"/>
      <c r="AQ226" s="315"/>
      <c r="AR226" s="315"/>
      <c r="AS226" s="315"/>
      <c r="AT226" s="315"/>
      <c r="AU226" s="315"/>
      <c r="AV226" s="315"/>
      <c r="AW226" s="316"/>
      <c r="AX226" s="588"/>
      <c r="AY226" s="591"/>
      <c r="AZ226" s="591"/>
      <c r="BA226" s="594"/>
      <c r="BB226" s="301"/>
    </row>
    <row r="227" spans="1:54" ht="9" customHeight="1">
      <c r="A227" s="583"/>
      <c r="B227" s="586"/>
      <c r="C227" s="317"/>
      <c r="D227" s="318"/>
      <c r="E227" s="318"/>
      <c r="F227" s="318"/>
      <c r="G227" s="318"/>
      <c r="H227" s="318"/>
      <c r="I227" s="318"/>
      <c r="J227" s="318"/>
      <c r="K227" s="318"/>
      <c r="L227" s="318"/>
      <c r="M227" s="318"/>
      <c r="N227" s="318"/>
      <c r="O227" s="318"/>
      <c r="P227" s="318"/>
      <c r="Q227" s="318"/>
      <c r="R227" s="318"/>
      <c r="S227" s="318"/>
      <c r="T227" s="318"/>
      <c r="U227" s="318"/>
      <c r="V227" s="319"/>
      <c r="W227" s="589"/>
      <c r="X227" s="592"/>
      <c r="Y227" s="592"/>
      <c r="Z227" s="608"/>
      <c r="AA227" s="301"/>
      <c r="AB227" s="583"/>
      <c r="AC227" s="586"/>
      <c r="AD227" s="317"/>
      <c r="AE227" s="318"/>
      <c r="AF227" s="318"/>
      <c r="AG227" s="318"/>
      <c r="AH227" s="318"/>
      <c r="AI227" s="318"/>
      <c r="AJ227" s="318"/>
      <c r="AK227" s="318"/>
      <c r="AL227" s="318"/>
      <c r="AM227" s="318"/>
      <c r="AN227" s="318"/>
      <c r="AO227" s="318"/>
      <c r="AP227" s="318"/>
      <c r="AQ227" s="318"/>
      <c r="AR227" s="318"/>
      <c r="AS227" s="318"/>
      <c r="AT227" s="318"/>
      <c r="AU227" s="318"/>
      <c r="AV227" s="318"/>
      <c r="AW227" s="319"/>
      <c r="AX227" s="589"/>
      <c r="AY227" s="592"/>
      <c r="AZ227" s="592"/>
      <c r="BA227" s="608"/>
      <c r="BB227" s="301"/>
    </row>
    <row r="228" spans="1:54">
      <c r="A228" s="320"/>
      <c r="B228" s="32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20"/>
      <c r="AC228" s="321"/>
      <c r="AD228" s="301"/>
      <c r="AE228" s="301"/>
      <c r="AF228" s="301"/>
      <c r="AG228" s="301"/>
      <c r="AH228" s="301"/>
      <c r="AI228" s="301"/>
      <c r="AJ228" s="301"/>
      <c r="AK228" s="301"/>
      <c r="AL228" s="301"/>
      <c r="AM228" s="301"/>
      <c r="AN228" s="301"/>
      <c r="AO228" s="301"/>
      <c r="AP228" s="301"/>
      <c r="AQ228" s="301"/>
      <c r="AR228" s="301"/>
      <c r="AS228" s="301"/>
      <c r="AT228" s="301"/>
      <c r="AU228" s="301"/>
      <c r="AV228" s="301"/>
      <c r="AW228" s="301"/>
      <c r="AX228" s="301"/>
      <c r="AY228" s="301"/>
      <c r="AZ228" s="301"/>
      <c r="BA228" s="301"/>
      <c r="BB228" s="301"/>
    </row>
    <row r="229" spans="1:54" ht="20.100000000000001" customHeight="1">
      <c r="A229" s="296" t="s">
        <v>286</v>
      </c>
      <c r="B229" s="581" t="s">
        <v>284</v>
      </c>
      <c r="C229" s="581"/>
      <c r="D229" s="581"/>
      <c r="E229" s="581"/>
      <c r="F229" s="581"/>
      <c r="G229" s="581"/>
      <c r="H229" s="581"/>
      <c r="I229" s="581"/>
      <c r="J229" s="581"/>
      <c r="K229" s="581"/>
      <c r="L229" s="581"/>
      <c r="M229" s="581"/>
      <c r="N229" s="581"/>
      <c r="O229" s="581"/>
      <c r="P229" s="581"/>
      <c r="Q229" s="581"/>
      <c r="R229" s="581"/>
      <c r="S229" s="581"/>
      <c r="T229" s="581"/>
      <c r="U229" s="581"/>
      <c r="V229" s="581"/>
      <c r="W229" s="581"/>
      <c r="X229" s="581"/>
      <c r="Y229" s="581"/>
      <c r="Z229" s="581"/>
      <c r="AA229" s="297"/>
      <c r="AB229" s="296" t="s">
        <v>286</v>
      </c>
      <c r="AC229" s="581" t="s">
        <v>284</v>
      </c>
      <c r="AD229" s="581"/>
      <c r="AE229" s="581"/>
      <c r="AF229" s="581"/>
      <c r="AG229" s="581"/>
      <c r="AH229" s="581"/>
      <c r="AI229" s="581"/>
      <c r="AJ229" s="581"/>
      <c r="AK229" s="581"/>
      <c r="AL229" s="581"/>
      <c r="AM229" s="581"/>
      <c r="AN229" s="581"/>
      <c r="AO229" s="581"/>
      <c r="AP229" s="581"/>
      <c r="AQ229" s="581"/>
      <c r="AR229" s="581"/>
      <c r="AS229" s="581"/>
      <c r="AT229" s="581"/>
      <c r="AU229" s="581"/>
      <c r="AV229" s="581"/>
      <c r="AW229" s="581"/>
      <c r="AX229" s="581"/>
      <c r="AY229" s="581"/>
      <c r="AZ229" s="581"/>
      <c r="BA229" s="581"/>
      <c r="BB229" s="301"/>
    </row>
    <row r="230" spans="1:54" ht="21.75" customHeight="1">
      <c r="A230" s="298"/>
      <c r="B230" s="612" t="s">
        <v>81</v>
      </c>
      <c r="C230" s="612"/>
      <c r="D230" s="612"/>
      <c r="E230" s="612"/>
      <c r="F230" s="612"/>
      <c r="G230" s="612"/>
      <c r="H230" s="612"/>
      <c r="I230" s="612"/>
      <c r="J230" s="612"/>
      <c r="K230" s="612"/>
      <c r="L230" s="612"/>
      <c r="M230" s="612"/>
      <c r="N230" s="612"/>
      <c r="O230" s="612"/>
      <c r="P230" s="612"/>
      <c r="Q230" s="612"/>
      <c r="R230" s="612"/>
      <c r="S230" s="612"/>
      <c r="T230" s="612"/>
      <c r="U230" s="612"/>
      <c r="V230" s="612"/>
      <c r="W230" s="612"/>
      <c r="X230" s="612"/>
      <c r="Y230" s="612"/>
      <c r="Z230" s="612"/>
      <c r="AA230" s="297"/>
      <c r="AB230" s="298"/>
      <c r="AC230" s="612" t="s">
        <v>81</v>
      </c>
      <c r="AD230" s="612"/>
      <c r="AE230" s="612"/>
      <c r="AF230" s="612"/>
      <c r="AG230" s="612"/>
      <c r="AH230" s="612"/>
      <c r="AI230" s="612"/>
      <c r="AJ230" s="612"/>
      <c r="AK230" s="612"/>
      <c r="AL230" s="612"/>
      <c r="AM230" s="612"/>
      <c r="AN230" s="612"/>
      <c r="AO230" s="612"/>
      <c r="AP230" s="612"/>
      <c r="AQ230" s="612"/>
      <c r="AR230" s="612"/>
      <c r="AS230" s="612"/>
      <c r="AT230" s="612"/>
      <c r="AU230" s="612"/>
      <c r="AV230" s="612"/>
      <c r="AW230" s="612"/>
      <c r="AX230" s="612"/>
      <c r="AY230" s="612"/>
      <c r="AZ230" s="612"/>
      <c r="BA230" s="612"/>
      <c r="BB230" s="301"/>
    </row>
    <row r="231" spans="1:54" s="295" customFormat="1" ht="20.25" customHeight="1">
      <c r="A231" s="298"/>
      <c r="B231" s="299" t="str">
        <f>CONCATENATE("ધોરણ - ",SCHOOL!$D$3)</f>
        <v>ધોરણ - 1</v>
      </c>
      <c r="C231" s="577" t="s">
        <v>347</v>
      </c>
      <c r="D231" s="577"/>
      <c r="E231" s="577"/>
      <c r="F231" s="577"/>
      <c r="G231" s="577"/>
      <c r="H231" s="577"/>
      <c r="I231" s="577"/>
      <c r="J231" s="577"/>
      <c r="K231" s="577" t="s">
        <v>288</v>
      </c>
      <c r="L231" s="577"/>
      <c r="M231" s="577"/>
      <c r="N231" s="577"/>
      <c r="O231" s="577"/>
      <c r="P231" s="577"/>
      <c r="Q231" s="577"/>
      <c r="R231" s="577" t="s">
        <v>289</v>
      </c>
      <c r="S231" s="577"/>
      <c r="T231" s="577"/>
      <c r="U231" s="577"/>
      <c r="V231" s="577"/>
      <c r="W231" s="577"/>
      <c r="X231" s="577"/>
      <c r="Y231" s="577">
        <f>COUNTA(C234:V234)</f>
        <v>16</v>
      </c>
      <c r="Z231" s="577"/>
      <c r="AA231" s="300"/>
      <c r="AB231" s="298"/>
      <c r="AC231" s="299" t="str">
        <f>CONCATENATE("ધોરણ - ",SCHOOL!$D$3)</f>
        <v>ધોરણ - 1</v>
      </c>
      <c r="AD231" s="577" t="str">
        <f>C231</f>
        <v xml:space="preserve"> વિષય-પર્યાવરણ</v>
      </c>
      <c r="AE231" s="577"/>
      <c r="AF231" s="577"/>
      <c r="AG231" s="577"/>
      <c r="AH231" s="577"/>
      <c r="AI231" s="577"/>
      <c r="AJ231" s="577"/>
      <c r="AK231" s="577"/>
      <c r="AL231" s="577" t="s">
        <v>290</v>
      </c>
      <c r="AM231" s="577"/>
      <c r="AN231" s="577"/>
      <c r="AO231" s="577"/>
      <c r="AP231" s="577"/>
      <c r="AQ231" s="577"/>
      <c r="AR231" s="577"/>
      <c r="AS231" s="577" t="s">
        <v>289</v>
      </c>
      <c r="AT231" s="577"/>
      <c r="AU231" s="577"/>
      <c r="AV231" s="577"/>
      <c r="AW231" s="577"/>
      <c r="AX231" s="577"/>
      <c r="AY231" s="577"/>
      <c r="AZ231" s="577">
        <f>COUNTA(AD234:AW234)</f>
        <v>15</v>
      </c>
      <c r="BA231" s="577"/>
      <c r="BB231" s="321"/>
    </row>
    <row r="232" spans="1:54" ht="18.75" customHeight="1">
      <c r="A232" s="609" t="s">
        <v>291</v>
      </c>
      <c r="B232" s="595" t="s">
        <v>82</v>
      </c>
      <c r="C232" s="596" t="s">
        <v>292</v>
      </c>
      <c r="D232" s="597"/>
      <c r="E232" s="597"/>
      <c r="F232" s="597"/>
      <c r="G232" s="597"/>
      <c r="H232" s="597"/>
      <c r="I232" s="597"/>
      <c r="J232" s="597"/>
      <c r="K232" s="597"/>
      <c r="L232" s="597"/>
      <c r="M232" s="597"/>
      <c r="N232" s="597"/>
      <c r="O232" s="597"/>
      <c r="P232" s="597"/>
      <c r="Q232" s="597"/>
      <c r="R232" s="597"/>
      <c r="S232" s="597"/>
      <c r="T232" s="597"/>
      <c r="U232" s="597"/>
      <c r="V232" s="598"/>
      <c r="W232" s="599" t="s">
        <v>293</v>
      </c>
      <c r="X232" s="600"/>
      <c r="Y232" s="601"/>
      <c r="Z232" s="605" t="s">
        <v>294</v>
      </c>
      <c r="AA232" s="301"/>
      <c r="AB232" s="609" t="s">
        <v>291</v>
      </c>
      <c r="AC232" s="595" t="s">
        <v>82</v>
      </c>
      <c r="AD232" s="596" t="s">
        <v>292</v>
      </c>
      <c r="AE232" s="597"/>
      <c r="AF232" s="597"/>
      <c r="AG232" s="597"/>
      <c r="AH232" s="597"/>
      <c r="AI232" s="597"/>
      <c r="AJ232" s="597"/>
      <c r="AK232" s="597"/>
      <c r="AL232" s="597"/>
      <c r="AM232" s="597"/>
      <c r="AN232" s="597"/>
      <c r="AO232" s="597"/>
      <c r="AP232" s="597"/>
      <c r="AQ232" s="597"/>
      <c r="AR232" s="597"/>
      <c r="AS232" s="597"/>
      <c r="AT232" s="597"/>
      <c r="AU232" s="597"/>
      <c r="AV232" s="597"/>
      <c r="AW232" s="598"/>
      <c r="AX232" s="599" t="s">
        <v>293</v>
      </c>
      <c r="AY232" s="600"/>
      <c r="AZ232" s="601"/>
      <c r="BA232" s="605" t="s">
        <v>294</v>
      </c>
      <c r="BB232" s="301"/>
    </row>
    <row r="233" spans="1:54" ht="15" customHeight="1">
      <c r="A233" s="609"/>
      <c r="B233" s="595"/>
      <c r="C233" s="302">
        <v>1</v>
      </c>
      <c r="D233" s="303">
        <v>2</v>
      </c>
      <c r="E233" s="303">
        <v>3</v>
      </c>
      <c r="F233" s="303">
        <v>4</v>
      </c>
      <c r="G233" s="303">
        <v>5</v>
      </c>
      <c r="H233" s="303">
        <v>6</v>
      </c>
      <c r="I233" s="303">
        <v>7</v>
      </c>
      <c r="J233" s="303">
        <v>8</v>
      </c>
      <c r="K233" s="303">
        <v>9</v>
      </c>
      <c r="L233" s="303">
        <v>10</v>
      </c>
      <c r="M233" s="303">
        <v>11</v>
      </c>
      <c r="N233" s="303">
        <v>12</v>
      </c>
      <c r="O233" s="303">
        <v>13</v>
      </c>
      <c r="P233" s="303">
        <v>14</v>
      </c>
      <c r="Q233" s="303">
        <v>15</v>
      </c>
      <c r="R233" s="303">
        <v>16</v>
      </c>
      <c r="S233" s="303">
        <v>17</v>
      </c>
      <c r="T233" s="303">
        <v>18</v>
      </c>
      <c r="U233" s="303">
        <v>19</v>
      </c>
      <c r="V233" s="304">
        <v>20</v>
      </c>
      <c r="W233" s="602"/>
      <c r="X233" s="603"/>
      <c r="Y233" s="604"/>
      <c r="Z233" s="606"/>
      <c r="AA233" s="301"/>
      <c r="AB233" s="609"/>
      <c r="AC233" s="595"/>
      <c r="AD233" s="302">
        <v>1</v>
      </c>
      <c r="AE233" s="303">
        <v>2</v>
      </c>
      <c r="AF233" s="303">
        <v>3</v>
      </c>
      <c r="AG233" s="303">
        <v>4</v>
      </c>
      <c r="AH233" s="303">
        <v>5</v>
      </c>
      <c r="AI233" s="303">
        <v>6</v>
      </c>
      <c r="AJ233" s="303">
        <v>7</v>
      </c>
      <c r="AK233" s="303">
        <v>8</v>
      </c>
      <c r="AL233" s="303">
        <v>9</v>
      </c>
      <c r="AM233" s="303">
        <v>10</v>
      </c>
      <c r="AN233" s="303">
        <v>11</v>
      </c>
      <c r="AO233" s="303">
        <v>12</v>
      </c>
      <c r="AP233" s="303">
        <v>13</v>
      </c>
      <c r="AQ233" s="303">
        <v>14</v>
      </c>
      <c r="AR233" s="303">
        <v>15</v>
      </c>
      <c r="AS233" s="303">
        <v>16</v>
      </c>
      <c r="AT233" s="303">
        <v>17</v>
      </c>
      <c r="AU233" s="303">
        <v>18</v>
      </c>
      <c r="AV233" s="303">
        <v>19</v>
      </c>
      <c r="AW233" s="304">
        <v>20</v>
      </c>
      <c r="AX233" s="602"/>
      <c r="AY233" s="603"/>
      <c r="AZ233" s="604"/>
      <c r="BA233" s="606"/>
      <c r="BB233" s="301"/>
    </row>
    <row r="234" spans="1:54" ht="45" customHeight="1">
      <c r="A234" s="609"/>
      <c r="B234" s="595"/>
      <c r="C234" s="305" t="s">
        <v>295</v>
      </c>
      <c r="D234" s="306" t="s">
        <v>296</v>
      </c>
      <c r="E234" s="306" t="s">
        <v>297</v>
      </c>
      <c r="F234" s="306" t="s">
        <v>298</v>
      </c>
      <c r="G234" s="306" t="s">
        <v>299</v>
      </c>
      <c r="H234" s="306" t="s">
        <v>300</v>
      </c>
      <c r="I234" s="306" t="s">
        <v>301</v>
      </c>
      <c r="J234" s="306" t="s">
        <v>302</v>
      </c>
      <c r="K234" s="306" t="s">
        <v>303</v>
      </c>
      <c r="L234" s="306" t="s">
        <v>304</v>
      </c>
      <c r="M234" s="306" t="s">
        <v>305</v>
      </c>
      <c r="N234" s="306" t="s">
        <v>306</v>
      </c>
      <c r="O234" s="306" t="s">
        <v>307</v>
      </c>
      <c r="P234" s="306" t="s">
        <v>308</v>
      </c>
      <c r="Q234" s="306" t="s">
        <v>309</v>
      </c>
      <c r="R234" s="306" t="s">
        <v>314</v>
      </c>
      <c r="S234" s="306"/>
      <c r="T234" s="306"/>
      <c r="U234" s="306"/>
      <c r="V234" s="307"/>
      <c r="W234" s="308" t="s">
        <v>310</v>
      </c>
      <c r="X234" s="309" t="s">
        <v>311</v>
      </c>
      <c r="Y234" s="310" t="s">
        <v>312</v>
      </c>
      <c r="Z234" s="607"/>
      <c r="AA234" s="301"/>
      <c r="AB234" s="609"/>
      <c r="AC234" s="595"/>
      <c r="AD234" s="305" t="s">
        <v>295</v>
      </c>
      <c r="AE234" s="306" t="s">
        <v>296</v>
      </c>
      <c r="AF234" s="306" t="s">
        <v>297</v>
      </c>
      <c r="AG234" s="306" t="s">
        <v>298</v>
      </c>
      <c r="AH234" s="306" t="s">
        <v>299</v>
      </c>
      <c r="AI234" s="306" t="s">
        <v>300</v>
      </c>
      <c r="AJ234" s="306" t="s">
        <v>301</v>
      </c>
      <c r="AK234" s="306" t="s">
        <v>302</v>
      </c>
      <c r="AL234" s="306" t="s">
        <v>303</v>
      </c>
      <c r="AM234" s="306" t="s">
        <v>304</v>
      </c>
      <c r="AN234" s="306" t="s">
        <v>305</v>
      </c>
      <c r="AO234" s="306" t="s">
        <v>306</v>
      </c>
      <c r="AP234" s="306" t="s">
        <v>307</v>
      </c>
      <c r="AQ234" s="306" t="s">
        <v>308</v>
      </c>
      <c r="AR234" s="306" t="s">
        <v>309</v>
      </c>
      <c r="AS234" s="306"/>
      <c r="AT234" s="306"/>
      <c r="AU234" s="306"/>
      <c r="AV234" s="306"/>
      <c r="AW234" s="307"/>
      <c r="AX234" s="308" t="s">
        <v>310</v>
      </c>
      <c r="AY234" s="309" t="s">
        <v>311</v>
      </c>
      <c r="AZ234" s="310" t="s">
        <v>312</v>
      </c>
      <c r="BA234" s="607"/>
      <c r="BB234" s="301"/>
    </row>
    <row r="235" spans="1:54" ht="9" customHeight="1">
      <c r="A235" s="583">
        <v>1</v>
      </c>
      <c r="B235" s="584" t="str">
        <f>B123</f>
        <v>ગોહેલ રાજેશભાઇ ચીથરભાઇ</v>
      </c>
      <c r="C235" s="311"/>
      <c r="D235" s="312"/>
      <c r="E235" s="312"/>
      <c r="F235" s="312"/>
      <c r="G235" s="312"/>
      <c r="H235" s="312"/>
      <c r="I235" s="312"/>
      <c r="J235" s="312"/>
      <c r="K235" s="312"/>
      <c r="L235" s="312"/>
      <c r="M235" s="312"/>
      <c r="N235" s="312"/>
      <c r="O235" s="312"/>
      <c r="P235" s="312"/>
      <c r="Q235" s="312"/>
      <c r="R235" s="312"/>
      <c r="S235" s="312"/>
      <c r="T235" s="312"/>
      <c r="U235" s="312"/>
      <c r="V235" s="313"/>
      <c r="W235" s="587">
        <f>'A-CALC'!V216</f>
        <v>0</v>
      </c>
      <c r="X235" s="590">
        <f>'A-CALC'!W216</f>
        <v>0</v>
      </c>
      <c r="Y235" s="590">
        <f>'A-CALC'!X216</f>
        <v>0</v>
      </c>
      <c r="Z235" s="593">
        <f>ROUND((40/$Y$7)*W235,0)</f>
        <v>0</v>
      </c>
      <c r="AA235" s="301"/>
      <c r="AB235" s="583">
        <v>1</v>
      </c>
      <c r="AC235" s="584" t="str">
        <f>AC123</f>
        <v>ગોહેલ રાજેશભાઇ ચીથરભાઇ</v>
      </c>
      <c r="AD235" s="311"/>
      <c r="AE235" s="312"/>
      <c r="AF235" s="312"/>
      <c r="AG235" s="312"/>
      <c r="AH235" s="312"/>
      <c r="AI235" s="312"/>
      <c r="AJ235" s="312"/>
      <c r="AK235" s="312"/>
      <c r="AL235" s="312"/>
      <c r="AM235" s="312"/>
      <c r="AN235" s="312"/>
      <c r="AO235" s="312"/>
      <c r="AP235" s="312"/>
      <c r="AQ235" s="312"/>
      <c r="AR235" s="312"/>
      <c r="AS235" s="312"/>
      <c r="AT235" s="312"/>
      <c r="AU235" s="312"/>
      <c r="AV235" s="312"/>
      <c r="AW235" s="313"/>
      <c r="AX235" s="587">
        <f>'A-CALC'!AU216</f>
        <v>0</v>
      </c>
      <c r="AY235" s="590">
        <f>'A-CALC'!AV216</f>
        <v>0</v>
      </c>
      <c r="AZ235" s="590">
        <f>'A-CALC'!AW216</f>
        <v>0</v>
      </c>
      <c r="BA235" s="593">
        <f>ROUND((40/$Y$7)*AX235,0)</f>
        <v>0</v>
      </c>
      <c r="BB235" s="301"/>
    </row>
    <row r="236" spans="1:54" ht="9" customHeight="1">
      <c r="A236" s="583"/>
      <c r="B236" s="585"/>
      <c r="C236" s="314"/>
      <c r="D236" s="315"/>
      <c r="E236" s="315"/>
      <c r="F236" s="315"/>
      <c r="G236" s="315"/>
      <c r="H236" s="315"/>
      <c r="I236" s="315"/>
      <c r="J236" s="315"/>
      <c r="K236" s="315"/>
      <c r="L236" s="315"/>
      <c r="M236" s="315"/>
      <c r="N236" s="315"/>
      <c r="O236" s="315"/>
      <c r="P236" s="315"/>
      <c r="Q236" s="315"/>
      <c r="R236" s="315"/>
      <c r="S236" s="315"/>
      <c r="T236" s="315"/>
      <c r="U236" s="315"/>
      <c r="V236" s="316"/>
      <c r="W236" s="588"/>
      <c r="X236" s="591"/>
      <c r="Y236" s="591"/>
      <c r="Z236" s="594"/>
      <c r="AA236" s="301"/>
      <c r="AB236" s="583"/>
      <c r="AC236" s="585"/>
      <c r="AD236" s="314"/>
      <c r="AE236" s="315"/>
      <c r="AF236" s="315"/>
      <c r="AG236" s="315"/>
      <c r="AH236" s="315"/>
      <c r="AI236" s="315"/>
      <c r="AJ236" s="315"/>
      <c r="AK236" s="315"/>
      <c r="AL236" s="315"/>
      <c r="AM236" s="315"/>
      <c r="AN236" s="315"/>
      <c r="AO236" s="315"/>
      <c r="AP236" s="315"/>
      <c r="AQ236" s="315"/>
      <c r="AR236" s="315"/>
      <c r="AS236" s="315"/>
      <c r="AT236" s="315"/>
      <c r="AU236" s="315"/>
      <c r="AV236" s="315"/>
      <c r="AW236" s="316"/>
      <c r="AX236" s="588"/>
      <c r="AY236" s="591"/>
      <c r="AZ236" s="591"/>
      <c r="BA236" s="594"/>
      <c r="BB236" s="301"/>
    </row>
    <row r="237" spans="1:54" ht="9" customHeight="1">
      <c r="A237" s="583"/>
      <c r="B237" s="586"/>
      <c r="C237" s="317"/>
      <c r="D237" s="318"/>
      <c r="E237" s="318"/>
      <c r="F237" s="318"/>
      <c r="G237" s="318"/>
      <c r="H237" s="318"/>
      <c r="I237" s="318"/>
      <c r="J237" s="318"/>
      <c r="K237" s="318"/>
      <c r="L237" s="318"/>
      <c r="M237" s="318"/>
      <c r="N237" s="318"/>
      <c r="O237" s="318"/>
      <c r="P237" s="318"/>
      <c r="Q237" s="318"/>
      <c r="R237" s="318"/>
      <c r="S237" s="318"/>
      <c r="T237" s="318"/>
      <c r="U237" s="318"/>
      <c r="V237" s="319"/>
      <c r="W237" s="589"/>
      <c r="X237" s="592"/>
      <c r="Y237" s="592"/>
      <c r="Z237" s="594"/>
      <c r="AA237" s="301"/>
      <c r="AB237" s="583"/>
      <c r="AC237" s="586"/>
      <c r="AD237" s="317"/>
      <c r="AE237" s="318"/>
      <c r="AF237" s="318"/>
      <c r="AG237" s="318"/>
      <c r="AH237" s="318"/>
      <c r="AI237" s="318"/>
      <c r="AJ237" s="318"/>
      <c r="AK237" s="318"/>
      <c r="AL237" s="318"/>
      <c r="AM237" s="318"/>
      <c r="AN237" s="318"/>
      <c r="AO237" s="318"/>
      <c r="AP237" s="318"/>
      <c r="AQ237" s="318"/>
      <c r="AR237" s="318"/>
      <c r="AS237" s="318"/>
      <c r="AT237" s="318"/>
      <c r="AU237" s="318"/>
      <c r="AV237" s="318"/>
      <c r="AW237" s="319"/>
      <c r="AX237" s="589"/>
      <c r="AY237" s="592"/>
      <c r="AZ237" s="592"/>
      <c r="BA237" s="594"/>
      <c r="BB237" s="301"/>
    </row>
    <row r="238" spans="1:54" ht="9" customHeight="1">
      <c r="A238" s="583">
        <v>2</v>
      </c>
      <c r="B238" s="584" t="str">
        <f t="shared" ref="B238" si="165">B126</f>
        <v>ખિમસુરીયા સાહિલકુમાર અરજણભાઇ</v>
      </c>
      <c r="C238" s="311"/>
      <c r="D238" s="312"/>
      <c r="E238" s="312"/>
      <c r="F238" s="312"/>
      <c r="G238" s="312"/>
      <c r="H238" s="312"/>
      <c r="I238" s="312"/>
      <c r="J238" s="312"/>
      <c r="K238" s="312"/>
      <c r="L238" s="312"/>
      <c r="M238" s="312"/>
      <c r="N238" s="312"/>
      <c r="O238" s="312"/>
      <c r="P238" s="312"/>
      <c r="Q238" s="312"/>
      <c r="R238" s="312"/>
      <c r="S238" s="312"/>
      <c r="T238" s="312"/>
      <c r="U238" s="312"/>
      <c r="V238" s="313"/>
      <c r="W238" s="587">
        <f>'A-CALC'!V219</f>
        <v>0</v>
      </c>
      <c r="X238" s="590">
        <f>'A-CALC'!W219</f>
        <v>0</v>
      </c>
      <c r="Y238" s="590">
        <f>'A-CALC'!X219</f>
        <v>0</v>
      </c>
      <c r="Z238" s="593">
        <f t="shared" ref="Z238" si="166">ROUND((40/$Y$7)*W238,0)</f>
        <v>0</v>
      </c>
      <c r="AA238" s="301"/>
      <c r="AB238" s="583">
        <v>2</v>
      </c>
      <c r="AC238" s="584" t="str">
        <f t="shared" ref="AC238" si="167">AC126</f>
        <v>ખિમસુરીયા સાહિલકુમાર અરજણભાઇ</v>
      </c>
      <c r="AD238" s="311"/>
      <c r="AE238" s="312"/>
      <c r="AF238" s="312"/>
      <c r="AG238" s="312"/>
      <c r="AH238" s="312"/>
      <c r="AI238" s="312"/>
      <c r="AJ238" s="312"/>
      <c r="AK238" s="312"/>
      <c r="AL238" s="312"/>
      <c r="AM238" s="312"/>
      <c r="AN238" s="312"/>
      <c r="AO238" s="312"/>
      <c r="AP238" s="312"/>
      <c r="AQ238" s="312"/>
      <c r="AR238" s="312"/>
      <c r="AS238" s="312"/>
      <c r="AT238" s="312"/>
      <c r="AU238" s="312"/>
      <c r="AV238" s="312"/>
      <c r="AW238" s="313"/>
      <c r="AX238" s="587">
        <f>'A-CALC'!AU219</f>
        <v>0</v>
      </c>
      <c r="AY238" s="590">
        <f>'A-CALC'!AV219</f>
        <v>0</v>
      </c>
      <c r="AZ238" s="590">
        <f>'A-CALC'!AW219</f>
        <v>0</v>
      </c>
      <c r="BA238" s="593">
        <f t="shared" ref="BA238" si="168">ROUND((40/$Y$7)*AX238,0)</f>
        <v>0</v>
      </c>
      <c r="BB238" s="301"/>
    </row>
    <row r="239" spans="1:54" ht="9" customHeight="1">
      <c r="A239" s="583"/>
      <c r="B239" s="585"/>
      <c r="C239" s="314"/>
      <c r="D239" s="315"/>
      <c r="E239" s="315"/>
      <c r="F239" s="315"/>
      <c r="G239" s="315"/>
      <c r="H239" s="315"/>
      <c r="I239" s="315"/>
      <c r="J239" s="315"/>
      <c r="K239" s="315"/>
      <c r="L239" s="315"/>
      <c r="M239" s="315"/>
      <c r="N239" s="315"/>
      <c r="O239" s="315"/>
      <c r="P239" s="315"/>
      <c r="Q239" s="315"/>
      <c r="R239" s="315"/>
      <c r="S239" s="315"/>
      <c r="T239" s="315"/>
      <c r="U239" s="315"/>
      <c r="V239" s="316"/>
      <c r="W239" s="588"/>
      <c r="X239" s="591"/>
      <c r="Y239" s="591"/>
      <c r="Z239" s="594"/>
      <c r="AA239" s="301"/>
      <c r="AB239" s="583"/>
      <c r="AC239" s="585"/>
      <c r="AD239" s="314"/>
      <c r="AE239" s="315"/>
      <c r="AF239" s="315"/>
      <c r="AG239" s="315"/>
      <c r="AH239" s="315"/>
      <c r="AI239" s="315"/>
      <c r="AJ239" s="315"/>
      <c r="AK239" s="315"/>
      <c r="AL239" s="315"/>
      <c r="AM239" s="315"/>
      <c r="AN239" s="315"/>
      <c r="AO239" s="315"/>
      <c r="AP239" s="315"/>
      <c r="AQ239" s="315"/>
      <c r="AR239" s="315"/>
      <c r="AS239" s="315"/>
      <c r="AT239" s="315"/>
      <c r="AU239" s="315"/>
      <c r="AV239" s="315"/>
      <c r="AW239" s="316"/>
      <c r="AX239" s="588"/>
      <c r="AY239" s="591"/>
      <c r="AZ239" s="591"/>
      <c r="BA239" s="594"/>
      <c r="BB239" s="301"/>
    </row>
    <row r="240" spans="1:54" ht="9" customHeight="1">
      <c r="A240" s="583"/>
      <c r="B240" s="586"/>
      <c r="C240" s="317"/>
      <c r="D240" s="318"/>
      <c r="E240" s="318"/>
      <c r="F240" s="318"/>
      <c r="G240" s="318"/>
      <c r="H240" s="318"/>
      <c r="I240" s="318"/>
      <c r="J240" s="318"/>
      <c r="K240" s="318"/>
      <c r="L240" s="318"/>
      <c r="M240" s="318"/>
      <c r="N240" s="318"/>
      <c r="O240" s="318"/>
      <c r="P240" s="318"/>
      <c r="Q240" s="318"/>
      <c r="R240" s="318"/>
      <c r="S240" s="318"/>
      <c r="T240" s="318"/>
      <c r="U240" s="318"/>
      <c r="V240" s="319"/>
      <c r="W240" s="589"/>
      <c r="X240" s="592"/>
      <c r="Y240" s="592"/>
      <c r="Z240" s="594"/>
      <c r="AA240" s="301"/>
      <c r="AB240" s="583"/>
      <c r="AC240" s="586"/>
      <c r="AD240" s="317"/>
      <c r="AE240" s="318"/>
      <c r="AF240" s="318"/>
      <c r="AG240" s="318"/>
      <c r="AH240" s="318"/>
      <c r="AI240" s="318"/>
      <c r="AJ240" s="318"/>
      <c r="AK240" s="318"/>
      <c r="AL240" s="318"/>
      <c r="AM240" s="318"/>
      <c r="AN240" s="318"/>
      <c r="AO240" s="318"/>
      <c r="AP240" s="318"/>
      <c r="AQ240" s="318"/>
      <c r="AR240" s="318"/>
      <c r="AS240" s="318"/>
      <c r="AT240" s="318"/>
      <c r="AU240" s="318"/>
      <c r="AV240" s="318"/>
      <c r="AW240" s="319"/>
      <c r="AX240" s="589"/>
      <c r="AY240" s="592"/>
      <c r="AZ240" s="592"/>
      <c r="BA240" s="594"/>
      <c r="BB240" s="301"/>
    </row>
    <row r="241" spans="1:54" ht="9" customHeight="1">
      <c r="A241" s="583">
        <v>3</v>
      </c>
      <c r="B241" s="584" t="str">
        <f t="shared" ref="B241" si="169">B129</f>
        <v>ગરણિયા મયુરકુમાર અશોકભાઇ</v>
      </c>
      <c r="C241" s="311"/>
      <c r="D241" s="312"/>
      <c r="E241" s="312"/>
      <c r="F241" s="312"/>
      <c r="G241" s="312"/>
      <c r="H241" s="312"/>
      <c r="I241" s="312"/>
      <c r="J241" s="312"/>
      <c r="K241" s="312"/>
      <c r="L241" s="312"/>
      <c r="M241" s="312"/>
      <c r="N241" s="312"/>
      <c r="O241" s="312"/>
      <c r="P241" s="312"/>
      <c r="Q241" s="312"/>
      <c r="R241" s="312"/>
      <c r="S241" s="312"/>
      <c r="T241" s="312"/>
      <c r="U241" s="312"/>
      <c r="V241" s="313"/>
      <c r="W241" s="587">
        <f>'A-CALC'!V222</f>
        <v>0</v>
      </c>
      <c r="X241" s="590">
        <f>'A-CALC'!W222</f>
        <v>0</v>
      </c>
      <c r="Y241" s="590">
        <f>'A-CALC'!X222</f>
        <v>0</v>
      </c>
      <c r="Z241" s="593">
        <f t="shared" ref="Z241" si="170">ROUND((40/$Y$7)*W241,0)</f>
        <v>0</v>
      </c>
      <c r="AA241" s="301"/>
      <c r="AB241" s="583">
        <v>3</v>
      </c>
      <c r="AC241" s="584" t="str">
        <f t="shared" ref="AC241" si="171">AC129</f>
        <v>ગરણિયા મયુરકુમાર અશોકભાઇ</v>
      </c>
      <c r="AD241" s="311"/>
      <c r="AE241" s="312"/>
      <c r="AF241" s="312"/>
      <c r="AG241" s="312"/>
      <c r="AH241" s="312"/>
      <c r="AI241" s="312"/>
      <c r="AJ241" s="312"/>
      <c r="AK241" s="312"/>
      <c r="AL241" s="312"/>
      <c r="AM241" s="312"/>
      <c r="AN241" s="312"/>
      <c r="AO241" s="312"/>
      <c r="AP241" s="312"/>
      <c r="AQ241" s="312"/>
      <c r="AR241" s="312"/>
      <c r="AS241" s="312"/>
      <c r="AT241" s="312"/>
      <c r="AU241" s="312"/>
      <c r="AV241" s="312"/>
      <c r="AW241" s="313"/>
      <c r="AX241" s="587">
        <f>'A-CALC'!AU222</f>
        <v>0</v>
      </c>
      <c r="AY241" s="590">
        <f>'A-CALC'!AV222</f>
        <v>0</v>
      </c>
      <c r="AZ241" s="590">
        <f>'A-CALC'!AW222</f>
        <v>0</v>
      </c>
      <c r="BA241" s="593">
        <f t="shared" ref="BA241" si="172">ROUND((40/$Y$7)*AX241,0)</f>
        <v>0</v>
      </c>
      <c r="BB241" s="301"/>
    </row>
    <row r="242" spans="1:54" ht="9" customHeight="1">
      <c r="A242" s="583"/>
      <c r="B242" s="585"/>
      <c r="C242" s="314"/>
      <c r="D242" s="315"/>
      <c r="E242" s="315"/>
      <c r="F242" s="315"/>
      <c r="G242" s="315"/>
      <c r="H242" s="315"/>
      <c r="I242" s="315"/>
      <c r="J242" s="315"/>
      <c r="K242" s="315"/>
      <c r="L242" s="315"/>
      <c r="M242" s="315"/>
      <c r="N242" s="315"/>
      <c r="O242" s="315"/>
      <c r="P242" s="315"/>
      <c r="Q242" s="315"/>
      <c r="R242" s="315"/>
      <c r="S242" s="315"/>
      <c r="T242" s="315"/>
      <c r="U242" s="315"/>
      <c r="V242" s="316"/>
      <c r="W242" s="588"/>
      <c r="X242" s="591"/>
      <c r="Y242" s="591"/>
      <c r="Z242" s="594"/>
      <c r="AA242" s="301"/>
      <c r="AB242" s="583"/>
      <c r="AC242" s="585"/>
      <c r="AD242" s="314"/>
      <c r="AE242" s="315"/>
      <c r="AF242" s="315"/>
      <c r="AG242" s="315"/>
      <c r="AH242" s="315"/>
      <c r="AI242" s="315"/>
      <c r="AJ242" s="315"/>
      <c r="AK242" s="315"/>
      <c r="AL242" s="315"/>
      <c r="AM242" s="315"/>
      <c r="AN242" s="315"/>
      <c r="AO242" s="315"/>
      <c r="AP242" s="315"/>
      <c r="AQ242" s="315"/>
      <c r="AR242" s="315"/>
      <c r="AS242" s="315"/>
      <c r="AT242" s="315"/>
      <c r="AU242" s="315"/>
      <c r="AV242" s="315"/>
      <c r="AW242" s="316"/>
      <c r="AX242" s="588"/>
      <c r="AY242" s="591"/>
      <c r="AZ242" s="591"/>
      <c r="BA242" s="594"/>
      <c r="BB242" s="301"/>
    </row>
    <row r="243" spans="1:54" ht="9" customHeight="1">
      <c r="A243" s="583"/>
      <c r="B243" s="586"/>
      <c r="C243" s="317"/>
      <c r="D243" s="318"/>
      <c r="E243" s="318"/>
      <c r="F243" s="318"/>
      <c r="G243" s="318"/>
      <c r="H243" s="318"/>
      <c r="I243" s="318"/>
      <c r="J243" s="318"/>
      <c r="K243" s="318"/>
      <c r="L243" s="318"/>
      <c r="M243" s="318"/>
      <c r="N243" s="318"/>
      <c r="O243" s="318"/>
      <c r="P243" s="318"/>
      <c r="Q243" s="318"/>
      <c r="R243" s="318"/>
      <c r="S243" s="318"/>
      <c r="T243" s="318"/>
      <c r="U243" s="318"/>
      <c r="V243" s="319"/>
      <c r="W243" s="589"/>
      <c r="X243" s="592"/>
      <c r="Y243" s="592"/>
      <c r="Z243" s="594"/>
      <c r="AA243" s="301"/>
      <c r="AB243" s="583"/>
      <c r="AC243" s="586"/>
      <c r="AD243" s="317"/>
      <c r="AE243" s="318"/>
      <c r="AF243" s="318"/>
      <c r="AG243" s="318"/>
      <c r="AH243" s="318"/>
      <c r="AI243" s="318"/>
      <c r="AJ243" s="318"/>
      <c r="AK243" s="318"/>
      <c r="AL243" s="318"/>
      <c r="AM243" s="318"/>
      <c r="AN243" s="318"/>
      <c r="AO243" s="318"/>
      <c r="AP243" s="318"/>
      <c r="AQ243" s="318"/>
      <c r="AR243" s="318"/>
      <c r="AS243" s="318"/>
      <c r="AT243" s="318"/>
      <c r="AU243" s="318"/>
      <c r="AV243" s="318"/>
      <c r="AW243" s="319"/>
      <c r="AX243" s="589"/>
      <c r="AY243" s="592"/>
      <c r="AZ243" s="592"/>
      <c r="BA243" s="594"/>
      <c r="BB243" s="301"/>
    </row>
    <row r="244" spans="1:54" ht="9" customHeight="1">
      <c r="A244" s="583">
        <v>4</v>
      </c>
      <c r="B244" s="584" t="str">
        <f t="shared" ref="B244" si="173">B132</f>
        <v>ગરણિયા અલ્પેશકુમાર મેરામભાઇ</v>
      </c>
      <c r="C244" s="311"/>
      <c r="D244" s="312"/>
      <c r="E244" s="312"/>
      <c r="F244" s="312"/>
      <c r="G244" s="312"/>
      <c r="H244" s="312"/>
      <c r="I244" s="312"/>
      <c r="J244" s="312"/>
      <c r="K244" s="312"/>
      <c r="L244" s="312"/>
      <c r="M244" s="312"/>
      <c r="N244" s="312"/>
      <c r="O244" s="312"/>
      <c r="P244" s="312"/>
      <c r="Q244" s="312"/>
      <c r="R244" s="312"/>
      <c r="S244" s="312"/>
      <c r="T244" s="312"/>
      <c r="U244" s="312"/>
      <c r="V244" s="313"/>
      <c r="W244" s="587">
        <f>'A-CALC'!V225</f>
        <v>0</v>
      </c>
      <c r="X244" s="590">
        <f>'A-CALC'!W225</f>
        <v>0</v>
      </c>
      <c r="Y244" s="590">
        <f>'A-CALC'!X225</f>
        <v>0</v>
      </c>
      <c r="Z244" s="593">
        <f t="shared" ref="Z244" si="174">ROUND((40/$Y$7)*W244,0)</f>
        <v>0</v>
      </c>
      <c r="AA244" s="301"/>
      <c r="AB244" s="583">
        <v>4</v>
      </c>
      <c r="AC244" s="584" t="str">
        <f t="shared" ref="AC244" si="175">AC132</f>
        <v>ગરણિયા અલ્પેશકુમાર મેરામભાઇ</v>
      </c>
      <c r="AD244" s="311"/>
      <c r="AE244" s="312"/>
      <c r="AF244" s="312"/>
      <c r="AG244" s="312"/>
      <c r="AH244" s="312"/>
      <c r="AI244" s="312"/>
      <c r="AJ244" s="312"/>
      <c r="AK244" s="312"/>
      <c r="AL244" s="312"/>
      <c r="AM244" s="312"/>
      <c r="AN244" s="312"/>
      <c r="AO244" s="312"/>
      <c r="AP244" s="312"/>
      <c r="AQ244" s="312"/>
      <c r="AR244" s="312"/>
      <c r="AS244" s="312"/>
      <c r="AT244" s="312"/>
      <c r="AU244" s="312"/>
      <c r="AV244" s="312"/>
      <c r="AW244" s="313"/>
      <c r="AX244" s="587">
        <f>'A-CALC'!AU225</f>
        <v>0</v>
      </c>
      <c r="AY244" s="590">
        <f>'A-CALC'!AV225</f>
        <v>0</v>
      </c>
      <c r="AZ244" s="590">
        <f>'A-CALC'!AW225</f>
        <v>0</v>
      </c>
      <c r="BA244" s="593">
        <f t="shared" ref="BA244" si="176">ROUND((40/$Y$7)*AX244,0)</f>
        <v>0</v>
      </c>
      <c r="BB244" s="301"/>
    </row>
    <row r="245" spans="1:54" ht="9" customHeight="1">
      <c r="A245" s="583"/>
      <c r="B245" s="585"/>
      <c r="C245" s="314"/>
      <c r="D245" s="315"/>
      <c r="E245" s="315"/>
      <c r="F245" s="315"/>
      <c r="G245" s="315"/>
      <c r="H245" s="315"/>
      <c r="I245" s="315"/>
      <c r="J245" s="315"/>
      <c r="K245" s="315"/>
      <c r="L245" s="315"/>
      <c r="M245" s="315"/>
      <c r="N245" s="315"/>
      <c r="O245" s="315"/>
      <c r="P245" s="315"/>
      <c r="Q245" s="315"/>
      <c r="R245" s="315"/>
      <c r="S245" s="315"/>
      <c r="T245" s="315"/>
      <c r="U245" s="315"/>
      <c r="V245" s="316"/>
      <c r="W245" s="588"/>
      <c r="X245" s="591"/>
      <c r="Y245" s="591"/>
      <c r="Z245" s="594"/>
      <c r="AA245" s="301"/>
      <c r="AB245" s="583"/>
      <c r="AC245" s="585"/>
      <c r="AD245" s="314"/>
      <c r="AE245" s="315"/>
      <c r="AF245" s="315"/>
      <c r="AG245" s="315"/>
      <c r="AH245" s="315"/>
      <c r="AI245" s="315"/>
      <c r="AJ245" s="315"/>
      <c r="AK245" s="315"/>
      <c r="AL245" s="315"/>
      <c r="AM245" s="315"/>
      <c r="AN245" s="315"/>
      <c r="AO245" s="315"/>
      <c r="AP245" s="315"/>
      <c r="AQ245" s="315"/>
      <c r="AR245" s="315"/>
      <c r="AS245" s="315"/>
      <c r="AT245" s="315"/>
      <c r="AU245" s="315"/>
      <c r="AV245" s="315"/>
      <c r="AW245" s="316"/>
      <c r="AX245" s="588"/>
      <c r="AY245" s="591"/>
      <c r="AZ245" s="591"/>
      <c r="BA245" s="594"/>
      <c r="BB245" s="301"/>
    </row>
    <row r="246" spans="1:54" ht="9" customHeight="1">
      <c r="A246" s="583"/>
      <c r="B246" s="586"/>
      <c r="C246" s="317"/>
      <c r="D246" s="318"/>
      <c r="E246" s="318"/>
      <c r="F246" s="318"/>
      <c r="G246" s="318"/>
      <c r="H246" s="318"/>
      <c r="I246" s="318"/>
      <c r="J246" s="318"/>
      <c r="K246" s="318"/>
      <c r="L246" s="318"/>
      <c r="M246" s="318"/>
      <c r="N246" s="318"/>
      <c r="O246" s="318"/>
      <c r="P246" s="318"/>
      <c r="Q246" s="318"/>
      <c r="R246" s="318"/>
      <c r="S246" s="318"/>
      <c r="T246" s="318"/>
      <c r="U246" s="318"/>
      <c r="V246" s="319"/>
      <c r="W246" s="589"/>
      <c r="X246" s="592"/>
      <c r="Y246" s="592"/>
      <c r="Z246" s="594"/>
      <c r="AA246" s="301"/>
      <c r="AB246" s="583"/>
      <c r="AC246" s="586"/>
      <c r="AD246" s="317"/>
      <c r="AE246" s="318"/>
      <c r="AF246" s="318"/>
      <c r="AG246" s="318"/>
      <c r="AH246" s="318"/>
      <c r="AI246" s="318"/>
      <c r="AJ246" s="318"/>
      <c r="AK246" s="318"/>
      <c r="AL246" s="318"/>
      <c r="AM246" s="318"/>
      <c r="AN246" s="318"/>
      <c r="AO246" s="318"/>
      <c r="AP246" s="318"/>
      <c r="AQ246" s="318"/>
      <c r="AR246" s="318"/>
      <c r="AS246" s="318"/>
      <c r="AT246" s="318"/>
      <c r="AU246" s="318"/>
      <c r="AV246" s="318"/>
      <c r="AW246" s="319"/>
      <c r="AX246" s="589"/>
      <c r="AY246" s="592"/>
      <c r="AZ246" s="592"/>
      <c r="BA246" s="594"/>
      <c r="BB246" s="301"/>
    </row>
    <row r="247" spans="1:54" ht="9" customHeight="1">
      <c r="A247" s="583">
        <v>5</v>
      </c>
      <c r="B247" s="584" t="str">
        <f t="shared" ref="B247" si="177">B135</f>
        <v>ગરણિયા મિલન પોપટભાઇ</v>
      </c>
      <c r="C247" s="311"/>
      <c r="D247" s="312"/>
      <c r="E247" s="312"/>
      <c r="F247" s="312"/>
      <c r="G247" s="312"/>
      <c r="H247" s="312"/>
      <c r="I247" s="312"/>
      <c r="J247" s="312"/>
      <c r="K247" s="312"/>
      <c r="L247" s="312"/>
      <c r="M247" s="312"/>
      <c r="N247" s="312"/>
      <c r="O247" s="312"/>
      <c r="P247" s="312"/>
      <c r="Q247" s="312"/>
      <c r="R247" s="312"/>
      <c r="S247" s="312"/>
      <c r="T247" s="312"/>
      <c r="U247" s="312"/>
      <c r="V247" s="313"/>
      <c r="W247" s="587">
        <f>'A-CALC'!V228</f>
        <v>0</v>
      </c>
      <c r="X247" s="590">
        <f>'A-CALC'!W228</f>
        <v>0</v>
      </c>
      <c r="Y247" s="590">
        <f>'A-CALC'!X228</f>
        <v>0</v>
      </c>
      <c r="Z247" s="593">
        <f t="shared" ref="Z247" si="178">ROUND((40/$Y$7)*W247,0)</f>
        <v>0</v>
      </c>
      <c r="AA247" s="301"/>
      <c r="AB247" s="583">
        <v>5</v>
      </c>
      <c r="AC247" s="584" t="str">
        <f t="shared" ref="AC247" si="179">AC135</f>
        <v>ગરણિયા મિલન પોપટભાઇ</v>
      </c>
      <c r="AD247" s="311"/>
      <c r="AE247" s="312"/>
      <c r="AF247" s="312"/>
      <c r="AG247" s="312"/>
      <c r="AH247" s="312"/>
      <c r="AI247" s="312"/>
      <c r="AJ247" s="312"/>
      <c r="AK247" s="312"/>
      <c r="AL247" s="312"/>
      <c r="AM247" s="312"/>
      <c r="AN247" s="312"/>
      <c r="AO247" s="312"/>
      <c r="AP247" s="312"/>
      <c r="AQ247" s="312"/>
      <c r="AR247" s="312"/>
      <c r="AS247" s="312"/>
      <c r="AT247" s="312"/>
      <c r="AU247" s="312"/>
      <c r="AV247" s="312"/>
      <c r="AW247" s="313"/>
      <c r="AX247" s="587">
        <f>'A-CALC'!AU228</f>
        <v>0</v>
      </c>
      <c r="AY247" s="590">
        <f>'A-CALC'!AV228</f>
        <v>0</v>
      </c>
      <c r="AZ247" s="590">
        <f>'A-CALC'!AW228</f>
        <v>0</v>
      </c>
      <c r="BA247" s="593">
        <f t="shared" ref="BA247" si="180">ROUND((40/$Y$7)*AX247,0)</f>
        <v>0</v>
      </c>
      <c r="BB247" s="301"/>
    </row>
    <row r="248" spans="1:54" ht="9" customHeight="1">
      <c r="A248" s="583"/>
      <c r="B248" s="585"/>
      <c r="C248" s="314"/>
      <c r="D248" s="315"/>
      <c r="E248" s="315"/>
      <c r="F248" s="315"/>
      <c r="G248" s="315"/>
      <c r="H248" s="315"/>
      <c r="I248" s="315"/>
      <c r="J248" s="315"/>
      <c r="K248" s="315"/>
      <c r="L248" s="315"/>
      <c r="M248" s="315"/>
      <c r="N248" s="315"/>
      <c r="O248" s="315"/>
      <c r="P248" s="315"/>
      <c r="Q248" s="315"/>
      <c r="R248" s="315"/>
      <c r="S248" s="315"/>
      <c r="T248" s="315"/>
      <c r="U248" s="315"/>
      <c r="V248" s="316"/>
      <c r="W248" s="588"/>
      <c r="X248" s="591"/>
      <c r="Y248" s="591"/>
      <c r="Z248" s="594"/>
      <c r="AA248" s="301"/>
      <c r="AB248" s="583"/>
      <c r="AC248" s="585"/>
      <c r="AD248" s="314"/>
      <c r="AE248" s="315"/>
      <c r="AF248" s="315"/>
      <c r="AG248" s="315"/>
      <c r="AH248" s="315"/>
      <c r="AI248" s="315"/>
      <c r="AJ248" s="315"/>
      <c r="AK248" s="315"/>
      <c r="AL248" s="315"/>
      <c r="AM248" s="315"/>
      <c r="AN248" s="315"/>
      <c r="AO248" s="315"/>
      <c r="AP248" s="315"/>
      <c r="AQ248" s="315"/>
      <c r="AR248" s="315"/>
      <c r="AS248" s="315"/>
      <c r="AT248" s="315"/>
      <c r="AU248" s="315"/>
      <c r="AV248" s="315"/>
      <c r="AW248" s="316"/>
      <c r="AX248" s="588"/>
      <c r="AY248" s="591"/>
      <c r="AZ248" s="591"/>
      <c r="BA248" s="594"/>
      <c r="BB248" s="301"/>
    </row>
    <row r="249" spans="1:54" ht="9" customHeight="1">
      <c r="A249" s="583"/>
      <c r="B249" s="586"/>
      <c r="C249" s="317"/>
      <c r="D249" s="318"/>
      <c r="E249" s="318"/>
      <c r="F249" s="318"/>
      <c r="G249" s="318"/>
      <c r="H249" s="318"/>
      <c r="I249" s="318"/>
      <c r="J249" s="318"/>
      <c r="K249" s="318"/>
      <c r="L249" s="318"/>
      <c r="M249" s="318"/>
      <c r="N249" s="318"/>
      <c r="O249" s="318"/>
      <c r="P249" s="318"/>
      <c r="Q249" s="318"/>
      <c r="R249" s="318"/>
      <c r="S249" s="318"/>
      <c r="T249" s="318"/>
      <c r="U249" s="318"/>
      <c r="V249" s="319"/>
      <c r="W249" s="589"/>
      <c r="X249" s="592"/>
      <c r="Y249" s="592"/>
      <c r="Z249" s="594"/>
      <c r="AA249" s="301"/>
      <c r="AB249" s="583"/>
      <c r="AC249" s="586"/>
      <c r="AD249" s="317"/>
      <c r="AE249" s="318"/>
      <c r="AF249" s="318"/>
      <c r="AG249" s="318"/>
      <c r="AH249" s="318"/>
      <c r="AI249" s="318"/>
      <c r="AJ249" s="318"/>
      <c r="AK249" s="318"/>
      <c r="AL249" s="318"/>
      <c r="AM249" s="318"/>
      <c r="AN249" s="318"/>
      <c r="AO249" s="318"/>
      <c r="AP249" s="318"/>
      <c r="AQ249" s="318"/>
      <c r="AR249" s="318"/>
      <c r="AS249" s="318"/>
      <c r="AT249" s="318"/>
      <c r="AU249" s="318"/>
      <c r="AV249" s="318"/>
      <c r="AW249" s="319"/>
      <c r="AX249" s="589"/>
      <c r="AY249" s="592"/>
      <c r="AZ249" s="592"/>
      <c r="BA249" s="594"/>
      <c r="BB249" s="301"/>
    </row>
    <row r="250" spans="1:54" ht="9" customHeight="1">
      <c r="A250" s="583">
        <v>6</v>
      </c>
      <c r="B250" s="584" t="str">
        <f t="shared" ref="B250" si="181">B138</f>
        <v>ગરણિયા મોહિત રાવતભાઇ</v>
      </c>
      <c r="C250" s="311"/>
      <c r="D250" s="312"/>
      <c r="E250" s="312"/>
      <c r="F250" s="312"/>
      <c r="G250" s="312"/>
      <c r="H250" s="312"/>
      <c r="I250" s="312"/>
      <c r="J250" s="312"/>
      <c r="K250" s="312"/>
      <c r="L250" s="312"/>
      <c r="M250" s="312"/>
      <c r="N250" s="312"/>
      <c r="O250" s="312"/>
      <c r="P250" s="312"/>
      <c r="Q250" s="312"/>
      <c r="R250" s="312"/>
      <c r="S250" s="312"/>
      <c r="T250" s="312"/>
      <c r="U250" s="312"/>
      <c r="V250" s="313"/>
      <c r="W250" s="587">
        <f>'A-CALC'!V231</f>
        <v>0</v>
      </c>
      <c r="X250" s="590">
        <f>'A-CALC'!W231</f>
        <v>0</v>
      </c>
      <c r="Y250" s="590">
        <f>'A-CALC'!X231</f>
        <v>0</v>
      </c>
      <c r="Z250" s="593">
        <f t="shared" ref="Z250" si="182">ROUND((40/$Y$7)*W250,0)</f>
        <v>0</v>
      </c>
      <c r="AA250" s="301"/>
      <c r="AB250" s="583">
        <v>6</v>
      </c>
      <c r="AC250" s="584" t="str">
        <f t="shared" ref="AC250" si="183">AC138</f>
        <v>ગરણિયા મોહિત રાવતભાઇ</v>
      </c>
      <c r="AD250" s="311"/>
      <c r="AE250" s="312"/>
      <c r="AF250" s="312"/>
      <c r="AG250" s="312"/>
      <c r="AH250" s="312"/>
      <c r="AI250" s="312"/>
      <c r="AJ250" s="312"/>
      <c r="AK250" s="312"/>
      <c r="AL250" s="312"/>
      <c r="AM250" s="312"/>
      <c r="AN250" s="312"/>
      <c r="AO250" s="312"/>
      <c r="AP250" s="312"/>
      <c r="AQ250" s="312"/>
      <c r="AR250" s="312"/>
      <c r="AS250" s="312"/>
      <c r="AT250" s="312"/>
      <c r="AU250" s="312"/>
      <c r="AV250" s="312"/>
      <c r="AW250" s="313"/>
      <c r="AX250" s="587">
        <f>'A-CALC'!AU231</f>
        <v>0</v>
      </c>
      <c r="AY250" s="590">
        <f>'A-CALC'!AV231</f>
        <v>0</v>
      </c>
      <c r="AZ250" s="590">
        <f>'A-CALC'!AW231</f>
        <v>0</v>
      </c>
      <c r="BA250" s="593">
        <f t="shared" ref="BA250" si="184">ROUND((40/$Y$7)*AX250,0)</f>
        <v>0</v>
      </c>
      <c r="BB250" s="301"/>
    </row>
    <row r="251" spans="1:54" ht="9" customHeight="1">
      <c r="A251" s="583"/>
      <c r="B251" s="585"/>
      <c r="C251" s="314"/>
      <c r="D251" s="315"/>
      <c r="E251" s="315"/>
      <c r="F251" s="315"/>
      <c r="G251" s="315"/>
      <c r="H251" s="315"/>
      <c r="I251" s="315"/>
      <c r="J251" s="315"/>
      <c r="K251" s="315"/>
      <c r="L251" s="315"/>
      <c r="M251" s="315"/>
      <c r="N251" s="315"/>
      <c r="O251" s="315"/>
      <c r="P251" s="315"/>
      <c r="Q251" s="315"/>
      <c r="R251" s="315"/>
      <c r="S251" s="315"/>
      <c r="T251" s="315"/>
      <c r="U251" s="315"/>
      <c r="V251" s="316"/>
      <c r="W251" s="588"/>
      <c r="X251" s="591"/>
      <c r="Y251" s="591"/>
      <c r="Z251" s="594"/>
      <c r="AA251" s="301"/>
      <c r="AB251" s="583"/>
      <c r="AC251" s="585"/>
      <c r="AD251" s="314"/>
      <c r="AE251" s="315"/>
      <c r="AF251" s="315"/>
      <c r="AG251" s="315"/>
      <c r="AH251" s="315"/>
      <c r="AI251" s="315"/>
      <c r="AJ251" s="315"/>
      <c r="AK251" s="315"/>
      <c r="AL251" s="315"/>
      <c r="AM251" s="315"/>
      <c r="AN251" s="315"/>
      <c r="AO251" s="315"/>
      <c r="AP251" s="315"/>
      <c r="AQ251" s="315"/>
      <c r="AR251" s="315"/>
      <c r="AS251" s="315"/>
      <c r="AT251" s="315"/>
      <c r="AU251" s="315"/>
      <c r="AV251" s="315"/>
      <c r="AW251" s="316"/>
      <c r="AX251" s="588"/>
      <c r="AY251" s="591"/>
      <c r="AZ251" s="591"/>
      <c r="BA251" s="594"/>
      <c r="BB251" s="301"/>
    </row>
    <row r="252" spans="1:54" ht="9" customHeight="1">
      <c r="A252" s="583"/>
      <c r="B252" s="586"/>
      <c r="C252" s="317"/>
      <c r="D252" s="318"/>
      <c r="E252" s="318"/>
      <c r="F252" s="318"/>
      <c r="G252" s="318"/>
      <c r="H252" s="318"/>
      <c r="I252" s="318"/>
      <c r="J252" s="318"/>
      <c r="K252" s="318"/>
      <c r="L252" s="318"/>
      <c r="M252" s="318"/>
      <c r="N252" s="318"/>
      <c r="O252" s="318"/>
      <c r="P252" s="318"/>
      <c r="Q252" s="318"/>
      <c r="R252" s="318"/>
      <c r="S252" s="318"/>
      <c r="T252" s="318"/>
      <c r="U252" s="318"/>
      <c r="V252" s="319"/>
      <c r="W252" s="589"/>
      <c r="X252" s="592"/>
      <c r="Y252" s="592"/>
      <c r="Z252" s="594"/>
      <c r="AA252" s="301"/>
      <c r="AB252" s="583"/>
      <c r="AC252" s="586"/>
      <c r="AD252" s="317"/>
      <c r="AE252" s="318"/>
      <c r="AF252" s="318"/>
      <c r="AG252" s="318"/>
      <c r="AH252" s="318"/>
      <c r="AI252" s="318"/>
      <c r="AJ252" s="318"/>
      <c r="AK252" s="318"/>
      <c r="AL252" s="318"/>
      <c r="AM252" s="318"/>
      <c r="AN252" s="318"/>
      <c r="AO252" s="318"/>
      <c r="AP252" s="318"/>
      <c r="AQ252" s="318"/>
      <c r="AR252" s="318"/>
      <c r="AS252" s="318"/>
      <c r="AT252" s="318"/>
      <c r="AU252" s="318"/>
      <c r="AV252" s="318"/>
      <c r="AW252" s="319"/>
      <c r="AX252" s="589"/>
      <c r="AY252" s="592"/>
      <c r="AZ252" s="592"/>
      <c r="BA252" s="594"/>
      <c r="BB252" s="301"/>
    </row>
    <row r="253" spans="1:54" ht="9" customHeight="1">
      <c r="A253" s="583">
        <v>7</v>
      </c>
      <c r="B253" s="584" t="str">
        <f t="shared" ref="B253" si="185">B141</f>
        <v>ગરણિયા સુમિત પોપટભાઇ</v>
      </c>
      <c r="C253" s="311"/>
      <c r="D253" s="312"/>
      <c r="E253" s="312"/>
      <c r="F253" s="312"/>
      <c r="G253" s="312"/>
      <c r="H253" s="312"/>
      <c r="I253" s="312"/>
      <c r="J253" s="312"/>
      <c r="K253" s="312"/>
      <c r="L253" s="312"/>
      <c r="M253" s="312"/>
      <c r="N253" s="312"/>
      <c r="O253" s="312"/>
      <c r="P253" s="312"/>
      <c r="Q253" s="312"/>
      <c r="R253" s="312"/>
      <c r="S253" s="312"/>
      <c r="T253" s="312"/>
      <c r="U253" s="312"/>
      <c r="V253" s="313"/>
      <c r="W253" s="587">
        <f>'A-CALC'!V234</f>
        <v>0</v>
      </c>
      <c r="X253" s="590">
        <f>'A-CALC'!W234</f>
        <v>0</v>
      </c>
      <c r="Y253" s="590">
        <f>'A-CALC'!X234</f>
        <v>0</v>
      </c>
      <c r="Z253" s="593">
        <f t="shared" ref="Z253" si="186">ROUND((40/$Y$7)*W253,0)</f>
        <v>0</v>
      </c>
      <c r="AA253" s="301"/>
      <c r="AB253" s="583">
        <v>7</v>
      </c>
      <c r="AC253" s="584" t="str">
        <f t="shared" ref="AC253" si="187">AC141</f>
        <v>ગરણિયા સુમિત પોપટભાઇ</v>
      </c>
      <c r="AD253" s="311"/>
      <c r="AE253" s="312"/>
      <c r="AF253" s="312"/>
      <c r="AG253" s="312"/>
      <c r="AH253" s="312"/>
      <c r="AI253" s="312"/>
      <c r="AJ253" s="312"/>
      <c r="AK253" s="312"/>
      <c r="AL253" s="312"/>
      <c r="AM253" s="312"/>
      <c r="AN253" s="312"/>
      <c r="AO253" s="312"/>
      <c r="AP253" s="312"/>
      <c r="AQ253" s="312"/>
      <c r="AR253" s="312"/>
      <c r="AS253" s="312"/>
      <c r="AT253" s="312"/>
      <c r="AU253" s="312"/>
      <c r="AV253" s="312"/>
      <c r="AW253" s="313"/>
      <c r="AX253" s="587">
        <f>'A-CALC'!AU234</f>
        <v>0</v>
      </c>
      <c r="AY253" s="590">
        <f>'A-CALC'!AV234</f>
        <v>0</v>
      </c>
      <c r="AZ253" s="590">
        <f>'A-CALC'!AW234</f>
        <v>0</v>
      </c>
      <c r="BA253" s="593">
        <f t="shared" ref="BA253" si="188">ROUND((40/$Y$7)*AX253,0)</f>
        <v>0</v>
      </c>
      <c r="BB253" s="301"/>
    </row>
    <row r="254" spans="1:54" ht="9" customHeight="1">
      <c r="A254" s="583"/>
      <c r="B254" s="585"/>
      <c r="C254" s="314"/>
      <c r="D254" s="315"/>
      <c r="E254" s="315"/>
      <c r="F254" s="315"/>
      <c r="G254" s="315"/>
      <c r="H254" s="315"/>
      <c r="I254" s="315"/>
      <c r="J254" s="315"/>
      <c r="K254" s="315"/>
      <c r="L254" s="315"/>
      <c r="M254" s="315"/>
      <c r="N254" s="315"/>
      <c r="O254" s="315"/>
      <c r="P254" s="315"/>
      <c r="Q254" s="315"/>
      <c r="R254" s="315"/>
      <c r="S254" s="315"/>
      <c r="T254" s="315"/>
      <c r="U254" s="315"/>
      <c r="V254" s="316"/>
      <c r="W254" s="588"/>
      <c r="X254" s="591"/>
      <c r="Y254" s="591"/>
      <c r="Z254" s="594"/>
      <c r="AA254" s="301"/>
      <c r="AB254" s="583"/>
      <c r="AC254" s="585"/>
      <c r="AD254" s="314"/>
      <c r="AE254" s="315"/>
      <c r="AF254" s="315"/>
      <c r="AG254" s="315"/>
      <c r="AH254" s="315"/>
      <c r="AI254" s="315"/>
      <c r="AJ254" s="315"/>
      <c r="AK254" s="315"/>
      <c r="AL254" s="315"/>
      <c r="AM254" s="315"/>
      <c r="AN254" s="315"/>
      <c r="AO254" s="315"/>
      <c r="AP254" s="315"/>
      <c r="AQ254" s="315"/>
      <c r="AR254" s="315"/>
      <c r="AS254" s="315"/>
      <c r="AT254" s="315"/>
      <c r="AU254" s="315"/>
      <c r="AV254" s="315"/>
      <c r="AW254" s="316"/>
      <c r="AX254" s="588"/>
      <c r="AY254" s="591"/>
      <c r="AZ254" s="591"/>
      <c r="BA254" s="594"/>
      <c r="BB254" s="301"/>
    </row>
    <row r="255" spans="1:54" ht="9" customHeight="1">
      <c r="A255" s="583"/>
      <c r="B255" s="586"/>
      <c r="C255" s="317"/>
      <c r="D255" s="318"/>
      <c r="E255" s="318"/>
      <c r="F255" s="318"/>
      <c r="G255" s="318"/>
      <c r="H255" s="318"/>
      <c r="I255" s="318"/>
      <c r="J255" s="318"/>
      <c r="K255" s="318"/>
      <c r="L255" s="318"/>
      <c r="M255" s="318"/>
      <c r="N255" s="318"/>
      <c r="O255" s="318"/>
      <c r="P255" s="318"/>
      <c r="Q255" s="318"/>
      <c r="R255" s="318"/>
      <c r="S255" s="318"/>
      <c r="T255" s="318"/>
      <c r="U255" s="318"/>
      <c r="V255" s="319"/>
      <c r="W255" s="589"/>
      <c r="X255" s="592"/>
      <c r="Y255" s="592"/>
      <c r="Z255" s="594"/>
      <c r="AA255" s="301"/>
      <c r="AB255" s="583"/>
      <c r="AC255" s="586"/>
      <c r="AD255" s="317"/>
      <c r="AE255" s="318"/>
      <c r="AF255" s="318"/>
      <c r="AG255" s="318"/>
      <c r="AH255" s="318"/>
      <c r="AI255" s="318"/>
      <c r="AJ255" s="318"/>
      <c r="AK255" s="318"/>
      <c r="AL255" s="318"/>
      <c r="AM255" s="318"/>
      <c r="AN255" s="318"/>
      <c r="AO255" s="318"/>
      <c r="AP255" s="318"/>
      <c r="AQ255" s="318"/>
      <c r="AR255" s="318"/>
      <c r="AS255" s="318"/>
      <c r="AT255" s="318"/>
      <c r="AU255" s="318"/>
      <c r="AV255" s="318"/>
      <c r="AW255" s="319"/>
      <c r="AX255" s="589"/>
      <c r="AY255" s="592"/>
      <c r="AZ255" s="592"/>
      <c r="BA255" s="594"/>
      <c r="BB255" s="301"/>
    </row>
    <row r="256" spans="1:54" ht="9" customHeight="1">
      <c r="A256" s="583">
        <v>8</v>
      </c>
      <c r="B256" s="584" t="str">
        <f t="shared" ref="B256:B319" si="189">B144</f>
        <v>ગરણિયા રામકુભાઇ સાર્દૂળભાઇ</v>
      </c>
      <c r="C256" s="311"/>
      <c r="D256" s="312"/>
      <c r="E256" s="312"/>
      <c r="F256" s="312"/>
      <c r="G256" s="312"/>
      <c r="H256" s="312"/>
      <c r="I256" s="312"/>
      <c r="J256" s="312"/>
      <c r="K256" s="312"/>
      <c r="L256" s="312"/>
      <c r="M256" s="312"/>
      <c r="N256" s="312"/>
      <c r="O256" s="312"/>
      <c r="P256" s="312"/>
      <c r="Q256" s="312"/>
      <c r="R256" s="312"/>
      <c r="S256" s="312"/>
      <c r="T256" s="312"/>
      <c r="U256" s="312"/>
      <c r="V256" s="313"/>
      <c r="W256" s="587">
        <f>'A-CALC'!V237</f>
        <v>0</v>
      </c>
      <c r="X256" s="590">
        <f>'A-CALC'!W237</f>
        <v>0</v>
      </c>
      <c r="Y256" s="590">
        <f>'A-CALC'!X237</f>
        <v>0</v>
      </c>
      <c r="Z256" s="593">
        <f t="shared" ref="Z256" si="190">ROUND((40/$Y$7)*W256,0)</f>
        <v>0</v>
      </c>
      <c r="AA256" s="301"/>
      <c r="AB256" s="583">
        <v>8</v>
      </c>
      <c r="AC256" s="584" t="str">
        <f t="shared" ref="AC256:AC319" si="191">AC144</f>
        <v>ગરણિયા રામકુભાઇ સાર્દૂળભાઇ</v>
      </c>
      <c r="AD256" s="311"/>
      <c r="AE256" s="312"/>
      <c r="AF256" s="312"/>
      <c r="AG256" s="312"/>
      <c r="AH256" s="312"/>
      <c r="AI256" s="312"/>
      <c r="AJ256" s="312"/>
      <c r="AK256" s="312"/>
      <c r="AL256" s="312"/>
      <c r="AM256" s="312"/>
      <c r="AN256" s="312"/>
      <c r="AO256" s="312"/>
      <c r="AP256" s="312"/>
      <c r="AQ256" s="312"/>
      <c r="AR256" s="312"/>
      <c r="AS256" s="312"/>
      <c r="AT256" s="312"/>
      <c r="AU256" s="312"/>
      <c r="AV256" s="312"/>
      <c r="AW256" s="313"/>
      <c r="AX256" s="587">
        <f>'A-CALC'!AU237</f>
        <v>0</v>
      </c>
      <c r="AY256" s="590">
        <f>'A-CALC'!AV237</f>
        <v>0</v>
      </c>
      <c r="AZ256" s="590">
        <f>'A-CALC'!AW237</f>
        <v>0</v>
      </c>
      <c r="BA256" s="593">
        <f t="shared" ref="BA256" si="192">ROUND((40/$Y$7)*AX256,0)</f>
        <v>0</v>
      </c>
      <c r="BB256" s="301"/>
    </row>
    <row r="257" spans="1:54" ht="9" customHeight="1">
      <c r="A257" s="583"/>
      <c r="B257" s="585"/>
      <c r="C257" s="314"/>
      <c r="D257" s="315"/>
      <c r="E257" s="315"/>
      <c r="F257" s="315"/>
      <c r="G257" s="315"/>
      <c r="H257" s="315"/>
      <c r="I257" s="315"/>
      <c r="J257" s="315"/>
      <c r="K257" s="315"/>
      <c r="L257" s="315"/>
      <c r="M257" s="315"/>
      <c r="N257" s="315"/>
      <c r="O257" s="315"/>
      <c r="P257" s="315"/>
      <c r="Q257" s="315"/>
      <c r="R257" s="315"/>
      <c r="S257" s="315"/>
      <c r="T257" s="315"/>
      <c r="U257" s="315"/>
      <c r="V257" s="316"/>
      <c r="W257" s="588"/>
      <c r="X257" s="591"/>
      <c r="Y257" s="591"/>
      <c r="Z257" s="594"/>
      <c r="AA257" s="301"/>
      <c r="AB257" s="583"/>
      <c r="AC257" s="585"/>
      <c r="AD257" s="314"/>
      <c r="AE257" s="315"/>
      <c r="AF257" s="315"/>
      <c r="AG257" s="315"/>
      <c r="AH257" s="315"/>
      <c r="AI257" s="315"/>
      <c r="AJ257" s="315"/>
      <c r="AK257" s="315"/>
      <c r="AL257" s="315"/>
      <c r="AM257" s="315"/>
      <c r="AN257" s="315"/>
      <c r="AO257" s="315"/>
      <c r="AP257" s="315"/>
      <c r="AQ257" s="315"/>
      <c r="AR257" s="315"/>
      <c r="AS257" s="315"/>
      <c r="AT257" s="315"/>
      <c r="AU257" s="315"/>
      <c r="AV257" s="315"/>
      <c r="AW257" s="316"/>
      <c r="AX257" s="588"/>
      <c r="AY257" s="591"/>
      <c r="AZ257" s="591"/>
      <c r="BA257" s="594"/>
      <c r="BB257" s="301"/>
    </row>
    <row r="258" spans="1:54" ht="9" customHeight="1">
      <c r="A258" s="583"/>
      <c r="B258" s="586"/>
      <c r="C258" s="317"/>
      <c r="D258" s="318"/>
      <c r="E258" s="318"/>
      <c r="F258" s="318"/>
      <c r="G258" s="318"/>
      <c r="H258" s="318"/>
      <c r="I258" s="318"/>
      <c r="J258" s="318"/>
      <c r="K258" s="318"/>
      <c r="L258" s="318"/>
      <c r="M258" s="318"/>
      <c r="N258" s="318"/>
      <c r="O258" s="318"/>
      <c r="P258" s="318"/>
      <c r="Q258" s="318"/>
      <c r="R258" s="318"/>
      <c r="S258" s="318"/>
      <c r="T258" s="318"/>
      <c r="U258" s="318"/>
      <c r="V258" s="319"/>
      <c r="W258" s="589"/>
      <c r="X258" s="592"/>
      <c r="Y258" s="592"/>
      <c r="Z258" s="594"/>
      <c r="AA258" s="301"/>
      <c r="AB258" s="583"/>
      <c r="AC258" s="586"/>
      <c r="AD258" s="317"/>
      <c r="AE258" s="318"/>
      <c r="AF258" s="318"/>
      <c r="AG258" s="318"/>
      <c r="AH258" s="318"/>
      <c r="AI258" s="318"/>
      <c r="AJ258" s="318"/>
      <c r="AK258" s="318"/>
      <c r="AL258" s="318"/>
      <c r="AM258" s="318"/>
      <c r="AN258" s="318"/>
      <c r="AO258" s="318"/>
      <c r="AP258" s="318"/>
      <c r="AQ258" s="318"/>
      <c r="AR258" s="318"/>
      <c r="AS258" s="318"/>
      <c r="AT258" s="318"/>
      <c r="AU258" s="318"/>
      <c r="AV258" s="318"/>
      <c r="AW258" s="319"/>
      <c r="AX258" s="589"/>
      <c r="AY258" s="592"/>
      <c r="AZ258" s="592"/>
      <c r="BA258" s="594"/>
      <c r="BB258" s="301"/>
    </row>
    <row r="259" spans="1:54" ht="9" customHeight="1">
      <c r="A259" s="583">
        <v>9</v>
      </c>
      <c r="B259" s="584" t="str">
        <f t="shared" si="189"/>
        <v>ડેર હિતેષકુમાર પ્રતાપભાઇ</v>
      </c>
      <c r="C259" s="311"/>
      <c r="D259" s="312"/>
      <c r="E259" s="312"/>
      <c r="F259" s="312"/>
      <c r="G259" s="312"/>
      <c r="H259" s="312"/>
      <c r="I259" s="312"/>
      <c r="J259" s="312"/>
      <c r="K259" s="312"/>
      <c r="L259" s="312"/>
      <c r="M259" s="312"/>
      <c r="N259" s="312"/>
      <c r="O259" s="312"/>
      <c r="P259" s="312"/>
      <c r="Q259" s="312"/>
      <c r="R259" s="312"/>
      <c r="S259" s="312"/>
      <c r="T259" s="312"/>
      <c r="U259" s="312"/>
      <c r="V259" s="313"/>
      <c r="W259" s="587">
        <f>'A-CALC'!V240</f>
        <v>0</v>
      </c>
      <c r="X259" s="590">
        <f>'A-CALC'!W240</f>
        <v>0</v>
      </c>
      <c r="Y259" s="590">
        <f>'A-CALC'!X240</f>
        <v>0</v>
      </c>
      <c r="Z259" s="593">
        <f t="shared" ref="Z259" si="193">ROUND((40/$Y$7)*W259,0)</f>
        <v>0</v>
      </c>
      <c r="AA259" s="301"/>
      <c r="AB259" s="583">
        <v>9</v>
      </c>
      <c r="AC259" s="584" t="str">
        <f t="shared" si="191"/>
        <v>ડેર હિતેષકુમાર પ્રતાપભાઇ</v>
      </c>
      <c r="AD259" s="311"/>
      <c r="AE259" s="312"/>
      <c r="AF259" s="312"/>
      <c r="AG259" s="312"/>
      <c r="AH259" s="312"/>
      <c r="AI259" s="312"/>
      <c r="AJ259" s="312"/>
      <c r="AK259" s="312"/>
      <c r="AL259" s="312"/>
      <c r="AM259" s="312"/>
      <c r="AN259" s="312"/>
      <c r="AO259" s="312"/>
      <c r="AP259" s="312"/>
      <c r="AQ259" s="312"/>
      <c r="AR259" s="312"/>
      <c r="AS259" s="312"/>
      <c r="AT259" s="312"/>
      <c r="AU259" s="312"/>
      <c r="AV259" s="312"/>
      <c r="AW259" s="313"/>
      <c r="AX259" s="587">
        <f>'A-CALC'!AU240</f>
        <v>0</v>
      </c>
      <c r="AY259" s="590">
        <f>'A-CALC'!AV240</f>
        <v>0</v>
      </c>
      <c r="AZ259" s="590">
        <f>'A-CALC'!AW240</f>
        <v>0</v>
      </c>
      <c r="BA259" s="593">
        <f t="shared" ref="BA259" si="194">ROUND((40/$Y$7)*AX259,0)</f>
        <v>0</v>
      </c>
      <c r="BB259" s="301"/>
    </row>
    <row r="260" spans="1:54" ht="9" customHeight="1">
      <c r="A260" s="583"/>
      <c r="B260" s="585"/>
      <c r="C260" s="314"/>
      <c r="D260" s="315"/>
      <c r="E260" s="315"/>
      <c r="F260" s="315"/>
      <c r="G260" s="315"/>
      <c r="H260" s="315"/>
      <c r="I260" s="315"/>
      <c r="J260" s="315"/>
      <c r="K260" s="315"/>
      <c r="L260" s="315"/>
      <c r="M260" s="315"/>
      <c r="N260" s="315"/>
      <c r="O260" s="315"/>
      <c r="P260" s="315"/>
      <c r="Q260" s="315"/>
      <c r="R260" s="315"/>
      <c r="S260" s="315"/>
      <c r="T260" s="315"/>
      <c r="U260" s="315"/>
      <c r="V260" s="316"/>
      <c r="W260" s="588"/>
      <c r="X260" s="591"/>
      <c r="Y260" s="591"/>
      <c r="Z260" s="594"/>
      <c r="AA260" s="301"/>
      <c r="AB260" s="583"/>
      <c r="AC260" s="585"/>
      <c r="AD260" s="314"/>
      <c r="AE260" s="315"/>
      <c r="AF260" s="315"/>
      <c r="AG260" s="315"/>
      <c r="AH260" s="315"/>
      <c r="AI260" s="315"/>
      <c r="AJ260" s="315"/>
      <c r="AK260" s="315"/>
      <c r="AL260" s="315"/>
      <c r="AM260" s="315"/>
      <c r="AN260" s="315"/>
      <c r="AO260" s="315"/>
      <c r="AP260" s="315"/>
      <c r="AQ260" s="315"/>
      <c r="AR260" s="315"/>
      <c r="AS260" s="315"/>
      <c r="AT260" s="315"/>
      <c r="AU260" s="315"/>
      <c r="AV260" s="315"/>
      <c r="AW260" s="316"/>
      <c r="AX260" s="588"/>
      <c r="AY260" s="591"/>
      <c r="AZ260" s="591"/>
      <c r="BA260" s="594"/>
      <c r="BB260" s="301"/>
    </row>
    <row r="261" spans="1:54" ht="9" customHeight="1">
      <c r="A261" s="583"/>
      <c r="B261" s="586"/>
      <c r="C261" s="317"/>
      <c r="D261" s="318"/>
      <c r="E261" s="318"/>
      <c r="F261" s="318"/>
      <c r="G261" s="318"/>
      <c r="H261" s="318"/>
      <c r="I261" s="318"/>
      <c r="J261" s="318"/>
      <c r="K261" s="318"/>
      <c r="L261" s="318"/>
      <c r="M261" s="318"/>
      <c r="N261" s="318"/>
      <c r="O261" s="318"/>
      <c r="P261" s="318"/>
      <c r="Q261" s="318"/>
      <c r="R261" s="318"/>
      <c r="S261" s="318"/>
      <c r="T261" s="318"/>
      <c r="U261" s="318"/>
      <c r="V261" s="319"/>
      <c r="W261" s="589"/>
      <c r="X261" s="592"/>
      <c r="Y261" s="592"/>
      <c r="Z261" s="594"/>
      <c r="AA261" s="301"/>
      <c r="AB261" s="583"/>
      <c r="AC261" s="586"/>
      <c r="AD261" s="317"/>
      <c r="AE261" s="318"/>
      <c r="AF261" s="318"/>
      <c r="AG261" s="318"/>
      <c r="AH261" s="318"/>
      <c r="AI261" s="318"/>
      <c r="AJ261" s="318"/>
      <c r="AK261" s="318"/>
      <c r="AL261" s="318"/>
      <c r="AM261" s="318"/>
      <c r="AN261" s="318"/>
      <c r="AO261" s="318"/>
      <c r="AP261" s="318"/>
      <c r="AQ261" s="318"/>
      <c r="AR261" s="318"/>
      <c r="AS261" s="318"/>
      <c r="AT261" s="318"/>
      <c r="AU261" s="318"/>
      <c r="AV261" s="318"/>
      <c r="AW261" s="319"/>
      <c r="AX261" s="589"/>
      <c r="AY261" s="592"/>
      <c r="AZ261" s="592"/>
      <c r="BA261" s="594"/>
      <c r="BB261" s="301"/>
    </row>
    <row r="262" spans="1:54" ht="9" customHeight="1">
      <c r="A262" s="583">
        <v>10</v>
      </c>
      <c r="B262" s="584" t="str">
        <f t="shared" si="189"/>
        <v>વેકરીયા વિશાલકુમાર દિપકભાઇ</v>
      </c>
      <c r="C262" s="311"/>
      <c r="D262" s="312"/>
      <c r="E262" s="312"/>
      <c r="F262" s="312"/>
      <c r="G262" s="312"/>
      <c r="H262" s="312"/>
      <c r="I262" s="312"/>
      <c r="J262" s="312"/>
      <c r="K262" s="312"/>
      <c r="L262" s="312"/>
      <c r="M262" s="312"/>
      <c r="N262" s="312"/>
      <c r="O262" s="312"/>
      <c r="P262" s="312"/>
      <c r="Q262" s="312"/>
      <c r="R262" s="312"/>
      <c r="S262" s="312"/>
      <c r="T262" s="312"/>
      <c r="U262" s="312"/>
      <c r="V262" s="313"/>
      <c r="W262" s="587">
        <f>'A-CALC'!V243</f>
        <v>0</v>
      </c>
      <c r="X262" s="590">
        <f>'A-CALC'!W243</f>
        <v>0</v>
      </c>
      <c r="Y262" s="590">
        <f>'A-CALC'!X243</f>
        <v>0</v>
      </c>
      <c r="Z262" s="593">
        <f t="shared" ref="Z262" si="195">ROUND((40/$Y$7)*W262,0)</f>
        <v>0</v>
      </c>
      <c r="AA262" s="301"/>
      <c r="AB262" s="583">
        <v>10</v>
      </c>
      <c r="AC262" s="584" t="str">
        <f t="shared" si="191"/>
        <v>વેકરીયા વિશાલકુમાર દિપકભાઇ</v>
      </c>
      <c r="AD262" s="311"/>
      <c r="AE262" s="312"/>
      <c r="AF262" s="312"/>
      <c r="AG262" s="312"/>
      <c r="AH262" s="312"/>
      <c r="AI262" s="312"/>
      <c r="AJ262" s="312"/>
      <c r="AK262" s="312"/>
      <c r="AL262" s="312"/>
      <c r="AM262" s="312"/>
      <c r="AN262" s="312"/>
      <c r="AO262" s="312"/>
      <c r="AP262" s="312"/>
      <c r="AQ262" s="312"/>
      <c r="AR262" s="312"/>
      <c r="AS262" s="312"/>
      <c r="AT262" s="312"/>
      <c r="AU262" s="312"/>
      <c r="AV262" s="312"/>
      <c r="AW262" s="313"/>
      <c r="AX262" s="587">
        <f>'A-CALC'!AU243</f>
        <v>0</v>
      </c>
      <c r="AY262" s="590">
        <f>'A-CALC'!AV243</f>
        <v>0</v>
      </c>
      <c r="AZ262" s="590">
        <f>'A-CALC'!AW243</f>
        <v>0</v>
      </c>
      <c r="BA262" s="593">
        <f t="shared" ref="BA262" si="196">ROUND((40/$Y$7)*AX262,0)</f>
        <v>0</v>
      </c>
      <c r="BB262" s="301"/>
    </row>
    <row r="263" spans="1:54" ht="9" customHeight="1">
      <c r="A263" s="583"/>
      <c r="B263" s="585"/>
      <c r="C263" s="314"/>
      <c r="D263" s="315"/>
      <c r="E263" s="315"/>
      <c r="F263" s="315"/>
      <c r="G263" s="315"/>
      <c r="H263" s="315"/>
      <c r="I263" s="315"/>
      <c r="J263" s="315"/>
      <c r="K263" s="315"/>
      <c r="L263" s="315"/>
      <c r="M263" s="315"/>
      <c r="N263" s="315"/>
      <c r="O263" s="315"/>
      <c r="P263" s="315"/>
      <c r="Q263" s="315"/>
      <c r="R263" s="315"/>
      <c r="S263" s="315"/>
      <c r="T263" s="315"/>
      <c r="U263" s="315"/>
      <c r="V263" s="316"/>
      <c r="W263" s="588"/>
      <c r="X263" s="591"/>
      <c r="Y263" s="591"/>
      <c r="Z263" s="594"/>
      <c r="AA263" s="301"/>
      <c r="AB263" s="583"/>
      <c r="AC263" s="585"/>
      <c r="AD263" s="314"/>
      <c r="AE263" s="315"/>
      <c r="AF263" s="315"/>
      <c r="AG263" s="315"/>
      <c r="AH263" s="315"/>
      <c r="AI263" s="315"/>
      <c r="AJ263" s="315"/>
      <c r="AK263" s="315"/>
      <c r="AL263" s="315"/>
      <c r="AM263" s="315"/>
      <c r="AN263" s="315"/>
      <c r="AO263" s="315"/>
      <c r="AP263" s="315"/>
      <c r="AQ263" s="315"/>
      <c r="AR263" s="315"/>
      <c r="AS263" s="315"/>
      <c r="AT263" s="315"/>
      <c r="AU263" s="315"/>
      <c r="AV263" s="315"/>
      <c r="AW263" s="316"/>
      <c r="AX263" s="588"/>
      <c r="AY263" s="591"/>
      <c r="AZ263" s="591"/>
      <c r="BA263" s="594"/>
      <c r="BB263" s="301"/>
    </row>
    <row r="264" spans="1:54" ht="9" customHeight="1">
      <c r="A264" s="583"/>
      <c r="B264" s="586"/>
      <c r="C264" s="317"/>
      <c r="D264" s="318"/>
      <c r="E264" s="318"/>
      <c r="F264" s="318"/>
      <c r="G264" s="318"/>
      <c r="H264" s="318"/>
      <c r="I264" s="318"/>
      <c r="J264" s="318"/>
      <c r="K264" s="318"/>
      <c r="L264" s="318"/>
      <c r="M264" s="318"/>
      <c r="N264" s="318"/>
      <c r="O264" s="318"/>
      <c r="P264" s="318"/>
      <c r="Q264" s="318"/>
      <c r="R264" s="318"/>
      <c r="S264" s="318"/>
      <c r="T264" s="318"/>
      <c r="U264" s="318"/>
      <c r="V264" s="319"/>
      <c r="W264" s="589"/>
      <c r="X264" s="592"/>
      <c r="Y264" s="592"/>
      <c r="Z264" s="594"/>
      <c r="AA264" s="301"/>
      <c r="AB264" s="583"/>
      <c r="AC264" s="586"/>
      <c r="AD264" s="317"/>
      <c r="AE264" s="318"/>
      <c r="AF264" s="318"/>
      <c r="AG264" s="318"/>
      <c r="AH264" s="318"/>
      <c r="AI264" s="318"/>
      <c r="AJ264" s="318"/>
      <c r="AK264" s="318"/>
      <c r="AL264" s="318"/>
      <c r="AM264" s="318"/>
      <c r="AN264" s="318"/>
      <c r="AO264" s="318"/>
      <c r="AP264" s="318"/>
      <c r="AQ264" s="318"/>
      <c r="AR264" s="318"/>
      <c r="AS264" s="318"/>
      <c r="AT264" s="318"/>
      <c r="AU264" s="318"/>
      <c r="AV264" s="318"/>
      <c r="AW264" s="319"/>
      <c r="AX264" s="589"/>
      <c r="AY264" s="592"/>
      <c r="AZ264" s="592"/>
      <c r="BA264" s="594"/>
      <c r="BB264" s="301"/>
    </row>
    <row r="265" spans="1:54" ht="9" customHeight="1">
      <c r="A265" s="583">
        <v>11</v>
      </c>
      <c r="B265" s="584" t="str">
        <f t="shared" si="189"/>
        <v>માણસુરીયા મહેન્દ્રભાઇ ભૂપતભાઇ</v>
      </c>
      <c r="C265" s="311"/>
      <c r="D265" s="312"/>
      <c r="E265" s="312"/>
      <c r="F265" s="312"/>
      <c r="G265" s="312"/>
      <c r="H265" s="312"/>
      <c r="I265" s="312"/>
      <c r="J265" s="312"/>
      <c r="K265" s="312"/>
      <c r="L265" s="312"/>
      <c r="M265" s="312"/>
      <c r="N265" s="312"/>
      <c r="O265" s="312"/>
      <c r="P265" s="312"/>
      <c r="Q265" s="312"/>
      <c r="R265" s="312"/>
      <c r="S265" s="312"/>
      <c r="T265" s="312"/>
      <c r="U265" s="312"/>
      <c r="V265" s="313"/>
      <c r="W265" s="587">
        <f>'A-CALC'!V246</f>
        <v>0</v>
      </c>
      <c r="X265" s="590">
        <f>'A-CALC'!W246</f>
        <v>0</v>
      </c>
      <c r="Y265" s="590">
        <f>'A-CALC'!X246</f>
        <v>0</v>
      </c>
      <c r="Z265" s="593">
        <f t="shared" ref="Z265" si="197">ROUND((40/$Y$7)*W265,0)</f>
        <v>0</v>
      </c>
      <c r="AA265" s="301"/>
      <c r="AB265" s="583">
        <v>11</v>
      </c>
      <c r="AC265" s="584" t="str">
        <f t="shared" si="191"/>
        <v>માણસુરીયા મહેન્દ્રભાઇ ભૂપતભાઇ</v>
      </c>
      <c r="AD265" s="311"/>
      <c r="AE265" s="312"/>
      <c r="AF265" s="312"/>
      <c r="AG265" s="312"/>
      <c r="AH265" s="312"/>
      <c r="AI265" s="312"/>
      <c r="AJ265" s="312"/>
      <c r="AK265" s="312"/>
      <c r="AL265" s="312"/>
      <c r="AM265" s="312"/>
      <c r="AN265" s="312"/>
      <c r="AO265" s="312"/>
      <c r="AP265" s="312"/>
      <c r="AQ265" s="312"/>
      <c r="AR265" s="312"/>
      <c r="AS265" s="312"/>
      <c r="AT265" s="312"/>
      <c r="AU265" s="312"/>
      <c r="AV265" s="312"/>
      <c r="AW265" s="313"/>
      <c r="AX265" s="587">
        <f>'A-CALC'!AU246</f>
        <v>0</v>
      </c>
      <c r="AY265" s="590">
        <f>'A-CALC'!AV246</f>
        <v>0</v>
      </c>
      <c r="AZ265" s="590">
        <f>'A-CALC'!AW246</f>
        <v>0</v>
      </c>
      <c r="BA265" s="593">
        <f t="shared" ref="BA265" si="198">ROUND((40/$Y$7)*AX265,0)</f>
        <v>0</v>
      </c>
      <c r="BB265" s="301"/>
    </row>
    <row r="266" spans="1:54" ht="9" customHeight="1">
      <c r="A266" s="583"/>
      <c r="B266" s="585"/>
      <c r="C266" s="314"/>
      <c r="D266" s="315"/>
      <c r="E266" s="315"/>
      <c r="F266" s="315"/>
      <c r="G266" s="315"/>
      <c r="H266" s="315"/>
      <c r="I266" s="315"/>
      <c r="J266" s="315"/>
      <c r="K266" s="315"/>
      <c r="L266" s="315"/>
      <c r="M266" s="315"/>
      <c r="N266" s="315"/>
      <c r="O266" s="315"/>
      <c r="P266" s="315"/>
      <c r="Q266" s="315"/>
      <c r="R266" s="315"/>
      <c r="S266" s="315"/>
      <c r="T266" s="315"/>
      <c r="U266" s="315"/>
      <c r="V266" s="316"/>
      <c r="W266" s="588"/>
      <c r="X266" s="591"/>
      <c r="Y266" s="591"/>
      <c r="Z266" s="594"/>
      <c r="AA266" s="301"/>
      <c r="AB266" s="583"/>
      <c r="AC266" s="585"/>
      <c r="AD266" s="314"/>
      <c r="AE266" s="315"/>
      <c r="AF266" s="315"/>
      <c r="AG266" s="315"/>
      <c r="AH266" s="315"/>
      <c r="AI266" s="315"/>
      <c r="AJ266" s="315"/>
      <c r="AK266" s="315"/>
      <c r="AL266" s="315"/>
      <c r="AM266" s="315"/>
      <c r="AN266" s="315"/>
      <c r="AO266" s="315"/>
      <c r="AP266" s="315"/>
      <c r="AQ266" s="315"/>
      <c r="AR266" s="315"/>
      <c r="AS266" s="315"/>
      <c r="AT266" s="315"/>
      <c r="AU266" s="315"/>
      <c r="AV266" s="315"/>
      <c r="AW266" s="316"/>
      <c r="AX266" s="588"/>
      <c r="AY266" s="591"/>
      <c r="AZ266" s="591"/>
      <c r="BA266" s="594"/>
      <c r="BB266" s="301"/>
    </row>
    <row r="267" spans="1:54" ht="9" customHeight="1">
      <c r="A267" s="583"/>
      <c r="B267" s="586"/>
      <c r="C267" s="317"/>
      <c r="D267" s="318"/>
      <c r="E267" s="318"/>
      <c r="F267" s="318"/>
      <c r="G267" s="318"/>
      <c r="H267" s="318"/>
      <c r="I267" s="318"/>
      <c r="J267" s="318"/>
      <c r="K267" s="318"/>
      <c r="L267" s="318"/>
      <c r="M267" s="318"/>
      <c r="N267" s="318"/>
      <c r="O267" s="318"/>
      <c r="P267" s="318"/>
      <c r="Q267" s="318"/>
      <c r="R267" s="318"/>
      <c r="S267" s="318"/>
      <c r="T267" s="318"/>
      <c r="U267" s="318"/>
      <c r="V267" s="319"/>
      <c r="W267" s="589"/>
      <c r="X267" s="592"/>
      <c r="Y267" s="592"/>
      <c r="Z267" s="594"/>
      <c r="AA267" s="301"/>
      <c r="AB267" s="583"/>
      <c r="AC267" s="586"/>
      <c r="AD267" s="317"/>
      <c r="AE267" s="318"/>
      <c r="AF267" s="318"/>
      <c r="AG267" s="318"/>
      <c r="AH267" s="318"/>
      <c r="AI267" s="318"/>
      <c r="AJ267" s="318"/>
      <c r="AK267" s="318"/>
      <c r="AL267" s="318"/>
      <c r="AM267" s="318"/>
      <c r="AN267" s="318"/>
      <c r="AO267" s="318"/>
      <c r="AP267" s="318"/>
      <c r="AQ267" s="318"/>
      <c r="AR267" s="318"/>
      <c r="AS267" s="318"/>
      <c r="AT267" s="318"/>
      <c r="AU267" s="318"/>
      <c r="AV267" s="318"/>
      <c r="AW267" s="319"/>
      <c r="AX267" s="589"/>
      <c r="AY267" s="592"/>
      <c r="AZ267" s="592"/>
      <c r="BA267" s="594"/>
      <c r="BB267" s="301"/>
    </row>
    <row r="268" spans="1:54" ht="9" customHeight="1">
      <c r="A268" s="583">
        <v>12</v>
      </c>
      <c r="B268" s="584" t="str">
        <f t="shared" si="189"/>
        <v>પરમાર અજયકુમાર રમેશભાઇ</v>
      </c>
      <c r="C268" s="311"/>
      <c r="D268" s="312"/>
      <c r="E268" s="312"/>
      <c r="F268" s="312"/>
      <c r="G268" s="312"/>
      <c r="H268" s="312"/>
      <c r="I268" s="312"/>
      <c r="J268" s="312"/>
      <c r="K268" s="312"/>
      <c r="L268" s="312"/>
      <c r="M268" s="312"/>
      <c r="N268" s="312"/>
      <c r="O268" s="312"/>
      <c r="P268" s="312"/>
      <c r="Q268" s="312"/>
      <c r="R268" s="312"/>
      <c r="S268" s="312"/>
      <c r="T268" s="312"/>
      <c r="U268" s="312"/>
      <c r="V268" s="313"/>
      <c r="W268" s="587">
        <f>'A-CALC'!V249</f>
        <v>0</v>
      </c>
      <c r="X268" s="590">
        <f>'A-CALC'!W249</f>
        <v>0</v>
      </c>
      <c r="Y268" s="590">
        <f>'A-CALC'!X249</f>
        <v>0</v>
      </c>
      <c r="Z268" s="593">
        <f t="shared" ref="Z268" si="199">ROUND((40/$Y$7)*W268,0)</f>
        <v>0</v>
      </c>
      <c r="AA268" s="301"/>
      <c r="AB268" s="583">
        <v>12</v>
      </c>
      <c r="AC268" s="584" t="str">
        <f t="shared" si="191"/>
        <v>પરમાર અજયકુમાર રમેશભાઇ</v>
      </c>
      <c r="AD268" s="311"/>
      <c r="AE268" s="312"/>
      <c r="AF268" s="312"/>
      <c r="AG268" s="312"/>
      <c r="AH268" s="312"/>
      <c r="AI268" s="312"/>
      <c r="AJ268" s="312"/>
      <c r="AK268" s="312"/>
      <c r="AL268" s="312"/>
      <c r="AM268" s="312"/>
      <c r="AN268" s="312"/>
      <c r="AO268" s="312"/>
      <c r="AP268" s="312"/>
      <c r="AQ268" s="312"/>
      <c r="AR268" s="312"/>
      <c r="AS268" s="312"/>
      <c r="AT268" s="312"/>
      <c r="AU268" s="312"/>
      <c r="AV268" s="312"/>
      <c r="AW268" s="313"/>
      <c r="AX268" s="587">
        <f>'A-CALC'!AU249</f>
        <v>0</v>
      </c>
      <c r="AY268" s="590">
        <f>'A-CALC'!AV249</f>
        <v>0</v>
      </c>
      <c r="AZ268" s="590">
        <f>'A-CALC'!AW249</f>
        <v>0</v>
      </c>
      <c r="BA268" s="593">
        <f t="shared" ref="BA268" si="200">ROUND((40/$Y$7)*AX268,0)</f>
        <v>0</v>
      </c>
      <c r="BB268" s="301"/>
    </row>
    <row r="269" spans="1:54" ht="9" customHeight="1">
      <c r="A269" s="583"/>
      <c r="B269" s="585"/>
      <c r="C269" s="314"/>
      <c r="D269" s="315"/>
      <c r="E269" s="315"/>
      <c r="F269" s="315"/>
      <c r="G269" s="315"/>
      <c r="H269" s="315"/>
      <c r="I269" s="315"/>
      <c r="J269" s="315"/>
      <c r="K269" s="315"/>
      <c r="L269" s="315"/>
      <c r="M269" s="315"/>
      <c r="N269" s="315"/>
      <c r="O269" s="315"/>
      <c r="P269" s="315"/>
      <c r="Q269" s="315"/>
      <c r="R269" s="315"/>
      <c r="S269" s="315"/>
      <c r="T269" s="315"/>
      <c r="U269" s="315"/>
      <c r="V269" s="316"/>
      <c r="W269" s="588"/>
      <c r="X269" s="591"/>
      <c r="Y269" s="591"/>
      <c r="Z269" s="594"/>
      <c r="AA269" s="301"/>
      <c r="AB269" s="583"/>
      <c r="AC269" s="585"/>
      <c r="AD269" s="314"/>
      <c r="AE269" s="315"/>
      <c r="AF269" s="315"/>
      <c r="AG269" s="315"/>
      <c r="AH269" s="315"/>
      <c r="AI269" s="315"/>
      <c r="AJ269" s="315"/>
      <c r="AK269" s="315"/>
      <c r="AL269" s="315"/>
      <c r="AM269" s="315"/>
      <c r="AN269" s="315"/>
      <c r="AO269" s="315"/>
      <c r="AP269" s="315"/>
      <c r="AQ269" s="315"/>
      <c r="AR269" s="315"/>
      <c r="AS269" s="315"/>
      <c r="AT269" s="315"/>
      <c r="AU269" s="315"/>
      <c r="AV269" s="315"/>
      <c r="AW269" s="316"/>
      <c r="AX269" s="588"/>
      <c r="AY269" s="591"/>
      <c r="AZ269" s="591"/>
      <c r="BA269" s="594"/>
      <c r="BB269" s="301"/>
    </row>
    <row r="270" spans="1:54" ht="9" customHeight="1">
      <c r="A270" s="583"/>
      <c r="B270" s="586"/>
      <c r="C270" s="317"/>
      <c r="D270" s="318"/>
      <c r="E270" s="318"/>
      <c r="F270" s="318"/>
      <c r="G270" s="318"/>
      <c r="H270" s="318"/>
      <c r="I270" s="318"/>
      <c r="J270" s="318"/>
      <c r="K270" s="318"/>
      <c r="L270" s="318"/>
      <c r="M270" s="318"/>
      <c r="N270" s="318"/>
      <c r="O270" s="318"/>
      <c r="P270" s="318"/>
      <c r="Q270" s="318"/>
      <c r="R270" s="318"/>
      <c r="S270" s="318"/>
      <c r="T270" s="318"/>
      <c r="U270" s="318"/>
      <c r="V270" s="319"/>
      <c r="W270" s="589"/>
      <c r="X270" s="592"/>
      <c r="Y270" s="592"/>
      <c r="Z270" s="594"/>
      <c r="AA270" s="301"/>
      <c r="AB270" s="583"/>
      <c r="AC270" s="586"/>
      <c r="AD270" s="317"/>
      <c r="AE270" s="318"/>
      <c r="AF270" s="318"/>
      <c r="AG270" s="318"/>
      <c r="AH270" s="318"/>
      <c r="AI270" s="318"/>
      <c r="AJ270" s="318"/>
      <c r="AK270" s="318"/>
      <c r="AL270" s="318"/>
      <c r="AM270" s="318"/>
      <c r="AN270" s="318"/>
      <c r="AO270" s="318"/>
      <c r="AP270" s="318"/>
      <c r="AQ270" s="318"/>
      <c r="AR270" s="318"/>
      <c r="AS270" s="318"/>
      <c r="AT270" s="318"/>
      <c r="AU270" s="318"/>
      <c r="AV270" s="318"/>
      <c r="AW270" s="319"/>
      <c r="AX270" s="589"/>
      <c r="AY270" s="592"/>
      <c r="AZ270" s="592"/>
      <c r="BA270" s="594"/>
      <c r="BB270" s="301"/>
    </row>
    <row r="271" spans="1:54" ht="9" customHeight="1">
      <c r="A271" s="583">
        <v>13</v>
      </c>
      <c r="B271" s="584" t="str">
        <f t="shared" si="189"/>
        <v>કંડોળીયા અલ્પેશકુમાર ભરતભાઇ</v>
      </c>
      <c r="C271" s="311"/>
      <c r="D271" s="312"/>
      <c r="E271" s="312"/>
      <c r="F271" s="312"/>
      <c r="G271" s="312"/>
      <c r="H271" s="312"/>
      <c r="I271" s="312"/>
      <c r="J271" s="312"/>
      <c r="K271" s="312"/>
      <c r="L271" s="312"/>
      <c r="M271" s="312"/>
      <c r="N271" s="312"/>
      <c r="O271" s="312"/>
      <c r="P271" s="312"/>
      <c r="Q271" s="312"/>
      <c r="R271" s="312"/>
      <c r="S271" s="312"/>
      <c r="T271" s="312"/>
      <c r="U271" s="312"/>
      <c r="V271" s="313"/>
      <c r="W271" s="587">
        <f>'A-CALC'!V252</f>
        <v>0</v>
      </c>
      <c r="X271" s="590">
        <f>'A-CALC'!W252</f>
        <v>0</v>
      </c>
      <c r="Y271" s="590">
        <f>'A-CALC'!X252</f>
        <v>0</v>
      </c>
      <c r="Z271" s="593">
        <f>ROUND((40/$Y$7)*W271,0)</f>
        <v>0</v>
      </c>
      <c r="AA271" s="301"/>
      <c r="AB271" s="583">
        <v>13</v>
      </c>
      <c r="AC271" s="584" t="str">
        <f t="shared" si="191"/>
        <v>કંડોળીયા અલ્પેશકુમાર ભરતભાઇ</v>
      </c>
      <c r="AD271" s="311"/>
      <c r="AE271" s="312"/>
      <c r="AF271" s="312"/>
      <c r="AG271" s="312"/>
      <c r="AH271" s="312"/>
      <c r="AI271" s="312"/>
      <c r="AJ271" s="312"/>
      <c r="AK271" s="312"/>
      <c r="AL271" s="312"/>
      <c r="AM271" s="312"/>
      <c r="AN271" s="312"/>
      <c r="AO271" s="312"/>
      <c r="AP271" s="312"/>
      <c r="AQ271" s="312"/>
      <c r="AR271" s="312"/>
      <c r="AS271" s="312"/>
      <c r="AT271" s="312"/>
      <c r="AU271" s="312"/>
      <c r="AV271" s="312"/>
      <c r="AW271" s="313"/>
      <c r="AX271" s="587">
        <f>'A-CALC'!AU252</f>
        <v>0</v>
      </c>
      <c r="AY271" s="590">
        <f>'A-CALC'!AV252</f>
        <v>0</v>
      </c>
      <c r="AZ271" s="590">
        <f>'A-CALC'!AW252</f>
        <v>0</v>
      </c>
      <c r="BA271" s="593">
        <f>ROUND((40/$Y$7)*AX271,0)</f>
        <v>0</v>
      </c>
      <c r="BB271" s="301"/>
    </row>
    <row r="272" spans="1:54" ht="9" customHeight="1">
      <c r="A272" s="583"/>
      <c r="B272" s="585"/>
      <c r="C272" s="314"/>
      <c r="D272" s="315"/>
      <c r="E272" s="315"/>
      <c r="F272" s="315"/>
      <c r="G272" s="315"/>
      <c r="H272" s="315"/>
      <c r="I272" s="315"/>
      <c r="J272" s="315"/>
      <c r="K272" s="315"/>
      <c r="L272" s="315"/>
      <c r="M272" s="315"/>
      <c r="N272" s="315"/>
      <c r="O272" s="315"/>
      <c r="P272" s="315"/>
      <c r="Q272" s="315"/>
      <c r="R272" s="315"/>
      <c r="S272" s="315"/>
      <c r="T272" s="315"/>
      <c r="U272" s="315"/>
      <c r="V272" s="316"/>
      <c r="W272" s="588"/>
      <c r="X272" s="591"/>
      <c r="Y272" s="591"/>
      <c r="Z272" s="594"/>
      <c r="AA272" s="301"/>
      <c r="AB272" s="583"/>
      <c r="AC272" s="585"/>
      <c r="AD272" s="314"/>
      <c r="AE272" s="315"/>
      <c r="AF272" s="315"/>
      <c r="AG272" s="315"/>
      <c r="AH272" s="315"/>
      <c r="AI272" s="315"/>
      <c r="AJ272" s="315"/>
      <c r="AK272" s="315"/>
      <c r="AL272" s="315"/>
      <c r="AM272" s="315"/>
      <c r="AN272" s="315"/>
      <c r="AO272" s="315"/>
      <c r="AP272" s="315"/>
      <c r="AQ272" s="315"/>
      <c r="AR272" s="315"/>
      <c r="AS272" s="315"/>
      <c r="AT272" s="315"/>
      <c r="AU272" s="315"/>
      <c r="AV272" s="315"/>
      <c r="AW272" s="316"/>
      <c r="AX272" s="588"/>
      <c r="AY272" s="591"/>
      <c r="AZ272" s="591"/>
      <c r="BA272" s="594"/>
      <c r="BB272" s="301"/>
    </row>
    <row r="273" spans="1:54" s="295" customFormat="1" ht="9" customHeight="1">
      <c r="A273" s="583"/>
      <c r="B273" s="586"/>
      <c r="C273" s="317"/>
      <c r="D273" s="318"/>
      <c r="E273" s="318"/>
      <c r="F273" s="318"/>
      <c r="G273" s="318"/>
      <c r="H273" s="318"/>
      <c r="I273" s="318"/>
      <c r="J273" s="318"/>
      <c r="K273" s="318"/>
      <c r="L273" s="318"/>
      <c r="M273" s="318"/>
      <c r="N273" s="318"/>
      <c r="O273" s="318"/>
      <c r="P273" s="318"/>
      <c r="Q273" s="318"/>
      <c r="R273" s="318"/>
      <c r="S273" s="318"/>
      <c r="T273" s="318"/>
      <c r="U273" s="318"/>
      <c r="V273" s="319"/>
      <c r="W273" s="589"/>
      <c r="X273" s="592"/>
      <c r="Y273" s="592"/>
      <c r="Z273" s="594"/>
      <c r="AA273" s="301"/>
      <c r="AB273" s="583"/>
      <c r="AC273" s="586"/>
      <c r="AD273" s="317"/>
      <c r="AE273" s="318"/>
      <c r="AF273" s="318"/>
      <c r="AG273" s="318"/>
      <c r="AH273" s="318"/>
      <c r="AI273" s="318"/>
      <c r="AJ273" s="318"/>
      <c r="AK273" s="318"/>
      <c r="AL273" s="318"/>
      <c r="AM273" s="318"/>
      <c r="AN273" s="318"/>
      <c r="AO273" s="318"/>
      <c r="AP273" s="318"/>
      <c r="AQ273" s="318"/>
      <c r="AR273" s="318"/>
      <c r="AS273" s="318"/>
      <c r="AT273" s="318"/>
      <c r="AU273" s="318"/>
      <c r="AV273" s="318"/>
      <c r="AW273" s="319"/>
      <c r="AX273" s="589"/>
      <c r="AY273" s="592"/>
      <c r="AZ273" s="592"/>
      <c r="BA273" s="594"/>
      <c r="BB273" s="321"/>
    </row>
    <row r="274" spans="1:54" ht="9" customHeight="1">
      <c r="A274" s="583">
        <v>14</v>
      </c>
      <c r="B274" s="584" t="str">
        <f t="shared" si="189"/>
        <v>મકવાણા તરંગકુમાર કિશોરભાઇ</v>
      </c>
      <c r="C274" s="311"/>
      <c r="D274" s="312"/>
      <c r="E274" s="312"/>
      <c r="F274" s="312"/>
      <c r="G274" s="312"/>
      <c r="H274" s="312"/>
      <c r="I274" s="312"/>
      <c r="J274" s="312"/>
      <c r="K274" s="312"/>
      <c r="L274" s="312"/>
      <c r="M274" s="312"/>
      <c r="N274" s="312"/>
      <c r="O274" s="312"/>
      <c r="P274" s="312"/>
      <c r="Q274" s="312"/>
      <c r="R274" s="312"/>
      <c r="S274" s="312"/>
      <c r="T274" s="312"/>
      <c r="U274" s="312"/>
      <c r="V274" s="313"/>
      <c r="W274" s="587">
        <f>'A-CALC'!V255</f>
        <v>0</v>
      </c>
      <c r="X274" s="590">
        <f>'A-CALC'!W255</f>
        <v>0</v>
      </c>
      <c r="Y274" s="590">
        <f>'A-CALC'!X255</f>
        <v>0</v>
      </c>
      <c r="Z274" s="593">
        <f t="shared" ref="Z274" si="201">ROUND((40/$Y$7)*W274,0)</f>
        <v>0</v>
      </c>
      <c r="AA274" s="301"/>
      <c r="AB274" s="583">
        <v>14</v>
      </c>
      <c r="AC274" s="584" t="str">
        <f t="shared" si="191"/>
        <v>મકવાણા તરંગકુમાર કિશોરભાઇ</v>
      </c>
      <c r="AD274" s="311"/>
      <c r="AE274" s="312"/>
      <c r="AF274" s="312"/>
      <c r="AG274" s="312"/>
      <c r="AH274" s="312"/>
      <c r="AI274" s="312"/>
      <c r="AJ274" s="312"/>
      <c r="AK274" s="312"/>
      <c r="AL274" s="312"/>
      <c r="AM274" s="312"/>
      <c r="AN274" s="312"/>
      <c r="AO274" s="312"/>
      <c r="AP274" s="312"/>
      <c r="AQ274" s="312"/>
      <c r="AR274" s="312"/>
      <c r="AS274" s="312"/>
      <c r="AT274" s="312"/>
      <c r="AU274" s="312"/>
      <c r="AV274" s="312"/>
      <c r="AW274" s="313"/>
      <c r="AX274" s="587">
        <f>'A-CALC'!AU255</f>
        <v>0</v>
      </c>
      <c r="AY274" s="590">
        <f>'A-CALC'!AV255</f>
        <v>0</v>
      </c>
      <c r="AZ274" s="590">
        <f>'A-CALC'!AW255</f>
        <v>0</v>
      </c>
      <c r="BA274" s="593">
        <f t="shared" ref="BA274" si="202">ROUND((40/$Y$7)*AX274,0)</f>
        <v>0</v>
      </c>
      <c r="BB274" s="301"/>
    </row>
    <row r="275" spans="1:54" ht="9" customHeight="1">
      <c r="A275" s="583"/>
      <c r="B275" s="585"/>
      <c r="C275" s="314"/>
      <c r="D275" s="315"/>
      <c r="E275" s="315"/>
      <c r="F275" s="315"/>
      <c r="G275" s="315"/>
      <c r="H275" s="315"/>
      <c r="I275" s="315"/>
      <c r="J275" s="315"/>
      <c r="K275" s="315"/>
      <c r="L275" s="315"/>
      <c r="M275" s="315"/>
      <c r="N275" s="315"/>
      <c r="O275" s="315"/>
      <c r="P275" s="315"/>
      <c r="Q275" s="315"/>
      <c r="R275" s="315"/>
      <c r="S275" s="315"/>
      <c r="T275" s="315"/>
      <c r="U275" s="315"/>
      <c r="V275" s="316"/>
      <c r="W275" s="588"/>
      <c r="X275" s="591"/>
      <c r="Y275" s="591"/>
      <c r="Z275" s="594"/>
      <c r="AA275" s="301"/>
      <c r="AB275" s="583"/>
      <c r="AC275" s="585"/>
      <c r="AD275" s="314"/>
      <c r="AE275" s="315"/>
      <c r="AF275" s="315"/>
      <c r="AG275" s="315"/>
      <c r="AH275" s="315"/>
      <c r="AI275" s="315"/>
      <c r="AJ275" s="315"/>
      <c r="AK275" s="315"/>
      <c r="AL275" s="315"/>
      <c r="AM275" s="315"/>
      <c r="AN275" s="315"/>
      <c r="AO275" s="315"/>
      <c r="AP275" s="315"/>
      <c r="AQ275" s="315"/>
      <c r="AR275" s="315"/>
      <c r="AS275" s="315"/>
      <c r="AT275" s="315"/>
      <c r="AU275" s="315"/>
      <c r="AV275" s="315"/>
      <c r="AW275" s="316"/>
      <c r="AX275" s="588"/>
      <c r="AY275" s="591"/>
      <c r="AZ275" s="591"/>
      <c r="BA275" s="594"/>
      <c r="BB275" s="301"/>
    </row>
    <row r="276" spans="1:54" ht="9" customHeight="1">
      <c r="A276" s="583"/>
      <c r="B276" s="586"/>
      <c r="C276" s="317"/>
      <c r="D276" s="318"/>
      <c r="E276" s="318"/>
      <c r="F276" s="318"/>
      <c r="G276" s="318"/>
      <c r="H276" s="318"/>
      <c r="I276" s="318"/>
      <c r="J276" s="318"/>
      <c r="K276" s="318"/>
      <c r="L276" s="318"/>
      <c r="M276" s="318"/>
      <c r="N276" s="318"/>
      <c r="O276" s="318"/>
      <c r="P276" s="318"/>
      <c r="Q276" s="318"/>
      <c r="R276" s="318"/>
      <c r="S276" s="318"/>
      <c r="T276" s="318"/>
      <c r="U276" s="318"/>
      <c r="V276" s="319"/>
      <c r="W276" s="589"/>
      <c r="X276" s="592"/>
      <c r="Y276" s="592"/>
      <c r="Z276" s="594"/>
      <c r="AA276" s="301"/>
      <c r="AB276" s="583"/>
      <c r="AC276" s="586"/>
      <c r="AD276" s="317"/>
      <c r="AE276" s="318"/>
      <c r="AF276" s="318"/>
      <c r="AG276" s="318"/>
      <c r="AH276" s="318"/>
      <c r="AI276" s="318"/>
      <c r="AJ276" s="318"/>
      <c r="AK276" s="318"/>
      <c r="AL276" s="318"/>
      <c r="AM276" s="318"/>
      <c r="AN276" s="318"/>
      <c r="AO276" s="318"/>
      <c r="AP276" s="318"/>
      <c r="AQ276" s="318"/>
      <c r="AR276" s="318"/>
      <c r="AS276" s="318"/>
      <c r="AT276" s="318"/>
      <c r="AU276" s="318"/>
      <c r="AV276" s="318"/>
      <c r="AW276" s="319"/>
      <c r="AX276" s="589"/>
      <c r="AY276" s="592"/>
      <c r="AZ276" s="592"/>
      <c r="BA276" s="594"/>
      <c r="BB276" s="301"/>
    </row>
    <row r="277" spans="1:54" ht="9" customHeight="1">
      <c r="A277" s="583">
        <v>15</v>
      </c>
      <c r="B277" s="584" t="str">
        <f t="shared" si="189"/>
        <v>ઢીમેચા સતીષ હનુભાઇ</v>
      </c>
      <c r="C277" s="311"/>
      <c r="D277" s="312"/>
      <c r="E277" s="312"/>
      <c r="F277" s="312"/>
      <c r="G277" s="312"/>
      <c r="H277" s="312"/>
      <c r="I277" s="312"/>
      <c r="J277" s="312"/>
      <c r="K277" s="312"/>
      <c r="L277" s="312"/>
      <c r="M277" s="312"/>
      <c r="N277" s="312"/>
      <c r="O277" s="312"/>
      <c r="P277" s="312"/>
      <c r="Q277" s="312"/>
      <c r="R277" s="312"/>
      <c r="S277" s="312"/>
      <c r="T277" s="312"/>
      <c r="U277" s="312"/>
      <c r="V277" s="313"/>
      <c r="W277" s="587">
        <f>'A-CALC'!V258</f>
        <v>0</v>
      </c>
      <c r="X277" s="590">
        <f>'A-CALC'!W258</f>
        <v>0</v>
      </c>
      <c r="Y277" s="590">
        <f>'A-CALC'!X258</f>
        <v>0</v>
      </c>
      <c r="Z277" s="593">
        <f t="shared" ref="Z277" si="203">ROUND((40/$Y$7)*W277,0)</f>
        <v>0</v>
      </c>
      <c r="AA277" s="301"/>
      <c r="AB277" s="583">
        <v>15</v>
      </c>
      <c r="AC277" s="584" t="str">
        <f t="shared" si="191"/>
        <v>ઢીમેચા સતીષ હનુભાઇ</v>
      </c>
      <c r="AD277" s="311"/>
      <c r="AE277" s="312"/>
      <c r="AF277" s="312"/>
      <c r="AG277" s="312"/>
      <c r="AH277" s="312"/>
      <c r="AI277" s="312"/>
      <c r="AJ277" s="312"/>
      <c r="AK277" s="312"/>
      <c r="AL277" s="312"/>
      <c r="AM277" s="312"/>
      <c r="AN277" s="312"/>
      <c r="AO277" s="312"/>
      <c r="AP277" s="312"/>
      <c r="AQ277" s="312"/>
      <c r="AR277" s="312"/>
      <c r="AS277" s="312"/>
      <c r="AT277" s="312"/>
      <c r="AU277" s="312"/>
      <c r="AV277" s="312"/>
      <c r="AW277" s="313"/>
      <c r="AX277" s="587">
        <f>'A-CALC'!AU258</f>
        <v>0</v>
      </c>
      <c r="AY277" s="590">
        <f>'A-CALC'!AV258</f>
        <v>0</v>
      </c>
      <c r="AZ277" s="590">
        <f>'A-CALC'!AW258</f>
        <v>0</v>
      </c>
      <c r="BA277" s="593">
        <f t="shared" ref="BA277" si="204">ROUND((40/$Y$7)*AX277,0)</f>
        <v>0</v>
      </c>
      <c r="BB277" s="301"/>
    </row>
    <row r="278" spans="1:54" ht="9" customHeight="1">
      <c r="A278" s="583"/>
      <c r="B278" s="585"/>
      <c r="C278" s="314"/>
      <c r="D278" s="315"/>
      <c r="E278" s="315"/>
      <c r="F278" s="315"/>
      <c r="G278" s="315"/>
      <c r="H278" s="315"/>
      <c r="I278" s="315"/>
      <c r="J278" s="315"/>
      <c r="K278" s="315"/>
      <c r="L278" s="315"/>
      <c r="M278" s="315"/>
      <c r="N278" s="315"/>
      <c r="O278" s="315"/>
      <c r="P278" s="315"/>
      <c r="Q278" s="315"/>
      <c r="R278" s="315"/>
      <c r="S278" s="315"/>
      <c r="T278" s="315"/>
      <c r="U278" s="315"/>
      <c r="V278" s="316"/>
      <c r="W278" s="588"/>
      <c r="X278" s="591"/>
      <c r="Y278" s="591"/>
      <c r="Z278" s="594"/>
      <c r="AA278" s="301"/>
      <c r="AB278" s="583"/>
      <c r="AC278" s="585"/>
      <c r="AD278" s="314"/>
      <c r="AE278" s="315"/>
      <c r="AF278" s="315"/>
      <c r="AG278" s="315"/>
      <c r="AH278" s="315"/>
      <c r="AI278" s="315"/>
      <c r="AJ278" s="315"/>
      <c r="AK278" s="315"/>
      <c r="AL278" s="315"/>
      <c r="AM278" s="315"/>
      <c r="AN278" s="315"/>
      <c r="AO278" s="315"/>
      <c r="AP278" s="315"/>
      <c r="AQ278" s="315"/>
      <c r="AR278" s="315"/>
      <c r="AS278" s="315"/>
      <c r="AT278" s="315"/>
      <c r="AU278" s="315"/>
      <c r="AV278" s="315"/>
      <c r="AW278" s="316"/>
      <c r="AX278" s="588"/>
      <c r="AY278" s="591"/>
      <c r="AZ278" s="591"/>
      <c r="BA278" s="594"/>
      <c r="BB278" s="301"/>
    </row>
    <row r="279" spans="1:54" ht="9" customHeight="1">
      <c r="A279" s="583"/>
      <c r="B279" s="586"/>
      <c r="C279" s="317"/>
      <c r="D279" s="318"/>
      <c r="E279" s="318"/>
      <c r="F279" s="318"/>
      <c r="G279" s="318"/>
      <c r="H279" s="318"/>
      <c r="I279" s="318"/>
      <c r="J279" s="318"/>
      <c r="K279" s="318"/>
      <c r="L279" s="318"/>
      <c r="M279" s="318"/>
      <c r="N279" s="318"/>
      <c r="O279" s="318"/>
      <c r="P279" s="318"/>
      <c r="Q279" s="318"/>
      <c r="R279" s="318"/>
      <c r="S279" s="318"/>
      <c r="T279" s="318"/>
      <c r="U279" s="318"/>
      <c r="V279" s="319"/>
      <c r="W279" s="589"/>
      <c r="X279" s="592"/>
      <c r="Y279" s="592"/>
      <c r="Z279" s="594"/>
      <c r="AA279" s="301"/>
      <c r="AB279" s="583"/>
      <c r="AC279" s="586"/>
      <c r="AD279" s="317"/>
      <c r="AE279" s="318"/>
      <c r="AF279" s="318"/>
      <c r="AG279" s="318"/>
      <c r="AH279" s="318"/>
      <c r="AI279" s="318"/>
      <c r="AJ279" s="318"/>
      <c r="AK279" s="318"/>
      <c r="AL279" s="318"/>
      <c r="AM279" s="318"/>
      <c r="AN279" s="318"/>
      <c r="AO279" s="318"/>
      <c r="AP279" s="318"/>
      <c r="AQ279" s="318"/>
      <c r="AR279" s="318"/>
      <c r="AS279" s="318"/>
      <c r="AT279" s="318"/>
      <c r="AU279" s="318"/>
      <c r="AV279" s="318"/>
      <c r="AW279" s="319"/>
      <c r="AX279" s="589"/>
      <c r="AY279" s="592"/>
      <c r="AZ279" s="592"/>
      <c r="BA279" s="594"/>
      <c r="BB279" s="301"/>
    </row>
    <row r="280" spans="1:54" ht="9" customHeight="1">
      <c r="A280" s="583">
        <v>16</v>
      </c>
      <c r="B280" s="584" t="str">
        <f t="shared" si="189"/>
        <v>ખુમાણ શિવરાજભાઇ બાબુભાઇ</v>
      </c>
      <c r="C280" s="311"/>
      <c r="D280" s="312"/>
      <c r="E280" s="312"/>
      <c r="F280" s="312"/>
      <c r="G280" s="312"/>
      <c r="H280" s="312"/>
      <c r="I280" s="312"/>
      <c r="J280" s="312"/>
      <c r="K280" s="312"/>
      <c r="L280" s="312"/>
      <c r="M280" s="312"/>
      <c r="N280" s="312"/>
      <c r="O280" s="312"/>
      <c r="P280" s="312"/>
      <c r="Q280" s="312"/>
      <c r="R280" s="312"/>
      <c r="S280" s="312"/>
      <c r="T280" s="312"/>
      <c r="U280" s="312"/>
      <c r="V280" s="313"/>
      <c r="W280" s="587">
        <f>'A-CALC'!V261</f>
        <v>0</v>
      </c>
      <c r="X280" s="590">
        <f>'A-CALC'!W261</f>
        <v>0</v>
      </c>
      <c r="Y280" s="590">
        <f>'A-CALC'!X261</f>
        <v>0</v>
      </c>
      <c r="Z280" s="593">
        <f t="shared" ref="Z280" si="205">ROUND((40/$Y$7)*W280,0)</f>
        <v>0</v>
      </c>
      <c r="AA280" s="301"/>
      <c r="AB280" s="583">
        <v>16</v>
      </c>
      <c r="AC280" s="584" t="str">
        <f t="shared" si="191"/>
        <v>ખુમાણ શિવરાજભાઇ બાબુભાઇ</v>
      </c>
      <c r="AD280" s="311"/>
      <c r="AE280" s="312"/>
      <c r="AF280" s="312"/>
      <c r="AG280" s="312"/>
      <c r="AH280" s="312"/>
      <c r="AI280" s="312"/>
      <c r="AJ280" s="312"/>
      <c r="AK280" s="312"/>
      <c r="AL280" s="312"/>
      <c r="AM280" s="312"/>
      <c r="AN280" s="312"/>
      <c r="AO280" s="312"/>
      <c r="AP280" s="312"/>
      <c r="AQ280" s="312"/>
      <c r="AR280" s="312"/>
      <c r="AS280" s="312"/>
      <c r="AT280" s="312"/>
      <c r="AU280" s="312"/>
      <c r="AV280" s="312"/>
      <c r="AW280" s="313"/>
      <c r="AX280" s="587">
        <f>'A-CALC'!AU261</f>
        <v>0</v>
      </c>
      <c r="AY280" s="590">
        <f>'A-CALC'!AV261</f>
        <v>0</v>
      </c>
      <c r="AZ280" s="590">
        <f>'A-CALC'!AW261</f>
        <v>0</v>
      </c>
      <c r="BA280" s="593">
        <f t="shared" ref="BA280" si="206">ROUND((40/$Y$7)*AX280,0)</f>
        <v>0</v>
      </c>
      <c r="BB280" s="301"/>
    </row>
    <row r="281" spans="1:54" ht="9" customHeight="1">
      <c r="A281" s="583"/>
      <c r="B281" s="585"/>
      <c r="C281" s="314"/>
      <c r="D281" s="315"/>
      <c r="E281" s="315"/>
      <c r="F281" s="315"/>
      <c r="G281" s="315"/>
      <c r="H281" s="315"/>
      <c r="I281" s="315"/>
      <c r="J281" s="315"/>
      <c r="K281" s="315"/>
      <c r="L281" s="315"/>
      <c r="M281" s="315"/>
      <c r="N281" s="315"/>
      <c r="O281" s="315"/>
      <c r="P281" s="315"/>
      <c r="Q281" s="315"/>
      <c r="R281" s="315"/>
      <c r="S281" s="315"/>
      <c r="T281" s="315"/>
      <c r="U281" s="315"/>
      <c r="V281" s="316"/>
      <c r="W281" s="588"/>
      <c r="X281" s="591"/>
      <c r="Y281" s="591"/>
      <c r="Z281" s="594"/>
      <c r="AA281" s="301"/>
      <c r="AB281" s="583"/>
      <c r="AC281" s="585"/>
      <c r="AD281" s="314"/>
      <c r="AE281" s="315"/>
      <c r="AF281" s="315"/>
      <c r="AG281" s="315"/>
      <c r="AH281" s="315"/>
      <c r="AI281" s="315"/>
      <c r="AJ281" s="315"/>
      <c r="AK281" s="315"/>
      <c r="AL281" s="315"/>
      <c r="AM281" s="315"/>
      <c r="AN281" s="315"/>
      <c r="AO281" s="315"/>
      <c r="AP281" s="315"/>
      <c r="AQ281" s="315"/>
      <c r="AR281" s="315"/>
      <c r="AS281" s="315"/>
      <c r="AT281" s="315"/>
      <c r="AU281" s="315"/>
      <c r="AV281" s="315"/>
      <c r="AW281" s="316"/>
      <c r="AX281" s="588"/>
      <c r="AY281" s="591"/>
      <c r="AZ281" s="591"/>
      <c r="BA281" s="594"/>
      <c r="BB281" s="301"/>
    </row>
    <row r="282" spans="1:54" ht="9" customHeight="1">
      <c r="A282" s="583"/>
      <c r="B282" s="586"/>
      <c r="C282" s="317"/>
      <c r="D282" s="318"/>
      <c r="E282" s="318"/>
      <c r="F282" s="318"/>
      <c r="G282" s="318"/>
      <c r="H282" s="318"/>
      <c r="I282" s="318"/>
      <c r="J282" s="318"/>
      <c r="K282" s="318"/>
      <c r="L282" s="318"/>
      <c r="M282" s="318"/>
      <c r="N282" s="318"/>
      <c r="O282" s="318"/>
      <c r="P282" s="318"/>
      <c r="Q282" s="318"/>
      <c r="R282" s="318"/>
      <c r="S282" s="318"/>
      <c r="T282" s="318"/>
      <c r="U282" s="318"/>
      <c r="V282" s="319"/>
      <c r="W282" s="589"/>
      <c r="X282" s="592"/>
      <c r="Y282" s="592"/>
      <c r="Z282" s="594"/>
      <c r="AA282" s="301"/>
      <c r="AB282" s="583"/>
      <c r="AC282" s="586"/>
      <c r="AD282" s="317"/>
      <c r="AE282" s="318"/>
      <c r="AF282" s="318"/>
      <c r="AG282" s="318"/>
      <c r="AH282" s="318"/>
      <c r="AI282" s="318"/>
      <c r="AJ282" s="318"/>
      <c r="AK282" s="318"/>
      <c r="AL282" s="318"/>
      <c r="AM282" s="318"/>
      <c r="AN282" s="318"/>
      <c r="AO282" s="318"/>
      <c r="AP282" s="318"/>
      <c r="AQ282" s="318"/>
      <c r="AR282" s="318"/>
      <c r="AS282" s="318"/>
      <c r="AT282" s="318"/>
      <c r="AU282" s="318"/>
      <c r="AV282" s="318"/>
      <c r="AW282" s="319"/>
      <c r="AX282" s="589"/>
      <c r="AY282" s="592"/>
      <c r="AZ282" s="592"/>
      <c r="BA282" s="594"/>
      <c r="BB282" s="301"/>
    </row>
    <row r="283" spans="1:54" ht="9" customHeight="1">
      <c r="A283" s="583">
        <v>17</v>
      </c>
      <c r="B283" s="584" t="str">
        <f t="shared" si="189"/>
        <v>માથાસુરીયા દિનેશભાઇ અમરાભાઇ</v>
      </c>
      <c r="C283" s="311"/>
      <c r="D283" s="312"/>
      <c r="E283" s="312"/>
      <c r="F283" s="312"/>
      <c r="G283" s="312"/>
      <c r="H283" s="312"/>
      <c r="I283" s="312"/>
      <c r="J283" s="312"/>
      <c r="K283" s="312"/>
      <c r="L283" s="312"/>
      <c r="M283" s="312"/>
      <c r="N283" s="312"/>
      <c r="O283" s="312"/>
      <c r="P283" s="312"/>
      <c r="Q283" s="312"/>
      <c r="R283" s="312"/>
      <c r="S283" s="312"/>
      <c r="T283" s="312"/>
      <c r="U283" s="312"/>
      <c r="V283" s="313"/>
      <c r="W283" s="587">
        <f>'A-CALC'!V264</f>
        <v>0</v>
      </c>
      <c r="X283" s="590">
        <f>'A-CALC'!W264</f>
        <v>0</v>
      </c>
      <c r="Y283" s="590">
        <f>'A-CALC'!X264</f>
        <v>0</v>
      </c>
      <c r="Z283" s="593">
        <f t="shared" ref="Z283" si="207">ROUND((40/$Y$7)*W283,0)</f>
        <v>0</v>
      </c>
      <c r="AA283" s="301"/>
      <c r="AB283" s="583">
        <v>17</v>
      </c>
      <c r="AC283" s="584" t="str">
        <f t="shared" si="191"/>
        <v>માથાસુરીયા દિનેશભાઇ અમરાભાઇ</v>
      </c>
      <c r="AD283" s="311"/>
      <c r="AE283" s="312"/>
      <c r="AF283" s="312"/>
      <c r="AG283" s="312"/>
      <c r="AH283" s="312"/>
      <c r="AI283" s="312"/>
      <c r="AJ283" s="312"/>
      <c r="AK283" s="312"/>
      <c r="AL283" s="312"/>
      <c r="AM283" s="312"/>
      <c r="AN283" s="312"/>
      <c r="AO283" s="312"/>
      <c r="AP283" s="312"/>
      <c r="AQ283" s="312"/>
      <c r="AR283" s="312"/>
      <c r="AS283" s="312"/>
      <c r="AT283" s="312"/>
      <c r="AU283" s="312"/>
      <c r="AV283" s="312"/>
      <c r="AW283" s="313"/>
      <c r="AX283" s="587">
        <f>'A-CALC'!AU264</f>
        <v>0</v>
      </c>
      <c r="AY283" s="590">
        <f>'A-CALC'!AV264</f>
        <v>0</v>
      </c>
      <c r="AZ283" s="590">
        <f>'A-CALC'!AW264</f>
        <v>0</v>
      </c>
      <c r="BA283" s="593">
        <f t="shared" ref="BA283" si="208">ROUND((40/$Y$7)*AX283,0)</f>
        <v>0</v>
      </c>
      <c r="BB283" s="301"/>
    </row>
    <row r="284" spans="1:54" ht="9" customHeight="1">
      <c r="A284" s="583"/>
      <c r="B284" s="585"/>
      <c r="C284" s="314"/>
      <c r="D284" s="315"/>
      <c r="E284" s="315"/>
      <c r="F284" s="315"/>
      <c r="G284" s="315"/>
      <c r="H284" s="315"/>
      <c r="I284" s="315"/>
      <c r="J284" s="315"/>
      <c r="K284" s="315"/>
      <c r="L284" s="315"/>
      <c r="M284" s="315"/>
      <c r="N284" s="315"/>
      <c r="O284" s="315"/>
      <c r="P284" s="315"/>
      <c r="Q284" s="315"/>
      <c r="R284" s="315"/>
      <c r="S284" s="315"/>
      <c r="T284" s="315"/>
      <c r="U284" s="315"/>
      <c r="V284" s="316"/>
      <c r="W284" s="588"/>
      <c r="X284" s="591"/>
      <c r="Y284" s="591"/>
      <c r="Z284" s="594"/>
      <c r="AA284" s="301"/>
      <c r="AB284" s="583"/>
      <c r="AC284" s="585"/>
      <c r="AD284" s="314"/>
      <c r="AE284" s="315"/>
      <c r="AF284" s="315"/>
      <c r="AG284" s="315"/>
      <c r="AH284" s="315"/>
      <c r="AI284" s="315"/>
      <c r="AJ284" s="315"/>
      <c r="AK284" s="315"/>
      <c r="AL284" s="315"/>
      <c r="AM284" s="315"/>
      <c r="AN284" s="315"/>
      <c r="AO284" s="315"/>
      <c r="AP284" s="315"/>
      <c r="AQ284" s="315"/>
      <c r="AR284" s="315"/>
      <c r="AS284" s="315"/>
      <c r="AT284" s="315"/>
      <c r="AU284" s="315"/>
      <c r="AV284" s="315"/>
      <c r="AW284" s="316"/>
      <c r="AX284" s="588"/>
      <c r="AY284" s="591"/>
      <c r="AZ284" s="591"/>
      <c r="BA284" s="594"/>
      <c r="BB284" s="301"/>
    </row>
    <row r="285" spans="1:54" ht="9" customHeight="1">
      <c r="A285" s="583"/>
      <c r="B285" s="586"/>
      <c r="C285" s="317"/>
      <c r="D285" s="318"/>
      <c r="E285" s="318"/>
      <c r="F285" s="318"/>
      <c r="G285" s="318"/>
      <c r="H285" s="318"/>
      <c r="I285" s="318"/>
      <c r="J285" s="318"/>
      <c r="K285" s="318"/>
      <c r="L285" s="318"/>
      <c r="M285" s="318"/>
      <c r="N285" s="318"/>
      <c r="O285" s="318"/>
      <c r="P285" s="318"/>
      <c r="Q285" s="318"/>
      <c r="R285" s="318"/>
      <c r="S285" s="318"/>
      <c r="T285" s="318"/>
      <c r="U285" s="318"/>
      <c r="V285" s="319"/>
      <c r="W285" s="589"/>
      <c r="X285" s="592"/>
      <c r="Y285" s="592"/>
      <c r="Z285" s="594"/>
      <c r="AA285" s="301"/>
      <c r="AB285" s="583"/>
      <c r="AC285" s="586"/>
      <c r="AD285" s="317"/>
      <c r="AE285" s="318"/>
      <c r="AF285" s="318"/>
      <c r="AG285" s="318"/>
      <c r="AH285" s="318"/>
      <c r="AI285" s="318"/>
      <c r="AJ285" s="318"/>
      <c r="AK285" s="318"/>
      <c r="AL285" s="318"/>
      <c r="AM285" s="318"/>
      <c r="AN285" s="318"/>
      <c r="AO285" s="318"/>
      <c r="AP285" s="318"/>
      <c r="AQ285" s="318"/>
      <c r="AR285" s="318"/>
      <c r="AS285" s="318"/>
      <c r="AT285" s="318"/>
      <c r="AU285" s="318"/>
      <c r="AV285" s="318"/>
      <c r="AW285" s="319"/>
      <c r="AX285" s="589"/>
      <c r="AY285" s="592"/>
      <c r="AZ285" s="592"/>
      <c r="BA285" s="594"/>
      <c r="BB285" s="301"/>
    </row>
    <row r="286" spans="1:54" ht="9" customHeight="1">
      <c r="A286" s="583">
        <v>18</v>
      </c>
      <c r="B286" s="584" t="str">
        <f t="shared" si="189"/>
        <v>વાઘેલા હરેશ જીલુભાઇ</v>
      </c>
      <c r="C286" s="311"/>
      <c r="D286" s="312"/>
      <c r="E286" s="312"/>
      <c r="F286" s="312"/>
      <c r="G286" s="312"/>
      <c r="H286" s="312"/>
      <c r="I286" s="312"/>
      <c r="J286" s="312"/>
      <c r="K286" s="312"/>
      <c r="L286" s="312"/>
      <c r="M286" s="312"/>
      <c r="N286" s="312"/>
      <c r="O286" s="312"/>
      <c r="P286" s="312"/>
      <c r="Q286" s="312"/>
      <c r="R286" s="312"/>
      <c r="S286" s="312"/>
      <c r="T286" s="312"/>
      <c r="U286" s="312"/>
      <c r="V286" s="313"/>
      <c r="W286" s="587">
        <f>'A-CALC'!V267</f>
        <v>0</v>
      </c>
      <c r="X286" s="590">
        <f>'A-CALC'!W267</f>
        <v>0</v>
      </c>
      <c r="Y286" s="590">
        <f>'A-CALC'!X267</f>
        <v>0</v>
      </c>
      <c r="Z286" s="593">
        <f t="shared" ref="Z286" si="209">ROUND((40/$Y$7)*W286,0)</f>
        <v>0</v>
      </c>
      <c r="AA286" s="301"/>
      <c r="AB286" s="583">
        <v>18</v>
      </c>
      <c r="AC286" s="584" t="str">
        <f t="shared" si="191"/>
        <v>વાઘેલા હરેશ જીલુભાઇ</v>
      </c>
      <c r="AD286" s="311"/>
      <c r="AE286" s="312"/>
      <c r="AF286" s="312"/>
      <c r="AG286" s="312"/>
      <c r="AH286" s="312"/>
      <c r="AI286" s="312"/>
      <c r="AJ286" s="312"/>
      <c r="AK286" s="312"/>
      <c r="AL286" s="312"/>
      <c r="AM286" s="312"/>
      <c r="AN286" s="312"/>
      <c r="AO286" s="312"/>
      <c r="AP286" s="312"/>
      <c r="AQ286" s="312"/>
      <c r="AR286" s="312"/>
      <c r="AS286" s="312"/>
      <c r="AT286" s="312"/>
      <c r="AU286" s="312"/>
      <c r="AV286" s="312"/>
      <c r="AW286" s="313"/>
      <c r="AX286" s="587">
        <f>'A-CALC'!AU267</f>
        <v>0</v>
      </c>
      <c r="AY286" s="590">
        <f>'A-CALC'!AV267</f>
        <v>0</v>
      </c>
      <c r="AZ286" s="590">
        <f>'A-CALC'!AW267</f>
        <v>0</v>
      </c>
      <c r="BA286" s="593">
        <f t="shared" ref="BA286" si="210">ROUND((40/$Y$7)*AX286,0)</f>
        <v>0</v>
      </c>
      <c r="BB286" s="301"/>
    </row>
    <row r="287" spans="1:54" ht="9" customHeight="1">
      <c r="A287" s="583"/>
      <c r="B287" s="585"/>
      <c r="C287" s="314"/>
      <c r="D287" s="315"/>
      <c r="E287" s="315"/>
      <c r="F287" s="315"/>
      <c r="G287" s="315"/>
      <c r="H287" s="315"/>
      <c r="I287" s="315"/>
      <c r="J287" s="315"/>
      <c r="K287" s="315"/>
      <c r="L287" s="315"/>
      <c r="M287" s="315"/>
      <c r="N287" s="315"/>
      <c r="O287" s="315"/>
      <c r="P287" s="315"/>
      <c r="Q287" s="315"/>
      <c r="R287" s="315"/>
      <c r="S287" s="315"/>
      <c r="T287" s="315"/>
      <c r="U287" s="315"/>
      <c r="V287" s="316"/>
      <c r="W287" s="588"/>
      <c r="X287" s="591"/>
      <c r="Y287" s="591"/>
      <c r="Z287" s="594"/>
      <c r="AA287" s="301"/>
      <c r="AB287" s="583"/>
      <c r="AC287" s="585"/>
      <c r="AD287" s="314"/>
      <c r="AE287" s="315"/>
      <c r="AF287" s="315"/>
      <c r="AG287" s="315"/>
      <c r="AH287" s="315"/>
      <c r="AI287" s="315"/>
      <c r="AJ287" s="315"/>
      <c r="AK287" s="315"/>
      <c r="AL287" s="315"/>
      <c r="AM287" s="315"/>
      <c r="AN287" s="315"/>
      <c r="AO287" s="315"/>
      <c r="AP287" s="315"/>
      <c r="AQ287" s="315"/>
      <c r="AR287" s="315"/>
      <c r="AS287" s="315"/>
      <c r="AT287" s="315"/>
      <c r="AU287" s="315"/>
      <c r="AV287" s="315"/>
      <c r="AW287" s="316"/>
      <c r="AX287" s="588"/>
      <c r="AY287" s="591"/>
      <c r="AZ287" s="591"/>
      <c r="BA287" s="594"/>
      <c r="BB287" s="301"/>
    </row>
    <row r="288" spans="1:54" ht="9" customHeight="1">
      <c r="A288" s="583"/>
      <c r="B288" s="586"/>
      <c r="C288" s="317"/>
      <c r="D288" s="318"/>
      <c r="E288" s="318"/>
      <c r="F288" s="318"/>
      <c r="G288" s="318"/>
      <c r="H288" s="318"/>
      <c r="I288" s="318"/>
      <c r="J288" s="318"/>
      <c r="K288" s="318"/>
      <c r="L288" s="318"/>
      <c r="M288" s="318"/>
      <c r="N288" s="318"/>
      <c r="O288" s="318"/>
      <c r="P288" s="318"/>
      <c r="Q288" s="318"/>
      <c r="R288" s="318"/>
      <c r="S288" s="318"/>
      <c r="T288" s="318"/>
      <c r="U288" s="318"/>
      <c r="V288" s="319"/>
      <c r="W288" s="589"/>
      <c r="X288" s="592"/>
      <c r="Y288" s="592"/>
      <c r="Z288" s="594"/>
      <c r="AA288" s="301"/>
      <c r="AB288" s="583"/>
      <c r="AC288" s="586"/>
      <c r="AD288" s="317"/>
      <c r="AE288" s="318"/>
      <c r="AF288" s="318"/>
      <c r="AG288" s="318"/>
      <c r="AH288" s="318"/>
      <c r="AI288" s="318"/>
      <c r="AJ288" s="318"/>
      <c r="AK288" s="318"/>
      <c r="AL288" s="318"/>
      <c r="AM288" s="318"/>
      <c r="AN288" s="318"/>
      <c r="AO288" s="318"/>
      <c r="AP288" s="318"/>
      <c r="AQ288" s="318"/>
      <c r="AR288" s="318"/>
      <c r="AS288" s="318"/>
      <c r="AT288" s="318"/>
      <c r="AU288" s="318"/>
      <c r="AV288" s="318"/>
      <c r="AW288" s="319"/>
      <c r="AX288" s="589"/>
      <c r="AY288" s="592"/>
      <c r="AZ288" s="592"/>
      <c r="BA288" s="594"/>
      <c r="BB288" s="301"/>
    </row>
    <row r="289" spans="1:54" ht="9" customHeight="1">
      <c r="A289" s="583">
        <v>19</v>
      </c>
      <c r="B289" s="584" t="str">
        <f t="shared" si="189"/>
        <v>પરમાર દિલીપકુમાર મધુભાઇ</v>
      </c>
      <c r="C289" s="311"/>
      <c r="D289" s="312"/>
      <c r="E289" s="312"/>
      <c r="F289" s="312"/>
      <c r="G289" s="312"/>
      <c r="H289" s="312"/>
      <c r="I289" s="312"/>
      <c r="J289" s="312"/>
      <c r="K289" s="312"/>
      <c r="L289" s="312"/>
      <c r="M289" s="312"/>
      <c r="N289" s="312"/>
      <c r="O289" s="312"/>
      <c r="P289" s="312"/>
      <c r="Q289" s="312"/>
      <c r="R289" s="312"/>
      <c r="S289" s="312"/>
      <c r="T289" s="312"/>
      <c r="U289" s="312"/>
      <c r="V289" s="313"/>
      <c r="W289" s="587">
        <f>'A-CALC'!V270</f>
        <v>0</v>
      </c>
      <c r="X289" s="590">
        <f>'A-CALC'!W270</f>
        <v>0</v>
      </c>
      <c r="Y289" s="590">
        <f>'A-CALC'!X270</f>
        <v>0</v>
      </c>
      <c r="Z289" s="593">
        <f t="shared" ref="Z289" si="211">ROUND((40/$Y$7)*W289,0)</f>
        <v>0</v>
      </c>
      <c r="AA289" s="301"/>
      <c r="AB289" s="583">
        <v>19</v>
      </c>
      <c r="AC289" s="584" t="str">
        <f t="shared" si="191"/>
        <v>પરમાર દિલીપકુમાર મધુભાઇ</v>
      </c>
      <c r="AD289" s="311"/>
      <c r="AE289" s="312"/>
      <c r="AF289" s="312"/>
      <c r="AG289" s="312"/>
      <c r="AH289" s="312"/>
      <c r="AI289" s="312"/>
      <c r="AJ289" s="312"/>
      <c r="AK289" s="312"/>
      <c r="AL289" s="312"/>
      <c r="AM289" s="312"/>
      <c r="AN289" s="312"/>
      <c r="AO289" s="312"/>
      <c r="AP289" s="312"/>
      <c r="AQ289" s="312"/>
      <c r="AR289" s="312"/>
      <c r="AS289" s="312"/>
      <c r="AT289" s="312"/>
      <c r="AU289" s="312"/>
      <c r="AV289" s="312"/>
      <c r="AW289" s="313"/>
      <c r="AX289" s="587">
        <f>'A-CALC'!AU270</f>
        <v>0</v>
      </c>
      <c r="AY289" s="590">
        <f>'A-CALC'!AV270</f>
        <v>0</v>
      </c>
      <c r="AZ289" s="590">
        <f>'A-CALC'!AW270</f>
        <v>0</v>
      </c>
      <c r="BA289" s="593">
        <f t="shared" ref="BA289" si="212">ROUND((40/$Y$7)*AX289,0)</f>
        <v>0</v>
      </c>
      <c r="BB289" s="301"/>
    </row>
    <row r="290" spans="1:54" ht="9" customHeight="1">
      <c r="A290" s="583"/>
      <c r="B290" s="585"/>
      <c r="C290" s="314"/>
      <c r="D290" s="315"/>
      <c r="E290" s="315"/>
      <c r="F290" s="315"/>
      <c r="G290" s="315"/>
      <c r="H290" s="315"/>
      <c r="I290" s="315"/>
      <c r="J290" s="315"/>
      <c r="K290" s="315"/>
      <c r="L290" s="315"/>
      <c r="M290" s="315"/>
      <c r="N290" s="315"/>
      <c r="O290" s="315"/>
      <c r="P290" s="315"/>
      <c r="Q290" s="315"/>
      <c r="R290" s="315"/>
      <c r="S290" s="315"/>
      <c r="T290" s="315"/>
      <c r="U290" s="315"/>
      <c r="V290" s="316"/>
      <c r="W290" s="588"/>
      <c r="X290" s="591"/>
      <c r="Y290" s="591"/>
      <c r="Z290" s="594"/>
      <c r="AA290" s="301"/>
      <c r="AB290" s="583"/>
      <c r="AC290" s="585"/>
      <c r="AD290" s="314"/>
      <c r="AE290" s="315"/>
      <c r="AF290" s="315"/>
      <c r="AG290" s="315"/>
      <c r="AH290" s="315"/>
      <c r="AI290" s="315"/>
      <c r="AJ290" s="315"/>
      <c r="AK290" s="315"/>
      <c r="AL290" s="315"/>
      <c r="AM290" s="315"/>
      <c r="AN290" s="315"/>
      <c r="AO290" s="315"/>
      <c r="AP290" s="315"/>
      <c r="AQ290" s="315"/>
      <c r="AR290" s="315"/>
      <c r="AS290" s="315"/>
      <c r="AT290" s="315"/>
      <c r="AU290" s="315"/>
      <c r="AV290" s="315"/>
      <c r="AW290" s="316"/>
      <c r="AX290" s="588"/>
      <c r="AY290" s="591"/>
      <c r="AZ290" s="591"/>
      <c r="BA290" s="594"/>
      <c r="BB290" s="301"/>
    </row>
    <row r="291" spans="1:54" ht="9" customHeight="1">
      <c r="A291" s="583"/>
      <c r="B291" s="586"/>
      <c r="C291" s="317"/>
      <c r="D291" s="318"/>
      <c r="E291" s="318"/>
      <c r="F291" s="318"/>
      <c r="G291" s="318"/>
      <c r="H291" s="318"/>
      <c r="I291" s="318"/>
      <c r="J291" s="318"/>
      <c r="K291" s="318"/>
      <c r="L291" s="318"/>
      <c r="M291" s="318"/>
      <c r="N291" s="318"/>
      <c r="O291" s="318"/>
      <c r="P291" s="318"/>
      <c r="Q291" s="318"/>
      <c r="R291" s="318"/>
      <c r="S291" s="318"/>
      <c r="T291" s="318"/>
      <c r="U291" s="318"/>
      <c r="V291" s="319"/>
      <c r="W291" s="589"/>
      <c r="X291" s="592"/>
      <c r="Y291" s="592"/>
      <c r="Z291" s="594"/>
      <c r="AA291" s="301"/>
      <c r="AB291" s="583"/>
      <c r="AC291" s="586"/>
      <c r="AD291" s="317"/>
      <c r="AE291" s="318"/>
      <c r="AF291" s="318"/>
      <c r="AG291" s="318"/>
      <c r="AH291" s="318"/>
      <c r="AI291" s="318"/>
      <c r="AJ291" s="318"/>
      <c r="AK291" s="318"/>
      <c r="AL291" s="318"/>
      <c r="AM291" s="318"/>
      <c r="AN291" s="318"/>
      <c r="AO291" s="318"/>
      <c r="AP291" s="318"/>
      <c r="AQ291" s="318"/>
      <c r="AR291" s="318"/>
      <c r="AS291" s="318"/>
      <c r="AT291" s="318"/>
      <c r="AU291" s="318"/>
      <c r="AV291" s="318"/>
      <c r="AW291" s="319"/>
      <c r="AX291" s="589"/>
      <c r="AY291" s="592"/>
      <c r="AZ291" s="592"/>
      <c r="BA291" s="594"/>
      <c r="BB291" s="301"/>
    </row>
    <row r="292" spans="1:54" ht="9" customHeight="1">
      <c r="A292" s="583">
        <v>20</v>
      </c>
      <c r="B292" s="584" t="str">
        <f t="shared" si="189"/>
        <v>વિરપરા કૃણાલ હરેશભાઇ</v>
      </c>
      <c r="C292" s="311"/>
      <c r="D292" s="312"/>
      <c r="E292" s="312"/>
      <c r="F292" s="312"/>
      <c r="G292" s="312"/>
      <c r="H292" s="312"/>
      <c r="I292" s="312"/>
      <c r="J292" s="312"/>
      <c r="K292" s="312"/>
      <c r="L292" s="312"/>
      <c r="M292" s="312"/>
      <c r="N292" s="312"/>
      <c r="O292" s="312"/>
      <c r="P292" s="312"/>
      <c r="Q292" s="312"/>
      <c r="R292" s="312"/>
      <c r="S292" s="312"/>
      <c r="T292" s="312"/>
      <c r="U292" s="312"/>
      <c r="V292" s="313"/>
      <c r="W292" s="587">
        <f>'A-CALC'!V273</f>
        <v>0</v>
      </c>
      <c r="X292" s="590">
        <f>'A-CALC'!W273</f>
        <v>0</v>
      </c>
      <c r="Y292" s="590">
        <f>'A-CALC'!X273</f>
        <v>0</v>
      </c>
      <c r="Z292" s="593">
        <f t="shared" ref="Z292" si="213">ROUND((40/$Y$7)*W292,0)</f>
        <v>0</v>
      </c>
      <c r="AA292" s="301"/>
      <c r="AB292" s="583">
        <v>20</v>
      </c>
      <c r="AC292" s="584" t="str">
        <f t="shared" si="191"/>
        <v>વિરપરા કૃણાલ હરેશભાઇ</v>
      </c>
      <c r="AD292" s="311"/>
      <c r="AE292" s="312"/>
      <c r="AF292" s="312"/>
      <c r="AG292" s="312"/>
      <c r="AH292" s="312"/>
      <c r="AI292" s="312"/>
      <c r="AJ292" s="312"/>
      <c r="AK292" s="312"/>
      <c r="AL292" s="312"/>
      <c r="AM292" s="312"/>
      <c r="AN292" s="312"/>
      <c r="AO292" s="312"/>
      <c r="AP292" s="312"/>
      <c r="AQ292" s="312"/>
      <c r="AR292" s="312"/>
      <c r="AS292" s="312"/>
      <c r="AT292" s="312"/>
      <c r="AU292" s="312"/>
      <c r="AV292" s="312"/>
      <c r="AW292" s="313"/>
      <c r="AX292" s="587">
        <f>'A-CALC'!AU273</f>
        <v>0</v>
      </c>
      <c r="AY292" s="590">
        <f>'A-CALC'!AV273</f>
        <v>0</v>
      </c>
      <c r="AZ292" s="590">
        <f>'A-CALC'!AW273</f>
        <v>0</v>
      </c>
      <c r="BA292" s="593">
        <f t="shared" ref="BA292" si="214">ROUND((40/$Y$7)*AX292,0)</f>
        <v>0</v>
      </c>
      <c r="BB292" s="301"/>
    </row>
    <row r="293" spans="1:54" ht="9" customHeight="1">
      <c r="A293" s="583"/>
      <c r="B293" s="585"/>
      <c r="C293" s="314"/>
      <c r="D293" s="315"/>
      <c r="E293" s="315"/>
      <c r="F293" s="315"/>
      <c r="G293" s="315"/>
      <c r="H293" s="315"/>
      <c r="I293" s="315"/>
      <c r="J293" s="315"/>
      <c r="K293" s="315"/>
      <c r="L293" s="315"/>
      <c r="M293" s="315"/>
      <c r="N293" s="315"/>
      <c r="O293" s="315"/>
      <c r="P293" s="315"/>
      <c r="Q293" s="315"/>
      <c r="R293" s="315"/>
      <c r="S293" s="315"/>
      <c r="T293" s="315"/>
      <c r="U293" s="315"/>
      <c r="V293" s="316"/>
      <c r="W293" s="588"/>
      <c r="X293" s="591"/>
      <c r="Y293" s="591"/>
      <c r="Z293" s="594"/>
      <c r="AA293" s="301"/>
      <c r="AB293" s="583"/>
      <c r="AC293" s="585"/>
      <c r="AD293" s="314"/>
      <c r="AE293" s="315"/>
      <c r="AF293" s="315"/>
      <c r="AG293" s="315"/>
      <c r="AH293" s="315"/>
      <c r="AI293" s="315"/>
      <c r="AJ293" s="315"/>
      <c r="AK293" s="315"/>
      <c r="AL293" s="315"/>
      <c r="AM293" s="315"/>
      <c r="AN293" s="315"/>
      <c r="AO293" s="315"/>
      <c r="AP293" s="315"/>
      <c r="AQ293" s="315"/>
      <c r="AR293" s="315"/>
      <c r="AS293" s="315"/>
      <c r="AT293" s="315"/>
      <c r="AU293" s="315"/>
      <c r="AV293" s="315"/>
      <c r="AW293" s="316"/>
      <c r="AX293" s="588"/>
      <c r="AY293" s="591"/>
      <c r="AZ293" s="591"/>
      <c r="BA293" s="594"/>
      <c r="BB293" s="301"/>
    </row>
    <row r="294" spans="1:54" ht="9" customHeight="1">
      <c r="A294" s="583"/>
      <c r="B294" s="586"/>
      <c r="C294" s="317"/>
      <c r="D294" s="318"/>
      <c r="E294" s="318"/>
      <c r="F294" s="318"/>
      <c r="G294" s="318"/>
      <c r="H294" s="318"/>
      <c r="I294" s="318"/>
      <c r="J294" s="318"/>
      <c r="K294" s="318"/>
      <c r="L294" s="318"/>
      <c r="M294" s="318"/>
      <c r="N294" s="318"/>
      <c r="O294" s="318"/>
      <c r="P294" s="318"/>
      <c r="Q294" s="318"/>
      <c r="R294" s="318"/>
      <c r="S294" s="318"/>
      <c r="T294" s="318"/>
      <c r="U294" s="318"/>
      <c r="V294" s="319"/>
      <c r="W294" s="589"/>
      <c r="X294" s="592"/>
      <c r="Y294" s="592"/>
      <c r="Z294" s="594"/>
      <c r="AA294" s="301"/>
      <c r="AB294" s="583"/>
      <c r="AC294" s="586"/>
      <c r="AD294" s="317"/>
      <c r="AE294" s="318"/>
      <c r="AF294" s="318"/>
      <c r="AG294" s="318"/>
      <c r="AH294" s="318"/>
      <c r="AI294" s="318"/>
      <c r="AJ294" s="318"/>
      <c r="AK294" s="318"/>
      <c r="AL294" s="318"/>
      <c r="AM294" s="318"/>
      <c r="AN294" s="318"/>
      <c r="AO294" s="318"/>
      <c r="AP294" s="318"/>
      <c r="AQ294" s="318"/>
      <c r="AR294" s="318"/>
      <c r="AS294" s="318"/>
      <c r="AT294" s="318"/>
      <c r="AU294" s="318"/>
      <c r="AV294" s="318"/>
      <c r="AW294" s="319"/>
      <c r="AX294" s="589"/>
      <c r="AY294" s="592"/>
      <c r="AZ294" s="592"/>
      <c r="BA294" s="594"/>
      <c r="BB294" s="301"/>
    </row>
    <row r="295" spans="1:54" ht="9" customHeight="1">
      <c r="A295" s="583">
        <v>21</v>
      </c>
      <c r="B295" s="584" t="str">
        <f t="shared" si="189"/>
        <v>મકરૂબિયા જીજ્ઞેશભાઇ અશોકભાઇ</v>
      </c>
      <c r="C295" s="311"/>
      <c r="D295" s="312"/>
      <c r="E295" s="312"/>
      <c r="F295" s="312"/>
      <c r="G295" s="312"/>
      <c r="H295" s="312"/>
      <c r="I295" s="312"/>
      <c r="J295" s="312"/>
      <c r="K295" s="312"/>
      <c r="L295" s="312"/>
      <c r="M295" s="312"/>
      <c r="N295" s="312"/>
      <c r="O295" s="312"/>
      <c r="P295" s="312"/>
      <c r="Q295" s="312"/>
      <c r="R295" s="312"/>
      <c r="S295" s="312"/>
      <c r="T295" s="312"/>
      <c r="U295" s="312"/>
      <c r="V295" s="313"/>
      <c r="W295" s="587">
        <f>'A-CALC'!V276</f>
        <v>0</v>
      </c>
      <c r="X295" s="590">
        <f>'A-CALC'!W276</f>
        <v>0</v>
      </c>
      <c r="Y295" s="590">
        <f>'A-CALC'!X276</f>
        <v>0</v>
      </c>
      <c r="Z295" s="593">
        <f t="shared" ref="Z295" si="215">ROUND((40/$Y$7)*W295,0)</f>
        <v>0</v>
      </c>
      <c r="AA295" s="301"/>
      <c r="AB295" s="583">
        <v>21</v>
      </c>
      <c r="AC295" s="584" t="str">
        <f t="shared" si="191"/>
        <v>મકરૂબિયા જીજ્ઞેશભાઇ અશોકભાઇ</v>
      </c>
      <c r="AD295" s="311"/>
      <c r="AE295" s="312"/>
      <c r="AF295" s="312"/>
      <c r="AG295" s="312"/>
      <c r="AH295" s="312"/>
      <c r="AI295" s="312"/>
      <c r="AJ295" s="312"/>
      <c r="AK295" s="312"/>
      <c r="AL295" s="312"/>
      <c r="AM295" s="312"/>
      <c r="AN295" s="312"/>
      <c r="AO295" s="312"/>
      <c r="AP295" s="312"/>
      <c r="AQ295" s="312"/>
      <c r="AR295" s="312"/>
      <c r="AS295" s="312"/>
      <c r="AT295" s="312"/>
      <c r="AU295" s="312"/>
      <c r="AV295" s="312"/>
      <c r="AW295" s="313"/>
      <c r="AX295" s="587">
        <f>'A-CALC'!AU276</f>
        <v>0</v>
      </c>
      <c r="AY295" s="590">
        <f>'A-CALC'!AV276</f>
        <v>0</v>
      </c>
      <c r="AZ295" s="590">
        <f>'A-CALC'!AW276</f>
        <v>0</v>
      </c>
      <c r="BA295" s="593">
        <f t="shared" ref="BA295" si="216">ROUND((40/$Y$7)*AX295,0)</f>
        <v>0</v>
      </c>
      <c r="BB295" s="301"/>
    </row>
    <row r="296" spans="1:54" ht="9" customHeight="1">
      <c r="A296" s="583"/>
      <c r="B296" s="585"/>
      <c r="C296" s="314"/>
      <c r="D296" s="315"/>
      <c r="E296" s="315"/>
      <c r="F296" s="315"/>
      <c r="G296" s="315"/>
      <c r="H296" s="315"/>
      <c r="I296" s="315"/>
      <c r="J296" s="315"/>
      <c r="K296" s="315"/>
      <c r="L296" s="315"/>
      <c r="M296" s="315"/>
      <c r="N296" s="315"/>
      <c r="O296" s="315"/>
      <c r="P296" s="315"/>
      <c r="Q296" s="315"/>
      <c r="R296" s="315"/>
      <c r="S296" s="315"/>
      <c r="T296" s="315"/>
      <c r="U296" s="315"/>
      <c r="V296" s="316"/>
      <c r="W296" s="588"/>
      <c r="X296" s="591"/>
      <c r="Y296" s="591"/>
      <c r="Z296" s="594"/>
      <c r="AA296" s="301"/>
      <c r="AB296" s="583"/>
      <c r="AC296" s="585"/>
      <c r="AD296" s="314"/>
      <c r="AE296" s="315"/>
      <c r="AF296" s="315"/>
      <c r="AG296" s="315"/>
      <c r="AH296" s="315"/>
      <c r="AI296" s="315"/>
      <c r="AJ296" s="315"/>
      <c r="AK296" s="315"/>
      <c r="AL296" s="315"/>
      <c r="AM296" s="315"/>
      <c r="AN296" s="315"/>
      <c r="AO296" s="315"/>
      <c r="AP296" s="315"/>
      <c r="AQ296" s="315"/>
      <c r="AR296" s="315"/>
      <c r="AS296" s="315"/>
      <c r="AT296" s="315"/>
      <c r="AU296" s="315"/>
      <c r="AV296" s="315"/>
      <c r="AW296" s="316"/>
      <c r="AX296" s="588"/>
      <c r="AY296" s="591"/>
      <c r="AZ296" s="591"/>
      <c r="BA296" s="594"/>
      <c r="BB296" s="301"/>
    </row>
    <row r="297" spans="1:54" ht="9" customHeight="1">
      <c r="A297" s="583"/>
      <c r="B297" s="586"/>
      <c r="C297" s="317"/>
      <c r="D297" s="318"/>
      <c r="E297" s="318"/>
      <c r="F297" s="318"/>
      <c r="G297" s="318"/>
      <c r="H297" s="318"/>
      <c r="I297" s="318"/>
      <c r="J297" s="318"/>
      <c r="K297" s="318"/>
      <c r="L297" s="318"/>
      <c r="M297" s="318"/>
      <c r="N297" s="318"/>
      <c r="O297" s="318"/>
      <c r="P297" s="318"/>
      <c r="Q297" s="318"/>
      <c r="R297" s="318"/>
      <c r="S297" s="318"/>
      <c r="T297" s="318"/>
      <c r="U297" s="318"/>
      <c r="V297" s="319"/>
      <c r="W297" s="589"/>
      <c r="X297" s="592"/>
      <c r="Y297" s="592"/>
      <c r="Z297" s="594"/>
      <c r="AA297" s="301"/>
      <c r="AB297" s="583"/>
      <c r="AC297" s="586"/>
      <c r="AD297" s="317"/>
      <c r="AE297" s="318"/>
      <c r="AF297" s="318"/>
      <c r="AG297" s="318"/>
      <c r="AH297" s="318"/>
      <c r="AI297" s="318"/>
      <c r="AJ297" s="318"/>
      <c r="AK297" s="318"/>
      <c r="AL297" s="318"/>
      <c r="AM297" s="318"/>
      <c r="AN297" s="318"/>
      <c r="AO297" s="318"/>
      <c r="AP297" s="318"/>
      <c r="AQ297" s="318"/>
      <c r="AR297" s="318"/>
      <c r="AS297" s="318"/>
      <c r="AT297" s="318"/>
      <c r="AU297" s="318"/>
      <c r="AV297" s="318"/>
      <c r="AW297" s="319"/>
      <c r="AX297" s="589"/>
      <c r="AY297" s="592"/>
      <c r="AZ297" s="592"/>
      <c r="BA297" s="594"/>
      <c r="BB297" s="301"/>
    </row>
    <row r="298" spans="1:54" ht="9" customHeight="1">
      <c r="A298" s="583">
        <v>22</v>
      </c>
      <c r="B298" s="584" t="str">
        <f t="shared" si="189"/>
        <v>ખિમસુરીયા જ્યોત્સના મુકેશભાઇ</v>
      </c>
      <c r="C298" s="311"/>
      <c r="D298" s="312"/>
      <c r="E298" s="312"/>
      <c r="F298" s="312"/>
      <c r="G298" s="312"/>
      <c r="H298" s="312"/>
      <c r="I298" s="312"/>
      <c r="J298" s="312"/>
      <c r="K298" s="312"/>
      <c r="L298" s="312"/>
      <c r="M298" s="312"/>
      <c r="N298" s="312"/>
      <c r="O298" s="312"/>
      <c r="P298" s="312"/>
      <c r="Q298" s="312"/>
      <c r="R298" s="312"/>
      <c r="S298" s="312"/>
      <c r="T298" s="312"/>
      <c r="U298" s="312"/>
      <c r="V298" s="313"/>
      <c r="W298" s="587">
        <f>'A-CALC'!V279</f>
        <v>0</v>
      </c>
      <c r="X298" s="590">
        <f>'A-CALC'!W279</f>
        <v>0</v>
      </c>
      <c r="Y298" s="590">
        <f>'A-CALC'!X279</f>
        <v>0</v>
      </c>
      <c r="Z298" s="593">
        <f t="shared" ref="Z298" si="217">ROUND((40/$Y$7)*W298,0)</f>
        <v>0</v>
      </c>
      <c r="AA298" s="301"/>
      <c r="AB298" s="583">
        <v>22</v>
      </c>
      <c r="AC298" s="584" t="str">
        <f t="shared" si="191"/>
        <v>ખિમસુરીયા જ્યોત્સના મુકેશભાઇ</v>
      </c>
      <c r="AD298" s="311"/>
      <c r="AE298" s="312"/>
      <c r="AF298" s="312"/>
      <c r="AG298" s="312"/>
      <c r="AH298" s="312"/>
      <c r="AI298" s="312"/>
      <c r="AJ298" s="312"/>
      <c r="AK298" s="312"/>
      <c r="AL298" s="312"/>
      <c r="AM298" s="312"/>
      <c r="AN298" s="312"/>
      <c r="AO298" s="312"/>
      <c r="AP298" s="312"/>
      <c r="AQ298" s="312"/>
      <c r="AR298" s="312"/>
      <c r="AS298" s="312"/>
      <c r="AT298" s="312"/>
      <c r="AU298" s="312"/>
      <c r="AV298" s="312"/>
      <c r="AW298" s="313"/>
      <c r="AX298" s="587">
        <f>'A-CALC'!AU279</f>
        <v>0</v>
      </c>
      <c r="AY298" s="590">
        <f>'A-CALC'!AV279</f>
        <v>0</v>
      </c>
      <c r="AZ298" s="590">
        <f>'A-CALC'!AW279</f>
        <v>0</v>
      </c>
      <c r="BA298" s="593">
        <f t="shared" ref="BA298" si="218">ROUND((40/$Y$7)*AX298,0)</f>
        <v>0</v>
      </c>
      <c r="BB298" s="301"/>
    </row>
    <row r="299" spans="1:54" ht="9" customHeight="1">
      <c r="A299" s="583"/>
      <c r="B299" s="585"/>
      <c r="C299" s="314"/>
      <c r="D299" s="315"/>
      <c r="E299" s="315"/>
      <c r="F299" s="315"/>
      <c r="G299" s="315"/>
      <c r="H299" s="315"/>
      <c r="I299" s="315"/>
      <c r="J299" s="315"/>
      <c r="K299" s="315"/>
      <c r="L299" s="315"/>
      <c r="M299" s="315"/>
      <c r="N299" s="315"/>
      <c r="O299" s="315"/>
      <c r="P299" s="315"/>
      <c r="Q299" s="315"/>
      <c r="R299" s="315"/>
      <c r="S299" s="315"/>
      <c r="T299" s="315"/>
      <c r="U299" s="315"/>
      <c r="V299" s="316"/>
      <c r="W299" s="588"/>
      <c r="X299" s="591"/>
      <c r="Y299" s="591"/>
      <c r="Z299" s="594"/>
      <c r="AA299" s="301"/>
      <c r="AB299" s="583"/>
      <c r="AC299" s="585"/>
      <c r="AD299" s="314"/>
      <c r="AE299" s="315"/>
      <c r="AF299" s="315"/>
      <c r="AG299" s="315"/>
      <c r="AH299" s="315"/>
      <c r="AI299" s="315"/>
      <c r="AJ299" s="315"/>
      <c r="AK299" s="315"/>
      <c r="AL299" s="315"/>
      <c r="AM299" s="315"/>
      <c r="AN299" s="315"/>
      <c r="AO299" s="315"/>
      <c r="AP299" s="315"/>
      <c r="AQ299" s="315"/>
      <c r="AR299" s="315"/>
      <c r="AS299" s="315"/>
      <c r="AT299" s="315"/>
      <c r="AU299" s="315"/>
      <c r="AV299" s="315"/>
      <c r="AW299" s="316"/>
      <c r="AX299" s="588"/>
      <c r="AY299" s="591"/>
      <c r="AZ299" s="591"/>
      <c r="BA299" s="594"/>
      <c r="BB299" s="301"/>
    </row>
    <row r="300" spans="1:54" ht="9" customHeight="1">
      <c r="A300" s="583"/>
      <c r="B300" s="586"/>
      <c r="C300" s="317"/>
      <c r="D300" s="318"/>
      <c r="E300" s="318"/>
      <c r="F300" s="318"/>
      <c r="G300" s="318"/>
      <c r="H300" s="318"/>
      <c r="I300" s="318"/>
      <c r="J300" s="318"/>
      <c r="K300" s="318"/>
      <c r="L300" s="318"/>
      <c r="M300" s="318"/>
      <c r="N300" s="318"/>
      <c r="O300" s="318"/>
      <c r="P300" s="318"/>
      <c r="Q300" s="318"/>
      <c r="R300" s="318"/>
      <c r="S300" s="318"/>
      <c r="T300" s="318"/>
      <c r="U300" s="318"/>
      <c r="V300" s="319"/>
      <c r="W300" s="589"/>
      <c r="X300" s="592"/>
      <c r="Y300" s="592"/>
      <c r="Z300" s="594"/>
      <c r="AA300" s="301"/>
      <c r="AB300" s="583"/>
      <c r="AC300" s="586"/>
      <c r="AD300" s="317"/>
      <c r="AE300" s="318"/>
      <c r="AF300" s="318"/>
      <c r="AG300" s="318"/>
      <c r="AH300" s="318"/>
      <c r="AI300" s="318"/>
      <c r="AJ300" s="318"/>
      <c r="AK300" s="318"/>
      <c r="AL300" s="318"/>
      <c r="AM300" s="318"/>
      <c r="AN300" s="318"/>
      <c r="AO300" s="318"/>
      <c r="AP300" s="318"/>
      <c r="AQ300" s="318"/>
      <c r="AR300" s="318"/>
      <c r="AS300" s="318"/>
      <c r="AT300" s="318"/>
      <c r="AU300" s="318"/>
      <c r="AV300" s="318"/>
      <c r="AW300" s="319"/>
      <c r="AX300" s="589"/>
      <c r="AY300" s="592"/>
      <c r="AZ300" s="592"/>
      <c r="BA300" s="594"/>
      <c r="BB300" s="301"/>
    </row>
    <row r="301" spans="1:54" ht="9" customHeight="1">
      <c r="A301" s="583">
        <v>23</v>
      </c>
      <c r="B301" s="584" t="str">
        <f t="shared" si="189"/>
        <v>ગરણિયા રાજલબેન સામતભાઇ</v>
      </c>
      <c r="C301" s="311"/>
      <c r="D301" s="312"/>
      <c r="E301" s="312"/>
      <c r="F301" s="312"/>
      <c r="G301" s="312"/>
      <c r="H301" s="312"/>
      <c r="I301" s="312"/>
      <c r="J301" s="312"/>
      <c r="K301" s="312"/>
      <c r="L301" s="312"/>
      <c r="M301" s="312"/>
      <c r="N301" s="312"/>
      <c r="O301" s="312"/>
      <c r="P301" s="312"/>
      <c r="Q301" s="312"/>
      <c r="R301" s="312"/>
      <c r="S301" s="312"/>
      <c r="T301" s="312"/>
      <c r="U301" s="312"/>
      <c r="V301" s="313"/>
      <c r="W301" s="587">
        <f>'A-CALC'!V282</f>
        <v>0</v>
      </c>
      <c r="X301" s="590">
        <f>'A-CALC'!W282</f>
        <v>0</v>
      </c>
      <c r="Y301" s="590">
        <f>'A-CALC'!X282</f>
        <v>0</v>
      </c>
      <c r="Z301" s="593">
        <f t="shared" ref="Z301" si="219">ROUND((40/$Y$7)*W301,0)</f>
        <v>0</v>
      </c>
      <c r="AA301" s="301"/>
      <c r="AB301" s="583">
        <v>23</v>
      </c>
      <c r="AC301" s="584" t="str">
        <f t="shared" si="191"/>
        <v>ગરણિયા રાજલબેન સામતભાઇ</v>
      </c>
      <c r="AD301" s="311"/>
      <c r="AE301" s="312"/>
      <c r="AF301" s="312"/>
      <c r="AG301" s="312"/>
      <c r="AH301" s="312"/>
      <c r="AI301" s="312"/>
      <c r="AJ301" s="312"/>
      <c r="AK301" s="312"/>
      <c r="AL301" s="312"/>
      <c r="AM301" s="312"/>
      <c r="AN301" s="312"/>
      <c r="AO301" s="312"/>
      <c r="AP301" s="312"/>
      <c r="AQ301" s="312"/>
      <c r="AR301" s="312"/>
      <c r="AS301" s="312"/>
      <c r="AT301" s="312"/>
      <c r="AU301" s="312"/>
      <c r="AV301" s="312"/>
      <c r="AW301" s="313"/>
      <c r="AX301" s="587">
        <f>'A-CALC'!AU282</f>
        <v>0</v>
      </c>
      <c r="AY301" s="590">
        <f>'A-CALC'!AV282</f>
        <v>0</v>
      </c>
      <c r="AZ301" s="590">
        <f>'A-CALC'!AW282</f>
        <v>0</v>
      </c>
      <c r="BA301" s="593">
        <f t="shared" ref="BA301" si="220">ROUND((40/$Y$7)*AX301,0)</f>
        <v>0</v>
      </c>
      <c r="BB301" s="301"/>
    </row>
    <row r="302" spans="1:54" ht="9" customHeight="1">
      <c r="A302" s="583"/>
      <c r="B302" s="585"/>
      <c r="C302" s="314"/>
      <c r="D302" s="315"/>
      <c r="E302" s="315"/>
      <c r="F302" s="315"/>
      <c r="G302" s="315"/>
      <c r="H302" s="315"/>
      <c r="I302" s="315"/>
      <c r="J302" s="315"/>
      <c r="K302" s="315"/>
      <c r="L302" s="315"/>
      <c r="M302" s="315"/>
      <c r="N302" s="315"/>
      <c r="O302" s="315"/>
      <c r="P302" s="315"/>
      <c r="Q302" s="315"/>
      <c r="R302" s="315"/>
      <c r="S302" s="315"/>
      <c r="T302" s="315"/>
      <c r="U302" s="315"/>
      <c r="V302" s="316"/>
      <c r="W302" s="588"/>
      <c r="X302" s="591"/>
      <c r="Y302" s="591"/>
      <c r="Z302" s="594"/>
      <c r="AA302" s="301"/>
      <c r="AB302" s="583"/>
      <c r="AC302" s="585"/>
      <c r="AD302" s="314"/>
      <c r="AE302" s="315"/>
      <c r="AF302" s="315"/>
      <c r="AG302" s="315"/>
      <c r="AH302" s="315"/>
      <c r="AI302" s="315"/>
      <c r="AJ302" s="315"/>
      <c r="AK302" s="315"/>
      <c r="AL302" s="315"/>
      <c r="AM302" s="315"/>
      <c r="AN302" s="315"/>
      <c r="AO302" s="315"/>
      <c r="AP302" s="315"/>
      <c r="AQ302" s="315"/>
      <c r="AR302" s="315"/>
      <c r="AS302" s="315"/>
      <c r="AT302" s="315"/>
      <c r="AU302" s="315"/>
      <c r="AV302" s="315"/>
      <c r="AW302" s="316"/>
      <c r="AX302" s="588"/>
      <c r="AY302" s="591"/>
      <c r="AZ302" s="591"/>
      <c r="BA302" s="594"/>
      <c r="BB302" s="301"/>
    </row>
    <row r="303" spans="1:54" ht="9" customHeight="1">
      <c r="A303" s="583"/>
      <c r="B303" s="586"/>
      <c r="C303" s="317"/>
      <c r="D303" s="318"/>
      <c r="E303" s="318"/>
      <c r="F303" s="318"/>
      <c r="G303" s="318"/>
      <c r="H303" s="318"/>
      <c r="I303" s="318"/>
      <c r="J303" s="318"/>
      <c r="K303" s="318"/>
      <c r="L303" s="318"/>
      <c r="M303" s="318"/>
      <c r="N303" s="318"/>
      <c r="O303" s="318"/>
      <c r="P303" s="318"/>
      <c r="Q303" s="318"/>
      <c r="R303" s="318"/>
      <c r="S303" s="318"/>
      <c r="T303" s="318"/>
      <c r="U303" s="318"/>
      <c r="V303" s="319"/>
      <c r="W303" s="589"/>
      <c r="X303" s="592"/>
      <c r="Y303" s="592"/>
      <c r="Z303" s="594"/>
      <c r="AA303" s="301"/>
      <c r="AB303" s="583"/>
      <c r="AC303" s="586"/>
      <c r="AD303" s="317"/>
      <c r="AE303" s="318"/>
      <c r="AF303" s="318"/>
      <c r="AG303" s="318"/>
      <c r="AH303" s="318"/>
      <c r="AI303" s="318"/>
      <c r="AJ303" s="318"/>
      <c r="AK303" s="318"/>
      <c r="AL303" s="318"/>
      <c r="AM303" s="318"/>
      <c r="AN303" s="318"/>
      <c r="AO303" s="318"/>
      <c r="AP303" s="318"/>
      <c r="AQ303" s="318"/>
      <c r="AR303" s="318"/>
      <c r="AS303" s="318"/>
      <c r="AT303" s="318"/>
      <c r="AU303" s="318"/>
      <c r="AV303" s="318"/>
      <c r="AW303" s="319"/>
      <c r="AX303" s="589"/>
      <c r="AY303" s="592"/>
      <c r="AZ303" s="592"/>
      <c r="BA303" s="594"/>
      <c r="BB303" s="301"/>
    </row>
    <row r="304" spans="1:54" ht="9" customHeight="1">
      <c r="A304" s="583">
        <v>24</v>
      </c>
      <c r="B304" s="584" t="str">
        <f t="shared" si="189"/>
        <v>ગરણિયા નિરાલીબેન પ્રદીપભાઇ</v>
      </c>
      <c r="C304" s="311"/>
      <c r="D304" s="312"/>
      <c r="E304" s="312"/>
      <c r="F304" s="312"/>
      <c r="G304" s="312"/>
      <c r="H304" s="312"/>
      <c r="I304" s="312"/>
      <c r="J304" s="312"/>
      <c r="K304" s="312"/>
      <c r="L304" s="312"/>
      <c r="M304" s="312"/>
      <c r="N304" s="312"/>
      <c r="O304" s="312"/>
      <c r="P304" s="312"/>
      <c r="Q304" s="312"/>
      <c r="R304" s="312"/>
      <c r="S304" s="312"/>
      <c r="T304" s="312"/>
      <c r="U304" s="312"/>
      <c r="V304" s="313"/>
      <c r="W304" s="587">
        <f>'A-CALC'!V285</f>
        <v>0</v>
      </c>
      <c r="X304" s="590">
        <f>'A-CALC'!W285</f>
        <v>0</v>
      </c>
      <c r="Y304" s="590">
        <f>'A-CALC'!X285</f>
        <v>0</v>
      </c>
      <c r="Z304" s="593">
        <f t="shared" ref="Z304" si="221">ROUND((40/$Y$7)*W304,0)</f>
        <v>0</v>
      </c>
      <c r="AA304" s="301"/>
      <c r="AB304" s="583">
        <v>24</v>
      </c>
      <c r="AC304" s="584" t="str">
        <f t="shared" si="191"/>
        <v>ગરણિયા નિરાલીબેન પ્રદીપભાઇ</v>
      </c>
      <c r="AD304" s="311"/>
      <c r="AE304" s="312"/>
      <c r="AF304" s="312"/>
      <c r="AG304" s="312"/>
      <c r="AH304" s="312"/>
      <c r="AI304" s="312"/>
      <c r="AJ304" s="312"/>
      <c r="AK304" s="312"/>
      <c r="AL304" s="312"/>
      <c r="AM304" s="312"/>
      <c r="AN304" s="312"/>
      <c r="AO304" s="312"/>
      <c r="AP304" s="312"/>
      <c r="AQ304" s="312"/>
      <c r="AR304" s="312"/>
      <c r="AS304" s="312"/>
      <c r="AT304" s="312"/>
      <c r="AU304" s="312"/>
      <c r="AV304" s="312"/>
      <c r="AW304" s="313"/>
      <c r="AX304" s="587">
        <f>'A-CALC'!AU285</f>
        <v>0</v>
      </c>
      <c r="AY304" s="590">
        <f>'A-CALC'!AV285</f>
        <v>0</v>
      </c>
      <c r="AZ304" s="590">
        <f>'A-CALC'!AW285</f>
        <v>0</v>
      </c>
      <c r="BA304" s="593">
        <f t="shared" ref="BA304" si="222">ROUND((40/$Y$7)*AX304,0)</f>
        <v>0</v>
      </c>
      <c r="BB304" s="301"/>
    </row>
    <row r="305" spans="1:54" ht="9" customHeight="1">
      <c r="A305" s="583"/>
      <c r="B305" s="585"/>
      <c r="C305" s="314"/>
      <c r="D305" s="315"/>
      <c r="E305" s="315"/>
      <c r="F305" s="315"/>
      <c r="G305" s="315"/>
      <c r="H305" s="315"/>
      <c r="I305" s="315"/>
      <c r="J305" s="315"/>
      <c r="K305" s="315"/>
      <c r="L305" s="315"/>
      <c r="M305" s="315"/>
      <c r="N305" s="315"/>
      <c r="O305" s="315"/>
      <c r="P305" s="315"/>
      <c r="Q305" s="315"/>
      <c r="R305" s="315"/>
      <c r="S305" s="315"/>
      <c r="T305" s="315"/>
      <c r="U305" s="315"/>
      <c r="V305" s="316"/>
      <c r="W305" s="588"/>
      <c r="X305" s="591"/>
      <c r="Y305" s="591"/>
      <c r="Z305" s="594"/>
      <c r="AA305" s="301"/>
      <c r="AB305" s="583"/>
      <c r="AC305" s="585"/>
      <c r="AD305" s="314"/>
      <c r="AE305" s="315"/>
      <c r="AF305" s="315"/>
      <c r="AG305" s="315"/>
      <c r="AH305" s="315"/>
      <c r="AI305" s="315"/>
      <c r="AJ305" s="315"/>
      <c r="AK305" s="315"/>
      <c r="AL305" s="315"/>
      <c r="AM305" s="315"/>
      <c r="AN305" s="315"/>
      <c r="AO305" s="315"/>
      <c r="AP305" s="315"/>
      <c r="AQ305" s="315"/>
      <c r="AR305" s="315"/>
      <c r="AS305" s="315"/>
      <c r="AT305" s="315"/>
      <c r="AU305" s="315"/>
      <c r="AV305" s="315"/>
      <c r="AW305" s="316"/>
      <c r="AX305" s="588"/>
      <c r="AY305" s="591"/>
      <c r="AZ305" s="591"/>
      <c r="BA305" s="594"/>
      <c r="BB305" s="301"/>
    </row>
    <row r="306" spans="1:54" ht="9" customHeight="1">
      <c r="A306" s="583"/>
      <c r="B306" s="586"/>
      <c r="C306" s="317"/>
      <c r="D306" s="318"/>
      <c r="E306" s="318"/>
      <c r="F306" s="318"/>
      <c r="G306" s="318"/>
      <c r="H306" s="318"/>
      <c r="I306" s="318"/>
      <c r="J306" s="318"/>
      <c r="K306" s="318"/>
      <c r="L306" s="318"/>
      <c r="M306" s="318"/>
      <c r="N306" s="318"/>
      <c r="O306" s="318"/>
      <c r="P306" s="318"/>
      <c r="Q306" s="318"/>
      <c r="R306" s="318"/>
      <c r="S306" s="318"/>
      <c r="T306" s="318"/>
      <c r="U306" s="318"/>
      <c r="V306" s="319"/>
      <c r="W306" s="589"/>
      <c r="X306" s="592"/>
      <c r="Y306" s="592"/>
      <c r="Z306" s="594"/>
      <c r="AA306" s="301"/>
      <c r="AB306" s="583"/>
      <c r="AC306" s="586"/>
      <c r="AD306" s="317"/>
      <c r="AE306" s="318"/>
      <c r="AF306" s="318"/>
      <c r="AG306" s="318"/>
      <c r="AH306" s="318"/>
      <c r="AI306" s="318"/>
      <c r="AJ306" s="318"/>
      <c r="AK306" s="318"/>
      <c r="AL306" s="318"/>
      <c r="AM306" s="318"/>
      <c r="AN306" s="318"/>
      <c r="AO306" s="318"/>
      <c r="AP306" s="318"/>
      <c r="AQ306" s="318"/>
      <c r="AR306" s="318"/>
      <c r="AS306" s="318"/>
      <c r="AT306" s="318"/>
      <c r="AU306" s="318"/>
      <c r="AV306" s="318"/>
      <c r="AW306" s="319"/>
      <c r="AX306" s="589"/>
      <c r="AY306" s="592"/>
      <c r="AZ306" s="592"/>
      <c r="BA306" s="594"/>
      <c r="BB306" s="301"/>
    </row>
    <row r="307" spans="1:54" ht="9" customHeight="1">
      <c r="A307" s="583">
        <v>25</v>
      </c>
      <c r="B307" s="584" t="str">
        <f t="shared" si="189"/>
        <v>ગરણિયા રાધાબેન લક્ષ્મણભાઇ</v>
      </c>
      <c r="C307" s="311"/>
      <c r="D307" s="312"/>
      <c r="E307" s="312"/>
      <c r="F307" s="312"/>
      <c r="G307" s="312"/>
      <c r="H307" s="312"/>
      <c r="I307" s="312"/>
      <c r="J307" s="312"/>
      <c r="K307" s="312"/>
      <c r="L307" s="312"/>
      <c r="M307" s="312"/>
      <c r="N307" s="312"/>
      <c r="O307" s="312"/>
      <c r="P307" s="312"/>
      <c r="Q307" s="312"/>
      <c r="R307" s="312"/>
      <c r="S307" s="312"/>
      <c r="T307" s="312"/>
      <c r="U307" s="312"/>
      <c r="V307" s="313"/>
      <c r="W307" s="587">
        <f>'A-CALC'!V288</f>
        <v>0</v>
      </c>
      <c r="X307" s="590">
        <f>'A-CALC'!W288</f>
        <v>0</v>
      </c>
      <c r="Y307" s="590">
        <f>'A-CALC'!X288</f>
        <v>0</v>
      </c>
      <c r="Z307" s="593">
        <f t="shared" ref="Z307" si="223">ROUND((40/$Y$7)*W307,0)</f>
        <v>0</v>
      </c>
      <c r="AA307" s="301"/>
      <c r="AB307" s="583">
        <v>25</v>
      </c>
      <c r="AC307" s="584" t="str">
        <f t="shared" si="191"/>
        <v>ગરણિયા રાધાબેન લક્ષ્મણભાઇ</v>
      </c>
      <c r="AD307" s="311"/>
      <c r="AE307" s="312" t="s">
        <v>312</v>
      </c>
      <c r="AF307" s="312"/>
      <c r="AG307" s="312"/>
      <c r="AH307" s="312"/>
      <c r="AI307" s="312"/>
      <c r="AJ307" s="312"/>
      <c r="AK307" s="312"/>
      <c r="AL307" s="312"/>
      <c r="AM307" s="312"/>
      <c r="AN307" s="312"/>
      <c r="AO307" s="312"/>
      <c r="AP307" s="312"/>
      <c r="AQ307" s="312"/>
      <c r="AR307" s="312"/>
      <c r="AS307" s="312"/>
      <c r="AT307" s="312"/>
      <c r="AU307" s="312"/>
      <c r="AV307" s="312"/>
      <c r="AW307" s="313"/>
      <c r="AX307" s="587">
        <f>'A-CALC'!AU288</f>
        <v>0</v>
      </c>
      <c r="AY307" s="590">
        <f>'A-CALC'!AV288</f>
        <v>1</v>
      </c>
      <c r="AZ307" s="590">
        <f>'A-CALC'!AW288</f>
        <v>0</v>
      </c>
      <c r="BA307" s="593">
        <f t="shared" ref="BA307" si="224">ROUND((40/$Y$7)*AX307,0)</f>
        <v>0</v>
      </c>
      <c r="BB307" s="301"/>
    </row>
    <row r="308" spans="1:54" ht="9" customHeight="1">
      <c r="A308" s="583"/>
      <c r="B308" s="585"/>
      <c r="C308" s="314"/>
      <c r="D308" s="315"/>
      <c r="E308" s="315"/>
      <c r="F308" s="315"/>
      <c r="G308" s="315"/>
      <c r="H308" s="315"/>
      <c r="I308" s="315"/>
      <c r="J308" s="315"/>
      <c r="K308" s="315"/>
      <c r="L308" s="315"/>
      <c r="M308" s="315"/>
      <c r="N308" s="315"/>
      <c r="O308" s="315"/>
      <c r="P308" s="315"/>
      <c r="Q308" s="315"/>
      <c r="R308" s="315"/>
      <c r="S308" s="315"/>
      <c r="T308" s="315"/>
      <c r="U308" s="315"/>
      <c r="V308" s="316"/>
      <c r="W308" s="588"/>
      <c r="X308" s="591"/>
      <c r="Y308" s="591"/>
      <c r="Z308" s="594"/>
      <c r="AA308" s="301"/>
      <c r="AB308" s="583"/>
      <c r="AC308" s="585"/>
      <c r="AD308" s="314"/>
      <c r="AE308" s="315" t="s">
        <v>311</v>
      </c>
      <c r="AF308" s="315"/>
      <c r="AG308" s="315"/>
      <c r="AH308" s="315"/>
      <c r="AI308" s="315"/>
      <c r="AJ308" s="315"/>
      <c r="AK308" s="315"/>
      <c r="AL308" s="315"/>
      <c r="AM308" s="315"/>
      <c r="AN308" s="315"/>
      <c r="AO308" s="315"/>
      <c r="AP308" s="315"/>
      <c r="AQ308" s="315"/>
      <c r="AR308" s="315"/>
      <c r="AS308" s="315"/>
      <c r="AT308" s="315"/>
      <c r="AU308" s="315"/>
      <c r="AV308" s="315"/>
      <c r="AW308" s="316"/>
      <c r="AX308" s="588"/>
      <c r="AY308" s="591"/>
      <c r="AZ308" s="591"/>
      <c r="BA308" s="594"/>
      <c r="BB308" s="301"/>
    </row>
    <row r="309" spans="1:54" ht="9" customHeight="1">
      <c r="A309" s="583"/>
      <c r="B309" s="586"/>
      <c r="C309" s="317"/>
      <c r="D309" s="318"/>
      <c r="E309" s="318"/>
      <c r="F309" s="318"/>
      <c r="G309" s="318"/>
      <c r="H309" s="318"/>
      <c r="I309" s="318"/>
      <c r="J309" s="318"/>
      <c r="K309" s="318"/>
      <c r="L309" s="318"/>
      <c r="M309" s="318"/>
      <c r="N309" s="318"/>
      <c r="O309" s="318"/>
      <c r="P309" s="318"/>
      <c r="Q309" s="318"/>
      <c r="R309" s="318"/>
      <c r="S309" s="318"/>
      <c r="T309" s="318"/>
      <c r="U309" s="318"/>
      <c r="V309" s="319"/>
      <c r="W309" s="589"/>
      <c r="X309" s="592"/>
      <c r="Y309" s="592"/>
      <c r="Z309" s="594"/>
      <c r="AA309" s="301"/>
      <c r="AB309" s="583"/>
      <c r="AC309" s="586"/>
      <c r="AD309" s="317"/>
      <c r="AE309" s="318"/>
      <c r="AF309" s="318"/>
      <c r="AG309" s="318"/>
      <c r="AH309" s="318"/>
      <c r="AI309" s="318"/>
      <c r="AJ309" s="318"/>
      <c r="AK309" s="318"/>
      <c r="AL309" s="318"/>
      <c r="AM309" s="318"/>
      <c r="AN309" s="318"/>
      <c r="AO309" s="318"/>
      <c r="AP309" s="318"/>
      <c r="AQ309" s="318"/>
      <c r="AR309" s="318"/>
      <c r="AS309" s="318"/>
      <c r="AT309" s="318"/>
      <c r="AU309" s="318"/>
      <c r="AV309" s="318"/>
      <c r="AW309" s="319"/>
      <c r="AX309" s="589"/>
      <c r="AY309" s="592"/>
      <c r="AZ309" s="592"/>
      <c r="BA309" s="594"/>
      <c r="BB309" s="301"/>
    </row>
    <row r="310" spans="1:54" ht="9" customHeight="1">
      <c r="A310" s="583">
        <v>26</v>
      </c>
      <c r="B310" s="584" t="str">
        <f t="shared" si="189"/>
        <v>ગૌસ્વામિ મયુરીબેન રમેશગીરી</v>
      </c>
      <c r="C310" s="311" t="s">
        <v>312</v>
      </c>
      <c r="D310" s="312"/>
      <c r="E310" s="312" t="s">
        <v>312</v>
      </c>
      <c r="F310" s="312"/>
      <c r="G310" s="312"/>
      <c r="H310" s="312" t="s">
        <v>312</v>
      </c>
      <c r="I310" s="312"/>
      <c r="J310" s="312"/>
      <c r="K310" s="312"/>
      <c r="L310" s="312"/>
      <c r="M310" s="312"/>
      <c r="N310" s="312"/>
      <c r="O310" s="312"/>
      <c r="P310" s="312"/>
      <c r="Q310" s="312"/>
      <c r="R310" s="312"/>
      <c r="S310" s="312"/>
      <c r="T310" s="312"/>
      <c r="U310" s="312"/>
      <c r="V310" s="313"/>
      <c r="W310" s="587">
        <f>'A-CALC'!V291</f>
        <v>1</v>
      </c>
      <c r="X310" s="590">
        <f>'A-CALC'!W291</f>
        <v>0</v>
      </c>
      <c r="Y310" s="590">
        <f>'A-CALC'!X291</f>
        <v>2</v>
      </c>
      <c r="Z310" s="593">
        <f t="shared" ref="Z310" si="225">ROUND((40/$Y$7)*W310,0)</f>
        <v>3</v>
      </c>
      <c r="AA310" s="301"/>
      <c r="AB310" s="583">
        <v>26</v>
      </c>
      <c r="AC310" s="584" t="str">
        <f t="shared" si="191"/>
        <v>ગૌસ્વામિ મયુરીબેન રમેશગીરી</v>
      </c>
      <c r="AD310" s="311"/>
      <c r="AE310" s="312"/>
      <c r="AF310" s="312"/>
      <c r="AG310" s="312"/>
      <c r="AH310" s="312"/>
      <c r="AI310" s="312"/>
      <c r="AJ310" s="312"/>
      <c r="AK310" s="312"/>
      <c r="AL310" s="312"/>
      <c r="AM310" s="312"/>
      <c r="AN310" s="312"/>
      <c r="AO310" s="312"/>
      <c r="AP310" s="312"/>
      <c r="AQ310" s="312"/>
      <c r="AR310" s="312"/>
      <c r="AS310" s="312"/>
      <c r="AT310" s="312"/>
      <c r="AU310" s="312"/>
      <c r="AV310" s="312"/>
      <c r="AW310" s="313"/>
      <c r="AX310" s="587">
        <f>'A-CALC'!AU291</f>
        <v>0</v>
      </c>
      <c r="AY310" s="590">
        <f>'A-CALC'!AV291</f>
        <v>0</v>
      </c>
      <c r="AZ310" s="590">
        <f>'A-CALC'!AW291</f>
        <v>0</v>
      </c>
      <c r="BA310" s="593">
        <f t="shared" ref="BA310" si="226">ROUND((40/$Y$7)*AX310,0)</f>
        <v>0</v>
      </c>
      <c r="BB310" s="301"/>
    </row>
    <row r="311" spans="1:54" ht="9" customHeight="1">
      <c r="A311" s="583"/>
      <c r="B311" s="585"/>
      <c r="C311" s="314" t="s">
        <v>311</v>
      </c>
      <c r="D311" s="315"/>
      <c r="E311" s="315"/>
      <c r="F311" s="315"/>
      <c r="G311" s="315"/>
      <c r="H311" s="315"/>
      <c r="I311" s="315"/>
      <c r="J311" s="315"/>
      <c r="K311" s="315"/>
      <c r="L311" s="315"/>
      <c r="M311" s="315"/>
      <c r="N311" s="315"/>
      <c r="O311" s="315"/>
      <c r="P311" s="315"/>
      <c r="Q311" s="315"/>
      <c r="R311" s="315"/>
      <c r="S311" s="315"/>
      <c r="T311" s="315"/>
      <c r="U311" s="315"/>
      <c r="V311" s="316"/>
      <c r="W311" s="588"/>
      <c r="X311" s="591"/>
      <c r="Y311" s="591"/>
      <c r="Z311" s="594"/>
      <c r="AA311" s="301"/>
      <c r="AB311" s="583"/>
      <c r="AC311" s="585"/>
      <c r="AD311" s="314"/>
      <c r="AE311" s="315"/>
      <c r="AF311" s="315"/>
      <c r="AG311" s="315"/>
      <c r="AH311" s="315"/>
      <c r="AI311" s="315"/>
      <c r="AJ311" s="315"/>
      <c r="AK311" s="315"/>
      <c r="AL311" s="315"/>
      <c r="AM311" s="315"/>
      <c r="AN311" s="315"/>
      <c r="AO311" s="315"/>
      <c r="AP311" s="315"/>
      <c r="AQ311" s="315"/>
      <c r="AR311" s="315"/>
      <c r="AS311" s="315"/>
      <c r="AT311" s="315"/>
      <c r="AU311" s="315"/>
      <c r="AV311" s="315"/>
      <c r="AW311" s="316"/>
      <c r="AX311" s="588"/>
      <c r="AY311" s="591"/>
      <c r="AZ311" s="591"/>
      <c r="BA311" s="594"/>
      <c r="BB311" s="301"/>
    </row>
    <row r="312" spans="1:54" ht="9" customHeight="1">
      <c r="A312" s="583"/>
      <c r="B312" s="586"/>
      <c r="C312" s="317" t="s">
        <v>310</v>
      </c>
      <c r="D312" s="318"/>
      <c r="E312" s="318"/>
      <c r="F312" s="318"/>
      <c r="G312" s="318"/>
      <c r="H312" s="318"/>
      <c r="I312" s="318"/>
      <c r="J312" s="318"/>
      <c r="K312" s="318"/>
      <c r="L312" s="318"/>
      <c r="M312" s="318"/>
      <c r="N312" s="318"/>
      <c r="O312" s="318"/>
      <c r="P312" s="318"/>
      <c r="Q312" s="318"/>
      <c r="R312" s="318"/>
      <c r="S312" s="318"/>
      <c r="T312" s="318"/>
      <c r="U312" s="318"/>
      <c r="V312" s="319"/>
      <c r="W312" s="589"/>
      <c r="X312" s="592"/>
      <c r="Y312" s="592"/>
      <c r="Z312" s="594"/>
      <c r="AA312" s="301"/>
      <c r="AB312" s="583"/>
      <c r="AC312" s="586"/>
      <c r="AD312" s="317"/>
      <c r="AE312" s="318"/>
      <c r="AF312" s="318"/>
      <c r="AG312" s="318"/>
      <c r="AH312" s="318"/>
      <c r="AI312" s="318"/>
      <c r="AJ312" s="318"/>
      <c r="AK312" s="318"/>
      <c r="AL312" s="318"/>
      <c r="AM312" s="318"/>
      <c r="AN312" s="318"/>
      <c r="AO312" s="318"/>
      <c r="AP312" s="318"/>
      <c r="AQ312" s="318"/>
      <c r="AR312" s="318"/>
      <c r="AS312" s="318"/>
      <c r="AT312" s="318"/>
      <c r="AU312" s="318"/>
      <c r="AV312" s="318"/>
      <c r="AW312" s="319"/>
      <c r="AX312" s="589"/>
      <c r="AY312" s="592"/>
      <c r="AZ312" s="592"/>
      <c r="BA312" s="594"/>
      <c r="BB312" s="301"/>
    </row>
    <row r="313" spans="1:54" ht="9" customHeight="1">
      <c r="A313" s="583">
        <v>27</v>
      </c>
      <c r="B313" s="584" t="str">
        <f t="shared" si="189"/>
        <v>બતાડા જાનકી વાલાભાઇ</v>
      </c>
      <c r="C313" s="311"/>
      <c r="D313" s="312"/>
      <c r="E313" s="312"/>
      <c r="F313" s="312"/>
      <c r="G313" s="312"/>
      <c r="H313" s="312"/>
      <c r="I313" s="312"/>
      <c r="J313" s="312"/>
      <c r="K313" s="312"/>
      <c r="L313" s="312"/>
      <c r="M313" s="312"/>
      <c r="N313" s="312"/>
      <c r="O313" s="312" t="s">
        <v>312</v>
      </c>
      <c r="P313" s="312"/>
      <c r="Q313" s="312"/>
      <c r="R313" s="312"/>
      <c r="S313" s="312"/>
      <c r="T313" s="312"/>
      <c r="U313" s="312"/>
      <c r="V313" s="313"/>
      <c r="W313" s="587">
        <f>'A-CALC'!V294</f>
        <v>1</v>
      </c>
      <c r="X313" s="590">
        <f>'A-CALC'!W294</f>
        <v>0</v>
      </c>
      <c r="Y313" s="590">
        <f>'A-CALC'!X294</f>
        <v>0</v>
      </c>
      <c r="Z313" s="593">
        <f t="shared" ref="Z313" si="227">ROUND((40/$Y$7)*W313,0)</f>
        <v>3</v>
      </c>
      <c r="AA313" s="301"/>
      <c r="AB313" s="583">
        <v>27</v>
      </c>
      <c r="AC313" s="584" t="str">
        <f t="shared" si="191"/>
        <v>બતાડા જાનકી વાલાભાઇ</v>
      </c>
      <c r="AD313" s="311"/>
      <c r="AE313" s="312"/>
      <c r="AF313" s="312"/>
      <c r="AG313" s="312"/>
      <c r="AH313" s="312"/>
      <c r="AI313" s="312"/>
      <c r="AJ313" s="312"/>
      <c r="AK313" s="312"/>
      <c r="AL313" s="312"/>
      <c r="AM313" s="312"/>
      <c r="AN313" s="312"/>
      <c r="AO313" s="312"/>
      <c r="AP313" s="312"/>
      <c r="AQ313" s="312"/>
      <c r="AR313" s="312"/>
      <c r="AS313" s="312"/>
      <c r="AT313" s="312"/>
      <c r="AU313" s="312"/>
      <c r="AV313" s="312"/>
      <c r="AW313" s="313"/>
      <c r="AX313" s="587">
        <f>'A-CALC'!AU294</f>
        <v>0</v>
      </c>
      <c r="AY313" s="590">
        <f>'A-CALC'!AV294</f>
        <v>0</v>
      </c>
      <c r="AZ313" s="590">
        <f>'A-CALC'!AW294</f>
        <v>0</v>
      </c>
      <c r="BA313" s="593">
        <f t="shared" ref="BA313" si="228">ROUND((40/$Y$7)*AX313,0)</f>
        <v>0</v>
      </c>
      <c r="BB313" s="301"/>
    </row>
    <row r="314" spans="1:54" ht="9" customHeight="1">
      <c r="A314" s="583"/>
      <c r="B314" s="585"/>
      <c r="C314" s="314"/>
      <c r="D314" s="315"/>
      <c r="E314" s="315"/>
      <c r="F314" s="315"/>
      <c r="G314" s="315"/>
      <c r="H314" s="315"/>
      <c r="I314" s="315"/>
      <c r="J314" s="315"/>
      <c r="K314" s="315"/>
      <c r="L314" s="315"/>
      <c r="M314" s="315"/>
      <c r="N314" s="315"/>
      <c r="O314" s="315"/>
      <c r="P314" s="315"/>
      <c r="Q314" s="315"/>
      <c r="R314" s="315"/>
      <c r="S314" s="315"/>
      <c r="T314" s="315"/>
      <c r="U314" s="315"/>
      <c r="V314" s="316"/>
      <c r="W314" s="588"/>
      <c r="X314" s="591"/>
      <c r="Y314" s="591"/>
      <c r="Z314" s="594"/>
      <c r="AA314" s="301"/>
      <c r="AB314" s="583"/>
      <c r="AC314" s="585"/>
      <c r="AD314" s="314"/>
      <c r="AE314" s="315"/>
      <c r="AF314" s="315"/>
      <c r="AG314" s="315"/>
      <c r="AH314" s="315"/>
      <c r="AI314" s="315"/>
      <c r="AJ314" s="315"/>
      <c r="AK314" s="315"/>
      <c r="AL314" s="315"/>
      <c r="AM314" s="315"/>
      <c r="AN314" s="315"/>
      <c r="AO314" s="315"/>
      <c r="AP314" s="315"/>
      <c r="AQ314" s="315"/>
      <c r="AR314" s="315"/>
      <c r="AS314" s="315"/>
      <c r="AT314" s="315"/>
      <c r="AU314" s="315"/>
      <c r="AV314" s="315"/>
      <c r="AW314" s="316"/>
      <c r="AX314" s="588"/>
      <c r="AY314" s="591"/>
      <c r="AZ314" s="591"/>
      <c r="BA314" s="594"/>
      <c r="BB314" s="301"/>
    </row>
    <row r="315" spans="1:54" s="295" customFormat="1" ht="9" customHeight="1">
      <c r="A315" s="583"/>
      <c r="B315" s="586"/>
      <c r="C315" s="317"/>
      <c r="D315" s="318"/>
      <c r="E315" s="318"/>
      <c r="F315" s="318"/>
      <c r="G315" s="318"/>
      <c r="H315" s="318"/>
      <c r="I315" s="318"/>
      <c r="J315" s="318"/>
      <c r="K315" s="318"/>
      <c r="L315" s="318"/>
      <c r="M315" s="318"/>
      <c r="N315" s="318"/>
      <c r="O315" s="318" t="s">
        <v>310</v>
      </c>
      <c r="P315" s="318"/>
      <c r="Q315" s="318"/>
      <c r="R315" s="318"/>
      <c r="S315" s="318"/>
      <c r="T315" s="318"/>
      <c r="U315" s="318"/>
      <c r="V315" s="319"/>
      <c r="W315" s="589"/>
      <c r="X315" s="592"/>
      <c r="Y315" s="592"/>
      <c r="Z315" s="594"/>
      <c r="AA315" s="301"/>
      <c r="AB315" s="583"/>
      <c r="AC315" s="586"/>
      <c r="AD315" s="317"/>
      <c r="AE315" s="318"/>
      <c r="AF315" s="318"/>
      <c r="AG315" s="318"/>
      <c r="AH315" s="318"/>
      <c r="AI315" s="318"/>
      <c r="AJ315" s="318"/>
      <c r="AK315" s="318"/>
      <c r="AL315" s="318"/>
      <c r="AM315" s="318"/>
      <c r="AN315" s="318"/>
      <c r="AO315" s="318"/>
      <c r="AP315" s="318"/>
      <c r="AQ315" s="318"/>
      <c r="AR315" s="318"/>
      <c r="AS315" s="318"/>
      <c r="AT315" s="318"/>
      <c r="AU315" s="318"/>
      <c r="AV315" s="318"/>
      <c r="AW315" s="319"/>
      <c r="AX315" s="589"/>
      <c r="AY315" s="592"/>
      <c r="AZ315" s="592"/>
      <c r="BA315" s="594"/>
      <c r="BB315" s="321"/>
    </row>
    <row r="316" spans="1:54" ht="9" customHeight="1">
      <c r="A316" s="583">
        <v>28</v>
      </c>
      <c r="B316" s="584" t="str">
        <f t="shared" si="189"/>
        <v>બતાડા ક્રિષ્નાબેન દેવશીભાઇ</v>
      </c>
      <c r="C316" s="311"/>
      <c r="D316" s="312"/>
      <c r="E316" s="312"/>
      <c r="F316" s="312"/>
      <c r="G316" s="312"/>
      <c r="H316" s="312"/>
      <c r="I316" s="312"/>
      <c r="J316" s="312"/>
      <c r="K316" s="312"/>
      <c r="L316" s="312"/>
      <c r="M316" s="312"/>
      <c r="N316" s="312"/>
      <c r="O316" s="312"/>
      <c r="P316" s="312"/>
      <c r="Q316" s="312"/>
      <c r="R316" s="312"/>
      <c r="S316" s="312"/>
      <c r="T316" s="312"/>
      <c r="U316" s="312"/>
      <c r="V316" s="313"/>
      <c r="W316" s="587">
        <f>'A-CALC'!V297</f>
        <v>0</v>
      </c>
      <c r="X316" s="590">
        <f>'A-CALC'!W297</f>
        <v>0</v>
      </c>
      <c r="Y316" s="590">
        <f>'A-CALC'!X297</f>
        <v>0</v>
      </c>
      <c r="Z316" s="593">
        <f t="shared" ref="Z316" si="229">ROUND((40/$Y$7)*W316,0)</f>
        <v>0</v>
      </c>
      <c r="AA316" s="301"/>
      <c r="AB316" s="583">
        <v>28</v>
      </c>
      <c r="AC316" s="584" t="str">
        <f t="shared" si="191"/>
        <v>બતાડા ક્રિષ્નાબેન દેવશીભાઇ</v>
      </c>
      <c r="AD316" s="311"/>
      <c r="AE316" s="312"/>
      <c r="AF316" s="312"/>
      <c r="AG316" s="312"/>
      <c r="AH316" s="312"/>
      <c r="AI316" s="312"/>
      <c r="AJ316" s="312"/>
      <c r="AK316" s="312"/>
      <c r="AL316" s="312"/>
      <c r="AM316" s="312"/>
      <c r="AN316" s="312"/>
      <c r="AO316" s="312"/>
      <c r="AP316" s="312"/>
      <c r="AQ316" s="312"/>
      <c r="AR316" s="312"/>
      <c r="AS316" s="312"/>
      <c r="AT316" s="312"/>
      <c r="AU316" s="312"/>
      <c r="AV316" s="312"/>
      <c r="AW316" s="313"/>
      <c r="AX316" s="587">
        <f>'A-CALC'!AU297</f>
        <v>0</v>
      </c>
      <c r="AY316" s="590">
        <f>'A-CALC'!AV297</f>
        <v>0</v>
      </c>
      <c r="AZ316" s="590">
        <f>'A-CALC'!AW297</f>
        <v>0</v>
      </c>
      <c r="BA316" s="593">
        <f t="shared" ref="BA316" si="230">ROUND((40/$Y$7)*AX316,0)</f>
        <v>0</v>
      </c>
      <c r="BB316" s="301"/>
    </row>
    <row r="317" spans="1:54" ht="9" customHeight="1">
      <c r="A317" s="583"/>
      <c r="B317" s="585"/>
      <c r="C317" s="314"/>
      <c r="D317" s="315"/>
      <c r="E317" s="315"/>
      <c r="F317" s="315"/>
      <c r="G317" s="315"/>
      <c r="H317" s="315"/>
      <c r="I317" s="315"/>
      <c r="J317" s="315"/>
      <c r="K317" s="315"/>
      <c r="L317" s="315"/>
      <c r="M317" s="315"/>
      <c r="N317" s="315"/>
      <c r="O317" s="315"/>
      <c r="P317" s="315"/>
      <c r="Q317" s="315"/>
      <c r="R317" s="315"/>
      <c r="S317" s="315"/>
      <c r="T317" s="315"/>
      <c r="U317" s="315"/>
      <c r="V317" s="316"/>
      <c r="W317" s="588"/>
      <c r="X317" s="591"/>
      <c r="Y317" s="591"/>
      <c r="Z317" s="594"/>
      <c r="AA317" s="301"/>
      <c r="AB317" s="583"/>
      <c r="AC317" s="585"/>
      <c r="AD317" s="314"/>
      <c r="AE317" s="315"/>
      <c r="AF317" s="315"/>
      <c r="AG317" s="315"/>
      <c r="AH317" s="315"/>
      <c r="AI317" s="315"/>
      <c r="AJ317" s="315"/>
      <c r="AK317" s="315"/>
      <c r="AL317" s="315"/>
      <c r="AM317" s="315"/>
      <c r="AN317" s="315"/>
      <c r="AO317" s="315"/>
      <c r="AP317" s="315"/>
      <c r="AQ317" s="315"/>
      <c r="AR317" s="315"/>
      <c r="AS317" s="315"/>
      <c r="AT317" s="315"/>
      <c r="AU317" s="315"/>
      <c r="AV317" s="315"/>
      <c r="AW317" s="316"/>
      <c r="AX317" s="588"/>
      <c r="AY317" s="591"/>
      <c r="AZ317" s="591"/>
      <c r="BA317" s="594"/>
      <c r="BB317" s="301"/>
    </row>
    <row r="318" spans="1:54" ht="9" customHeight="1">
      <c r="A318" s="583"/>
      <c r="B318" s="586"/>
      <c r="C318" s="317"/>
      <c r="D318" s="318"/>
      <c r="E318" s="318"/>
      <c r="F318" s="318"/>
      <c r="G318" s="318"/>
      <c r="H318" s="318"/>
      <c r="I318" s="318"/>
      <c r="J318" s="318"/>
      <c r="K318" s="318"/>
      <c r="L318" s="318"/>
      <c r="M318" s="318"/>
      <c r="N318" s="318"/>
      <c r="O318" s="318"/>
      <c r="P318" s="318"/>
      <c r="Q318" s="318"/>
      <c r="R318" s="318"/>
      <c r="S318" s="318"/>
      <c r="T318" s="318"/>
      <c r="U318" s="318"/>
      <c r="V318" s="319"/>
      <c r="W318" s="589"/>
      <c r="X318" s="592"/>
      <c r="Y318" s="592"/>
      <c r="Z318" s="594"/>
      <c r="AA318" s="301"/>
      <c r="AB318" s="583"/>
      <c r="AC318" s="586"/>
      <c r="AD318" s="317"/>
      <c r="AE318" s="318"/>
      <c r="AF318" s="318"/>
      <c r="AG318" s="318"/>
      <c r="AH318" s="318"/>
      <c r="AI318" s="318"/>
      <c r="AJ318" s="318"/>
      <c r="AK318" s="318"/>
      <c r="AL318" s="318"/>
      <c r="AM318" s="318"/>
      <c r="AN318" s="318"/>
      <c r="AO318" s="318"/>
      <c r="AP318" s="318"/>
      <c r="AQ318" s="318"/>
      <c r="AR318" s="318"/>
      <c r="AS318" s="318"/>
      <c r="AT318" s="318"/>
      <c r="AU318" s="318"/>
      <c r="AV318" s="318"/>
      <c r="AW318" s="319"/>
      <c r="AX318" s="589"/>
      <c r="AY318" s="592"/>
      <c r="AZ318" s="592"/>
      <c r="BA318" s="594"/>
      <c r="BB318" s="301"/>
    </row>
    <row r="319" spans="1:54" ht="9" customHeight="1">
      <c r="A319" s="583">
        <v>29</v>
      </c>
      <c r="B319" s="584" t="str">
        <f t="shared" si="189"/>
        <v>પરમાર અનિષા રમેશભાઇ</v>
      </c>
      <c r="C319" s="311"/>
      <c r="D319" s="312"/>
      <c r="E319" s="312"/>
      <c r="F319" s="312"/>
      <c r="G319" s="312"/>
      <c r="H319" s="312"/>
      <c r="I319" s="312"/>
      <c r="J319" s="312"/>
      <c r="K319" s="312"/>
      <c r="L319" s="312"/>
      <c r="M319" s="312"/>
      <c r="N319" s="312"/>
      <c r="O319" s="312"/>
      <c r="P319" s="312"/>
      <c r="Q319" s="312"/>
      <c r="R319" s="312"/>
      <c r="S319" s="312"/>
      <c r="T319" s="312"/>
      <c r="U319" s="312"/>
      <c r="V319" s="313"/>
      <c r="W319" s="587">
        <f>'A-CALC'!V300</f>
        <v>0</v>
      </c>
      <c r="X319" s="590">
        <f>'A-CALC'!W300</f>
        <v>0</v>
      </c>
      <c r="Y319" s="590">
        <f>'A-CALC'!X300</f>
        <v>0</v>
      </c>
      <c r="Z319" s="593">
        <f t="shared" ref="Z319" si="231">ROUND((40/$Y$7)*W319,0)</f>
        <v>0</v>
      </c>
      <c r="AA319" s="301"/>
      <c r="AB319" s="583">
        <v>29</v>
      </c>
      <c r="AC319" s="584" t="str">
        <f t="shared" si="191"/>
        <v>પરમાર અનિષા રમેશભાઇ</v>
      </c>
      <c r="AD319" s="311"/>
      <c r="AE319" s="312"/>
      <c r="AF319" s="312"/>
      <c r="AG319" s="312"/>
      <c r="AH319" s="312"/>
      <c r="AI319" s="312"/>
      <c r="AJ319" s="312"/>
      <c r="AK319" s="312"/>
      <c r="AL319" s="312"/>
      <c r="AM319" s="312"/>
      <c r="AN319" s="312"/>
      <c r="AO319" s="312"/>
      <c r="AP319" s="312"/>
      <c r="AQ319" s="312"/>
      <c r="AR319" s="312"/>
      <c r="AS319" s="312"/>
      <c r="AT319" s="312"/>
      <c r="AU319" s="312"/>
      <c r="AV319" s="312"/>
      <c r="AW319" s="313"/>
      <c r="AX319" s="587">
        <f>'A-CALC'!AU300</f>
        <v>0</v>
      </c>
      <c r="AY319" s="590">
        <f>'A-CALC'!AV300</f>
        <v>0</v>
      </c>
      <c r="AZ319" s="590">
        <f>'A-CALC'!AW300</f>
        <v>0</v>
      </c>
      <c r="BA319" s="593">
        <f t="shared" ref="BA319" si="232">ROUND((40/$Y$7)*AX319,0)</f>
        <v>0</v>
      </c>
      <c r="BB319" s="301"/>
    </row>
    <row r="320" spans="1:54" ht="9" customHeight="1">
      <c r="A320" s="583"/>
      <c r="B320" s="585"/>
      <c r="C320" s="314"/>
      <c r="D320" s="315"/>
      <c r="E320" s="315"/>
      <c r="F320" s="315"/>
      <c r="G320" s="315"/>
      <c r="H320" s="315"/>
      <c r="I320" s="315"/>
      <c r="J320" s="315"/>
      <c r="K320" s="315"/>
      <c r="L320" s="315"/>
      <c r="M320" s="315"/>
      <c r="N320" s="315"/>
      <c r="O320" s="315"/>
      <c r="P320" s="315"/>
      <c r="Q320" s="315"/>
      <c r="R320" s="315"/>
      <c r="S320" s="315"/>
      <c r="T320" s="315"/>
      <c r="U320" s="315"/>
      <c r="V320" s="316"/>
      <c r="W320" s="588"/>
      <c r="X320" s="591"/>
      <c r="Y320" s="591"/>
      <c r="Z320" s="594"/>
      <c r="AA320" s="301"/>
      <c r="AB320" s="583"/>
      <c r="AC320" s="585"/>
      <c r="AD320" s="314"/>
      <c r="AE320" s="315"/>
      <c r="AF320" s="315"/>
      <c r="AG320" s="315"/>
      <c r="AH320" s="315"/>
      <c r="AI320" s="315"/>
      <c r="AJ320" s="315"/>
      <c r="AK320" s="315"/>
      <c r="AL320" s="315"/>
      <c r="AM320" s="315"/>
      <c r="AN320" s="315"/>
      <c r="AO320" s="315"/>
      <c r="AP320" s="315"/>
      <c r="AQ320" s="315"/>
      <c r="AR320" s="315"/>
      <c r="AS320" s="315"/>
      <c r="AT320" s="315"/>
      <c r="AU320" s="315"/>
      <c r="AV320" s="315"/>
      <c r="AW320" s="316"/>
      <c r="AX320" s="588"/>
      <c r="AY320" s="591"/>
      <c r="AZ320" s="591"/>
      <c r="BA320" s="594"/>
      <c r="BB320" s="301"/>
    </row>
    <row r="321" spans="1:54" ht="9" customHeight="1">
      <c r="A321" s="583"/>
      <c r="B321" s="586"/>
      <c r="C321" s="317"/>
      <c r="D321" s="318"/>
      <c r="E321" s="318"/>
      <c r="F321" s="318"/>
      <c r="G321" s="318"/>
      <c r="H321" s="318"/>
      <c r="I321" s="318"/>
      <c r="J321" s="318"/>
      <c r="K321" s="318"/>
      <c r="L321" s="318"/>
      <c r="M321" s="318"/>
      <c r="N321" s="318"/>
      <c r="O321" s="318"/>
      <c r="P321" s="318"/>
      <c r="Q321" s="318"/>
      <c r="R321" s="318"/>
      <c r="S321" s="318"/>
      <c r="T321" s="318"/>
      <c r="U321" s="318"/>
      <c r="V321" s="319"/>
      <c r="W321" s="589"/>
      <c r="X321" s="592"/>
      <c r="Y321" s="592"/>
      <c r="Z321" s="594"/>
      <c r="AA321" s="301"/>
      <c r="AB321" s="583"/>
      <c r="AC321" s="586"/>
      <c r="AD321" s="317"/>
      <c r="AE321" s="318"/>
      <c r="AF321" s="318"/>
      <c r="AG321" s="318"/>
      <c r="AH321" s="318"/>
      <c r="AI321" s="318"/>
      <c r="AJ321" s="318"/>
      <c r="AK321" s="318"/>
      <c r="AL321" s="318"/>
      <c r="AM321" s="318"/>
      <c r="AN321" s="318"/>
      <c r="AO321" s="318"/>
      <c r="AP321" s="318"/>
      <c r="AQ321" s="318"/>
      <c r="AR321" s="318"/>
      <c r="AS321" s="318"/>
      <c r="AT321" s="318"/>
      <c r="AU321" s="318"/>
      <c r="AV321" s="318"/>
      <c r="AW321" s="319"/>
      <c r="AX321" s="589"/>
      <c r="AY321" s="592"/>
      <c r="AZ321" s="592"/>
      <c r="BA321" s="594"/>
      <c r="BB321" s="301"/>
    </row>
    <row r="322" spans="1:54" ht="9" customHeight="1">
      <c r="A322" s="583">
        <v>30</v>
      </c>
      <c r="B322" s="584" t="str">
        <f t="shared" ref="B322:B337" si="233">B210</f>
        <v>મકરૂબિયા નમ્રતા વશરામભાઇ</v>
      </c>
      <c r="C322" s="311"/>
      <c r="D322" s="312"/>
      <c r="E322" s="312"/>
      <c r="F322" s="312"/>
      <c r="G322" s="312"/>
      <c r="H322" s="312"/>
      <c r="I322" s="312"/>
      <c r="J322" s="312"/>
      <c r="K322" s="312"/>
      <c r="L322" s="312"/>
      <c r="M322" s="312"/>
      <c r="N322" s="312"/>
      <c r="O322" s="312"/>
      <c r="P322" s="312"/>
      <c r="Q322" s="312"/>
      <c r="R322" s="312"/>
      <c r="S322" s="312"/>
      <c r="T322" s="312"/>
      <c r="U322" s="312"/>
      <c r="V322" s="313"/>
      <c r="W322" s="587">
        <f>'A-CALC'!V303</f>
        <v>0</v>
      </c>
      <c r="X322" s="590">
        <f>'A-CALC'!W303</f>
        <v>0</v>
      </c>
      <c r="Y322" s="590">
        <f>'A-CALC'!X303</f>
        <v>0</v>
      </c>
      <c r="Z322" s="593">
        <f t="shared" ref="Z322" si="234">ROUND((40/$Y$7)*W322,0)</f>
        <v>0</v>
      </c>
      <c r="AA322" s="301"/>
      <c r="AB322" s="583">
        <v>30</v>
      </c>
      <c r="AC322" s="584" t="str">
        <f t="shared" ref="AC322:AC337" si="235">AC210</f>
        <v>મકરૂબિયા નમ્રતા વશરામભાઇ</v>
      </c>
      <c r="AD322" s="311"/>
      <c r="AE322" s="312"/>
      <c r="AF322" s="312"/>
      <c r="AG322" s="312"/>
      <c r="AH322" s="312"/>
      <c r="AI322" s="312"/>
      <c r="AJ322" s="312"/>
      <c r="AK322" s="312"/>
      <c r="AL322" s="312"/>
      <c r="AM322" s="312"/>
      <c r="AN322" s="312"/>
      <c r="AO322" s="312"/>
      <c r="AP322" s="312"/>
      <c r="AQ322" s="312"/>
      <c r="AR322" s="312"/>
      <c r="AS322" s="312"/>
      <c r="AT322" s="312"/>
      <c r="AU322" s="312"/>
      <c r="AV322" s="312"/>
      <c r="AW322" s="313"/>
      <c r="AX322" s="587">
        <f>'A-CALC'!AU303</f>
        <v>0</v>
      </c>
      <c r="AY322" s="590">
        <f>'A-CALC'!AV303</f>
        <v>0</v>
      </c>
      <c r="AZ322" s="590">
        <f>'A-CALC'!AW303</f>
        <v>0</v>
      </c>
      <c r="BA322" s="593">
        <f t="shared" ref="BA322" si="236">ROUND((40/$Y$7)*AX322,0)</f>
        <v>0</v>
      </c>
      <c r="BB322" s="301"/>
    </row>
    <row r="323" spans="1:54" ht="9" customHeight="1">
      <c r="A323" s="583"/>
      <c r="B323" s="585"/>
      <c r="C323" s="314"/>
      <c r="D323" s="315"/>
      <c r="E323" s="315"/>
      <c r="F323" s="315"/>
      <c r="G323" s="315"/>
      <c r="H323" s="315"/>
      <c r="I323" s="315"/>
      <c r="J323" s="315"/>
      <c r="K323" s="315"/>
      <c r="L323" s="315"/>
      <c r="M323" s="315"/>
      <c r="N323" s="315"/>
      <c r="O323" s="315"/>
      <c r="P323" s="315"/>
      <c r="Q323" s="315"/>
      <c r="R323" s="315"/>
      <c r="S323" s="315"/>
      <c r="T323" s="315"/>
      <c r="U323" s="315"/>
      <c r="V323" s="316"/>
      <c r="W323" s="588"/>
      <c r="X323" s="591"/>
      <c r="Y323" s="591"/>
      <c r="Z323" s="594"/>
      <c r="AA323" s="301"/>
      <c r="AB323" s="583"/>
      <c r="AC323" s="585"/>
      <c r="AD323" s="314"/>
      <c r="AE323" s="315"/>
      <c r="AF323" s="315"/>
      <c r="AG323" s="315"/>
      <c r="AH323" s="315"/>
      <c r="AI323" s="315"/>
      <c r="AJ323" s="315"/>
      <c r="AK323" s="315"/>
      <c r="AL323" s="315"/>
      <c r="AM323" s="315"/>
      <c r="AN323" s="315"/>
      <c r="AO323" s="315"/>
      <c r="AP323" s="315"/>
      <c r="AQ323" s="315"/>
      <c r="AR323" s="315"/>
      <c r="AS323" s="315"/>
      <c r="AT323" s="315"/>
      <c r="AU323" s="315"/>
      <c r="AV323" s="315"/>
      <c r="AW323" s="316"/>
      <c r="AX323" s="588"/>
      <c r="AY323" s="591"/>
      <c r="AZ323" s="591"/>
      <c r="BA323" s="594"/>
      <c r="BB323" s="301"/>
    </row>
    <row r="324" spans="1:54" ht="9" customHeight="1">
      <c r="A324" s="583"/>
      <c r="B324" s="586"/>
      <c r="C324" s="317"/>
      <c r="D324" s="318"/>
      <c r="E324" s="318"/>
      <c r="F324" s="318"/>
      <c r="G324" s="318"/>
      <c r="H324" s="318"/>
      <c r="I324" s="318"/>
      <c r="J324" s="318"/>
      <c r="K324" s="318"/>
      <c r="L324" s="318"/>
      <c r="M324" s="318"/>
      <c r="N324" s="318"/>
      <c r="O324" s="318"/>
      <c r="P324" s="318"/>
      <c r="Q324" s="318"/>
      <c r="R324" s="318"/>
      <c r="S324" s="318"/>
      <c r="T324" s="318"/>
      <c r="U324" s="318"/>
      <c r="V324" s="319"/>
      <c r="W324" s="589"/>
      <c r="X324" s="592"/>
      <c r="Y324" s="592"/>
      <c r="Z324" s="594"/>
      <c r="AA324" s="301"/>
      <c r="AB324" s="583"/>
      <c r="AC324" s="586"/>
      <c r="AD324" s="317"/>
      <c r="AE324" s="318"/>
      <c r="AF324" s="318"/>
      <c r="AG324" s="318"/>
      <c r="AH324" s="318"/>
      <c r="AI324" s="318"/>
      <c r="AJ324" s="318"/>
      <c r="AK324" s="318"/>
      <c r="AL324" s="318"/>
      <c r="AM324" s="318"/>
      <c r="AN324" s="318"/>
      <c r="AO324" s="318"/>
      <c r="AP324" s="318"/>
      <c r="AQ324" s="318"/>
      <c r="AR324" s="318"/>
      <c r="AS324" s="318"/>
      <c r="AT324" s="318"/>
      <c r="AU324" s="318"/>
      <c r="AV324" s="318"/>
      <c r="AW324" s="319"/>
      <c r="AX324" s="589"/>
      <c r="AY324" s="592"/>
      <c r="AZ324" s="592"/>
      <c r="BA324" s="594"/>
      <c r="BB324" s="301"/>
    </row>
    <row r="325" spans="1:54" ht="9" customHeight="1">
      <c r="A325" s="583">
        <v>31</v>
      </c>
      <c r="B325" s="584">
        <f t="shared" si="233"/>
        <v>0</v>
      </c>
      <c r="C325" s="311"/>
      <c r="D325" s="312"/>
      <c r="E325" s="312"/>
      <c r="F325" s="312"/>
      <c r="G325" s="312"/>
      <c r="H325" s="312"/>
      <c r="I325" s="312"/>
      <c r="J325" s="312"/>
      <c r="K325" s="312"/>
      <c r="L325" s="312"/>
      <c r="M325" s="312"/>
      <c r="N325" s="312"/>
      <c r="O325" s="312"/>
      <c r="P325" s="312"/>
      <c r="Q325" s="312"/>
      <c r="R325" s="312"/>
      <c r="S325" s="312"/>
      <c r="T325" s="312"/>
      <c r="U325" s="312"/>
      <c r="V325" s="313"/>
      <c r="W325" s="587">
        <f>'A-CALC'!V306</f>
        <v>0</v>
      </c>
      <c r="X325" s="590">
        <f>'A-CALC'!W306</f>
        <v>0</v>
      </c>
      <c r="Y325" s="590">
        <f>'A-CALC'!X306</f>
        <v>0</v>
      </c>
      <c r="Z325" s="593">
        <f t="shared" ref="Z325" si="237">ROUND((40/$Y$7)*W325,0)</f>
        <v>0</v>
      </c>
      <c r="AA325" s="301"/>
      <c r="AB325" s="583">
        <v>31</v>
      </c>
      <c r="AC325" s="584">
        <f t="shared" si="235"/>
        <v>0</v>
      </c>
      <c r="AD325" s="311"/>
      <c r="AE325" s="312"/>
      <c r="AF325" s="312"/>
      <c r="AG325" s="312"/>
      <c r="AH325" s="312"/>
      <c r="AI325" s="312"/>
      <c r="AJ325" s="312"/>
      <c r="AK325" s="312"/>
      <c r="AL325" s="312"/>
      <c r="AM325" s="312"/>
      <c r="AN325" s="312"/>
      <c r="AO325" s="312"/>
      <c r="AP325" s="312"/>
      <c r="AQ325" s="312"/>
      <c r="AR325" s="312"/>
      <c r="AS325" s="312"/>
      <c r="AT325" s="312"/>
      <c r="AU325" s="312"/>
      <c r="AV325" s="312"/>
      <c r="AW325" s="313"/>
      <c r="AX325" s="587">
        <f>'A-CALC'!AU306</f>
        <v>0</v>
      </c>
      <c r="AY325" s="590">
        <f>'A-CALC'!AV306</f>
        <v>0</v>
      </c>
      <c r="AZ325" s="590">
        <f>'A-CALC'!AW306</f>
        <v>0</v>
      </c>
      <c r="BA325" s="593">
        <f t="shared" ref="BA325" si="238">ROUND((40/$Y$7)*AX325,0)</f>
        <v>0</v>
      </c>
      <c r="BB325" s="301"/>
    </row>
    <row r="326" spans="1:54" ht="9" customHeight="1">
      <c r="A326" s="583"/>
      <c r="B326" s="585"/>
      <c r="C326" s="314"/>
      <c r="D326" s="315"/>
      <c r="E326" s="315"/>
      <c r="F326" s="315"/>
      <c r="G326" s="315"/>
      <c r="H326" s="315"/>
      <c r="I326" s="315"/>
      <c r="J326" s="315"/>
      <c r="K326" s="315"/>
      <c r="L326" s="315"/>
      <c r="M326" s="315"/>
      <c r="N326" s="315"/>
      <c r="O326" s="315"/>
      <c r="P326" s="315"/>
      <c r="Q326" s="315"/>
      <c r="R326" s="315"/>
      <c r="S326" s="315"/>
      <c r="T326" s="315"/>
      <c r="U326" s="315"/>
      <c r="V326" s="316"/>
      <c r="W326" s="588"/>
      <c r="X326" s="591"/>
      <c r="Y326" s="591"/>
      <c r="Z326" s="594"/>
      <c r="AA326" s="301"/>
      <c r="AB326" s="583"/>
      <c r="AC326" s="585"/>
      <c r="AD326" s="314"/>
      <c r="AE326" s="315"/>
      <c r="AF326" s="315"/>
      <c r="AG326" s="315"/>
      <c r="AH326" s="315"/>
      <c r="AI326" s="315"/>
      <c r="AJ326" s="315"/>
      <c r="AK326" s="315"/>
      <c r="AL326" s="315"/>
      <c r="AM326" s="315"/>
      <c r="AN326" s="315"/>
      <c r="AO326" s="315"/>
      <c r="AP326" s="315"/>
      <c r="AQ326" s="315"/>
      <c r="AR326" s="315"/>
      <c r="AS326" s="315"/>
      <c r="AT326" s="315"/>
      <c r="AU326" s="315"/>
      <c r="AV326" s="315"/>
      <c r="AW326" s="316"/>
      <c r="AX326" s="588"/>
      <c r="AY326" s="591"/>
      <c r="AZ326" s="591"/>
      <c r="BA326" s="594"/>
      <c r="BB326" s="301"/>
    </row>
    <row r="327" spans="1:54" ht="9" customHeight="1">
      <c r="A327" s="583"/>
      <c r="B327" s="586"/>
      <c r="C327" s="317"/>
      <c r="D327" s="318"/>
      <c r="E327" s="318"/>
      <c r="F327" s="318"/>
      <c r="G327" s="318"/>
      <c r="H327" s="318"/>
      <c r="I327" s="318"/>
      <c r="J327" s="318"/>
      <c r="K327" s="318"/>
      <c r="L327" s="318"/>
      <c r="M327" s="318"/>
      <c r="N327" s="318"/>
      <c r="O327" s="318"/>
      <c r="P327" s="318"/>
      <c r="Q327" s="318"/>
      <c r="R327" s="318"/>
      <c r="S327" s="318"/>
      <c r="T327" s="318"/>
      <c r="U327" s="318"/>
      <c r="V327" s="319"/>
      <c r="W327" s="589"/>
      <c r="X327" s="592"/>
      <c r="Y327" s="592"/>
      <c r="Z327" s="594"/>
      <c r="AA327" s="301"/>
      <c r="AB327" s="583"/>
      <c r="AC327" s="586"/>
      <c r="AD327" s="317"/>
      <c r="AE327" s="318"/>
      <c r="AF327" s="318"/>
      <c r="AG327" s="318"/>
      <c r="AH327" s="318"/>
      <c r="AI327" s="318"/>
      <c r="AJ327" s="318"/>
      <c r="AK327" s="318"/>
      <c r="AL327" s="318"/>
      <c r="AM327" s="318"/>
      <c r="AN327" s="318"/>
      <c r="AO327" s="318"/>
      <c r="AP327" s="318"/>
      <c r="AQ327" s="318"/>
      <c r="AR327" s="318"/>
      <c r="AS327" s="318"/>
      <c r="AT327" s="318"/>
      <c r="AU327" s="318"/>
      <c r="AV327" s="318"/>
      <c r="AW327" s="319"/>
      <c r="AX327" s="589"/>
      <c r="AY327" s="592"/>
      <c r="AZ327" s="592"/>
      <c r="BA327" s="594"/>
      <c r="BB327" s="301"/>
    </row>
    <row r="328" spans="1:54" ht="9" customHeight="1">
      <c r="A328" s="583">
        <v>32</v>
      </c>
      <c r="B328" s="584">
        <f t="shared" si="233"/>
        <v>0</v>
      </c>
      <c r="C328" s="311"/>
      <c r="D328" s="312"/>
      <c r="E328" s="312"/>
      <c r="F328" s="312"/>
      <c r="G328" s="312"/>
      <c r="H328" s="312"/>
      <c r="I328" s="312"/>
      <c r="J328" s="312"/>
      <c r="K328" s="312"/>
      <c r="L328" s="312"/>
      <c r="M328" s="312"/>
      <c r="N328" s="312"/>
      <c r="O328" s="312"/>
      <c r="P328" s="312"/>
      <c r="Q328" s="312"/>
      <c r="R328" s="312"/>
      <c r="S328" s="312"/>
      <c r="T328" s="312"/>
      <c r="U328" s="312"/>
      <c r="V328" s="313"/>
      <c r="W328" s="587">
        <f>'A-CALC'!V309</f>
        <v>0</v>
      </c>
      <c r="X328" s="590">
        <f>'A-CALC'!W309</f>
        <v>0</v>
      </c>
      <c r="Y328" s="590">
        <f>'A-CALC'!X309</f>
        <v>0</v>
      </c>
      <c r="Z328" s="593">
        <f t="shared" ref="Z328" si="239">ROUND((40/$Y$7)*W328,0)</f>
        <v>0</v>
      </c>
      <c r="AA328" s="301"/>
      <c r="AB328" s="583">
        <v>32</v>
      </c>
      <c r="AC328" s="584">
        <f t="shared" si="235"/>
        <v>0</v>
      </c>
      <c r="AD328" s="311"/>
      <c r="AE328" s="312"/>
      <c r="AF328" s="312"/>
      <c r="AG328" s="312"/>
      <c r="AH328" s="312"/>
      <c r="AI328" s="312"/>
      <c r="AJ328" s="312"/>
      <c r="AK328" s="312"/>
      <c r="AL328" s="312"/>
      <c r="AM328" s="312"/>
      <c r="AN328" s="312"/>
      <c r="AO328" s="312"/>
      <c r="AP328" s="312"/>
      <c r="AQ328" s="312"/>
      <c r="AR328" s="312"/>
      <c r="AS328" s="312"/>
      <c r="AT328" s="312"/>
      <c r="AU328" s="312"/>
      <c r="AV328" s="312"/>
      <c r="AW328" s="313"/>
      <c r="AX328" s="587">
        <f>'A-CALC'!AU309</f>
        <v>0</v>
      </c>
      <c r="AY328" s="590">
        <f>'A-CALC'!AV309</f>
        <v>0</v>
      </c>
      <c r="AZ328" s="590">
        <f>'A-CALC'!AW309</f>
        <v>0</v>
      </c>
      <c r="BA328" s="593">
        <f t="shared" ref="BA328" si="240">ROUND((40/$Y$7)*AX328,0)</f>
        <v>0</v>
      </c>
      <c r="BB328" s="301"/>
    </row>
    <row r="329" spans="1:54" ht="9" customHeight="1">
      <c r="A329" s="583"/>
      <c r="B329" s="585"/>
      <c r="C329" s="314"/>
      <c r="D329" s="315"/>
      <c r="E329" s="315"/>
      <c r="F329" s="315"/>
      <c r="G329" s="315"/>
      <c r="H329" s="315"/>
      <c r="I329" s="315"/>
      <c r="J329" s="315"/>
      <c r="K329" s="315"/>
      <c r="L329" s="315"/>
      <c r="M329" s="315"/>
      <c r="N329" s="315"/>
      <c r="O329" s="315"/>
      <c r="P329" s="315"/>
      <c r="Q329" s="315"/>
      <c r="R329" s="315"/>
      <c r="S329" s="315"/>
      <c r="T329" s="315"/>
      <c r="U329" s="315"/>
      <c r="V329" s="316"/>
      <c r="W329" s="588"/>
      <c r="X329" s="591"/>
      <c r="Y329" s="591"/>
      <c r="Z329" s="594"/>
      <c r="AA329" s="301"/>
      <c r="AB329" s="583"/>
      <c r="AC329" s="585"/>
      <c r="AD329" s="314"/>
      <c r="AE329" s="315"/>
      <c r="AF329" s="315"/>
      <c r="AG329" s="315"/>
      <c r="AH329" s="315"/>
      <c r="AI329" s="315"/>
      <c r="AJ329" s="315"/>
      <c r="AK329" s="315"/>
      <c r="AL329" s="315"/>
      <c r="AM329" s="315"/>
      <c r="AN329" s="315"/>
      <c r="AO329" s="315"/>
      <c r="AP329" s="315"/>
      <c r="AQ329" s="315"/>
      <c r="AR329" s="315"/>
      <c r="AS329" s="315"/>
      <c r="AT329" s="315"/>
      <c r="AU329" s="315"/>
      <c r="AV329" s="315"/>
      <c r="AW329" s="316"/>
      <c r="AX329" s="588"/>
      <c r="AY329" s="591"/>
      <c r="AZ329" s="591"/>
      <c r="BA329" s="594"/>
      <c r="BB329" s="301"/>
    </row>
    <row r="330" spans="1:54" ht="9" customHeight="1">
      <c r="A330" s="583"/>
      <c r="B330" s="586"/>
      <c r="C330" s="317"/>
      <c r="D330" s="318"/>
      <c r="E330" s="318"/>
      <c r="F330" s="318"/>
      <c r="G330" s="318"/>
      <c r="H330" s="318"/>
      <c r="I330" s="318"/>
      <c r="J330" s="318"/>
      <c r="K330" s="318"/>
      <c r="L330" s="318"/>
      <c r="M330" s="318"/>
      <c r="N330" s="318"/>
      <c r="O330" s="318"/>
      <c r="P330" s="318"/>
      <c r="Q330" s="318"/>
      <c r="R330" s="318"/>
      <c r="S330" s="318"/>
      <c r="T330" s="318"/>
      <c r="U330" s="318"/>
      <c r="V330" s="319"/>
      <c r="W330" s="589"/>
      <c r="X330" s="592"/>
      <c r="Y330" s="592"/>
      <c r="Z330" s="594"/>
      <c r="AA330" s="301"/>
      <c r="AB330" s="583"/>
      <c r="AC330" s="586"/>
      <c r="AD330" s="317"/>
      <c r="AE330" s="318"/>
      <c r="AF330" s="318"/>
      <c r="AG330" s="318"/>
      <c r="AH330" s="318"/>
      <c r="AI330" s="318"/>
      <c r="AJ330" s="318"/>
      <c r="AK330" s="318"/>
      <c r="AL330" s="318"/>
      <c r="AM330" s="318"/>
      <c r="AN330" s="318"/>
      <c r="AO330" s="318"/>
      <c r="AP330" s="318"/>
      <c r="AQ330" s="318"/>
      <c r="AR330" s="318"/>
      <c r="AS330" s="318"/>
      <c r="AT330" s="318"/>
      <c r="AU330" s="318"/>
      <c r="AV330" s="318"/>
      <c r="AW330" s="319"/>
      <c r="AX330" s="589"/>
      <c r="AY330" s="592"/>
      <c r="AZ330" s="592"/>
      <c r="BA330" s="594"/>
      <c r="BB330" s="301"/>
    </row>
    <row r="331" spans="1:54" ht="9" customHeight="1">
      <c r="A331" s="583">
        <v>33</v>
      </c>
      <c r="B331" s="584">
        <f t="shared" si="233"/>
        <v>0</v>
      </c>
      <c r="C331" s="311"/>
      <c r="D331" s="312"/>
      <c r="E331" s="312"/>
      <c r="F331" s="312"/>
      <c r="G331" s="312"/>
      <c r="H331" s="312"/>
      <c r="I331" s="312"/>
      <c r="J331" s="312"/>
      <c r="K331" s="312"/>
      <c r="L331" s="312"/>
      <c r="M331" s="312"/>
      <c r="N331" s="312"/>
      <c r="O331" s="312"/>
      <c r="P331" s="312"/>
      <c r="Q331" s="312"/>
      <c r="R331" s="312"/>
      <c r="S331" s="312"/>
      <c r="T331" s="312"/>
      <c r="U331" s="312"/>
      <c r="V331" s="313"/>
      <c r="W331" s="587">
        <f>'A-CALC'!V312</f>
        <v>0</v>
      </c>
      <c r="X331" s="590">
        <f>'A-CALC'!W312</f>
        <v>0</v>
      </c>
      <c r="Y331" s="590">
        <f>'A-CALC'!X312</f>
        <v>0</v>
      </c>
      <c r="Z331" s="593">
        <f t="shared" ref="Z331" si="241">ROUND((40/$Y$7)*W331,0)</f>
        <v>0</v>
      </c>
      <c r="AA331" s="301"/>
      <c r="AB331" s="583">
        <v>33</v>
      </c>
      <c r="AC331" s="584">
        <f t="shared" si="235"/>
        <v>0</v>
      </c>
      <c r="AD331" s="311"/>
      <c r="AE331" s="312"/>
      <c r="AF331" s="312"/>
      <c r="AG331" s="312"/>
      <c r="AH331" s="312"/>
      <c r="AI331" s="312"/>
      <c r="AJ331" s="312"/>
      <c r="AK331" s="312"/>
      <c r="AL331" s="312"/>
      <c r="AM331" s="312"/>
      <c r="AN331" s="312"/>
      <c r="AO331" s="312"/>
      <c r="AP331" s="312"/>
      <c r="AQ331" s="312"/>
      <c r="AR331" s="312"/>
      <c r="AS331" s="312"/>
      <c r="AT331" s="312"/>
      <c r="AU331" s="312"/>
      <c r="AV331" s="312"/>
      <c r="AW331" s="313"/>
      <c r="AX331" s="587">
        <f>'A-CALC'!AU312</f>
        <v>0</v>
      </c>
      <c r="AY331" s="590">
        <f>'A-CALC'!AV312</f>
        <v>0</v>
      </c>
      <c r="AZ331" s="590">
        <f>'A-CALC'!AW312</f>
        <v>0</v>
      </c>
      <c r="BA331" s="593">
        <f t="shared" ref="BA331" si="242">ROUND((40/$Y$7)*AX331,0)</f>
        <v>0</v>
      </c>
      <c r="BB331" s="301"/>
    </row>
    <row r="332" spans="1:54" ht="9" customHeight="1">
      <c r="A332" s="583"/>
      <c r="B332" s="585"/>
      <c r="C332" s="314"/>
      <c r="D332" s="315"/>
      <c r="E332" s="315"/>
      <c r="F332" s="315"/>
      <c r="G332" s="315"/>
      <c r="H332" s="315"/>
      <c r="I332" s="315"/>
      <c r="J332" s="315"/>
      <c r="K332" s="315"/>
      <c r="L332" s="315"/>
      <c r="M332" s="315"/>
      <c r="N332" s="315"/>
      <c r="O332" s="315"/>
      <c r="P332" s="315"/>
      <c r="Q332" s="315"/>
      <c r="R332" s="315"/>
      <c r="S332" s="315"/>
      <c r="T332" s="315"/>
      <c r="U332" s="315"/>
      <c r="V332" s="316"/>
      <c r="W332" s="588"/>
      <c r="X332" s="591"/>
      <c r="Y332" s="591"/>
      <c r="Z332" s="594"/>
      <c r="AA332" s="301"/>
      <c r="AB332" s="583"/>
      <c r="AC332" s="585"/>
      <c r="AD332" s="314"/>
      <c r="AE332" s="315"/>
      <c r="AF332" s="315"/>
      <c r="AG332" s="315"/>
      <c r="AH332" s="315"/>
      <c r="AI332" s="315"/>
      <c r="AJ332" s="315"/>
      <c r="AK332" s="315"/>
      <c r="AL332" s="315"/>
      <c r="AM332" s="315"/>
      <c r="AN332" s="315"/>
      <c r="AO332" s="315"/>
      <c r="AP332" s="315"/>
      <c r="AQ332" s="315"/>
      <c r="AR332" s="315"/>
      <c r="AS332" s="315"/>
      <c r="AT332" s="315"/>
      <c r="AU332" s="315"/>
      <c r="AV332" s="315"/>
      <c r="AW332" s="316"/>
      <c r="AX332" s="588"/>
      <c r="AY332" s="591"/>
      <c r="AZ332" s="591"/>
      <c r="BA332" s="594"/>
      <c r="BB332" s="301"/>
    </row>
    <row r="333" spans="1:54" ht="9" customHeight="1">
      <c r="A333" s="583"/>
      <c r="B333" s="586"/>
      <c r="C333" s="317"/>
      <c r="D333" s="318"/>
      <c r="E333" s="318"/>
      <c r="F333" s="318"/>
      <c r="G333" s="318"/>
      <c r="H333" s="318"/>
      <c r="I333" s="318"/>
      <c r="J333" s="318"/>
      <c r="K333" s="318"/>
      <c r="L333" s="318"/>
      <c r="M333" s="318"/>
      <c r="N333" s="318"/>
      <c r="O333" s="318"/>
      <c r="P333" s="318"/>
      <c r="Q333" s="318"/>
      <c r="R333" s="318"/>
      <c r="S333" s="318"/>
      <c r="T333" s="318"/>
      <c r="U333" s="318"/>
      <c r="V333" s="319"/>
      <c r="W333" s="589"/>
      <c r="X333" s="592"/>
      <c r="Y333" s="592"/>
      <c r="Z333" s="594"/>
      <c r="AA333" s="301"/>
      <c r="AB333" s="583"/>
      <c r="AC333" s="586"/>
      <c r="AD333" s="317"/>
      <c r="AE333" s="318"/>
      <c r="AF333" s="318"/>
      <c r="AG333" s="318"/>
      <c r="AH333" s="318"/>
      <c r="AI333" s="318"/>
      <c r="AJ333" s="318"/>
      <c r="AK333" s="318"/>
      <c r="AL333" s="318"/>
      <c r="AM333" s="318"/>
      <c r="AN333" s="318"/>
      <c r="AO333" s="318"/>
      <c r="AP333" s="318"/>
      <c r="AQ333" s="318"/>
      <c r="AR333" s="318"/>
      <c r="AS333" s="318"/>
      <c r="AT333" s="318"/>
      <c r="AU333" s="318"/>
      <c r="AV333" s="318"/>
      <c r="AW333" s="319"/>
      <c r="AX333" s="589"/>
      <c r="AY333" s="592"/>
      <c r="AZ333" s="592"/>
      <c r="BA333" s="594"/>
      <c r="BB333" s="301"/>
    </row>
    <row r="334" spans="1:54" ht="9" customHeight="1">
      <c r="A334" s="583">
        <v>34</v>
      </c>
      <c r="B334" s="584">
        <f t="shared" si="233"/>
        <v>0</v>
      </c>
      <c r="C334" s="311"/>
      <c r="D334" s="312"/>
      <c r="E334" s="312"/>
      <c r="F334" s="312"/>
      <c r="G334" s="312"/>
      <c r="H334" s="312"/>
      <c r="I334" s="312"/>
      <c r="J334" s="312"/>
      <c r="K334" s="312"/>
      <c r="L334" s="312"/>
      <c r="M334" s="312"/>
      <c r="N334" s="312"/>
      <c r="O334" s="312"/>
      <c r="P334" s="312"/>
      <c r="Q334" s="312"/>
      <c r="R334" s="312"/>
      <c r="S334" s="312"/>
      <c r="T334" s="312"/>
      <c r="U334" s="312"/>
      <c r="V334" s="313"/>
      <c r="W334" s="587">
        <f>'A-CALC'!V315</f>
        <v>0</v>
      </c>
      <c r="X334" s="590">
        <f>'A-CALC'!W315</f>
        <v>0</v>
      </c>
      <c r="Y334" s="590">
        <f>'A-CALC'!X315</f>
        <v>0</v>
      </c>
      <c r="Z334" s="593">
        <f t="shared" ref="Z334" si="243">ROUND((40/$Y$7)*W334,0)</f>
        <v>0</v>
      </c>
      <c r="AA334" s="301"/>
      <c r="AB334" s="583">
        <v>34</v>
      </c>
      <c r="AC334" s="584">
        <f t="shared" si="235"/>
        <v>0</v>
      </c>
      <c r="AD334" s="311"/>
      <c r="AE334" s="312"/>
      <c r="AF334" s="312"/>
      <c r="AG334" s="312"/>
      <c r="AH334" s="312"/>
      <c r="AI334" s="312"/>
      <c r="AJ334" s="312"/>
      <c r="AK334" s="312"/>
      <c r="AL334" s="312"/>
      <c r="AM334" s="312"/>
      <c r="AN334" s="312"/>
      <c r="AO334" s="312"/>
      <c r="AP334" s="312"/>
      <c r="AQ334" s="312"/>
      <c r="AR334" s="312"/>
      <c r="AS334" s="312"/>
      <c r="AT334" s="312"/>
      <c r="AU334" s="312"/>
      <c r="AV334" s="312"/>
      <c r="AW334" s="313"/>
      <c r="AX334" s="587">
        <f>'A-CALC'!AU315</f>
        <v>0</v>
      </c>
      <c r="AY334" s="590">
        <f>'A-CALC'!AV315</f>
        <v>0</v>
      </c>
      <c r="AZ334" s="590">
        <f>'A-CALC'!AW315</f>
        <v>0</v>
      </c>
      <c r="BA334" s="593">
        <f t="shared" ref="BA334" si="244">ROUND((40/$Y$7)*AX334,0)</f>
        <v>0</v>
      </c>
      <c r="BB334" s="301"/>
    </row>
    <row r="335" spans="1:54" ht="9" customHeight="1">
      <c r="A335" s="583"/>
      <c r="B335" s="585"/>
      <c r="C335" s="314"/>
      <c r="D335" s="315"/>
      <c r="E335" s="315"/>
      <c r="F335" s="315"/>
      <c r="G335" s="315"/>
      <c r="H335" s="315"/>
      <c r="I335" s="315"/>
      <c r="J335" s="315"/>
      <c r="K335" s="315"/>
      <c r="L335" s="315"/>
      <c r="M335" s="315"/>
      <c r="N335" s="315"/>
      <c r="O335" s="315"/>
      <c r="P335" s="315"/>
      <c r="Q335" s="315"/>
      <c r="R335" s="315"/>
      <c r="S335" s="315"/>
      <c r="T335" s="315"/>
      <c r="U335" s="315"/>
      <c r="V335" s="316"/>
      <c r="W335" s="588"/>
      <c r="X335" s="591"/>
      <c r="Y335" s="591"/>
      <c r="Z335" s="594"/>
      <c r="AA335" s="301"/>
      <c r="AB335" s="583"/>
      <c r="AC335" s="585"/>
      <c r="AD335" s="314"/>
      <c r="AE335" s="315"/>
      <c r="AF335" s="315"/>
      <c r="AG335" s="315"/>
      <c r="AH335" s="315"/>
      <c r="AI335" s="315"/>
      <c r="AJ335" s="315"/>
      <c r="AK335" s="315"/>
      <c r="AL335" s="315"/>
      <c r="AM335" s="315"/>
      <c r="AN335" s="315"/>
      <c r="AO335" s="315"/>
      <c r="AP335" s="315"/>
      <c r="AQ335" s="315"/>
      <c r="AR335" s="315"/>
      <c r="AS335" s="315"/>
      <c r="AT335" s="315"/>
      <c r="AU335" s="315"/>
      <c r="AV335" s="315"/>
      <c r="AW335" s="316"/>
      <c r="AX335" s="588"/>
      <c r="AY335" s="591"/>
      <c r="AZ335" s="591"/>
      <c r="BA335" s="594"/>
      <c r="BB335" s="301"/>
    </row>
    <row r="336" spans="1:54" ht="9" customHeight="1">
      <c r="A336" s="583"/>
      <c r="B336" s="586"/>
      <c r="C336" s="317"/>
      <c r="D336" s="318"/>
      <c r="E336" s="318"/>
      <c r="F336" s="318"/>
      <c r="G336" s="318"/>
      <c r="H336" s="318"/>
      <c r="I336" s="318"/>
      <c r="J336" s="318"/>
      <c r="K336" s="318"/>
      <c r="L336" s="318"/>
      <c r="M336" s="318"/>
      <c r="N336" s="318"/>
      <c r="O336" s="318"/>
      <c r="P336" s="318"/>
      <c r="Q336" s="318"/>
      <c r="R336" s="318"/>
      <c r="S336" s="318"/>
      <c r="T336" s="318"/>
      <c r="U336" s="318"/>
      <c r="V336" s="319"/>
      <c r="W336" s="589"/>
      <c r="X336" s="592"/>
      <c r="Y336" s="592"/>
      <c r="Z336" s="594"/>
      <c r="AA336" s="301"/>
      <c r="AB336" s="583"/>
      <c r="AC336" s="586"/>
      <c r="AD336" s="317"/>
      <c r="AE336" s="318"/>
      <c r="AF336" s="318"/>
      <c r="AG336" s="318"/>
      <c r="AH336" s="318"/>
      <c r="AI336" s="318"/>
      <c r="AJ336" s="318"/>
      <c r="AK336" s="318"/>
      <c r="AL336" s="318"/>
      <c r="AM336" s="318"/>
      <c r="AN336" s="318"/>
      <c r="AO336" s="318"/>
      <c r="AP336" s="318"/>
      <c r="AQ336" s="318"/>
      <c r="AR336" s="318"/>
      <c r="AS336" s="318"/>
      <c r="AT336" s="318"/>
      <c r="AU336" s="318"/>
      <c r="AV336" s="318"/>
      <c r="AW336" s="319"/>
      <c r="AX336" s="589"/>
      <c r="AY336" s="592"/>
      <c r="AZ336" s="592"/>
      <c r="BA336" s="594"/>
      <c r="BB336" s="301"/>
    </row>
    <row r="337" spans="1:55" ht="9" customHeight="1">
      <c r="A337" s="583">
        <v>35</v>
      </c>
      <c r="B337" s="584">
        <f t="shared" si="233"/>
        <v>0</v>
      </c>
      <c r="C337" s="311"/>
      <c r="D337" s="312"/>
      <c r="E337" s="312"/>
      <c r="F337" s="312"/>
      <c r="G337" s="312"/>
      <c r="H337" s="312"/>
      <c r="I337" s="312"/>
      <c r="J337" s="312"/>
      <c r="K337" s="312"/>
      <c r="L337" s="312"/>
      <c r="M337" s="312"/>
      <c r="N337" s="312"/>
      <c r="O337" s="312"/>
      <c r="P337" s="312"/>
      <c r="Q337" s="312"/>
      <c r="R337" s="312"/>
      <c r="S337" s="312"/>
      <c r="T337" s="312"/>
      <c r="U337" s="312"/>
      <c r="V337" s="313"/>
      <c r="W337" s="587">
        <f>'A-CALC'!V318</f>
        <v>0</v>
      </c>
      <c r="X337" s="590">
        <f>'A-CALC'!W318</f>
        <v>0</v>
      </c>
      <c r="Y337" s="590">
        <f>'A-CALC'!X318</f>
        <v>0</v>
      </c>
      <c r="Z337" s="593">
        <f t="shared" ref="Z337" si="245">ROUND((40/$Y$7)*W337,0)</f>
        <v>0</v>
      </c>
      <c r="AA337" s="301"/>
      <c r="AB337" s="583">
        <v>35</v>
      </c>
      <c r="AC337" s="584">
        <f t="shared" si="235"/>
        <v>0</v>
      </c>
      <c r="AD337" s="311"/>
      <c r="AE337" s="312"/>
      <c r="AF337" s="312"/>
      <c r="AG337" s="312"/>
      <c r="AH337" s="312"/>
      <c r="AI337" s="312"/>
      <c r="AJ337" s="312"/>
      <c r="AK337" s="312"/>
      <c r="AL337" s="312"/>
      <c r="AM337" s="312"/>
      <c r="AN337" s="312"/>
      <c r="AO337" s="312"/>
      <c r="AP337" s="312"/>
      <c r="AQ337" s="312"/>
      <c r="AR337" s="312"/>
      <c r="AS337" s="312"/>
      <c r="AT337" s="312"/>
      <c r="AU337" s="312"/>
      <c r="AV337" s="312"/>
      <c r="AW337" s="313"/>
      <c r="AX337" s="587">
        <f>'A-CALC'!AU318</f>
        <v>0</v>
      </c>
      <c r="AY337" s="590">
        <f>'A-CALC'!AV318</f>
        <v>0</v>
      </c>
      <c r="AZ337" s="590">
        <f>'A-CALC'!AW318</f>
        <v>0</v>
      </c>
      <c r="BA337" s="593">
        <f t="shared" ref="BA337" si="246">ROUND((40/$Y$7)*AX337,0)</f>
        <v>0</v>
      </c>
      <c r="BB337" s="301"/>
    </row>
    <row r="338" spans="1:55" ht="9" customHeight="1">
      <c r="A338" s="583"/>
      <c r="B338" s="585"/>
      <c r="C338" s="314"/>
      <c r="D338" s="315"/>
      <c r="E338" s="315"/>
      <c r="F338" s="315"/>
      <c r="G338" s="315"/>
      <c r="H338" s="315"/>
      <c r="I338" s="315"/>
      <c r="J338" s="315"/>
      <c r="K338" s="315"/>
      <c r="L338" s="315"/>
      <c r="M338" s="315"/>
      <c r="N338" s="315"/>
      <c r="O338" s="315"/>
      <c r="P338" s="315"/>
      <c r="Q338" s="315"/>
      <c r="R338" s="315"/>
      <c r="S338" s="315"/>
      <c r="T338" s="315"/>
      <c r="U338" s="315"/>
      <c r="V338" s="316"/>
      <c r="W338" s="588"/>
      <c r="X338" s="591"/>
      <c r="Y338" s="591"/>
      <c r="Z338" s="594"/>
      <c r="AA338" s="301"/>
      <c r="AB338" s="583"/>
      <c r="AC338" s="585"/>
      <c r="AD338" s="314"/>
      <c r="AE338" s="315"/>
      <c r="AF338" s="315"/>
      <c r="AG338" s="315"/>
      <c r="AH338" s="315"/>
      <c r="AI338" s="315"/>
      <c r="AJ338" s="315"/>
      <c r="AK338" s="315"/>
      <c r="AL338" s="315"/>
      <c r="AM338" s="315"/>
      <c r="AN338" s="315"/>
      <c r="AO338" s="315"/>
      <c r="AP338" s="315"/>
      <c r="AQ338" s="315"/>
      <c r="AR338" s="315"/>
      <c r="AS338" s="315"/>
      <c r="AT338" s="315"/>
      <c r="AU338" s="315"/>
      <c r="AV338" s="315"/>
      <c r="AW338" s="316"/>
      <c r="AX338" s="588"/>
      <c r="AY338" s="591"/>
      <c r="AZ338" s="591"/>
      <c r="BA338" s="594"/>
      <c r="BB338" s="301"/>
    </row>
    <row r="339" spans="1:55" ht="9" customHeight="1">
      <c r="A339" s="583"/>
      <c r="B339" s="586"/>
      <c r="C339" s="317"/>
      <c r="D339" s="318"/>
      <c r="E339" s="318"/>
      <c r="F339" s="318"/>
      <c r="G339" s="318"/>
      <c r="H339" s="318"/>
      <c r="I339" s="318"/>
      <c r="J339" s="318"/>
      <c r="K339" s="318"/>
      <c r="L339" s="318"/>
      <c r="M339" s="318"/>
      <c r="N339" s="318"/>
      <c r="O339" s="318"/>
      <c r="P339" s="318"/>
      <c r="Q339" s="318"/>
      <c r="R339" s="318"/>
      <c r="S339" s="318"/>
      <c r="T339" s="318"/>
      <c r="U339" s="318"/>
      <c r="V339" s="319"/>
      <c r="W339" s="589"/>
      <c r="X339" s="592"/>
      <c r="Y339" s="592"/>
      <c r="Z339" s="608"/>
      <c r="AA339" s="301"/>
      <c r="AB339" s="583"/>
      <c r="AC339" s="586"/>
      <c r="AD339" s="317"/>
      <c r="AE339" s="318"/>
      <c r="AF339" s="318"/>
      <c r="AG339" s="318"/>
      <c r="AH339" s="318"/>
      <c r="AI339" s="318"/>
      <c r="AJ339" s="318"/>
      <c r="AK339" s="318"/>
      <c r="AL339" s="318"/>
      <c r="AM339" s="318"/>
      <c r="AN339" s="318"/>
      <c r="AO339" s="318"/>
      <c r="AP339" s="318"/>
      <c r="AQ339" s="318"/>
      <c r="AR339" s="318"/>
      <c r="AS339" s="318"/>
      <c r="AT339" s="318"/>
      <c r="AU339" s="318"/>
      <c r="AV339" s="318"/>
      <c r="AW339" s="319"/>
      <c r="AX339" s="589"/>
      <c r="AY339" s="592"/>
      <c r="AZ339" s="592"/>
      <c r="BA339" s="608"/>
      <c r="BB339" s="301"/>
    </row>
    <row r="340" spans="1:55" ht="22.35" customHeight="1">
      <c r="A340" s="322"/>
      <c r="B340" s="323"/>
      <c r="C340" s="324"/>
      <c r="D340" s="324"/>
      <c r="E340" s="324"/>
      <c r="F340" s="324"/>
      <c r="G340" s="324"/>
      <c r="H340" s="324"/>
      <c r="I340" s="324"/>
      <c r="J340" s="324"/>
      <c r="K340" s="324"/>
      <c r="L340" s="324"/>
      <c r="M340" s="324"/>
      <c r="N340" s="324"/>
      <c r="O340" s="324"/>
      <c r="P340" s="324"/>
      <c r="Q340" s="324"/>
      <c r="R340" s="324"/>
      <c r="S340" s="324"/>
      <c r="T340" s="324"/>
      <c r="U340" s="324"/>
      <c r="V340" s="324"/>
      <c r="W340" s="325"/>
      <c r="X340" s="325"/>
      <c r="Y340" s="325"/>
      <c r="Z340" s="326"/>
      <c r="AA340" s="327"/>
      <c r="AB340" s="322"/>
      <c r="AC340" s="323"/>
      <c r="AD340" s="324"/>
      <c r="AE340" s="324"/>
      <c r="AF340" s="324"/>
      <c r="AG340" s="324"/>
      <c r="AH340" s="324"/>
      <c r="AI340" s="324"/>
      <c r="AJ340" s="324"/>
      <c r="AK340" s="324"/>
      <c r="AL340" s="324"/>
      <c r="AM340" s="324"/>
      <c r="AN340" s="324"/>
      <c r="AO340" s="324"/>
      <c r="AP340" s="324"/>
      <c r="AQ340" s="324"/>
      <c r="AR340" s="324"/>
      <c r="AS340" s="324"/>
      <c r="AT340" s="324"/>
      <c r="AU340" s="324"/>
      <c r="AV340" s="324"/>
      <c r="AW340" s="324"/>
      <c r="AX340" s="325"/>
      <c r="AY340" s="325"/>
      <c r="AZ340" s="325"/>
      <c r="BA340" s="326"/>
      <c r="BB340" s="328"/>
      <c r="BC340" s="329"/>
    </row>
    <row r="341" spans="1:55" ht="20.100000000000001" customHeight="1">
      <c r="A341" s="296" t="s">
        <v>286</v>
      </c>
      <c r="B341" s="581" t="s">
        <v>284</v>
      </c>
      <c r="C341" s="581"/>
      <c r="D341" s="581"/>
      <c r="E341" s="581"/>
      <c r="F341" s="581"/>
      <c r="G341" s="581"/>
      <c r="H341" s="581"/>
      <c r="I341" s="581"/>
      <c r="J341" s="581"/>
      <c r="K341" s="581"/>
      <c r="L341" s="581"/>
      <c r="M341" s="581"/>
      <c r="N341" s="581"/>
      <c r="O341" s="581"/>
      <c r="P341" s="581"/>
      <c r="Q341" s="581"/>
      <c r="R341" s="581"/>
      <c r="S341" s="581"/>
      <c r="T341" s="581"/>
      <c r="U341" s="581"/>
      <c r="V341" s="581"/>
      <c r="W341" s="581"/>
      <c r="X341" s="581"/>
      <c r="Y341" s="581"/>
      <c r="Z341" s="581"/>
      <c r="AA341" s="297"/>
      <c r="AB341" s="296" t="s">
        <v>286</v>
      </c>
      <c r="AC341" s="581" t="s">
        <v>284</v>
      </c>
      <c r="AD341" s="581"/>
      <c r="AE341" s="581"/>
      <c r="AF341" s="581"/>
      <c r="AG341" s="581"/>
      <c r="AH341" s="581"/>
      <c r="AI341" s="581"/>
      <c r="AJ341" s="581"/>
      <c r="AK341" s="581"/>
      <c r="AL341" s="581"/>
      <c r="AM341" s="581"/>
      <c r="AN341" s="581"/>
      <c r="AO341" s="581"/>
      <c r="AP341" s="581"/>
      <c r="AQ341" s="581"/>
      <c r="AR341" s="581"/>
      <c r="AS341" s="581"/>
      <c r="AT341" s="581"/>
      <c r="AU341" s="581"/>
      <c r="AV341" s="581"/>
      <c r="AW341" s="581"/>
      <c r="AX341" s="581"/>
      <c r="AY341" s="581"/>
      <c r="AZ341" s="581"/>
      <c r="BA341" s="581"/>
      <c r="BB341" s="301"/>
    </row>
    <row r="342" spans="1:55" ht="21.75" customHeight="1">
      <c r="A342" s="298"/>
      <c r="B342" s="612" t="s">
        <v>81</v>
      </c>
      <c r="C342" s="612"/>
      <c r="D342" s="612"/>
      <c r="E342" s="612"/>
      <c r="F342" s="612"/>
      <c r="G342" s="612"/>
      <c r="H342" s="612"/>
      <c r="I342" s="612"/>
      <c r="J342" s="612"/>
      <c r="K342" s="612"/>
      <c r="L342" s="612"/>
      <c r="M342" s="612"/>
      <c r="N342" s="612"/>
      <c r="O342" s="612"/>
      <c r="P342" s="612"/>
      <c r="Q342" s="612"/>
      <c r="R342" s="612"/>
      <c r="S342" s="612"/>
      <c r="T342" s="612"/>
      <c r="U342" s="612"/>
      <c r="V342" s="612"/>
      <c r="W342" s="612"/>
      <c r="X342" s="612"/>
      <c r="Y342" s="612"/>
      <c r="Z342" s="612"/>
      <c r="AA342" s="297"/>
      <c r="AB342" s="298"/>
      <c r="AC342" s="612" t="s">
        <v>81</v>
      </c>
      <c r="AD342" s="612"/>
      <c r="AE342" s="612"/>
      <c r="AF342" s="612"/>
      <c r="AG342" s="612"/>
      <c r="AH342" s="612"/>
      <c r="AI342" s="612"/>
      <c r="AJ342" s="612"/>
      <c r="AK342" s="612"/>
      <c r="AL342" s="612"/>
      <c r="AM342" s="612"/>
      <c r="AN342" s="612"/>
      <c r="AO342" s="612"/>
      <c r="AP342" s="612"/>
      <c r="AQ342" s="612"/>
      <c r="AR342" s="612"/>
      <c r="AS342" s="612"/>
      <c r="AT342" s="612"/>
      <c r="AU342" s="612"/>
      <c r="AV342" s="612"/>
      <c r="AW342" s="612"/>
      <c r="AX342" s="612"/>
      <c r="AY342" s="612"/>
      <c r="AZ342" s="612"/>
      <c r="BA342" s="612"/>
      <c r="BB342" s="301"/>
    </row>
    <row r="343" spans="1:55" ht="20.25" customHeight="1">
      <c r="A343" s="298"/>
      <c r="B343" s="299" t="str">
        <f>CONCATENATE("ધોરણ - ",SCHOOL!$D$3)</f>
        <v>ધોરણ - 1</v>
      </c>
      <c r="C343" s="577" t="s">
        <v>315</v>
      </c>
      <c r="D343" s="577"/>
      <c r="E343" s="577"/>
      <c r="F343" s="577"/>
      <c r="G343" s="577"/>
      <c r="H343" s="577"/>
      <c r="I343" s="577"/>
      <c r="J343" s="577"/>
      <c r="K343" s="577" t="s">
        <v>288</v>
      </c>
      <c r="L343" s="577"/>
      <c r="M343" s="577"/>
      <c r="N343" s="577"/>
      <c r="O343" s="577"/>
      <c r="P343" s="577"/>
      <c r="Q343" s="577"/>
      <c r="R343" s="577" t="s">
        <v>289</v>
      </c>
      <c r="S343" s="577"/>
      <c r="T343" s="577"/>
      <c r="U343" s="577"/>
      <c r="V343" s="577"/>
      <c r="W343" s="577"/>
      <c r="X343" s="577"/>
      <c r="Y343" s="577">
        <f>COUNTA(C346:V346)</f>
        <v>15</v>
      </c>
      <c r="Z343" s="577"/>
      <c r="AA343" s="300"/>
      <c r="AB343" s="298"/>
      <c r="AC343" s="299" t="str">
        <f>CONCATENATE("ધોરણ - ",SCHOOL!$D$3)</f>
        <v>ધોરણ - 1</v>
      </c>
      <c r="AD343" s="577" t="str">
        <f>C343</f>
        <v xml:space="preserve"> વિષય-હિન્દી  </v>
      </c>
      <c r="AE343" s="577"/>
      <c r="AF343" s="577"/>
      <c r="AG343" s="577"/>
      <c r="AH343" s="577"/>
      <c r="AI343" s="577"/>
      <c r="AJ343" s="577"/>
      <c r="AK343" s="577"/>
      <c r="AL343" s="577" t="s">
        <v>290</v>
      </c>
      <c r="AM343" s="577"/>
      <c r="AN343" s="577"/>
      <c r="AO343" s="577"/>
      <c r="AP343" s="577"/>
      <c r="AQ343" s="577"/>
      <c r="AR343" s="577"/>
      <c r="AS343" s="577" t="s">
        <v>289</v>
      </c>
      <c r="AT343" s="577"/>
      <c r="AU343" s="577"/>
      <c r="AV343" s="577"/>
      <c r="AW343" s="577"/>
      <c r="AX343" s="577"/>
      <c r="AY343" s="577"/>
      <c r="AZ343" s="577">
        <f>COUNTA(AD346:AW346)</f>
        <v>15</v>
      </c>
      <c r="BA343" s="577"/>
      <c r="BB343" s="301"/>
    </row>
    <row r="344" spans="1:55" ht="18.75" customHeight="1">
      <c r="A344" s="609" t="s">
        <v>291</v>
      </c>
      <c r="B344" s="595" t="s">
        <v>82</v>
      </c>
      <c r="C344" s="596" t="s">
        <v>292</v>
      </c>
      <c r="D344" s="597"/>
      <c r="E344" s="597"/>
      <c r="F344" s="597"/>
      <c r="G344" s="597"/>
      <c r="H344" s="597"/>
      <c r="I344" s="597"/>
      <c r="J344" s="597"/>
      <c r="K344" s="597"/>
      <c r="L344" s="597"/>
      <c r="M344" s="597"/>
      <c r="N344" s="597"/>
      <c r="O344" s="597"/>
      <c r="P344" s="597"/>
      <c r="Q344" s="597"/>
      <c r="R344" s="597"/>
      <c r="S344" s="597"/>
      <c r="T344" s="597"/>
      <c r="U344" s="597"/>
      <c r="V344" s="598"/>
      <c r="W344" s="599" t="s">
        <v>293</v>
      </c>
      <c r="X344" s="600"/>
      <c r="Y344" s="601"/>
      <c r="Z344" s="605" t="s">
        <v>294</v>
      </c>
      <c r="AA344" s="301"/>
      <c r="AB344" s="609" t="s">
        <v>291</v>
      </c>
      <c r="AC344" s="595" t="s">
        <v>82</v>
      </c>
      <c r="AD344" s="596" t="s">
        <v>292</v>
      </c>
      <c r="AE344" s="597"/>
      <c r="AF344" s="597"/>
      <c r="AG344" s="597"/>
      <c r="AH344" s="597"/>
      <c r="AI344" s="597"/>
      <c r="AJ344" s="597"/>
      <c r="AK344" s="597"/>
      <c r="AL344" s="597"/>
      <c r="AM344" s="597"/>
      <c r="AN344" s="597"/>
      <c r="AO344" s="597"/>
      <c r="AP344" s="597"/>
      <c r="AQ344" s="597"/>
      <c r="AR344" s="597"/>
      <c r="AS344" s="597"/>
      <c r="AT344" s="597"/>
      <c r="AU344" s="597"/>
      <c r="AV344" s="597"/>
      <c r="AW344" s="598"/>
      <c r="AX344" s="599" t="s">
        <v>293</v>
      </c>
      <c r="AY344" s="600"/>
      <c r="AZ344" s="601"/>
      <c r="BA344" s="605" t="s">
        <v>294</v>
      </c>
      <c r="BB344" s="301"/>
    </row>
    <row r="345" spans="1:55" ht="15" customHeight="1">
      <c r="A345" s="609"/>
      <c r="B345" s="595"/>
      <c r="C345" s="302">
        <v>1</v>
      </c>
      <c r="D345" s="303">
        <v>2</v>
      </c>
      <c r="E345" s="303">
        <v>3</v>
      </c>
      <c r="F345" s="303">
        <v>4</v>
      </c>
      <c r="G345" s="303">
        <v>5</v>
      </c>
      <c r="H345" s="303">
        <v>6</v>
      </c>
      <c r="I345" s="303">
        <v>7</v>
      </c>
      <c r="J345" s="303">
        <v>8</v>
      </c>
      <c r="K345" s="303">
        <v>9</v>
      </c>
      <c r="L345" s="303">
        <v>10</v>
      </c>
      <c r="M345" s="303">
        <v>11</v>
      </c>
      <c r="N345" s="303">
        <v>12</v>
      </c>
      <c r="O345" s="303">
        <v>13</v>
      </c>
      <c r="P345" s="303">
        <v>14</v>
      </c>
      <c r="Q345" s="303">
        <v>15</v>
      </c>
      <c r="R345" s="303">
        <v>16</v>
      </c>
      <c r="S345" s="303">
        <v>17</v>
      </c>
      <c r="T345" s="303">
        <v>18</v>
      </c>
      <c r="U345" s="303">
        <v>19</v>
      </c>
      <c r="V345" s="304">
        <v>20</v>
      </c>
      <c r="W345" s="602"/>
      <c r="X345" s="603"/>
      <c r="Y345" s="604"/>
      <c r="Z345" s="606"/>
      <c r="AA345" s="301"/>
      <c r="AB345" s="609"/>
      <c r="AC345" s="595"/>
      <c r="AD345" s="302">
        <v>1</v>
      </c>
      <c r="AE345" s="303">
        <v>2</v>
      </c>
      <c r="AF345" s="303">
        <v>3</v>
      </c>
      <c r="AG345" s="303">
        <v>4</v>
      </c>
      <c r="AH345" s="303">
        <v>5</v>
      </c>
      <c r="AI345" s="303">
        <v>6</v>
      </c>
      <c r="AJ345" s="303">
        <v>7</v>
      </c>
      <c r="AK345" s="303">
        <v>8</v>
      </c>
      <c r="AL345" s="303">
        <v>9</v>
      </c>
      <c r="AM345" s="303">
        <v>10</v>
      </c>
      <c r="AN345" s="303">
        <v>11</v>
      </c>
      <c r="AO345" s="303">
        <v>12</v>
      </c>
      <c r="AP345" s="303">
        <v>13</v>
      </c>
      <c r="AQ345" s="303">
        <v>14</v>
      </c>
      <c r="AR345" s="303">
        <v>15</v>
      </c>
      <c r="AS345" s="303">
        <v>16</v>
      </c>
      <c r="AT345" s="303">
        <v>17</v>
      </c>
      <c r="AU345" s="303">
        <v>18</v>
      </c>
      <c r="AV345" s="303">
        <v>19</v>
      </c>
      <c r="AW345" s="304">
        <v>20</v>
      </c>
      <c r="AX345" s="602"/>
      <c r="AY345" s="603"/>
      <c r="AZ345" s="604"/>
      <c r="BA345" s="606"/>
      <c r="BB345" s="301"/>
    </row>
    <row r="346" spans="1:55" ht="45" customHeight="1">
      <c r="A346" s="609"/>
      <c r="B346" s="595"/>
      <c r="C346" s="305" t="s">
        <v>295</v>
      </c>
      <c r="D346" s="306" t="s">
        <v>296</v>
      </c>
      <c r="E346" s="306" t="s">
        <v>297</v>
      </c>
      <c r="F346" s="306" t="s">
        <v>298</v>
      </c>
      <c r="G346" s="306" t="s">
        <v>299</v>
      </c>
      <c r="H346" s="306" t="s">
        <v>300</v>
      </c>
      <c r="I346" s="306" t="s">
        <v>301</v>
      </c>
      <c r="J346" s="306" t="s">
        <v>302</v>
      </c>
      <c r="K346" s="306" t="s">
        <v>303</v>
      </c>
      <c r="L346" s="306" t="s">
        <v>304</v>
      </c>
      <c r="M346" s="306" t="s">
        <v>305</v>
      </c>
      <c r="N346" s="306" t="s">
        <v>306</v>
      </c>
      <c r="O346" s="306" t="s">
        <v>307</v>
      </c>
      <c r="P346" s="306" t="s">
        <v>308</v>
      </c>
      <c r="Q346" s="306" t="s">
        <v>309</v>
      </c>
      <c r="R346" s="306"/>
      <c r="S346" s="306"/>
      <c r="T346" s="306"/>
      <c r="U346" s="306"/>
      <c r="V346" s="307"/>
      <c r="W346" s="308" t="s">
        <v>310</v>
      </c>
      <c r="X346" s="309" t="s">
        <v>311</v>
      </c>
      <c r="Y346" s="310" t="s">
        <v>312</v>
      </c>
      <c r="Z346" s="607"/>
      <c r="AA346" s="301"/>
      <c r="AB346" s="609"/>
      <c r="AC346" s="595"/>
      <c r="AD346" s="305" t="s">
        <v>295</v>
      </c>
      <c r="AE346" s="306" t="s">
        <v>296</v>
      </c>
      <c r="AF346" s="306" t="s">
        <v>297</v>
      </c>
      <c r="AG346" s="306" t="s">
        <v>298</v>
      </c>
      <c r="AH346" s="306" t="s">
        <v>299</v>
      </c>
      <c r="AI346" s="306" t="s">
        <v>300</v>
      </c>
      <c r="AJ346" s="306" t="s">
        <v>301</v>
      </c>
      <c r="AK346" s="306" t="s">
        <v>302</v>
      </c>
      <c r="AL346" s="306" t="s">
        <v>303</v>
      </c>
      <c r="AM346" s="306" t="s">
        <v>304</v>
      </c>
      <c r="AN346" s="306" t="s">
        <v>305</v>
      </c>
      <c r="AO346" s="306" t="s">
        <v>306</v>
      </c>
      <c r="AP346" s="306" t="s">
        <v>307</v>
      </c>
      <c r="AQ346" s="306" t="s">
        <v>308</v>
      </c>
      <c r="AR346" s="306" t="s">
        <v>309</v>
      </c>
      <c r="AS346" s="306"/>
      <c r="AT346" s="306"/>
      <c r="AU346" s="306"/>
      <c r="AV346" s="306"/>
      <c r="AW346" s="307"/>
      <c r="AX346" s="308" t="s">
        <v>310</v>
      </c>
      <c r="AY346" s="309" t="s">
        <v>311</v>
      </c>
      <c r="AZ346" s="310" t="s">
        <v>312</v>
      </c>
      <c r="BA346" s="607"/>
      <c r="BB346" s="301"/>
    </row>
    <row r="347" spans="1:55" ht="9" customHeight="1">
      <c r="A347" s="583">
        <v>1</v>
      </c>
      <c r="B347" s="584" t="str">
        <f>B235</f>
        <v>ગોહેલ રાજેશભાઇ ચીથરભાઇ</v>
      </c>
      <c r="C347" s="311"/>
      <c r="D347" s="312"/>
      <c r="E347" s="312"/>
      <c r="F347" s="312"/>
      <c r="G347" s="312"/>
      <c r="H347" s="312"/>
      <c r="I347" s="312"/>
      <c r="J347" s="312"/>
      <c r="K347" s="312"/>
      <c r="L347" s="312"/>
      <c r="M347" s="312"/>
      <c r="N347" s="312"/>
      <c r="O347" s="312"/>
      <c r="P347" s="312"/>
      <c r="Q347" s="312"/>
      <c r="R347" s="312"/>
      <c r="S347" s="312"/>
      <c r="T347" s="312"/>
      <c r="U347" s="312"/>
      <c r="V347" s="313"/>
      <c r="W347" s="587">
        <f>'A-CALC'!V323</f>
        <v>2</v>
      </c>
      <c r="X347" s="590">
        <f>'A-CALC'!W323</f>
        <v>1</v>
      </c>
      <c r="Y347" s="590">
        <f>'A-CALC'!X323</f>
        <v>0</v>
      </c>
      <c r="Z347" s="593">
        <f>ROUND((40/$Y$7)*W347,0)</f>
        <v>6</v>
      </c>
      <c r="AA347" s="301"/>
      <c r="AB347" s="583">
        <v>1</v>
      </c>
      <c r="AC347" s="584" t="str">
        <f>AC235</f>
        <v>ગોહેલ રાજેશભાઇ ચીથરભાઇ</v>
      </c>
      <c r="AD347" s="311"/>
      <c r="AE347" s="312"/>
      <c r="AF347" s="312"/>
      <c r="AG347" s="312"/>
      <c r="AH347" s="312"/>
      <c r="AI347" s="312"/>
      <c r="AJ347" s="312"/>
      <c r="AK347" s="312" t="s">
        <v>312</v>
      </c>
      <c r="AL347" s="312"/>
      <c r="AM347" s="312"/>
      <c r="AN347" s="312"/>
      <c r="AO347" s="312"/>
      <c r="AP347" s="312"/>
      <c r="AQ347" s="312"/>
      <c r="AR347" s="312"/>
      <c r="AS347" s="312"/>
      <c r="AT347" s="312"/>
      <c r="AU347" s="312"/>
      <c r="AV347" s="312"/>
      <c r="AW347" s="313"/>
      <c r="AX347" s="587">
        <f>'A-CALC'!AU323</f>
        <v>1</v>
      </c>
      <c r="AY347" s="590">
        <f>'A-CALC'!AV323</f>
        <v>2</v>
      </c>
      <c r="AZ347" s="590">
        <f>'A-CALC'!AW323</f>
        <v>0</v>
      </c>
      <c r="BA347" s="593">
        <f>ROUND((40/$Y$7)*AX347,0)</f>
        <v>3</v>
      </c>
      <c r="BB347" s="301"/>
    </row>
    <row r="348" spans="1:55" ht="9" customHeight="1">
      <c r="A348" s="583"/>
      <c r="B348" s="585"/>
      <c r="C348" s="314"/>
      <c r="D348" s="315" t="s">
        <v>311</v>
      </c>
      <c r="E348" s="315"/>
      <c r="F348" s="315" t="s">
        <v>311</v>
      </c>
      <c r="G348" s="315"/>
      <c r="H348" s="315" t="s">
        <v>311</v>
      </c>
      <c r="I348" s="315"/>
      <c r="J348" s="315"/>
      <c r="K348" s="315"/>
      <c r="L348" s="315"/>
      <c r="M348" s="315"/>
      <c r="N348" s="315"/>
      <c r="O348" s="315"/>
      <c r="P348" s="315"/>
      <c r="Q348" s="315"/>
      <c r="R348" s="315"/>
      <c r="S348" s="315"/>
      <c r="T348" s="315"/>
      <c r="U348" s="315"/>
      <c r="V348" s="316"/>
      <c r="W348" s="588"/>
      <c r="X348" s="591"/>
      <c r="Y348" s="591"/>
      <c r="Z348" s="594"/>
      <c r="AA348" s="301"/>
      <c r="AB348" s="583"/>
      <c r="AC348" s="585"/>
      <c r="AD348" s="314"/>
      <c r="AE348" s="315"/>
      <c r="AF348" s="315"/>
      <c r="AG348" s="315"/>
      <c r="AH348" s="315"/>
      <c r="AI348" s="315"/>
      <c r="AJ348" s="315"/>
      <c r="AK348" s="315" t="s">
        <v>311</v>
      </c>
      <c r="AL348" s="315"/>
      <c r="AM348" s="315"/>
      <c r="AN348" s="315"/>
      <c r="AO348" s="315"/>
      <c r="AP348" s="315"/>
      <c r="AQ348" s="315"/>
      <c r="AR348" s="315" t="s">
        <v>311</v>
      </c>
      <c r="AS348" s="315"/>
      <c r="AT348" s="315"/>
      <c r="AU348" s="315"/>
      <c r="AV348" s="315"/>
      <c r="AW348" s="316"/>
      <c r="AX348" s="588"/>
      <c r="AY348" s="591"/>
      <c r="AZ348" s="591"/>
      <c r="BA348" s="594"/>
      <c r="BB348" s="301"/>
    </row>
    <row r="349" spans="1:55" ht="9" customHeight="1">
      <c r="A349" s="583"/>
      <c r="B349" s="586"/>
      <c r="C349" s="317"/>
      <c r="D349" s="318" t="s">
        <v>310</v>
      </c>
      <c r="E349" s="318"/>
      <c r="F349" s="318"/>
      <c r="G349" s="318"/>
      <c r="H349" s="318" t="s">
        <v>310</v>
      </c>
      <c r="I349" s="318"/>
      <c r="J349" s="318"/>
      <c r="K349" s="318"/>
      <c r="L349" s="318"/>
      <c r="M349" s="318"/>
      <c r="N349" s="318"/>
      <c r="O349" s="318"/>
      <c r="P349" s="318"/>
      <c r="Q349" s="318"/>
      <c r="R349" s="318"/>
      <c r="S349" s="318"/>
      <c r="T349" s="318"/>
      <c r="U349" s="318"/>
      <c r="V349" s="319"/>
      <c r="W349" s="589"/>
      <c r="X349" s="592"/>
      <c r="Y349" s="592"/>
      <c r="Z349" s="594"/>
      <c r="AA349" s="301"/>
      <c r="AB349" s="583"/>
      <c r="AC349" s="586"/>
      <c r="AD349" s="317"/>
      <c r="AE349" s="318"/>
      <c r="AF349" s="318"/>
      <c r="AG349" s="318"/>
      <c r="AH349" s="318"/>
      <c r="AI349" s="318"/>
      <c r="AJ349" s="318"/>
      <c r="AK349" s="318"/>
      <c r="AL349" s="318"/>
      <c r="AM349" s="318"/>
      <c r="AN349" s="318"/>
      <c r="AO349" s="318"/>
      <c r="AP349" s="318" t="s">
        <v>310</v>
      </c>
      <c r="AQ349" s="318"/>
      <c r="AR349" s="318"/>
      <c r="AS349" s="318"/>
      <c r="AT349" s="318"/>
      <c r="AU349" s="318"/>
      <c r="AV349" s="318"/>
      <c r="AW349" s="319"/>
      <c r="AX349" s="589"/>
      <c r="AY349" s="592"/>
      <c r="AZ349" s="592"/>
      <c r="BA349" s="594"/>
      <c r="BB349" s="301"/>
    </row>
    <row r="350" spans="1:55" ht="9" customHeight="1">
      <c r="A350" s="583">
        <v>2</v>
      </c>
      <c r="B350" s="584" t="str">
        <f t="shared" ref="B350" si="247">B238</f>
        <v>ખિમસુરીયા સાહિલકુમાર અરજણભાઇ</v>
      </c>
      <c r="C350" s="311"/>
      <c r="D350" s="312"/>
      <c r="E350" s="312"/>
      <c r="F350" s="312"/>
      <c r="G350" s="312"/>
      <c r="H350" s="312"/>
      <c r="I350" s="312"/>
      <c r="J350" s="312"/>
      <c r="K350" s="312"/>
      <c r="L350" s="312"/>
      <c r="M350" s="312"/>
      <c r="N350" s="312"/>
      <c r="O350" s="312"/>
      <c r="P350" s="312"/>
      <c r="Q350" s="312"/>
      <c r="R350" s="312"/>
      <c r="S350" s="312"/>
      <c r="T350" s="312"/>
      <c r="U350" s="312"/>
      <c r="V350" s="313"/>
      <c r="W350" s="587">
        <f>'A-CALC'!V326</f>
        <v>0</v>
      </c>
      <c r="X350" s="590">
        <f>'A-CALC'!W326</f>
        <v>0</v>
      </c>
      <c r="Y350" s="590">
        <f>'A-CALC'!X326</f>
        <v>0</v>
      </c>
      <c r="Z350" s="593">
        <f t="shared" ref="Z350" si="248">ROUND((40/$Y$7)*W350,0)</f>
        <v>0</v>
      </c>
      <c r="AA350" s="301"/>
      <c r="AB350" s="583">
        <v>2</v>
      </c>
      <c r="AC350" s="584" t="str">
        <f t="shared" ref="AC350" si="249">AC238</f>
        <v>ખિમસુરીયા સાહિલકુમાર અરજણભાઇ</v>
      </c>
      <c r="AD350" s="311"/>
      <c r="AE350" s="312"/>
      <c r="AF350" s="312"/>
      <c r="AG350" s="312"/>
      <c r="AH350" s="312"/>
      <c r="AI350" s="312"/>
      <c r="AJ350" s="312"/>
      <c r="AK350" s="312"/>
      <c r="AL350" s="312"/>
      <c r="AM350" s="312"/>
      <c r="AN350" s="312"/>
      <c r="AO350" s="312"/>
      <c r="AP350" s="312"/>
      <c r="AQ350" s="312"/>
      <c r="AR350" s="312"/>
      <c r="AS350" s="312"/>
      <c r="AT350" s="312"/>
      <c r="AU350" s="312"/>
      <c r="AV350" s="312"/>
      <c r="AW350" s="313"/>
      <c r="AX350" s="587">
        <f>'A-CALC'!AU326</f>
        <v>0</v>
      </c>
      <c r="AY350" s="590">
        <f>'A-CALC'!AV326</f>
        <v>0</v>
      </c>
      <c r="AZ350" s="590">
        <f>'A-CALC'!AW326</f>
        <v>0</v>
      </c>
      <c r="BA350" s="593">
        <f t="shared" ref="BA350" si="250">ROUND((40/$Y$7)*AX350,0)</f>
        <v>0</v>
      </c>
      <c r="BB350" s="301"/>
    </row>
    <row r="351" spans="1:55" ht="9" customHeight="1">
      <c r="A351" s="583"/>
      <c r="B351" s="585"/>
      <c r="C351" s="314"/>
      <c r="D351" s="315"/>
      <c r="E351" s="315"/>
      <c r="F351" s="315"/>
      <c r="G351" s="315"/>
      <c r="H351" s="315"/>
      <c r="I351" s="315"/>
      <c r="J351" s="315"/>
      <c r="K351" s="315"/>
      <c r="L351" s="315"/>
      <c r="M351" s="315"/>
      <c r="N351" s="315"/>
      <c r="O351" s="315"/>
      <c r="P351" s="315"/>
      <c r="Q351" s="315"/>
      <c r="R351" s="315"/>
      <c r="S351" s="315"/>
      <c r="T351" s="315"/>
      <c r="U351" s="315"/>
      <c r="V351" s="316"/>
      <c r="W351" s="588"/>
      <c r="X351" s="591"/>
      <c r="Y351" s="591"/>
      <c r="Z351" s="594"/>
      <c r="AA351" s="301"/>
      <c r="AB351" s="583"/>
      <c r="AC351" s="585"/>
      <c r="AD351" s="314"/>
      <c r="AE351" s="315"/>
      <c r="AF351" s="315"/>
      <c r="AG351" s="315"/>
      <c r="AH351" s="315"/>
      <c r="AI351" s="315"/>
      <c r="AJ351" s="315"/>
      <c r="AK351" s="315"/>
      <c r="AL351" s="315"/>
      <c r="AM351" s="315"/>
      <c r="AN351" s="315"/>
      <c r="AO351" s="315"/>
      <c r="AP351" s="315"/>
      <c r="AQ351" s="315"/>
      <c r="AR351" s="315"/>
      <c r="AS351" s="315"/>
      <c r="AT351" s="315"/>
      <c r="AU351" s="315"/>
      <c r="AV351" s="315"/>
      <c r="AW351" s="316"/>
      <c r="AX351" s="588"/>
      <c r="AY351" s="591"/>
      <c r="AZ351" s="591"/>
      <c r="BA351" s="594"/>
      <c r="BB351" s="301"/>
    </row>
    <row r="352" spans="1:55" ht="9" customHeight="1">
      <c r="A352" s="583"/>
      <c r="B352" s="586"/>
      <c r="C352" s="317"/>
      <c r="D352" s="318"/>
      <c r="E352" s="318"/>
      <c r="F352" s="318"/>
      <c r="G352" s="318"/>
      <c r="H352" s="318"/>
      <c r="I352" s="318"/>
      <c r="J352" s="318"/>
      <c r="K352" s="318"/>
      <c r="L352" s="318"/>
      <c r="M352" s="318"/>
      <c r="N352" s="318"/>
      <c r="O352" s="318"/>
      <c r="P352" s="318"/>
      <c r="Q352" s="318"/>
      <c r="R352" s="318"/>
      <c r="S352" s="318"/>
      <c r="T352" s="318"/>
      <c r="U352" s="318"/>
      <c r="V352" s="319"/>
      <c r="W352" s="589"/>
      <c r="X352" s="592"/>
      <c r="Y352" s="592"/>
      <c r="Z352" s="594"/>
      <c r="AA352" s="301"/>
      <c r="AB352" s="583"/>
      <c r="AC352" s="586"/>
      <c r="AD352" s="317"/>
      <c r="AE352" s="318"/>
      <c r="AF352" s="318"/>
      <c r="AG352" s="318"/>
      <c r="AH352" s="318"/>
      <c r="AI352" s="318"/>
      <c r="AJ352" s="318"/>
      <c r="AK352" s="318"/>
      <c r="AL352" s="318"/>
      <c r="AM352" s="318"/>
      <c r="AN352" s="318"/>
      <c r="AO352" s="318"/>
      <c r="AP352" s="318"/>
      <c r="AQ352" s="318"/>
      <c r="AR352" s="318"/>
      <c r="AS352" s="318"/>
      <c r="AT352" s="318"/>
      <c r="AU352" s="318"/>
      <c r="AV352" s="318"/>
      <c r="AW352" s="319"/>
      <c r="AX352" s="589"/>
      <c r="AY352" s="592"/>
      <c r="AZ352" s="592"/>
      <c r="BA352" s="594"/>
      <c r="BB352" s="301"/>
    </row>
    <row r="353" spans="1:54" ht="9" customHeight="1">
      <c r="A353" s="583">
        <v>3</v>
      </c>
      <c r="B353" s="584" t="str">
        <f t="shared" ref="B353" si="251">B241</f>
        <v>ગરણિયા મયુરકુમાર અશોકભાઇ</v>
      </c>
      <c r="C353" s="311"/>
      <c r="D353" s="312"/>
      <c r="E353" s="312"/>
      <c r="F353" s="312"/>
      <c r="G353" s="312"/>
      <c r="H353" s="312"/>
      <c r="I353" s="312"/>
      <c r="J353" s="312"/>
      <c r="K353" s="312"/>
      <c r="L353" s="312"/>
      <c r="M353" s="312"/>
      <c r="N353" s="312"/>
      <c r="O353" s="312"/>
      <c r="P353" s="312"/>
      <c r="Q353" s="312"/>
      <c r="R353" s="312"/>
      <c r="S353" s="312"/>
      <c r="T353" s="312"/>
      <c r="U353" s="312"/>
      <c r="V353" s="313"/>
      <c r="W353" s="587">
        <f>'A-CALC'!V329</f>
        <v>0</v>
      </c>
      <c r="X353" s="590">
        <f>'A-CALC'!W329</f>
        <v>0</v>
      </c>
      <c r="Y353" s="590">
        <f>'A-CALC'!X329</f>
        <v>0</v>
      </c>
      <c r="Z353" s="593">
        <f t="shared" ref="Z353" si="252">ROUND((40/$Y$7)*W353,0)</f>
        <v>0</v>
      </c>
      <c r="AA353" s="301"/>
      <c r="AB353" s="583">
        <v>3</v>
      </c>
      <c r="AC353" s="584" t="str">
        <f t="shared" ref="AC353" si="253">AC241</f>
        <v>ગરણિયા મયુરકુમાર અશોકભાઇ</v>
      </c>
      <c r="AD353" s="311"/>
      <c r="AE353" s="312"/>
      <c r="AF353" s="312"/>
      <c r="AG353" s="312"/>
      <c r="AH353" s="312"/>
      <c r="AI353" s="312"/>
      <c r="AJ353" s="312"/>
      <c r="AK353" s="312"/>
      <c r="AL353" s="312"/>
      <c r="AM353" s="312"/>
      <c r="AN353" s="312"/>
      <c r="AO353" s="312"/>
      <c r="AP353" s="312"/>
      <c r="AQ353" s="312"/>
      <c r="AR353" s="312"/>
      <c r="AS353" s="312"/>
      <c r="AT353" s="312"/>
      <c r="AU353" s="312"/>
      <c r="AV353" s="312"/>
      <c r="AW353" s="313"/>
      <c r="AX353" s="587">
        <f>'A-CALC'!AU329</f>
        <v>0</v>
      </c>
      <c r="AY353" s="590">
        <f>'A-CALC'!AV329</f>
        <v>0</v>
      </c>
      <c r="AZ353" s="590">
        <f>'A-CALC'!AW329</f>
        <v>0</v>
      </c>
      <c r="BA353" s="593">
        <f t="shared" ref="BA353" si="254">ROUND((40/$Y$7)*AX353,0)</f>
        <v>0</v>
      </c>
      <c r="BB353" s="301"/>
    </row>
    <row r="354" spans="1:54" ht="9" customHeight="1">
      <c r="A354" s="583"/>
      <c r="B354" s="585"/>
      <c r="C354" s="314"/>
      <c r="D354" s="315"/>
      <c r="E354" s="315"/>
      <c r="F354" s="315"/>
      <c r="G354" s="315"/>
      <c r="H354" s="315"/>
      <c r="I354" s="315"/>
      <c r="J354" s="315"/>
      <c r="K354" s="315"/>
      <c r="L354" s="315"/>
      <c r="M354" s="315"/>
      <c r="N354" s="315"/>
      <c r="O354" s="315"/>
      <c r="P354" s="315"/>
      <c r="Q354" s="315"/>
      <c r="R354" s="315"/>
      <c r="S354" s="315"/>
      <c r="T354" s="315"/>
      <c r="U354" s="315"/>
      <c r="V354" s="316"/>
      <c r="W354" s="588"/>
      <c r="X354" s="591"/>
      <c r="Y354" s="591"/>
      <c r="Z354" s="594"/>
      <c r="AA354" s="301"/>
      <c r="AB354" s="583"/>
      <c r="AC354" s="585"/>
      <c r="AD354" s="314"/>
      <c r="AE354" s="315"/>
      <c r="AF354" s="315"/>
      <c r="AG354" s="315"/>
      <c r="AH354" s="315"/>
      <c r="AI354" s="315"/>
      <c r="AJ354" s="315"/>
      <c r="AK354" s="315"/>
      <c r="AL354" s="315"/>
      <c r="AM354" s="315"/>
      <c r="AN354" s="315"/>
      <c r="AO354" s="315"/>
      <c r="AP354" s="315"/>
      <c r="AQ354" s="315"/>
      <c r="AR354" s="315"/>
      <c r="AS354" s="315"/>
      <c r="AT354" s="315"/>
      <c r="AU354" s="315"/>
      <c r="AV354" s="315"/>
      <c r="AW354" s="316"/>
      <c r="AX354" s="588"/>
      <c r="AY354" s="591"/>
      <c r="AZ354" s="591"/>
      <c r="BA354" s="594"/>
      <c r="BB354" s="301"/>
    </row>
    <row r="355" spans="1:54" ht="9" customHeight="1">
      <c r="A355" s="583"/>
      <c r="B355" s="586"/>
      <c r="C355" s="317"/>
      <c r="D355" s="318"/>
      <c r="E355" s="318"/>
      <c r="F355" s="318"/>
      <c r="G355" s="318"/>
      <c r="H355" s="318"/>
      <c r="I355" s="318"/>
      <c r="J355" s="318"/>
      <c r="K355" s="318"/>
      <c r="L355" s="318"/>
      <c r="M355" s="318"/>
      <c r="N355" s="318"/>
      <c r="O355" s="318"/>
      <c r="P355" s="318"/>
      <c r="Q355" s="318"/>
      <c r="R355" s="318"/>
      <c r="S355" s="318"/>
      <c r="T355" s="318"/>
      <c r="U355" s="318"/>
      <c r="V355" s="319"/>
      <c r="W355" s="589"/>
      <c r="X355" s="592"/>
      <c r="Y355" s="592"/>
      <c r="Z355" s="594"/>
      <c r="AA355" s="301"/>
      <c r="AB355" s="583"/>
      <c r="AC355" s="586"/>
      <c r="AD355" s="317"/>
      <c r="AE355" s="318"/>
      <c r="AF355" s="318"/>
      <c r="AG355" s="318"/>
      <c r="AH355" s="318"/>
      <c r="AI355" s="318"/>
      <c r="AJ355" s="318"/>
      <c r="AK355" s="318"/>
      <c r="AL355" s="318"/>
      <c r="AM355" s="318"/>
      <c r="AN355" s="318"/>
      <c r="AO355" s="318"/>
      <c r="AP355" s="318"/>
      <c r="AQ355" s="318"/>
      <c r="AR355" s="318"/>
      <c r="AS355" s="318"/>
      <c r="AT355" s="318"/>
      <c r="AU355" s="318"/>
      <c r="AV355" s="318"/>
      <c r="AW355" s="319"/>
      <c r="AX355" s="589"/>
      <c r="AY355" s="592"/>
      <c r="AZ355" s="592"/>
      <c r="BA355" s="594"/>
    </row>
    <row r="356" spans="1:54" ht="9" customHeight="1">
      <c r="A356" s="583">
        <v>4</v>
      </c>
      <c r="B356" s="584" t="str">
        <f t="shared" ref="B356" si="255">B244</f>
        <v>ગરણિયા અલ્પેશકુમાર મેરામભાઇ</v>
      </c>
      <c r="C356" s="311"/>
      <c r="D356" s="312"/>
      <c r="E356" s="312"/>
      <c r="F356" s="312"/>
      <c r="G356" s="312"/>
      <c r="H356" s="312"/>
      <c r="I356" s="312"/>
      <c r="J356" s="312"/>
      <c r="K356" s="312"/>
      <c r="L356" s="312"/>
      <c r="M356" s="312"/>
      <c r="N356" s="312"/>
      <c r="O356" s="312"/>
      <c r="P356" s="312"/>
      <c r="Q356" s="312"/>
      <c r="R356" s="312"/>
      <c r="S356" s="312"/>
      <c r="T356" s="312"/>
      <c r="U356" s="312"/>
      <c r="V356" s="313"/>
      <c r="W356" s="587">
        <f>'A-CALC'!V332</f>
        <v>0</v>
      </c>
      <c r="X356" s="590">
        <f>'A-CALC'!W332</f>
        <v>0</v>
      </c>
      <c r="Y356" s="590">
        <f>'A-CALC'!X332</f>
        <v>0</v>
      </c>
      <c r="Z356" s="593">
        <f t="shared" ref="Z356" si="256">ROUND((40/$Y$7)*W356,0)</f>
        <v>0</v>
      </c>
      <c r="AA356" s="301"/>
      <c r="AB356" s="583">
        <v>4</v>
      </c>
      <c r="AC356" s="584" t="str">
        <f t="shared" ref="AC356" si="257">AC244</f>
        <v>ગરણિયા અલ્પેશકુમાર મેરામભાઇ</v>
      </c>
      <c r="AD356" s="311"/>
      <c r="AE356" s="312"/>
      <c r="AF356" s="312"/>
      <c r="AG356" s="312"/>
      <c r="AH356" s="312"/>
      <c r="AI356" s="312"/>
      <c r="AJ356" s="312"/>
      <c r="AK356" s="312"/>
      <c r="AL356" s="312"/>
      <c r="AM356" s="312"/>
      <c r="AN356" s="312"/>
      <c r="AO356" s="312"/>
      <c r="AP356" s="312"/>
      <c r="AQ356" s="312"/>
      <c r="AR356" s="312"/>
      <c r="AS356" s="312"/>
      <c r="AT356" s="312"/>
      <c r="AU356" s="312"/>
      <c r="AV356" s="312"/>
      <c r="AW356" s="313"/>
      <c r="AX356" s="587">
        <f>'A-CALC'!AU332</f>
        <v>0</v>
      </c>
      <c r="AY356" s="590">
        <f>'A-CALC'!AV332</f>
        <v>0</v>
      </c>
      <c r="AZ356" s="590">
        <f>'A-CALC'!AW332</f>
        <v>0</v>
      </c>
      <c r="BA356" s="593">
        <f t="shared" ref="BA356" si="258">ROUND((40/$Y$7)*AX356,0)</f>
        <v>0</v>
      </c>
    </row>
    <row r="357" spans="1:54" ht="9" customHeight="1">
      <c r="A357" s="583"/>
      <c r="B357" s="585"/>
      <c r="C357" s="314"/>
      <c r="D357" s="315"/>
      <c r="E357" s="315"/>
      <c r="F357" s="315"/>
      <c r="G357" s="315"/>
      <c r="H357" s="315"/>
      <c r="I357" s="315"/>
      <c r="J357" s="315"/>
      <c r="K357" s="315"/>
      <c r="L357" s="315"/>
      <c r="M357" s="315"/>
      <c r="N357" s="315"/>
      <c r="O357" s="315"/>
      <c r="P357" s="315"/>
      <c r="Q357" s="315"/>
      <c r="R357" s="315"/>
      <c r="S357" s="315"/>
      <c r="T357" s="315"/>
      <c r="U357" s="315"/>
      <c r="V357" s="316"/>
      <c r="W357" s="588"/>
      <c r="X357" s="591"/>
      <c r="Y357" s="591"/>
      <c r="Z357" s="594"/>
      <c r="AA357" s="301"/>
      <c r="AB357" s="583"/>
      <c r="AC357" s="585"/>
      <c r="AD357" s="314"/>
      <c r="AE357" s="315"/>
      <c r="AF357" s="315"/>
      <c r="AG357" s="315"/>
      <c r="AH357" s="315"/>
      <c r="AI357" s="315"/>
      <c r="AJ357" s="315"/>
      <c r="AK357" s="315"/>
      <c r="AL357" s="315"/>
      <c r="AM357" s="315"/>
      <c r="AN357" s="315"/>
      <c r="AO357" s="315"/>
      <c r="AP357" s="315"/>
      <c r="AQ357" s="315"/>
      <c r="AR357" s="315"/>
      <c r="AS357" s="315"/>
      <c r="AT357" s="315"/>
      <c r="AU357" s="315"/>
      <c r="AV357" s="315"/>
      <c r="AW357" s="316"/>
      <c r="AX357" s="588"/>
      <c r="AY357" s="591"/>
      <c r="AZ357" s="591"/>
      <c r="BA357" s="594"/>
    </row>
    <row r="358" spans="1:54" ht="9" customHeight="1">
      <c r="A358" s="583"/>
      <c r="B358" s="586"/>
      <c r="C358" s="317"/>
      <c r="D358" s="318"/>
      <c r="E358" s="318"/>
      <c r="F358" s="318"/>
      <c r="G358" s="318"/>
      <c r="H358" s="318"/>
      <c r="I358" s="318"/>
      <c r="J358" s="318"/>
      <c r="K358" s="318"/>
      <c r="L358" s="318"/>
      <c r="M358" s="318"/>
      <c r="N358" s="318"/>
      <c r="O358" s="318"/>
      <c r="P358" s="318"/>
      <c r="Q358" s="318"/>
      <c r="R358" s="318"/>
      <c r="S358" s="318"/>
      <c r="T358" s="318"/>
      <c r="U358" s="318"/>
      <c r="V358" s="319"/>
      <c r="W358" s="589"/>
      <c r="X358" s="592"/>
      <c r="Y358" s="592"/>
      <c r="Z358" s="594"/>
      <c r="AA358" s="301"/>
      <c r="AB358" s="583"/>
      <c r="AC358" s="586"/>
      <c r="AD358" s="317"/>
      <c r="AE358" s="318"/>
      <c r="AF358" s="318"/>
      <c r="AG358" s="318"/>
      <c r="AH358" s="318"/>
      <c r="AI358" s="318"/>
      <c r="AJ358" s="318"/>
      <c r="AK358" s="318"/>
      <c r="AL358" s="318"/>
      <c r="AM358" s="318"/>
      <c r="AN358" s="318"/>
      <c r="AO358" s="318"/>
      <c r="AP358" s="318"/>
      <c r="AQ358" s="318"/>
      <c r="AR358" s="318"/>
      <c r="AS358" s="318"/>
      <c r="AT358" s="318"/>
      <c r="AU358" s="318"/>
      <c r="AV358" s="318"/>
      <c r="AW358" s="319"/>
      <c r="AX358" s="589"/>
      <c r="AY358" s="592"/>
      <c r="AZ358" s="592"/>
      <c r="BA358" s="594"/>
    </row>
    <row r="359" spans="1:54" ht="9" customHeight="1">
      <c r="A359" s="583">
        <v>5</v>
      </c>
      <c r="B359" s="584" t="str">
        <f t="shared" ref="B359" si="259">B247</f>
        <v>ગરણિયા મિલન પોપટભાઇ</v>
      </c>
      <c r="C359" s="311"/>
      <c r="D359" s="312"/>
      <c r="E359" s="312"/>
      <c r="F359" s="312"/>
      <c r="G359" s="312"/>
      <c r="H359" s="312"/>
      <c r="I359" s="312"/>
      <c r="J359" s="312"/>
      <c r="K359" s="312"/>
      <c r="L359" s="312"/>
      <c r="M359" s="312"/>
      <c r="N359" s="312"/>
      <c r="O359" s="312"/>
      <c r="P359" s="312"/>
      <c r="Q359" s="312"/>
      <c r="R359" s="312"/>
      <c r="S359" s="312"/>
      <c r="T359" s="312"/>
      <c r="U359" s="312"/>
      <c r="V359" s="313"/>
      <c r="W359" s="587">
        <f>'A-CALC'!V335</f>
        <v>0</v>
      </c>
      <c r="X359" s="590">
        <f>'A-CALC'!W335</f>
        <v>0</v>
      </c>
      <c r="Y359" s="590">
        <f>'A-CALC'!X335</f>
        <v>0</v>
      </c>
      <c r="Z359" s="593">
        <f t="shared" ref="Z359" si="260">ROUND((40/$Y$7)*W359,0)</f>
        <v>0</v>
      </c>
      <c r="AA359" s="301"/>
      <c r="AB359" s="583">
        <v>5</v>
      </c>
      <c r="AC359" s="584" t="str">
        <f t="shared" ref="AC359" si="261">AC247</f>
        <v>ગરણિયા મિલન પોપટભાઇ</v>
      </c>
      <c r="AD359" s="311"/>
      <c r="AE359" s="312"/>
      <c r="AF359" s="312"/>
      <c r="AG359" s="312"/>
      <c r="AH359" s="312"/>
      <c r="AI359" s="312"/>
      <c r="AJ359" s="312"/>
      <c r="AK359" s="312"/>
      <c r="AL359" s="312"/>
      <c r="AM359" s="312"/>
      <c r="AN359" s="312"/>
      <c r="AO359" s="312"/>
      <c r="AP359" s="312"/>
      <c r="AQ359" s="312"/>
      <c r="AR359" s="312"/>
      <c r="AS359" s="312"/>
      <c r="AT359" s="312"/>
      <c r="AU359" s="312"/>
      <c r="AV359" s="312"/>
      <c r="AW359" s="313"/>
      <c r="AX359" s="587">
        <f>'A-CALC'!AU335</f>
        <v>0</v>
      </c>
      <c r="AY359" s="590">
        <f>'A-CALC'!AV335</f>
        <v>0</v>
      </c>
      <c r="AZ359" s="590">
        <f>'A-CALC'!AW335</f>
        <v>0</v>
      </c>
      <c r="BA359" s="593">
        <f t="shared" ref="BA359" si="262">ROUND((40/$Y$7)*AX359,0)</f>
        <v>0</v>
      </c>
    </row>
    <row r="360" spans="1:54" ht="9" customHeight="1">
      <c r="A360" s="583"/>
      <c r="B360" s="585"/>
      <c r="C360" s="314"/>
      <c r="D360" s="315"/>
      <c r="E360" s="315"/>
      <c r="F360" s="315"/>
      <c r="G360" s="315"/>
      <c r="H360" s="315"/>
      <c r="I360" s="315"/>
      <c r="J360" s="315"/>
      <c r="K360" s="315"/>
      <c r="L360" s="315"/>
      <c r="M360" s="315"/>
      <c r="N360" s="315"/>
      <c r="O360" s="315"/>
      <c r="P360" s="315"/>
      <c r="Q360" s="315"/>
      <c r="R360" s="315"/>
      <c r="S360" s="315"/>
      <c r="T360" s="315"/>
      <c r="U360" s="315"/>
      <c r="V360" s="316"/>
      <c r="W360" s="588"/>
      <c r="X360" s="591"/>
      <c r="Y360" s="591"/>
      <c r="Z360" s="594"/>
      <c r="AA360" s="301"/>
      <c r="AB360" s="583"/>
      <c r="AC360" s="585"/>
      <c r="AD360" s="314"/>
      <c r="AE360" s="315"/>
      <c r="AF360" s="315"/>
      <c r="AG360" s="315"/>
      <c r="AH360" s="315"/>
      <c r="AI360" s="315"/>
      <c r="AJ360" s="315"/>
      <c r="AK360" s="315"/>
      <c r="AL360" s="315"/>
      <c r="AM360" s="315"/>
      <c r="AN360" s="315"/>
      <c r="AO360" s="315"/>
      <c r="AP360" s="315"/>
      <c r="AQ360" s="315"/>
      <c r="AR360" s="315"/>
      <c r="AS360" s="315"/>
      <c r="AT360" s="315"/>
      <c r="AU360" s="315"/>
      <c r="AV360" s="315"/>
      <c r="AW360" s="316"/>
      <c r="AX360" s="588"/>
      <c r="AY360" s="591"/>
      <c r="AZ360" s="591"/>
      <c r="BA360" s="594"/>
    </row>
    <row r="361" spans="1:54" ht="9" customHeight="1">
      <c r="A361" s="583"/>
      <c r="B361" s="586"/>
      <c r="C361" s="317"/>
      <c r="D361" s="318"/>
      <c r="E361" s="318"/>
      <c r="F361" s="318"/>
      <c r="G361" s="318"/>
      <c r="H361" s="318"/>
      <c r="I361" s="318"/>
      <c r="J361" s="318"/>
      <c r="K361" s="318"/>
      <c r="L361" s="318"/>
      <c r="M361" s="318"/>
      <c r="N361" s="318"/>
      <c r="O361" s="318"/>
      <c r="P361" s="318"/>
      <c r="Q361" s="318"/>
      <c r="R361" s="318"/>
      <c r="S361" s="318"/>
      <c r="T361" s="318"/>
      <c r="U361" s="318"/>
      <c r="V361" s="319"/>
      <c r="W361" s="589"/>
      <c r="X361" s="592"/>
      <c r="Y361" s="592"/>
      <c r="Z361" s="594"/>
      <c r="AA361" s="301"/>
      <c r="AB361" s="583"/>
      <c r="AC361" s="586"/>
      <c r="AD361" s="317"/>
      <c r="AE361" s="318"/>
      <c r="AF361" s="318"/>
      <c r="AG361" s="318"/>
      <c r="AH361" s="318"/>
      <c r="AI361" s="318"/>
      <c r="AJ361" s="318"/>
      <c r="AK361" s="318"/>
      <c r="AL361" s="318"/>
      <c r="AM361" s="318"/>
      <c r="AN361" s="318"/>
      <c r="AO361" s="318"/>
      <c r="AP361" s="318"/>
      <c r="AQ361" s="318"/>
      <c r="AR361" s="318"/>
      <c r="AS361" s="318"/>
      <c r="AT361" s="318"/>
      <c r="AU361" s="318"/>
      <c r="AV361" s="318"/>
      <c r="AW361" s="319"/>
      <c r="AX361" s="589"/>
      <c r="AY361" s="592"/>
      <c r="AZ361" s="592"/>
      <c r="BA361" s="594"/>
    </row>
    <row r="362" spans="1:54" ht="9" customHeight="1">
      <c r="A362" s="583">
        <v>6</v>
      </c>
      <c r="B362" s="584" t="str">
        <f t="shared" ref="B362" si="263">B250</f>
        <v>ગરણિયા મોહિત રાવતભાઇ</v>
      </c>
      <c r="C362" s="311"/>
      <c r="D362" s="312"/>
      <c r="E362" s="312"/>
      <c r="F362" s="312"/>
      <c r="G362" s="312"/>
      <c r="H362" s="312"/>
      <c r="I362" s="312"/>
      <c r="J362" s="312"/>
      <c r="K362" s="312"/>
      <c r="L362" s="312"/>
      <c r="M362" s="312"/>
      <c r="N362" s="312"/>
      <c r="O362" s="312"/>
      <c r="P362" s="312"/>
      <c r="Q362" s="312"/>
      <c r="R362" s="312"/>
      <c r="S362" s="312"/>
      <c r="T362" s="312"/>
      <c r="U362" s="312"/>
      <c r="V362" s="313"/>
      <c r="W362" s="587">
        <f>'A-CALC'!V338</f>
        <v>0</v>
      </c>
      <c r="X362" s="590">
        <f>'A-CALC'!W338</f>
        <v>0</v>
      </c>
      <c r="Y362" s="590">
        <f>'A-CALC'!X338</f>
        <v>0</v>
      </c>
      <c r="Z362" s="593">
        <f t="shared" ref="Z362" si="264">ROUND((40/$Y$7)*W362,0)</f>
        <v>0</v>
      </c>
      <c r="AA362" s="301"/>
      <c r="AB362" s="583">
        <v>6</v>
      </c>
      <c r="AC362" s="584" t="str">
        <f t="shared" ref="AC362" si="265">AC250</f>
        <v>ગરણિયા મોહિત રાવતભાઇ</v>
      </c>
      <c r="AD362" s="311"/>
      <c r="AE362" s="312"/>
      <c r="AF362" s="312"/>
      <c r="AG362" s="312"/>
      <c r="AH362" s="312"/>
      <c r="AI362" s="312"/>
      <c r="AJ362" s="312"/>
      <c r="AK362" s="312"/>
      <c r="AL362" s="312"/>
      <c r="AM362" s="312"/>
      <c r="AN362" s="312"/>
      <c r="AO362" s="312"/>
      <c r="AP362" s="312"/>
      <c r="AQ362" s="312"/>
      <c r="AR362" s="312"/>
      <c r="AS362" s="312"/>
      <c r="AT362" s="312"/>
      <c r="AU362" s="312"/>
      <c r="AV362" s="312"/>
      <c r="AW362" s="313"/>
      <c r="AX362" s="587">
        <f>'A-CALC'!AU338</f>
        <v>0</v>
      </c>
      <c r="AY362" s="590">
        <f>'A-CALC'!AV338</f>
        <v>0</v>
      </c>
      <c r="AZ362" s="590">
        <f>'A-CALC'!AW338</f>
        <v>0</v>
      </c>
      <c r="BA362" s="593">
        <f t="shared" ref="BA362" si="266">ROUND((40/$Y$7)*AX362,0)</f>
        <v>0</v>
      </c>
    </row>
    <row r="363" spans="1:54" ht="9" customHeight="1">
      <c r="A363" s="583"/>
      <c r="B363" s="585"/>
      <c r="C363" s="314"/>
      <c r="D363" s="315"/>
      <c r="E363" s="315"/>
      <c r="F363" s="315"/>
      <c r="G363" s="315"/>
      <c r="H363" s="315"/>
      <c r="I363" s="315"/>
      <c r="J363" s="315"/>
      <c r="K363" s="315"/>
      <c r="L363" s="315"/>
      <c r="M363" s="315"/>
      <c r="N363" s="315"/>
      <c r="O363" s="315"/>
      <c r="P363" s="315"/>
      <c r="Q363" s="315"/>
      <c r="R363" s="315"/>
      <c r="S363" s="315"/>
      <c r="T363" s="315"/>
      <c r="U363" s="315"/>
      <c r="V363" s="316"/>
      <c r="W363" s="588"/>
      <c r="X363" s="591"/>
      <c r="Y363" s="591"/>
      <c r="Z363" s="594"/>
      <c r="AA363" s="301"/>
      <c r="AB363" s="583"/>
      <c r="AC363" s="585"/>
      <c r="AD363" s="314"/>
      <c r="AE363" s="315"/>
      <c r="AF363" s="315"/>
      <c r="AG363" s="315"/>
      <c r="AH363" s="315"/>
      <c r="AI363" s="315"/>
      <c r="AJ363" s="315"/>
      <c r="AK363" s="315"/>
      <c r="AL363" s="315"/>
      <c r="AM363" s="315"/>
      <c r="AN363" s="315"/>
      <c r="AO363" s="315"/>
      <c r="AP363" s="315"/>
      <c r="AQ363" s="315"/>
      <c r="AR363" s="315"/>
      <c r="AS363" s="315"/>
      <c r="AT363" s="315"/>
      <c r="AU363" s="315"/>
      <c r="AV363" s="315"/>
      <c r="AW363" s="316"/>
      <c r="AX363" s="588"/>
      <c r="AY363" s="591"/>
      <c r="AZ363" s="591"/>
      <c r="BA363" s="594"/>
    </row>
    <row r="364" spans="1:54" ht="9" customHeight="1">
      <c r="A364" s="583"/>
      <c r="B364" s="586"/>
      <c r="C364" s="317"/>
      <c r="D364" s="318"/>
      <c r="E364" s="318"/>
      <c r="F364" s="318"/>
      <c r="G364" s="318"/>
      <c r="H364" s="318"/>
      <c r="I364" s="318"/>
      <c r="J364" s="318"/>
      <c r="K364" s="318"/>
      <c r="L364" s="318"/>
      <c r="M364" s="318"/>
      <c r="N364" s="318"/>
      <c r="O364" s="318"/>
      <c r="P364" s="318"/>
      <c r="Q364" s="318"/>
      <c r="R364" s="318"/>
      <c r="S364" s="318"/>
      <c r="T364" s="318"/>
      <c r="U364" s="318"/>
      <c r="V364" s="319"/>
      <c r="W364" s="589"/>
      <c r="X364" s="592"/>
      <c r="Y364" s="592"/>
      <c r="Z364" s="594"/>
      <c r="AA364" s="301"/>
      <c r="AB364" s="583"/>
      <c r="AC364" s="586"/>
      <c r="AD364" s="317"/>
      <c r="AE364" s="318"/>
      <c r="AF364" s="318"/>
      <c r="AG364" s="318"/>
      <c r="AH364" s="318"/>
      <c r="AI364" s="318"/>
      <c r="AJ364" s="318"/>
      <c r="AK364" s="318"/>
      <c r="AL364" s="318"/>
      <c r="AM364" s="318"/>
      <c r="AN364" s="318"/>
      <c r="AO364" s="318"/>
      <c r="AP364" s="318"/>
      <c r="AQ364" s="318"/>
      <c r="AR364" s="318"/>
      <c r="AS364" s="318"/>
      <c r="AT364" s="318"/>
      <c r="AU364" s="318"/>
      <c r="AV364" s="318"/>
      <c r="AW364" s="319"/>
      <c r="AX364" s="589"/>
      <c r="AY364" s="592"/>
      <c r="AZ364" s="592"/>
      <c r="BA364" s="594"/>
    </row>
    <row r="365" spans="1:54" ht="9" customHeight="1">
      <c r="A365" s="583">
        <v>7</v>
      </c>
      <c r="B365" s="584" t="str">
        <f t="shared" ref="B365" si="267">B253</f>
        <v>ગરણિયા સુમિત પોપટભાઇ</v>
      </c>
      <c r="C365" s="311"/>
      <c r="D365" s="312"/>
      <c r="E365" s="312"/>
      <c r="F365" s="312"/>
      <c r="G365" s="312"/>
      <c r="H365" s="312"/>
      <c r="I365" s="312"/>
      <c r="J365" s="312"/>
      <c r="K365" s="312"/>
      <c r="L365" s="312"/>
      <c r="M365" s="312"/>
      <c r="N365" s="312"/>
      <c r="O365" s="312"/>
      <c r="P365" s="312"/>
      <c r="Q365" s="312"/>
      <c r="R365" s="312"/>
      <c r="S365" s="312"/>
      <c r="T365" s="312"/>
      <c r="U365" s="312"/>
      <c r="V365" s="313"/>
      <c r="W365" s="587">
        <f>'A-CALC'!V341</f>
        <v>0</v>
      </c>
      <c r="X365" s="590">
        <f>'A-CALC'!W341</f>
        <v>0</v>
      </c>
      <c r="Y365" s="590">
        <f>'A-CALC'!X341</f>
        <v>0</v>
      </c>
      <c r="Z365" s="593">
        <f t="shared" ref="Z365" si="268">ROUND((40/$Y$7)*W365,0)</f>
        <v>0</v>
      </c>
      <c r="AA365" s="301"/>
      <c r="AB365" s="583">
        <v>7</v>
      </c>
      <c r="AC365" s="584" t="str">
        <f t="shared" ref="AC365" si="269">AC253</f>
        <v>ગરણિયા સુમિત પોપટભાઇ</v>
      </c>
      <c r="AD365" s="311"/>
      <c r="AE365" s="312"/>
      <c r="AF365" s="312"/>
      <c r="AG365" s="312"/>
      <c r="AH365" s="312"/>
      <c r="AI365" s="312"/>
      <c r="AJ365" s="312"/>
      <c r="AK365" s="312"/>
      <c r="AL365" s="312"/>
      <c r="AM365" s="312"/>
      <c r="AN365" s="312"/>
      <c r="AO365" s="312"/>
      <c r="AP365" s="312"/>
      <c r="AQ365" s="312"/>
      <c r="AR365" s="312"/>
      <c r="AS365" s="312"/>
      <c r="AT365" s="312"/>
      <c r="AU365" s="312"/>
      <c r="AV365" s="312"/>
      <c r="AW365" s="313"/>
      <c r="AX365" s="587">
        <f>'A-CALC'!AU341</f>
        <v>0</v>
      </c>
      <c r="AY365" s="590">
        <f>'A-CALC'!AV341</f>
        <v>0</v>
      </c>
      <c r="AZ365" s="590">
        <f>'A-CALC'!AW341</f>
        <v>0</v>
      </c>
      <c r="BA365" s="593">
        <f t="shared" ref="BA365" si="270">ROUND((40/$Y$7)*AX365,0)</f>
        <v>0</v>
      </c>
    </row>
    <row r="366" spans="1:54" ht="9" customHeight="1">
      <c r="A366" s="583"/>
      <c r="B366" s="585"/>
      <c r="C366" s="314"/>
      <c r="D366" s="315"/>
      <c r="E366" s="315"/>
      <c r="F366" s="315"/>
      <c r="G366" s="315"/>
      <c r="H366" s="315"/>
      <c r="I366" s="315"/>
      <c r="J366" s="315"/>
      <c r="K366" s="315"/>
      <c r="L366" s="315"/>
      <c r="M366" s="315"/>
      <c r="N366" s="315"/>
      <c r="O366" s="315"/>
      <c r="P366" s="315"/>
      <c r="Q366" s="315"/>
      <c r="R366" s="315"/>
      <c r="S366" s="315"/>
      <c r="T366" s="315"/>
      <c r="U366" s="315"/>
      <c r="V366" s="316"/>
      <c r="W366" s="588"/>
      <c r="X366" s="591"/>
      <c r="Y366" s="591"/>
      <c r="Z366" s="594"/>
      <c r="AA366" s="301"/>
      <c r="AB366" s="583"/>
      <c r="AC366" s="585"/>
      <c r="AD366" s="314"/>
      <c r="AE366" s="315"/>
      <c r="AF366" s="315"/>
      <c r="AG366" s="315"/>
      <c r="AH366" s="315"/>
      <c r="AI366" s="315"/>
      <c r="AJ366" s="315"/>
      <c r="AK366" s="315"/>
      <c r="AL366" s="315"/>
      <c r="AM366" s="315"/>
      <c r="AN366" s="315"/>
      <c r="AO366" s="315"/>
      <c r="AP366" s="315"/>
      <c r="AQ366" s="315"/>
      <c r="AR366" s="315"/>
      <c r="AS366" s="315"/>
      <c r="AT366" s="315"/>
      <c r="AU366" s="315"/>
      <c r="AV366" s="315"/>
      <c r="AW366" s="316"/>
      <c r="AX366" s="588"/>
      <c r="AY366" s="591"/>
      <c r="AZ366" s="591"/>
      <c r="BA366" s="594"/>
    </row>
    <row r="367" spans="1:54" ht="9" customHeight="1">
      <c r="A367" s="583"/>
      <c r="B367" s="586"/>
      <c r="C367" s="317"/>
      <c r="D367" s="318"/>
      <c r="E367" s="318"/>
      <c r="F367" s="318"/>
      <c r="G367" s="318"/>
      <c r="H367" s="318"/>
      <c r="I367" s="318"/>
      <c r="J367" s="318"/>
      <c r="K367" s="318"/>
      <c r="L367" s="318"/>
      <c r="M367" s="318"/>
      <c r="N367" s="318"/>
      <c r="O367" s="318"/>
      <c r="P367" s="318"/>
      <c r="Q367" s="318"/>
      <c r="R367" s="318"/>
      <c r="S367" s="318"/>
      <c r="T367" s="318"/>
      <c r="U367" s="318"/>
      <c r="V367" s="319"/>
      <c r="W367" s="589"/>
      <c r="X367" s="592"/>
      <c r="Y367" s="592"/>
      <c r="Z367" s="594"/>
      <c r="AA367" s="301"/>
      <c r="AB367" s="583"/>
      <c r="AC367" s="586"/>
      <c r="AD367" s="317"/>
      <c r="AE367" s="318"/>
      <c r="AF367" s="318"/>
      <c r="AG367" s="318"/>
      <c r="AH367" s="318"/>
      <c r="AI367" s="318"/>
      <c r="AJ367" s="318"/>
      <c r="AK367" s="318"/>
      <c r="AL367" s="318"/>
      <c r="AM367" s="318"/>
      <c r="AN367" s="318"/>
      <c r="AO367" s="318"/>
      <c r="AP367" s="318"/>
      <c r="AQ367" s="318"/>
      <c r="AR367" s="318"/>
      <c r="AS367" s="318"/>
      <c r="AT367" s="318"/>
      <c r="AU367" s="318"/>
      <c r="AV367" s="318"/>
      <c r="AW367" s="319"/>
      <c r="AX367" s="589"/>
      <c r="AY367" s="592"/>
      <c r="AZ367" s="592"/>
      <c r="BA367" s="594"/>
    </row>
    <row r="368" spans="1:54" ht="9" customHeight="1">
      <c r="A368" s="583">
        <v>8</v>
      </c>
      <c r="B368" s="584" t="str">
        <f t="shared" ref="B368:B431" si="271">B256</f>
        <v>ગરણિયા રામકુભાઇ સાર્દૂળભાઇ</v>
      </c>
      <c r="C368" s="311"/>
      <c r="D368" s="312"/>
      <c r="E368" s="312"/>
      <c r="F368" s="312"/>
      <c r="G368" s="312"/>
      <c r="H368" s="312"/>
      <c r="I368" s="312"/>
      <c r="J368" s="312"/>
      <c r="K368" s="312"/>
      <c r="L368" s="312"/>
      <c r="M368" s="312"/>
      <c r="N368" s="312"/>
      <c r="O368" s="312"/>
      <c r="P368" s="312"/>
      <c r="Q368" s="312"/>
      <c r="R368" s="312"/>
      <c r="S368" s="312"/>
      <c r="T368" s="312"/>
      <c r="U368" s="312"/>
      <c r="V368" s="313"/>
      <c r="W368" s="587">
        <f>'A-CALC'!V344</f>
        <v>0</v>
      </c>
      <c r="X368" s="590">
        <f>'A-CALC'!W344</f>
        <v>0</v>
      </c>
      <c r="Y368" s="590">
        <f>'A-CALC'!X344</f>
        <v>0</v>
      </c>
      <c r="Z368" s="593">
        <f t="shared" ref="Z368" si="272">ROUND((40/$Y$7)*W368,0)</f>
        <v>0</v>
      </c>
      <c r="AA368" s="301"/>
      <c r="AB368" s="583">
        <v>8</v>
      </c>
      <c r="AC368" s="584" t="str">
        <f t="shared" ref="AC368:AC431" si="273">AC256</f>
        <v>ગરણિયા રામકુભાઇ સાર્દૂળભાઇ</v>
      </c>
      <c r="AD368" s="311"/>
      <c r="AE368" s="312"/>
      <c r="AF368" s="312"/>
      <c r="AG368" s="312"/>
      <c r="AH368" s="312"/>
      <c r="AI368" s="312"/>
      <c r="AJ368" s="312"/>
      <c r="AK368" s="312"/>
      <c r="AL368" s="312"/>
      <c r="AM368" s="312"/>
      <c r="AN368" s="312"/>
      <c r="AO368" s="312"/>
      <c r="AP368" s="312"/>
      <c r="AQ368" s="312"/>
      <c r="AR368" s="312"/>
      <c r="AS368" s="312"/>
      <c r="AT368" s="312"/>
      <c r="AU368" s="312"/>
      <c r="AV368" s="312"/>
      <c r="AW368" s="313"/>
      <c r="AX368" s="587">
        <f>'A-CALC'!AU344</f>
        <v>0</v>
      </c>
      <c r="AY368" s="590">
        <f>'A-CALC'!AV344</f>
        <v>0</v>
      </c>
      <c r="AZ368" s="590">
        <f>'A-CALC'!AW344</f>
        <v>0</v>
      </c>
      <c r="BA368" s="593">
        <f t="shared" ref="BA368" si="274">ROUND((40/$Y$7)*AX368,0)</f>
        <v>0</v>
      </c>
    </row>
    <row r="369" spans="1:53" ht="9" customHeight="1">
      <c r="A369" s="583"/>
      <c r="B369" s="585"/>
      <c r="C369" s="314"/>
      <c r="D369" s="315"/>
      <c r="E369" s="315"/>
      <c r="F369" s="315"/>
      <c r="G369" s="315"/>
      <c r="H369" s="315"/>
      <c r="I369" s="315"/>
      <c r="J369" s="315"/>
      <c r="K369" s="315"/>
      <c r="L369" s="315"/>
      <c r="M369" s="315"/>
      <c r="N369" s="315"/>
      <c r="O369" s="315"/>
      <c r="P369" s="315"/>
      <c r="Q369" s="315"/>
      <c r="R369" s="315"/>
      <c r="S369" s="315"/>
      <c r="T369" s="315"/>
      <c r="U369" s="315"/>
      <c r="V369" s="316"/>
      <c r="W369" s="588"/>
      <c r="X369" s="591"/>
      <c r="Y369" s="591"/>
      <c r="Z369" s="594"/>
      <c r="AA369" s="301"/>
      <c r="AB369" s="583"/>
      <c r="AC369" s="585"/>
      <c r="AD369" s="314"/>
      <c r="AE369" s="315"/>
      <c r="AF369" s="315"/>
      <c r="AG369" s="315"/>
      <c r="AH369" s="315"/>
      <c r="AI369" s="315"/>
      <c r="AJ369" s="315"/>
      <c r="AK369" s="315"/>
      <c r="AL369" s="315"/>
      <c r="AM369" s="315"/>
      <c r="AN369" s="315"/>
      <c r="AO369" s="315"/>
      <c r="AP369" s="315"/>
      <c r="AQ369" s="315"/>
      <c r="AR369" s="315"/>
      <c r="AS369" s="315"/>
      <c r="AT369" s="315"/>
      <c r="AU369" s="315"/>
      <c r="AV369" s="315"/>
      <c r="AW369" s="316"/>
      <c r="AX369" s="588"/>
      <c r="AY369" s="591"/>
      <c r="AZ369" s="591"/>
      <c r="BA369" s="594"/>
    </row>
    <row r="370" spans="1:53" ht="9" customHeight="1">
      <c r="A370" s="583"/>
      <c r="B370" s="586"/>
      <c r="C370" s="317"/>
      <c r="D370" s="318"/>
      <c r="E370" s="318"/>
      <c r="F370" s="318"/>
      <c r="G370" s="318"/>
      <c r="H370" s="318"/>
      <c r="I370" s="318"/>
      <c r="J370" s="318"/>
      <c r="K370" s="318"/>
      <c r="L370" s="318"/>
      <c r="M370" s="318"/>
      <c r="N370" s="318"/>
      <c r="O370" s="318"/>
      <c r="P370" s="318"/>
      <c r="Q370" s="318"/>
      <c r="R370" s="318"/>
      <c r="S370" s="318"/>
      <c r="T370" s="318"/>
      <c r="U370" s="318"/>
      <c r="V370" s="319"/>
      <c r="W370" s="589"/>
      <c r="X370" s="592"/>
      <c r="Y370" s="592"/>
      <c r="Z370" s="594"/>
      <c r="AA370" s="301"/>
      <c r="AB370" s="583"/>
      <c r="AC370" s="586"/>
      <c r="AD370" s="317"/>
      <c r="AE370" s="318"/>
      <c r="AF370" s="318"/>
      <c r="AG370" s="318"/>
      <c r="AH370" s="318"/>
      <c r="AI370" s="318"/>
      <c r="AJ370" s="318"/>
      <c r="AK370" s="318"/>
      <c r="AL370" s="318"/>
      <c r="AM370" s="318"/>
      <c r="AN370" s="318"/>
      <c r="AO370" s="318"/>
      <c r="AP370" s="318"/>
      <c r="AQ370" s="318"/>
      <c r="AR370" s="318"/>
      <c r="AS370" s="318"/>
      <c r="AT370" s="318"/>
      <c r="AU370" s="318"/>
      <c r="AV370" s="318"/>
      <c r="AW370" s="319"/>
      <c r="AX370" s="589"/>
      <c r="AY370" s="592"/>
      <c r="AZ370" s="592"/>
      <c r="BA370" s="594"/>
    </row>
    <row r="371" spans="1:53" ht="9" customHeight="1">
      <c r="A371" s="583">
        <v>9</v>
      </c>
      <c r="B371" s="584" t="str">
        <f t="shared" si="271"/>
        <v>ડેર હિતેષકુમાર પ્રતાપભાઇ</v>
      </c>
      <c r="C371" s="311"/>
      <c r="D371" s="312"/>
      <c r="E371" s="312"/>
      <c r="F371" s="312"/>
      <c r="G371" s="312"/>
      <c r="H371" s="312"/>
      <c r="I371" s="312"/>
      <c r="J371" s="312"/>
      <c r="K371" s="312"/>
      <c r="L371" s="312"/>
      <c r="M371" s="312"/>
      <c r="N371" s="312"/>
      <c r="O371" s="312"/>
      <c r="P371" s="312"/>
      <c r="Q371" s="312"/>
      <c r="R371" s="312"/>
      <c r="S371" s="312"/>
      <c r="T371" s="312"/>
      <c r="U371" s="312"/>
      <c r="V371" s="313"/>
      <c r="W371" s="587">
        <f>'A-CALC'!V347</f>
        <v>0</v>
      </c>
      <c r="X371" s="590">
        <f>'A-CALC'!W347</f>
        <v>0</v>
      </c>
      <c r="Y371" s="590">
        <f>'A-CALC'!X347</f>
        <v>0</v>
      </c>
      <c r="Z371" s="593">
        <f t="shared" ref="Z371" si="275">ROUND((40/$Y$7)*W371,0)</f>
        <v>0</v>
      </c>
      <c r="AA371" s="301"/>
      <c r="AB371" s="583">
        <v>9</v>
      </c>
      <c r="AC371" s="584" t="str">
        <f t="shared" si="273"/>
        <v>ડેર હિતેષકુમાર પ્રતાપભાઇ</v>
      </c>
      <c r="AD371" s="311"/>
      <c r="AE371" s="312"/>
      <c r="AF371" s="312"/>
      <c r="AG371" s="312"/>
      <c r="AH371" s="312"/>
      <c r="AI371" s="312"/>
      <c r="AJ371" s="312"/>
      <c r="AK371" s="312"/>
      <c r="AL371" s="312"/>
      <c r="AM371" s="312"/>
      <c r="AN371" s="312"/>
      <c r="AO371" s="312"/>
      <c r="AP371" s="312"/>
      <c r="AQ371" s="312"/>
      <c r="AR371" s="312"/>
      <c r="AS371" s="312"/>
      <c r="AT371" s="312"/>
      <c r="AU371" s="312"/>
      <c r="AV371" s="312"/>
      <c r="AW371" s="313"/>
      <c r="AX371" s="587">
        <f>'A-CALC'!AU347</f>
        <v>0</v>
      </c>
      <c r="AY371" s="590">
        <f>'A-CALC'!AV347</f>
        <v>0</v>
      </c>
      <c r="AZ371" s="590">
        <f>'A-CALC'!AW347</f>
        <v>0</v>
      </c>
      <c r="BA371" s="593">
        <f t="shared" ref="BA371" si="276">ROUND((40/$Y$7)*AX371,0)</f>
        <v>0</v>
      </c>
    </row>
    <row r="372" spans="1:53" ht="9" customHeight="1">
      <c r="A372" s="583"/>
      <c r="B372" s="585"/>
      <c r="C372" s="314"/>
      <c r="D372" s="315"/>
      <c r="E372" s="315"/>
      <c r="F372" s="315"/>
      <c r="G372" s="315"/>
      <c r="H372" s="315"/>
      <c r="I372" s="315"/>
      <c r="J372" s="315"/>
      <c r="K372" s="315"/>
      <c r="L372" s="315"/>
      <c r="M372" s="315"/>
      <c r="N372" s="315"/>
      <c r="O372" s="315"/>
      <c r="P372" s="315"/>
      <c r="Q372" s="315"/>
      <c r="R372" s="315"/>
      <c r="S372" s="315"/>
      <c r="T372" s="315"/>
      <c r="U372" s="315"/>
      <c r="V372" s="316"/>
      <c r="W372" s="588"/>
      <c r="X372" s="591"/>
      <c r="Y372" s="591"/>
      <c r="Z372" s="594"/>
      <c r="AA372" s="301"/>
      <c r="AB372" s="583"/>
      <c r="AC372" s="585"/>
      <c r="AD372" s="314"/>
      <c r="AE372" s="315"/>
      <c r="AF372" s="315"/>
      <c r="AG372" s="315"/>
      <c r="AH372" s="315"/>
      <c r="AI372" s="315"/>
      <c r="AJ372" s="315"/>
      <c r="AK372" s="315"/>
      <c r="AL372" s="315"/>
      <c r="AM372" s="315"/>
      <c r="AN372" s="315"/>
      <c r="AO372" s="315"/>
      <c r="AP372" s="315"/>
      <c r="AQ372" s="315"/>
      <c r="AR372" s="315"/>
      <c r="AS372" s="315"/>
      <c r="AT372" s="315"/>
      <c r="AU372" s="315"/>
      <c r="AV372" s="315"/>
      <c r="AW372" s="316"/>
      <c r="AX372" s="588"/>
      <c r="AY372" s="591"/>
      <c r="AZ372" s="591"/>
      <c r="BA372" s="594"/>
    </row>
    <row r="373" spans="1:53" ht="9" customHeight="1">
      <c r="A373" s="583"/>
      <c r="B373" s="586"/>
      <c r="C373" s="317"/>
      <c r="D373" s="318"/>
      <c r="E373" s="318"/>
      <c r="F373" s="318"/>
      <c r="G373" s="318"/>
      <c r="H373" s="318"/>
      <c r="I373" s="318"/>
      <c r="J373" s="318"/>
      <c r="K373" s="318"/>
      <c r="L373" s="318"/>
      <c r="M373" s="318"/>
      <c r="N373" s="318"/>
      <c r="O373" s="318"/>
      <c r="P373" s="318"/>
      <c r="Q373" s="318"/>
      <c r="R373" s="318"/>
      <c r="S373" s="318"/>
      <c r="T373" s="318"/>
      <c r="U373" s="318"/>
      <c r="V373" s="319"/>
      <c r="W373" s="589"/>
      <c r="X373" s="592"/>
      <c r="Y373" s="592"/>
      <c r="Z373" s="594"/>
      <c r="AA373" s="301"/>
      <c r="AB373" s="583"/>
      <c r="AC373" s="586"/>
      <c r="AD373" s="317"/>
      <c r="AE373" s="318"/>
      <c r="AF373" s="318"/>
      <c r="AG373" s="318"/>
      <c r="AH373" s="318"/>
      <c r="AI373" s="318"/>
      <c r="AJ373" s="318"/>
      <c r="AK373" s="318"/>
      <c r="AL373" s="318"/>
      <c r="AM373" s="318"/>
      <c r="AN373" s="318"/>
      <c r="AO373" s="318"/>
      <c r="AP373" s="318"/>
      <c r="AQ373" s="318"/>
      <c r="AR373" s="318"/>
      <c r="AS373" s="318"/>
      <c r="AT373" s="318"/>
      <c r="AU373" s="318"/>
      <c r="AV373" s="318"/>
      <c r="AW373" s="319"/>
      <c r="AX373" s="589"/>
      <c r="AY373" s="592"/>
      <c r="AZ373" s="592"/>
      <c r="BA373" s="594"/>
    </row>
    <row r="374" spans="1:53" ht="9" customHeight="1">
      <c r="A374" s="583">
        <v>10</v>
      </c>
      <c r="B374" s="584" t="str">
        <f t="shared" si="271"/>
        <v>વેકરીયા વિશાલકુમાર દિપકભાઇ</v>
      </c>
      <c r="C374" s="311"/>
      <c r="D374" s="312"/>
      <c r="E374" s="312"/>
      <c r="F374" s="312"/>
      <c r="G374" s="312"/>
      <c r="H374" s="312"/>
      <c r="I374" s="312"/>
      <c r="J374" s="312"/>
      <c r="K374" s="312"/>
      <c r="L374" s="312"/>
      <c r="M374" s="312"/>
      <c r="N374" s="312"/>
      <c r="O374" s="312"/>
      <c r="P374" s="312"/>
      <c r="Q374" s="312"/>
      <c r="R374" s="312"/>
      <c r="S374" s="312"/>
      <c r="T374" s="312"/>
      <c r="U374" s="312"/>
      <c r="V374" s="313"/>
      <c r="W374" s="587">
        <f>'A-CALC'!V350</f>
        <v>0</v>
      </c>
      <c r="X374" s="590">
        <f>'A-CALC'!W350</f>
        <v>0</v>
      </c>
      <c r="Y374" s="590">
        <f>'A-CALC'!X350</f>
        <v>0</v>
      </c>
      <c r="Z374" s="593">
        <f t="shared" ref="Z374" si="277">ROUND((40/$Y$7)*W374,0)</f>
        <v>0</v>
      </c>
      <c r="AA374" s="301"/>
      <c r="AB374" s="583">
        <v>10</v>
      </c>
      <c r="AC374" s="584" t="str">
        <f t="shared" si="273"/>
        <v>વેકરીયા વિશાલકુમાર દિપકભાઇ</v>
      </c>
      <c r="AD374" s="311"/>
      <c r="AE374" s="312"/>
      <c r="AF374" s="312"/>
      <c r="AG374" s="312"/>
      <c r="AH374" s="312"/>
      <c r="AI374" s="312"/>
      <c r="AJ374" s="312"/>
      <c r="AK374" s="312"/>
      <c r="AL374" s="312"/>
      <c r="AM374" s="312"/>
      <c r="AN374" s="312"/>
      <c r="AO374" s="312"/>
      <c r="AP374" s="312"/>
      <c r="AQ374" s="312"/>
      <c r="AR374" s="312"/>
      <c r="AS374" s="312"/>
      <c r="AT374" s="312"/>
      <c r="AU374" s="312"/>
      <c r="AV374" s="312"/>
      <c r="AW374" s="313"/>
      <c r="AX374" s="587">
        <f>'A-CALC'!AU350</f>
        <v>0</v>
      </c>
      <c r="AY374" s="590">
        <f>'A-CALC'!AV350</f>
        <v>0</v>
      </c>
      <c r="AZ374" s="590">
        <f>'A-CALC'!AW350</f>
        <v>0</v>
      </c>
      <c r="BA374" s="593">
        <f t="shared" ref="BA374" si="278">ROUND((40/$Y$7)*AX374,0)</f>
        <v>0</v>
      </c>
    </row>
    <row r="375" spans="1:53" ht="9" customHeight="1">
      <c r="A375" s="583"/>
      <c r="B375" s="585"/>
      <c r="C375" s="314"/>
      <c r="D375" s="315"/>
      <c r="E375" s="315"/>
      <c r="F375" s="315"/>
      <c r="G375" s="315"/>
      <c r="H375" s="315"/>
      <c r="I375" s="315"/>
      <c r="J375" s="315"/>
      <c r="K375" s="315"/>
      <c r="L375" s="315"/>
      <c r="M375" s="315"/>
      <c r="N375" s="315"/>
      <c r="O375" s="315"/>
      <c r="P375" s="315"/>
      <c r="Q375" s="315"/>
      <c r="R375" s="315"/>
      <c r="S375" s="315"/>
      <c r="T375" s="315"/>
      <c r="U375" s="315"/>
      <c r="V375" s="316"/>
      <c r="W375" s="588"/>
      <c r="X375" s="591"/>
      <c r="Y375" s="591"/>
      <c r="Z375" s="594"/>
      <c r="AA375" s="301"/>
      <c r="AB375" s="583"/>
      <c r="AC375" s="585"/>
      <c r="AD375" s="314"/>
      <c r="AE375" s="315"/>
      <c r="AF375" s="315"/>
      <c r="AG375" s="315"/>
      <c r="AH375" s="315"/>
      <c r="AI375" s="315"/>
      <c r="AJ375" s="315"/>
      <c r="AK375" s="315"/>
      <c r="AL375" s="315"/>
      <c r="AM375" s="315"/>
      <c r="AN375" s="315"/>
      <c r="AO375" s="315"/>
      <c r="AP375" s="315"/>
      <c r="AQ375" s="315"/>
      <c r="AR375" s="315"/>
      <c r="AS375" s="315"/>
      <c r="AT375" s="315"/>
      <c r="AU375" s="315"/>
      <c r="AV375" s="315"/>
      <c r="AW375" s="316"/>
      <c r="AX375" s="588"/>
      <c r="AY375" s="591"/>
      <c r="AZ375" s="591"/>
      <c r="BA375" s="594"/>
    </row>
    <row r="376" spans="1:53" ht="9" customHeight="1">
      <c r="A376" s="583"/>
      <c r="B376" s="586"/>
      <c r="C376" s="317"/>
      <c r="D376" s="318"/>
      <c r="E376" s="318"/>
      <c r="F376" s="318"/>
      <c r="G376" s="318"/>
      <c r="H376" s="318"/>
      <c r="I376" s="318"/>
      <c r="J376" s="318"/>
      <c r="K376" s="318"/>
      <c r="L376" s="318"/>
      <c r="M376" s="318"/>
      <c r="N376" s="318"/>
      <c r="O376" s="318"/>
      <c r="P376" s="318"/>
      <c r="Q376" s="318"/>
      <c r="R376" s="318"/>
      <c r="S376" s="318"/>
      <c r="T376" s="318"/>
      <c r="U376" s="318"/>
      <c r="V376" s="319"/>
      <c r="W376" s="589"/>
      <c r="X376" s="592"/>
      <c r="Y376" s="592"/>
      <c r="Z376" s="594"/>
      <c r="AA376" s="301"/>
      <c r="AB376" s="583"/>
      <c r="AC376" s="586"/>
      <c r="AD376" s="317"/>
      <c r="AE376" s="318"/>
      <c r="AF376" s="318"/>
      <c r="AG376" s="318"/>
      <c r="AH376" s="318"/>
      <c r="AI376" s="318"/>
      <c r="AJ376" s="318"/>
      <c r="AK376" s="318"/>
      <c r="AL376" s="318"/>
      <c r="AM376" s="318"/>
      <c r="AN376" s="318"/>
      <c r="AO376" s="318"/>
      <c r="AP376" s="318"/>
      <c r="AQ376" s="318"/>
      <c r="AR376" s="318"/>
      <c r="AS376" s="318"/>
      <c r="AT376" s="318"/>
      <c r="AU376" s="318"/>
      <c r="AV376" s="318"/>
      <c r="AW376" s="319"/>
      <c r="AX376" s="589"/>
      <c r="AY376" s="592"/>
      <c r="AZ376" s="592"/>
      <c r="BA376" s="594"/>
    </row>
    <row r="377" spans="1:53" ht="9" customHeight="1">
      <c r="A377" s="583">
        <v>11</v>
      </c>
      <c r="B377" s="584" t="str">
        <f t="shared" si="271"/>
        <v>માણસુરીયા મહેન્દ્રભાઇ ભૂપતભાઇ</v>
      </c>
      <c r="C377" s="311"/>
      <c r="D377" s="312"/>
      <c r="E377" s="312"/>
      <c r="F377" s="312"/>
      <c r="G377" s="312"/>
      <c r="H377" s="312"/>
      <c r="I377" s="312"/>
      <c r="J377" s="312"/>
      <c r="K377" s="312"/>
      <c r="L377" s="312"/>
      <c r="M377" s="312"/>
      <c r="N377" s="312"/>
      <c r="O377" s="312"/>
      <c r="P377" s="312"/>
      <c r="Q377" s="312"/>
      <c r="R377" s="312"/>
      <c r="S377" s="312"/>
      <c r="T377" s="312"/>
      <c r="U377" s="312"/>
      <c r="V377" s="313"/>
      <c r="W377" s="587">
        <f>'A-CALC'!V353</f>
        <v>0</v>
      </c>
      <c r="X377" s="590">
        <f>'A-CALC'!W353</f>
        <v>0</v>
      </c>
      <c r="Y377" s="590">
        <f>'A-CALC'!X353</f>
        <v>0</v>
      </c>
      <c r="Z377" s="593">
        <f t="shared" ref="Z377" si="279">ROUND((40/$Y$7)*W377,0)</f>
        <v>0</v>
      </c>
      <c r="AA377" s="301"/>
      <c r="AB377" s="583">
        <v>11</v>
      </c>
      <c r="AC377" s="584" t="str">
        <f t="shared" si="273"/>
        <v>માણસુરીયા મહેન્દ્રભાઇ ભૂપતભાઇ</v>
      </c>
      <c r="AD377" s="311"/>
      <c r="AE377" s="312"/>
      <c r="AF377" s="312"/>
      <c r="AG377" s="312"/>
      <c r="AH377" s="312"/>
      <c r="AI377" s="312"/>
      <c r="AJ377" s="312"/>
      <c r="AK377" s="312"/>
      <c r="AL377" s="312"/>
      <c r="AM377" s="312"/>
      <c r="AN377" s="312"/>
      <c r="AO377" s="312"/>
      <c r="AP377" s="312"/>
      <c r="AQ377" s="312"/>
      <c r="AR377" s="312"/>
      <c r="AS377" s="312"/>
      <c r="AT377" s="312"/>
      <c r="AU377" s="312"/>
      <c r="AV377" s="312"/>
      <c r="AW377" s="313"/>
      <c r="AX377" s="587">
        <f>'A-CALC'!AU353</f>
        <v>0</v>
      </c>
      <c r="AY377" s="590">
        <f>'A-CALC'!AV353</f>
        <v>0</v>
      </c>
      <c r="AZ377" s="590">
        <f>'A-CALC'!AW353</f>
        <v>0</v>
      </c>
      <c r="BA377" s="593">
        <f t="shared" ref="BA377" si="280">ROUND((40/$Y$7)*AX377,0)</f>
        <v>0</v>
      </c>
    </row>
    <row r="378" spans="1:53" ht="9" customHeight="1">
      <c r="A378" s="583"/>
      <c r="B378" s="585"/>
      <c r="C378" s="314"/>
      <c r="D378" s="315"/>
      <c r="E378" s="315"/>
      <c r="F378" s="315"/>
      <c r="G378" s="315"/>
      <c r="H378" s="315"/>
      <c r="I378" s="315"/>
      <c r="J378" s="315"/>
      <c r="K378" s="315"/>
      <c r="L378" s="315"/>
      <c r="M378" s="315"/>
      <c r="N378" s="315"/>
      <c r="O378" s="315"/>
      <c r="P378" s="315"/>
      <c r="Q378" s="315"/>
      <c r="R378" s="315"/>
      <c r="S378" s="315"/>
      <c r="T378" s="315"/>
      <c r="U378" s="315"/>
      <c r="V378" s="316"/>
      <c r="W378" s="588"/>
      <c r="X378" s="591"/>
      <c r="Y378" s="591"/>
      <c r="Z378" s="594"/>
      <c r="AA378" s="301"/>
      <c r="AB378" s="583"/>
      <c r="AC378" s="585"/>
      <c r="AD378" s="314"/>
      <c r="AE378" s="315"/>
      <c r="AF378" s="315"/>
      <c r="AG378" s="315"/>
      <c r="AH378" s="315"/>
      <c r="AI378" s="315"/>
      <c r="AJ378" s="315"/>
      <c r="AK378" s="315"/>
      <c r="AL378" s="315"/>
      <c r="AM378" s="315"/>
      <c r="AN378" s="315"/>
      <c r="AO378" s="315"/>
      <c r="AP378" s="315"/>
      <c r="AQ378" s="315"/>
      <c r="AR378" s="315"/>
      <c r="AS378" s="315"/>
      <c r="AT378" s="315"/>
      <c r="AU378" s="315"/>
      <c r="AV378" s="315"/>
      <c r="AW378" s="316"/>
      <c r="AX378" s="588"/>
      <c r="AY378" s="591"/>
      <c r="AZ378" s="591"/>
      <c r="BA378" s="594"/>
    </row>
    <row r="379" spans="1:53" ht="9" customHeight="1">
      <c r="A379" s="583"/>
      <c r="B379" s="586"/>
      <c r="C379" s="317"/>
      <c r="D379" s="318"/>
      <c r="E379" s="318"/>
      <c r="F379" s="318"/>
      <c r="G379" s="318"/>
      <c r="H379" s="318"/>
      <c r="I379" s="318"/>
      <c r="J379" s="318"/>
      <c r="K379" s="318"/>
      <c r="L379" s="318"/>
      <c r="M379" s="318"/>
      <c r="N379" s="318"/>
      <c r="O379" s="318"/>
      <c r="P379" s="318"/>
      <c r="Q379" s="318"/>
      <c r="R379" s="318"/>
      <c r="S379" s="318"/>
      <c r="T379" s="318"/>
      <c r="U379" s="318"/>
      <c r="V379" s="319"/>
      <c r="W379" s="589"/>
      <c r="X379" s="592"/>
      <c r="Y379" s="592"/>
      <c r="Z379" s="594"/>
      <c r="AA379" s="301"/>
      <c r="AB379" s="583"/>
      <c r="AC379" s="586"/>
      <c r="AD379" s="317"/>
      <c r="AE379" s="318"/>
      <c r="AF379" s="318"/>
      <c r="AG379" s="318"/>
      <c r="AH379" s="318"/>
      <c r="AI379" s="318"/>
      <c r="AJ379" s="318"/>
      <c r="AK379" s="318"/>
      <c r="AL379" s="318"/>
      <c r="AM379" s="318"/>
      <c r="AN379" s="318"/>
      <c r="AO379" s="318"/>
      <c r="AP379" s="318"/>
      <c r="AQ379" s="318"/>
      <c r="AR379" s="318"/>
      <c r="AS379" s="318"/>
      <c r="AT379" s="318"/>
      <c r="AU379" s="318"/>
      <c r="AV379" s="318"/>
      <c r="AW379" s="319"/>
      <c r="AX379" s="589"/>
      <c r="AY379" s="592"/>
      <c r="AZ379" s="592"/>
      <c r="BA379" s="594"/>
    </row>
    <row r="380" spans="1:53" ht="9" customHeight="1">
      <c r="A380" s="583">
        <v>12</v>
      </c>
      <c r="B380" s="584" t="str">
        <f t="shared" si="271"/>
        <v>પરમાર અજયકુમાર રમેશભાઇ</v>
      </c>
      <c r="C380" s="311"/>
      <c r="D380" s="312"/>
      <c r="E380" s="312"/>
      <c r="F380" s="312"/>
      <c r="G380" s="312"/>
      <c r="H380" s="312"/>
      <c r="I380" s="312"/>
      <c r="J380" s="312"/>
      <c r="K380" s="312"/>
      <c r="L380" s="312"/>
      <c r="M380" s="312"/>
      <c r="N380" s="312"/>
      <c r="O380" s="312"/>
      <c r="P380" s="312"/>
      <c r="Q380" s="312"/>
      <c r="R380" s="312"/>
      <c r="S380" s="312"/>
      <c r="T380" s="312"/>
      <c r="U380" s="312"/>
      <c r="V380" s="313"/>
      <c r="W380" s="587">
        <f>'A-CALC'!V356</f>
        <v>0</v>
      </c>
      <c r="X380" s="590">
        <f>'A-CALC'!W356</f>
        <v>0</v>
      </c>
      <c r="Y380" s="590">
        <f>'A-CALC'!X356</f>
        <v>0</v>
      </c>
      <c r="Z380" s="593">
        <f t="shared" ref="Z380" si="281">ROUND((40/$Y$7)*W380,0)</f>
        <v>0</v>
      </c>
      <c r="AA380" s="301"/>
      <c r="AB380" s="583">
        <v>12</v>
      </c>
      <c r="AC380" s="584" t="str">
        <f t="shared" si="273"/>
        <v>પરમાર અજયકુમાર રમેશભાઇ</v>
      </c>
      <c r="AD380" s="311"/>
      <c r="AE380" s="312"/>
      <c r="AF380" s="312"/>
      <c r="AG380" s="312"/>
      <c r="AH380" s="312"/>
      <c r="AI380" s="312"/>
      <c r="AJ380" s="312"/>
      <c r="AK380" s="312"/>
      <c r="AL380" s="312"/>
      <c r="AM380" s="312"/>
      <c r="AN380" s="312"/>
      <c r="AO380" s="312"/>
      <c r="AP380" s="312"/>
      <c r="AQ380" s="312"/>
      <c r="AR380" s="312"/>
      <c r="AS380" s="312"/>
      <c r="AT380" s="312"/>
      <c r="AU380" s="312"/>
      <c r="AV380" s="312"/>
      <c r="AW380" s="313"/>
      <c r="AX380" s="587">
        <f>'A-CALC'!AU356</f>
        <v>0</v>
      </c>
      <c r="AY380" s="590">
        <f>'A-CALC'!AV356</f>
        <v>0</v>
      </c>
      <c r="AZ380" s="590">
        <f>'A-CALC'!AW356</f>
        <v>0</v>
      </c>
      <c r="BA380" s="593">
        <f t="shared" ref="BA380" si="282">ROUND((40/$Y$7)*AX380,0)</f>
        <v>0</v>
      </c>
    </row>
    <row r="381" spans="1:53" ht="9" customHeight="1">
      <c r="A381" s="583"/>
      <c r="B381" s="585"/>
      <c r="C381" s="314"/>
      <c r="D381" s="315"/>
      <c r="E381" s="315"/>
      <c r="F381" s="315"/>
      <c r="G381" s="315"/>
      <c r="H381" s="315"/>
      <c r="I381" s="315"/>
      <c r="J381" s="315"/>
      <c r="K381" s="315"/>
      <c r="L381" s="315"/>
      <c r="M381" s="315"/>
      <c r="N381" s="315"/>
      <c r="O381" s="315"/>
      <c r="P381" s="315"/>
      <c r="Q381" s="315"/>
      <c r="R381" s="315"/>
      <c r="S381" s="315"/>
      <c r="T381" s="315"/>
      <c r="U381" s="315"/>
      <c r="V381" s="316"/>
      <c r="W381" s="588"/>
      <c r="X381" s="591"/>
      <c r="Y381" s="591"/>
      <c r="Z381" s="594"/>
      <c r="AA381" s="301"/>
      <c r="AB381" s="583"/>
      <c r="AC381" s="585"/>
      <c r="AD381" s="314"/>
      <c r="AE381" s="315"/>
      <c r="AF381" s="315"/>
      <c r="AG381" s="315"/>
      <c r="AH381" s="315"/>
      <c r="AI381" s="315"/>
      <c r="AJ381" s="315"/>
      <c r="AK381" s="315"/>
      <c r="AL381" s="315"/>
      <c r="AM381" s="315"/>
      <c r="AN381" s="315"/>
      <c r="AO381" s="315"/>
      <c r="AP381" s="315"/>
      <c r="AQ381" s="315"/>
      <c r="AR381" s="315"/>
      <c r="AS381" s="315"/>
      <c r="AT381" s="315"/>
      <c r="AU381" s="315"/>
      <c r="AV381" s="315"/>
      <c r="AW381" s="316"/>
      <c r="AX381" s="588"/>
      <c r="AY381" s="591"/>
      <c r="AZ381" s="591"/>
      <c r="BA381" s="594"/>
    </row>
    <row r="382" spans="1:53" ht="9" customHeight="1">
      <c r="A382" s="583"/>
      <c r="B382" s="586"/>
      <c r="C382" s="317"/>
      <c r="D382" s="318"/>
      <c r="E382" s="318"/>
      <c r="F382" s="318"/>
      <c r="G382" s="318"/>
      <c r="H382" s="318"/>
      <c r="I382" s="318"/>
      <c r="J382" s="318"/>
      <c r="K382" s="318"/>
      <c r="L382" s="318"/>
      <c r="M382" s="318"/>
      <c r="N382" s="318"/>
      <c r="O382" s="318"/>
      <c r="P382" s="318"/>
      <c r="Q382" s="318"/>
      <c r="R382" s="318"/>
      <c r="S382" s="318"/>
      <c r="T382" s="318"/>
      <c r="U382" s="318"/>
      <c r="V382" s="319"/>
      <c r="W382" s="589"/>
      <c r="X382" s="592"/>
      <c r="Y382" s="592"/>
      <c r="Z382" s="594"/>
      <c r="AA382" s="301"/>
      <c r="AB382" s="583"/>
      <c r="AC382" s="586"/>
      <c r="AD382" s="317"/>
      <c r="AE382" s="318"/>
      <c r="AF382" s="318"/>
      <c r="AG382" s="318"/>
      <c r="AH382" s="318"/>
      <c r="AI382" s="318"/>
      <c r="AJ382" s="318"/>
      <c r="AK382" s="318"/>
      <c r="AL382" s="318"/>
      <c r="AM382" s="318"/>
      <c r="AN382" s="318"/>
      <c r="AO382" s="318"/>
      <c r="AP382" s="318"/>
      <c r="AQ382" s="318"/>
      <c r="AR382" s="318"/>
      <c r="AS382" s="318"/>
      <c r="AT382" s="318"/>
      <c r="AU382" s="318"/>
      <c r="AV382" s="318"/>
      <c r="AW382" s="319"/>
      <c r="AX382" s="589"/>
      <c r="AY382" s="592"/>
      <c r="AZ382" s="592"/>
      <c r="BA382" s="594"/>
    </row>
    <row r="383" spans="1:53" ht="9" customHeight="1">
      <c r="A383" s="583">
        <v>13</v>
      </c>
      <c r="B383" s="584" t="str">
        <f t="shared" si="271"/>
        <v>કંડોળીયા અલ્પેશકુમાર ભરતભાઇ</v>
      </c>
      <c r="C383" s="311"/>
      <c r="D383" s="312"/>
      <c r="E383" s="312"/>
      <c r="F383" s="312"/>
      <c r="G383" s="312"/>
      <c r="H383" s="312"/>
      <c r="I383" s="312"/>
      <c r="J383" s="312"/>
      <c r="K383" s="312"/>
      <c r="L383" s="312"/>
      <c r="M383" s="312"/>
      <c r="N383" s="312"/>
      <c r="O383" s="312"/>
      <c r="P383" s="312"/>
      <c r="Q383" s="312"/>
      <c r="R383" s="312"/>
      <c r="S383" s="312"/>
      <c r="T383" s="312"/>
      <c r="U383" s="312"/>
      <c r="V383" s="313"/>
      <c r="W383" s="587">
        <f>'A-CALC'!V359</f>
        <v>0</v>
      </c>
      <c r="X383" s="590">
        <f>'A-CALC'!W359</f>
        <v>0</v>
      </c>
      <c r="Y383" s="590">
        <f>'A-CALC'!X359</f>
        <v>0</v>
      </c>
      <c r="Z383" s="593">
        <f>ROUND((40/$Y$7)*W383,0)</f>
        <v>0</v>
      </c>
      <c r="AA383" s="301"/>
      <c r="AB383" s="583">
        <v>13</v>
      </c>
      <c r="AC383" s="584" t="str">
        <f t="shared" si="273"/>
        <v>કંડોળીયા અલ્પેશકુમાર ભરતભાઇ</v>
      </c>
      <c r="AD383" s="311"/>
      <c r="AE383" s="312"/>
      <c r="AF383" s="312"/>
      <c r="AG383" s="312"/>
      <c r="AH383" s="312"/>
      <c r="AI383" s="312"/>
      <c r="AJ383" s="312"/>
      <c r="AK383" s="312"/>
      <c r="AL383" s="312"/>
      <c r="AM383" s="312"/>
      <c r="AN383" s="312"/>
      <c r="AO383" s="312"/>
      <c r="AP383" s="312"/>
      <c r="AQ383" s="312"/>
      <c r="AR383" s="312"/>
      <c r="AS383" s="312"/>
      <c r="AT383" s="312"/>
      <c r="AU383" s="312"/>
      <c r="AV383" s="312"/>
      <c r="AW383" s="313"/>
      <c r="AX383" s="587">
        <f>'A-CALC'!AU359</f>
        <v>0</v>
      </c>
      <c r="AY383" s="590">
        <f>'A-CALC'!AV359</f>
        <v>0</v>
      </c>
      <c r="AZ383" s="590">
        <f>'A-CALC'!AW359</f>
        <v>0</v>
      </c>
      <c r="BA383" s="593">
        <f>ROUND((40/$Y$7)*AX383,0)</f>
        <v>0</v>
      </c>
    </row>
    <row r="384" spans="1:53" ht="9" customHeight="1">
      <c r="A384" s="583"/>
      <c r="B384" s="585"/>
      <c r="C384" s="314"/>
      <c r="D384" s="315"/>
      <c r="E384" s="315"/>
      <c r="F384" s="315"/>
      <c r="G384" s="315"/>
      <c r="H384" s="315"/>
      <c r="I384" s="315"/>
      <c r="J384" s="315"/>
      <c r="K384" s="315"/>
      <c r="L384" s="315"/>
      <c r="M384" s="315"/>
      <c r="N384" s="315"/>
      <c r="O384" s="315"/>
      <c r="P384" s="315"/>
      <c r="Q384" s="315"/>
      <c r="R384" s="315"/>
      <c r="S384" s="315"/>
      <c r="T384" s="315"/>
      <c r="U384" s="315"/>
      <c r="V384" s="316"/>
      <c r="W384" s="588"/>
      <c r="X384" s="591"/>
      <c r="Y384" s="591"/>
      <c r="Z384" s="594"/>
      <c r="AA384" s="301"/>
      <c r="AB384" s="583"/>
      <c r="AC384" s="585"/>
      <c r="AD384" s="314"/>
      <c r="AE384" s="315"/>
      <c r="AF384" s="315"/>
      <c r="AG384" s="315"/>
      <c r="AH384" s="315"/>
      <c r="AI384" s="315"/>
      <c r="AJ384" s="315"/>
      <c r="AK384" s="315"/>
      <c r="AL384" s="315"/>
      <c r="AM384" s="315"/>
      <c r="AN384" s="315"/>
      <c r="AO384" s="315"/>
      <c r="AP384" s="315"/>
      <c r="AQ384" s="315"/>
      <c r="AR384" s="315"/>
      <c r="AS384" s="315"/>
      <c r="AT384" s="315"/>
      <c r="AU384" s="315"/>
      <c r="AV384" s="315"/>
      <c r="AW384" s="316"/>
      <c r="AX384" s="588"/>
      <c r="AY384" s="591"/>
      <c r="AZ384" s="591"/>
      <c r="BA384" s="594"/>
    </row>
    <row r="385" spans="1:53" ht="9" customHeight="1">
      <c r="A385" s="583"/>
      <c r="B385" s="586"/>
      <c r="C385" s="317"/>
      <c r="D385" s="318"/>
      <c r="E385" s="318"/>
      <c r="F385" s="318"/>
      <c r="G385" s="318"/>
      <c r="H385" s="318"/>
      <c r="I385" s="318"/>
      <c r="J385" s="318"/>
      <c r="K385" s="318"/>
      <c r="L385" s="318"/>
      <c r="M385" s="318"/>
      <c r="N385" s="318"/>
      <c r="O385" s="318"/>
      <c r="P385" s="318"/>
      <c r="Q385" s="318"/>
      <c r="R385" s="318"/>
      <c r="S385" s="318"/>
      <c r="T385" s="318"/>
      <c r="U385" s="318"/>
      <c r="V385" s="319"/>
      <c r="W385" s="589"/>
      <c r="X385" s="592"/>
      <c r="Y385" s="592"/>
      <c r="Z385" s="594"/>
      <c r="AA385" s="301"/>
      <c r="AB385" s="583"/>
      <c r="AC385" s="586"/>
      <c r="AD385" s="317"/>
      <c r="AE385" s="318"/>
      <c r="AF385" s="318"/>
      <c r="AG385" s="318"/>
      <c r="AH385" s="318"/>
      <c r="AI385" s="318"/>
      <c r="AJ385" s="318"/>
      <c r="AK385" s="318"/>
      <c r="AL385" s="318"/>
      <c r="AM385" s="318"/>
      <c r="AN385" s="318"/>
      <c r="AO385" s="318"/>
      <c r="AP385" s="318"/>
      <c r="AQ385" s="318"/>
      <c r="AR385" s="318"/>
      <c r="AS385" s="318"/>
      <c r="AT385" s="318"/>
      <c r="AU385" s="318"/>
      <c r="AV385" s="318"/>
      <c r="AW385" s="319"/>
      <c r="AX385" s="589"/>
      <c r="AY385" s="592"/>
      <c r="AZ385" s="592"/>
      <c r="BA385" s="594"/>
    </row>
    <row r="386" spans="1:53" ht="9" customHeight="1">
      <c r="A386" s="583">
        <v>14</v>
      </c>
      <c r="B386" s="584" t="str">
        <f t="shared" si="271"/>
        <v>મકવાણા તરંગકુમાર કિશોરભાઇ</v>
      </c>
      <c r="C386" s="311"/>
      <c r="D386" s="312"/>
      <c r="E386" s="312"/>
      <c r="F386" s="312"/>
      <c r="G386" s="312"/>
      <c r="H386" s="312"/>
      <c r="I386" s="312"/>
      <c r="J386" s="312"/>
      <c r="K386" s="312"/>
      <c r="L386" s="312"/>
      <c r="M386" s="312"/>
      <c r="N386" s="312"/>
      <c r="O386" s="312"/>
      <c r="P386" s="312"/>
      <c r="Q386" s="312"/>
      <c r="R386" s="312"/>
      <c r="S386" s="312"/>
      <c r="T386" s="312"/>
      <c r="U386" s="312"/>
      <c r="V386" s="313"/>
      <c r="W386" s="587">
        <f>'A-CALC'!V362</f>
        <v>0</v>
      </c>
      <c r="X386" s="590">
        <f>'A-CALC'!W362</f>
        <v>0</v>
      </c>
      <c r="Y386" s="590">
        <f>'A-CALC'!X362</f>
        <v>0</v>
      </c>
      <c r="Z386" s="593">
        <f t="shared" ref="Z386" si="283">ROUND((40/$Y$7)*W386,0)</f>
        <v>0</v>
      </c>
      <c r="AA386" s="301"/>
      <c r="AB386" s="583">
        <v>14</v>
      </c>
      <c r="AC386" s="584" t="str">
        <f t="shared" si="273"/>
        <v>મકવાણા તરંગકુમાર કિશોરભાઇ</v>
      </c>
      <c r="AD386" s="311"/>
      <c r="AE386" s="312"/>
      <c r="AF386" s="312"/>
      <c r="AG386" s="312"/>
      <c r="AH386" s="312"/>
      <c r="AI386" s="312"/>
      <c r="AJ386" s="312"/>
      <c r="AK386" s="312"/>
      <c r="AL386" s="312"/>
      <c r="AM386" s="312"/>
      <c r="AN386" s="312"/>
      <c r="AO386" s="312"/>
      <c r="AP386" s="312"/>
      <c r="AQ386" s="312"/>
      <c r="AR386" s="312"/>
      <c r="AS386" s="312"/>
      <c r="AT386" s="312"/>
      <c r="AU386" s="312"/>
      <c r="AV386" s="312"/>
      <c r="AW386" s="313"/>
      <c r="AX386" s="587">
        <f>'A-CALC'!AU362</f>
        <v>0</v>
      </c>
      <c r="AY386" s="590">
        <f>'A-CALC'!AV362</f>
        <v>0</v>
      </c>
      <c r="AZ386" s="590">
        <f>'A-CALC'!AW362</f>
        <v>0</v>
      </c>
      <c r="BA386" s="593">
        <f t="shared" ref="BA386" si="284">ROUND((40/$Y$7)*AX386,0)</f>
        <v>0</v>
      </c>
    </row>
    <row r="387" spans="1:53" ht="9" customHeight="1">
      <c r="A387" s="583"/>
      <c r="B387" s="585"/>
      <c r="C387" s="314"/>
      <c r="D387" s="315"/>
      <c r="E387" s="315"/>
      <c r="F387" s="315"/>
      <c r="G387" s="315"/>
      <c r="H387" s="315"/>
      <c r="I387" s="315"/>
      <c r="J387" s="315"/>
      <c r="K387" s="315"/>
      <c r="L387" s="315"/>
      <c r="M387" s="315"/>
      <c r="N387" s="315"/>
      <c r="O387" s="315"/>
      <c r="P387" s="315"/>
      <c r="Q387" s="315"/>
      <c r="R387" s="315"/>
      <c r="S387" s="315"/>
      <c r="T387" s="315"/>
      <c r="U387" s="315"/>
      <c r="V387" s="316"/>
      <c r="W387" s="588"/>
      <c r="X387" s="591"/>
      <c r="Y387" s="591"/>
      <c r="Z387" s="594"/>
      <c r="AA387" s="301"/>
      <c r="AB387" s="583"/>
      <c r="AC387" s="585"/>
      <c r="AD387" s="314"/>
      <c r="AE387" s="315"/>
      <c r="AF387" s="315"/>
      <c r="AG387" s="315"/>
      <c r="AH387" s="315"/>
      <c r="AI387" s="315"/>
      <c r="AJ387" s="315"/>
      <c r="AK387" s="315"/>
      <c r="AL387" s="315"/>
      <c r="AM387" s="315"/>
      <c r="AN387" s="315"/>
      <c r="AO387" s="315"/>
      <c r="AP387" s="315"/>
      <c r="AQ387" s="315"/>
      <c r="AR387" s="315"/>
      <c r="AS387" s="315"/>
      <c r="AT387" s="315"/>
      <c r="AU387" s="315"/>
      <c r="AV387" s="315"/>
      <c r="AW387" s="316"/>
      <c r="AX387" s="588"/>
      <c r="AY387" s="591"/>
      <c r="AZ387" s="591"/>
      <c r="BA387" s="594"/>
    </row>
    <row r="388" spans="1:53" ht="9" customHeight="1">
      <c r="A388" s="583"/>
      <c r="B388" s="586"/>
      <c r="C388" s="317"/>
      <c r="D388" s="318"/>
      <c r="E388" s="318"/>
      <c r="F388" s="318"/>
      <c r="G388" s="318"/>
      <c r="H388" s="318"/>
      <c r="I388" s="318"/>
      <c r="J388" s="318"/>
      <c r="K388" s="318"/>
      <c r="L388" s="318"/>
      <c r="M388" s="318"/>
      <c r="N388" s="318"/>
      <c r="O388" s="318"/>
      <c r="P388" s="318"/>
      <c r="Q388" s="318"/>
      <c r="R388" s="318"/>
      <c r="S388" s="318"/>
      <c r="T388" s="318"/>
      <c r="U388" s="318"/>
      <c r="V388" s="319"/>
      <c r="W388" s="589"/>
      <c r="X388" s="592"/>
      <c r="Y388" s="592"/>
      <c r="Z388" s="594"/>
      <c r="AA388" s="301"/>
      <c r="AB388" s="583"/>
      <c r="AC388" s="586"/>
      <c r="AD388" s="317"/>
      <c r="AE388" s="318"/>
      <c r="AF388" s="318"/>
      <c r="AG388" s="318"/>
      <c r="AH388" s="318"/>
      <c r="AI388" s="318"/>
      <c r="AJ388" s="318"/>
      <c r="AK388" s="318"/>
      <c r="AL388" s="318"/>
      <c r="AM388" s="318"/>
      <c r="AN388" s="318"/>
      <c r="AO388" s="318"/>
      <c r="AP388" s="318"/>
      <c r="AQ388" s="318"/>
      <c r="AR388" s="318"/>
      <c r="AS388" s="318"/>
      <c r="AT388" s="318"/>
      <c r="AU388" s="318"/>
      <c r="AV388" s="318"/>
      <c r="AW388" s="319"/>
      <c r="AX388" s="589"/>
      <c r="AY388" s="592"/>
      <c r="AZ388" s="592"/>
      <c r="BA388" s="594"/>
    </row>
    <row r="389" spans="1:53" ht="9" customHeight="1">
      <c r="A389" s="583">
        <v>15</v>
      </c>
      <c r="B389" s="584" t="str">
        <f t="shared" si="271"/>
        <v>ઢીમેચા સતીષ હનુભાઇ</v>
      </c>
      <c r="C389" s="311"/>
      <c r="D389" s="312"/>
      <c r="E389" s="312"/>
      <c r="F389" s="312"/>
      <c r="G389" s="312"/>
      <c r="H389" s="312"/>
      <c r="I389" s="312"/>
      <c r="J389" s="312"/>
      <c r="K389" s="312"/>
      <c r="L389" s="312"/>
      <c r="M389" s="312"/>
      <c r="N389" s="312"/>
      <c r="O389" s="312"/>
      <c r="P389" s="312"/>
      <c r="Q389" s="312"/>
      <c r="R389" s="312"/>
      <c r="S389" s="312"/>
      <c r="T389" s="312"/>
      <c r="U389" s="312"/>
      <c r="V389" s="313"/>
      <c r="W389" s="587">
        <f>'A-CALC'!V365</f>
        <v>0</v>
      </c>
      <c r="X389" s="590">
        <f>'A-CALC'!W365</f>
        <v>0</v>
      </c>
      <c r="Y389" s="590">
        <f>'A-CALC'!X365</f>
        <v>0</v>
      </c>
      <c r="Z389" s="593">
        <f t="shared" ref="Z389" si="285">ROUND((40/$Y$7)*W389,0)</f>
        <v>0</v>
      </c>
      <c r="AA389" s="301"/>
      <c r="AB389" s="583">
        <v>15</v>
      </c>
      <c r="AC389" s="584" t="str">
        <f t="shared" si="273"/>
        <v>ઢીમેચા સતીષ હનુભાઇ</v>
      </c>
      <c r="AD389" s="311"/>
      <c r="AE389" s="312"/>
      <c r="AF389" s="312"/>
      <c r="AG389" s="312"/>
      <c r="AH389" s="312"/>
      <c r="AI389" s="312"/>
      <c r="AJ389" s="312"/>
      <c r="AK389" s="312"/>
      <c r="AL389" s="312"/>
      <c r="AM389" s="312"/>
      <c r="AN389" s="312"/>
      <c r="AO389" s="312"/>
      <c r="AP389" s="312"/>
      <c r="AQ389" s="312"/>
      <c r="AR389" s="312"/>
      <c r="AS389" s="312"/>
      <c r="AT389" s="312"/>
      <c r="AU389" s="312"/>
      <c r="AV389" s="312"/>
      <c r="AW389" s="313"/>
      <c r="AX389" s="587">
        <f>'A-CALC'!AU365</f>
        <v>0</v>
      </c>
      <c r="AY389" s="590">
        <f>'A-CALC'!AV365</f>
        <v>0</v>
      </c>
      <c r="AZ389" s="590">
        <f>'A-CALC'!AW365</f>
        <v>0</v>
      </c>
      <c r="BA389" s="593">
        <f t="shared" ref="BA389" si="286">ROUND((40/$Y$7)*AX389,0)</f>
        <v>0</v>
      </c>
    </row>
    <row r="390" spans="1:53" ht="9" customHeight="1">
      <c r="A390" s="583"/>
      <c r="B390" s="585"/>
      <c r="C390" s="314"/>
      <c r="D390" s="315"/>
      <c r="E390" s="315"/>
      <c r="F390" s="315"/>
      <c r="G390" s="315"/>
      <c r="H390" s="315"/>
      <c r="I390" s="315"/>
      <c r="J390" s="315"/>
      <c r="K390" s="315"/>
      <c r="L390" s="315"/>
      <c r="M390" s="315"/>
      <c r="N390" s="315"/>
      <c r="O390" s="315"/>
      <c r="P390" s="315"/>
      <c r="Q390" s="315"/>
      <c r="R390" s="315"/>
      <c r="S390" s="315"/>
      <c r="T390" s="315"/>
      <c r="U390" s="315"/>
      <c r="V390" s="316"/>
      <c r="W390" s="588"/>
      <c r="X390" s="591"/>
      <c r="Y390" s="591"/>
      <c r="Z390" s="594"/>
      <c r="AA390" s="301"/>
      <c r="AB390" s="583"/>
      <c r="AC390" s="585"/>
      <c r="AD390" s="314"/>
      <c r="AE390" s="315"/>
      <c r="AF390" s="315"/>
      <c r="AG390" s="315"/>
      <c r="AH390" s="315"/>
      <c r="AI390" s="315"/>
      <c r="AJ390" s="315"/>
      <c r="AK390" s="315"/>
      <c r="AL390" s="315"/>
      <c r="AM390" s="315"/>
      <c r="AN390" s="315"/>
      <c r="AO390" s="315"/>
      <c r="AP390" s="315"/>
      <c r="AQ390" s="315"/>
      <c r="AR390" s="315"/>
      <c r="AS390" s="315"/>
      <c r="AT390" s="315"/>
      <c r="AU390" s="315"/>
      <c r="AV390" s="315"/>
      <c r="AW390" s="316"/>
      <c r="AX390" s="588"/>
      <c r="AY390" s="591"/>
      <c r="AZ390" s="591"/>
      <c r="BA390" s="594"/>
    </row>
    <row r="391" spans="1:53" ht="9" customHeight="1">
      <c r="A391" s="583"/>
      <c r="B391" s="586"/>
      <c r="C391" s="317"/>
      <c r="D391" s="318"/>
      <c r="E391" s="318"/>
      <c r="F391" s="318"/>
      <c r="G391" s="318"/>
      <c r="H391" s="318"/>
      <c r="I391" s="318"/>
      <c r="J391" s="318"/>
      <c r="K391" s="318"/>
      <c r="L391" s="318"/>
      <c r="M391" s="318"/>
      <c r="N391" s="318"/>
      <c r="O391" s="318"/>
      <c r="P391" s="318"/>
      <c r="Q391" s="318"/>
      <c r="R391" s="318"/>
      <c r="S391" s="318"/>
      <c r="T391" s="318"/>
      <c r="U391" s="318"/>
      <c r="V391" s="319"/>
      <c r="W391" s="589"/>
      <c r="X391" s="592"/>
      <c r="Y391" s="592"/>
      <c r="Z391" s="594"/>
      <c r="AA391" s="301"/>
      <c r="AB391" s="583"/>
      <c r="AC391" s="586"/>
      <c r="AD391" s="317"/>
      <c r="AE391" s="318"/>
      <c r="AF391" s="318"/>
      <c r="AG391" s="318"/>
      <c r="AH391" s="318"/>
      <c r="AI391" s="318"/>
      <c r="AJ391" s="318"/>
      <c r="AK391" s="318"/>
      <c r="AL391" s="318"/>
      <c r="AM391" s="318"/>
      <c r="AN391" s="318"/>
      <c r="AO391" s="318"/>
      <c r="AP391" s="318"/>
      <c r="AQ391" s="318"/>
      <c r="AR391" s="318"/>
      <c r="AS391" s="318"/>
      <c r="AT391" s="318"/>
      <c r="AU391" s="318"/>
      <c r="AV391" s="318"/>
      <c r="AW391" s="319"/>
      <c r="AX391" s="589"/>
      <c r="AY391" s="592"/>
      <c r="AZ391" s="592"/>
      <c r="BA391" s="594"/>
    </row>
    <row r="392" spans="1:53" ht="9" customHeight="1">
      <c r="A392" s="583">
        <v>16</v>
      </c>
      <c r="B392" s="584" t="str">
        <f t="shared" si="271"/>
        <v>ખુમાણ શિવરાજભાઇ બાબુભાઇ</v>
      </c>
      <c r="C392" s="311"/>
      <c r="D392" s="312"/>
      <c r="E392" s="312"/>
      <c r="F392" s="312"/>
      <c r="G392" s="312"/>
      <c r="H392" s="312"/>
      <c r="I392" s="312"/>
      <c r="J392" s="312"/>
      <c r="K392" s="312"/>
      <c r="L392" s="312"/>
      <c r="M392" s="312"/>
      <c r="N392" s="312"/>
      <c r="O392" s="312"/>
      <c r="P392" s="312"/>
      <c r="Q392" s="312"/>
      <c r="R392" s="312"/>
      <c r="S392" s="312"/>
      <c r="T392" s="312"/>
      <c r="U392" s="312"/>
      <c r="V392" s="313"/>
      <c r="W392" s="587">
        <f>'A-CALC'!V368</f>
        <v>0</v>
      </c>
      <c r="X392" s="590">
        <f>'A-CALC'!W368</f>
        <v>0</v>
      </c>
      <c r="Y392" s="590">
        <f>'A-CALC'!X368</f>
        <v>0</v>
      </c>
      <c r="Z392" s="593">
        <f t="shared" ref="Z392" si="287">ROUND((40/$Y$7)*W392,0)</f>
        <v>0</v>
      </c>
      <c r="AA392" s="301"/>
      <c r="AB392" s="583">
        <v>16</v>
      </c>
      <c r="AC392" s="584" t="str">
        <f t="shared" si="273"/>
        <v>ખુમાણ શિવરાજભાઇ બાબુભાઇ</v>
      </c>
      <c r="AD392" s="311"/>
      <c r="AE392" s="312"/>
      <c r="AF392" s="312"/>
      <c r="AG392" s="312"/>
      <c r="AH392" s="312"/>
      <c r="AI392" s="312"/>
      <c r="AJ392" s="312"/>
      <c r="AK392" s="312"/>
      <c r="AL392" s="312"/>
      <c r="AM392" s="312"/>
      <c r="AN392" s="312"/>
      <c r="AO392" s="312"/>
      <c r="AP392" s="312"/>
      <c r="AQ392" s="312"/>
      <c r="AR392" s="312"/>
      <c r="AS392" s="312"/>
      <c r="AT392" s="312"/>
      <c r="AU392" s="312"/>
      <c r="AV392" s="312"/>
      <c r="AW392" s="313"/>
      <c r="AX392" s="587">
        <f>'A-CALC'!AU368</f>
        <v>0</v>
      </c>
      <c r="AY392" s="590">
        <f>'A-CALC'!AV368</f>
        <v>0</v>
      </c>
      <c r="AZ392" s="590">
        <f>'A-CALC'!AW368</f>
        <v>0</v>
      </c>
      <c r="BA392" s="593">
        <f t="shared" ref="BA392" si="288">ROUND((40/$Y$7)*AX392,0)</f>
        <v>0</v>
      </c>
    </row>
    <row r="393" spans="1:53" ht="9" customHeight="1">
      <c r="A393" s="583"/>
      <c r="B393" s="585"/>
      <c r="C393" s="314"/>
      <c r="D393" s="315"/>
      <c r="E393" s="315"/>
      <c r="F393" s="315"/>
      <c r="G393" s="315"/>
      <c r="H393" s="315"/>
      <c r="I393" s="315"/>
      <c r="J393" s="315"/>
      <c r="K393" s="315"/>
      <c r="L393" s="315"/>
      <c r="M393" s="315"/>
      <c r="N393" s="315"/>
      <c r="O393" s="315"/>
      <c r="P393" s="315"/>
      <c r="Q393" s="315"/>
      <c r="R393" s="315"/>
      <c r="S393" s="315"/>
      <c r="T393" s="315"/>
      <c r="U393" s="315"/>
      <c r="V393" s="316"/>
      <c r="W393" s="588"/>
      <c r="X393" s="591"/>
      <c r="Y393" s="591"/>
      <c r="Z393" s="594"/>
      <c r="AA393" s="301"/>
      <c r="AB393" s="583"/>
      <c r="AC393" s="585"/>
      <c r="AD393" s="314"/>
      <c r="AE393" s="315"/>
      <c r="AF393" s="315"/>
      <c r="AG393" s="315"/>
      <c r="AH393" s="315"/>
      <c r="AI393" s="315"/>
      <c r="AJ393" s="315"/>
      <c r="AK393" s="315"/>
      <c r="AL393" s="315"/>
      <c r="AM393" s="315"/>
      <c r="AN393" s="315"/>
      <c r="AO393" s="315"/>
      <c r="AP393" s="315"/>
      <c r="AQ393" s="315"/>
      <c r="AR393" s="315"/>
      <c r="AS393" s="315"/>
      <c r="AT393" s="315"/>
      <c r="AU393" s="315"/>
      <c r="AV393" s="315"/>
      <c r="AW393" s="316"/>
      <c r="AX393" s="588"/>
      <c r="AY393" s="591"/>
      <c r="AZ393" s="591"/>
      <c r="BA393" s="594"/>
    </row>
    <row r="394" spans="1:53" ht="9" customHeight="1">
      <c r="A394" s="583"/>
      <c r="B394" s="586"/>
      <c r="C394" s="317"/>
      <c r="D394" s="318"/>
      <c r="E394" s="318"/>
      <c r="F394" s="318"/>
      <c r="G394" s="318"/>
      <c r="H394" s="318"/>
      <c r="I394" s="318"/>
      <c r="J394" s="318"/>
      <c r="K394" s="318"/>
      <c r="L394" s="318"/>
      <c r="M394" s="318"/>
      <c r="N394" s="318"/>
      <c r="O394" s="318"/>
      <c r="P394" s="318"/>
      <c r="Q394" s="318"/>
      <c r="R394" s="318"/>
      <c r="S394" s="318"/>
      <c r="T394" s="318"/>
      <c r="U394" s="318"/>
      <c r="V394" s="319"/>
      <c r="W394" s="589"/>
      <c r="X394" s="592"/>
      <c r="Y394" s="592"/>
      <c r="Z394" s="594"/>
      <c r="AA394" s="301"/>
      <c r="AB394" s="583"/>
      <c r="AC394" s="586"/>
      <c r="AD394" s="317"/>
      <c r="AE394" s="318"/>
      <c r="AF394" s="318"/>
      <c r="AG394" s="318"/>
      <c r="AH394" s="318"/>
      <c r="AI394" s="318"/>
      <c r="AJ394" s="318"/>
      <c r="AK394" s="318"/>
      <c r="AL394" s="318"/>
      <c r="AM394" s="318"/>
      <c r="AN394" s="318"/>
      <c r="AO394" s="318"/>
      <c r="AP394" s="318"/>
      <c r="AQ394" s="318"/>
      <c r="AR394" s="318"/>
      <c r="AS394" s="318"/>
      <c r="AT394" s="318"/>
      <c r="AU394" s="318"/>
      <c r="AV394" s="318"/>
      <c r="AW394" s="319"/>
      <c r="AX394" s="589"/>
      <c r="AY394" s="592"/>
      <c r="AZ394" s="592"/>
      <c r="BA394" s="594"/>
    </row>
    <row r="395" spans="1:53" ht="9" customHeight="1">
      <c r="A395" s="583">
        <v>17</v>
      </c>
      <c r="B395" s="584" t="str">
        <f t="shared" si="271"/>
        <v>માથાસુરીયા દિનેશભાઇ અમરાભાઇ</v>
      </c>
      <c r="C395" s="311"/>
      <c r="D395" s="312"/>
      <c r="E395" s="312"/>
      <c r="F395" s="312"/>
      <c r="G395" s="312"/>
      <c r="H395" s="312"/>
      <c r="I395" s="312"/>
      <c r="J395" s="312"/>
      <c r="K395" s="312"/>
      <c r="L395" s="312"/>
      <c r="M395" s="312"/>
      <c r="N395" s="312"/>
      <c r="O395" s="312"/>
      <c r="P395" s="312"/>
      <c r="Q395" s="312"/>
      <c r="R395" s="312"/>
      <c r="S395" s="312"/>
      <c r="T395" s="312"/>
      <c r="U395" s="312"/>
      <c r="V395" s="313"/>
      <c r="W395" s="587">
        <f>'A-CALC'!V371</f>
        <v>0</v>
      </c>
      <c r="X395" s="590">
        <f>'A-CALC'!W371</f>
        <v>0</v>
      </c>
      <c r="Y395" s="590">
        <f>'A-CALC'!X371</f>
        <v>0</v>
      </c>
      <c r="Z395" s="593">
        <f t="shared" ref="Z395" si="289">ROUND((40/$Y$7)*W395,0)</f>
        <v>0</v>
      </c>
      <c r="AA395" s="301"/>
      <c r="AB395" s="583">
        <v>17</v>
      </c>
      <c r="AC395" s="584" t="str">
        <f t="shared" si="273"/>
        <v>માથાસુરીયા દિનેશભાઇ અમરાભાઇ</v>
      </c>
      <c r="AD395" s="311"/>
      <c r="AE395" s="312"/>
      <c r="AF395" s="312"/>
      <c r="AG395" s="312"/>
      <c r="AH395" s="312"/>
      <c r="AI395" s="312"/>
      <c r="AJ395" s="312"/>
      <c r="AK395" s="312"/>
      <c r="AL395" s="312"/>
      <c r="AM395" s="312"/>
      <c r="AN395" s="312"/>
      <c r="AO395" s="312"/>
      <c r="AP395" s="312"/>
      <c r="AQ395" s="312"/>
      <c r="AR395" s="312"/>
      <c r="AS395" s="312"/>
      <c r="AT395" s="312"/>
      <c r="AU395" s="312"/>
      <c r="AV395" s="312"/>
      <c r="AW395" s="313"/>
      <c r="AX395" s="587">
        <f>'A-CALC'!AU371</f>
        <v>0</v>
      </c>
      <c r="AY395" s="590">
        <f>'A-CALC'!AV371</f>
        <v>0</v>
      </c>
      <c r="AZ395" s="590">
        <f>'A-CALC'!AW371</f>
        <v>0</v>
      </c>
      <c r="BA395" s="593">
        <f t="shared" ref="BA395" si="290">ROUND((40/$Y$7)*AX395,0)</f>
        <v>0</v>
      </c>
    </row>
    <row r="396" spans="1:53" ht="9" customHeight="1">
      <c r="A396" s="583"/>
      <c r="B396" s="585"/>
      <c r="C396" s="314"/>
      <c r="D396" s="315"/>
      <c r="E396" s="315"/>
      <c r="F396" s="315"/>
      <c r="G396" s="315"/>
      <c r="H396" s="315"/>
      <c r="I396" s="315"/>
      <c r="J396" s="315"/>
      <c r="K396" s="315"/>
      <c r="L396" s="315"/>
      <c r="M396" s="315"/>
      <c r="N396" s="315"/>
      <c r="O396" s="315"/>
      <c r="P396" s="315"/>
      <c r="Q396" s="315"/>
      <c r="R396" s="315"/>
      <c r="S396" s="315"/>
      <c r="T396" s="315"/>
      <c r="U396" s="315"/>
      <c r="V396" s="316"/>
      <c r="W396" s="588"/>
      <c r="X396" s="591"/>
      <c r="Y396" s="591"/>
      <c r="Z396" s="594"/>
      <c r="AA396" s="301"/>
      <c r="AB396" s="583"/>
      <c r="AC396" s="585"/>
      <c r="AD396" s="314"/>
      <c r="AE396" s="315"/>
      <c r="AF396" s="315"/>
      <c r="AG396" s="315"/>
      <c r="AH396" s="315"/>
      <c r="AI396" s="315"/>
      <c r="AJ396" s="315"/>
      <c r="AK396" s="315"/>
      <c r="AL396" s="315"/>
      <c r="AM396" s="315"/>
      <c r="AN396" s="315"/>
      <c r="AO396" s="315"/>
      <c r="AP396" s="315"/>
      <c r="AQ396" s="315"/>
      <c r="AR396" s="315"/>
      <c r="AS396" s="315"/>
      <c r="AT396" s="315"/>
      <c r="AU396" s="315"/>
      <c r="AV396" s="315"/>
      <c r="AW396" s="316"/>
      <c r="AX396" s="588"/>
      <c r="AY396" s="591"/>
      <c r="AZ396" s="591"/>
      <c r="BA396" s="594"/>
    </row>
    <row r="397" spans="1:53" ht="9" customHeight="1">
      <c r="A397" s="583"/>
      <c r="B397" s="586"/>
      <c r="C397" s="317"/>
      <c r="D397" s="318"/>
      <c r="E397" s="318"/>
      <c r="F397" s="318"/>
      <c r="G397" s="318"/>
      <c r="H397" s="318"/>
      <c r="I397" s="318"/>
      <c r="J397" s="318"/>
      <c r="K397" s="318"/>
      <c r="L397" s="318"/>
      <c r="M397" s="318"/>
      <c r="N397" s="318"/>
      <c r="O397" s="318"/>
      <c r="P397" s="318"/>
      <c r="Q397" s="318"/>
      <c r="R397" s="318"/>
      <c r="S397" s="318"/>
      <c r="T397" s="318"/>
      <c r="U397" s="318"/>
      <c r="V397" s="319"/>
      <c r="W397" s="589"/>
      <c r="X397" s="592"/>
      <c r="Y397" s="592"/>
      <c r="Z397" s="594"/>
      <c r="AA397" s="301"/>
      <c r="AB397" s="583"/>
      <c r="AC397" s="586"/>
      <c r="AD397" s="317"/>
      <c r="AE397" s="318"/>
      <c r="AF397" s="318"/>
      <c r="AG397" s="318"/>
      <c r="AH397" s="318"/>
      <c r="AI397" s="318"/>
      <c r="AJ397" s="318"/>
      <c r="AK397" s="318"/>
      <c r="AL397" s="318"/>
      <c r="AM397" s="318"/>
      <c r="AN397" s="318"/>
      <c r="AO397" s="318"/>
      <c r="AP397" s="318"/>
      <c r="AQ397" s="318"/>
      <c r="AR397" s="318"/>
      <c r="AS397" s="318"/>
      <c r="AT397" s="318"/>
      <c r="AU397" s="318"/>
      <c r="AV397" s="318"/>
      <c r="AW397" s="319"/>
      <c r="AX397" s="589"/>
      <c r="AY397" s="592"/>
      <c r="AZ397" s="592"/>
      <c r="BA397" s="594"/>
    </row>
    <row r="398" spans="1:53" ht="9" customHeight="1">
      <c r="A398" s="583">
        <v>18</v>
      </c>
      <c r="B398" s="584" t="str">
        <f t="shared" si="271"/>
        <v>વાઘેલા હરેશ જીલુભાઇ</v>
      </c>
      <c r="C398" s="311"/>
      <c r="D398" s="312"/>
      <c r="E398" s="312"/>
      <c r="F398" s="312"/>
      <c r="G398" s="312"/>
      <c r="H398" s="312"/>
      <c r="I398" s="312"/>
      <c r="J398" s="312"/>
      <c r="K398" s="312"/>
      <c r="L398" s="312"/>
      <c r="M398" s="312"/>
      <c r="N398" s="312"/>
      <c r="O398" s="312"/>
      <c r="P398" s="312"/>
      <c r="Q398" s="312"/>
      <c r="R398" s="312"/>
      <c r="S398" s="312"/>
      <c r="T398" s="312"/>
      <c r="U398" s="312"/>
      <c r="V398" s="313"/>
      <c r="W398" s="587">
        <f>'A-CALC'!V374</f>
        <v>0</v>
      </c>
      <c r="X398" s="590">
        <f>'A-CALC'!W374</f>
        <v>0</v>
      </c>
      <c r="Y398" s="590">
        <f>'A-CALC'!X374</f>
        <v>0</v>
      </c>
      <c r="Z398" s="593">
        <f t="shared" ref="Z398" si="291">ROUND((40/$Y$7)*W398,0)</f>
        <v>0</v>
      </c>
      <c r="AA398" s="301"/>
      <c r="AB398" s="583">
        <v>18</v>
      </c>
      <c r="AC398" s="584" t="str">
        <f t="shared" si="273"/>
        <v>વાઘેલા હરેશ જીલુભાઇ</v>
      </c>
      <c r="AD398" s="311"/>
      <c r="AE398" s="312"/>
      <c r="AF398" s="312"/>
      <c r="AG398" s="312"/>
      <c r="AH398" s="312"/>
      <c r="AI398" s="312"/>
      <c r="AJ398" s="312"/>
      <c r="AK398" s="312"/>
      <c r="AL398" s="312"/>
      <c r="AM398" s="312"/>
      <c r="AN398" s="312"/>
      <c r="AO398" s="312"/>
      <c r="AP398" s="312"/>
      <c r="AQ398" s="312"/>
      <c r="AR398" s="312"/>
      <c r="AS398" s="312"/>
      <c r="AT398" s="312"/>
      <c r="AU398" s="312"/>
      <c r="AV398" s="312"/>
      <c r="AW398" s="313"/>
      <c r="AX398" s="587">
        <f>'A-CALC'!AU374</f>
        <v>0</v>
      </c>
      <c r="AY398" s="590">
        <f>'A-CALC'!AV374</f>
        <v>0</v>
      </c>
      <c r="AZ398" s="590">
        <f>'A-CALC'!AW374</f>
        <v>0</v>
      </c>
      <c r="BA398" s="593">
        <f t="shared" ref="BA398" si="292">ROUND((40/$Y$7)*AX398,0)</f>
        <v>0</v>
      </c>
    </row>
    <row r="399" spans="1:53" ht="9" customHeight="1">
      <c r="A399" s="583"/>
      <c r="B399" s="585"/>
      <c r="C399" s="314"/>
      <c r="D399" s="315"/>
      <c r="E399" s="315"/>
      <c r="F399" s="315"/>
      <c r="G399" s="315"/>
      <c r="H399" s="315"/>
      <c r="I399" s="315"/>
      <c r="J399" s="315"/>
      <c r="K399" s="315"/>
      <c r="L399" s="315"/>
      <c r="M399" s="315"/>
      <c r="N399" s="315"/>
      <c r="O399" s="315"/>
      <c r="P399" s="315"/>
      <c r="Q399" s="315"/>
      <c r="R399" s="315"/>
      <c r="S399" s="315"/>
      <c r="T399" s="315"/>
      <c r="U399" s="315"/>
      <c r="V399" s="316"/>
      <c r="W399" s="588"/>
      <c r="X399" s="591"/>
      <c r="Y399" s="591"/>
      <c r="Z399" s="594"/>
      <c r="AA399" s="301"/>
      <c r="AB399" s="583"/>
      <c r="AC399" s="585"/>
      <c r="AD399" s="314"/>
      <c r="AE399" s="315"/>
      <c r="AF399" s="315"/>
      <c r="AG399" s="315"/>
      <c r="AH399" s="315"/>
      <c r="AI399" s="315"/>
      <c r="AJ399" s="315"/>
      <c r="AK399" s="315"/>
      <c r="AL399" s="315"/>
      <c r="AM399" s="315"/>
      <c r="AN399" s="315"/>
      <c r="AO399" s="315"/>
      <c r="AP399" s="315"/>
      <c r="AQ399" s="315"/>
      <c r="AR399" s="315"/>
      <c r="AS399" s="315"/>
      <c r="AT399" s="315"/>
      <c r="AU399" s="315"/>
      <c r="AV399" s="315"/>
      <c r="AW399" s="316"/>
      <c r="AX399" s="588"/>
      <c r="AY399" s="591"/>
      <c r="AZ399" s="591"/>
      <c r="BA399" s="594"/>
    </row>
    <row r="400" spans="1:53" ht="9" customHeight="1">
      <c r="A400" s="583"/>
      <c r="B400" s="586"/>
      <c r="C400" s="317"/>
      <c r="D400" s="318"/>
      <c r="E400" s="318"/>
      <c r="F400" s="318"/>
      <c r="G400" s="318"/>
      <c r="H400" s="318"/>
      <c r="I400" s="318"/>
      <c r="J400" s="318"/>
      <c r="K400" s="318"/>
      <c r="L400" s="318"/>
      <c r="M400" s="318"/>
      <c r="N400" s="318"/>
      <c r="O400" s="318"/>
      <c r="P400" s="318"/>
      <c r="Q400" s="318"/>
      <c r="R400" s="318"/>
      <c r="S400" s="318"/>
      <c r="T400" s="318"/>
      <c r="U400" s="318"/>
      <c r="V400" s="319"/>
      <c r="W400" s="589"/>
      <c r="X400" s="592"/>
      <c r="Y400" s="592"/>
      <c r="Z400" s="594"/>
      <c r="AA400" s="301"/>
      <c r="AB400" s="583"/>
      <c r="AC400" s="586"/>
      <c r="AD400" s="317"/>
      <c r="AE400" s="318"/>
      <c r="AF400" s="318"/>
      <c r="AG400" s="318"/>
      <c r="AH400" s="318"/>
      <c r="AI400" s="318"/>
      <c r="AJ400" s="318"/>
      <c r="AK400" s="318"/>
      <c r="AL400" s="318"/>
      <c r="AM400" s="318"/>
      <c r="AN400" s="318"/>
      <c r="AO400" s="318"/>
      <c r="AP400" s="318"/>
      <c r="AQ400" s="318"/>
      <c r="AR400" s="318"/>
      <c r="AS400" s="318"/>
      <c r="AT400" s="318"/>
      <c r="AU400" s="318"/>
      <c r="AV400" s="318"/>
      <c r="AW400" s="319"/>
      <c r="AX400" s="589"/>
      <c r="AY400" s="592"/>
      <c r="AZ400" s="592"/>
      <c r="BA400" s="594"/>
    </row>
    <row r="401" spans="1:53" ht="9" customHeight="1">
      <c r="A401" s="583">
        <v>19</v>
      </c>
      <c r="B401" s="584" t="str">
        <f t="shared" si="271"/>
        <v>પરમાર દિલીપકુમાર મધુભાઇ</v>
      </c>
      <c r="C401" s="311"/>
      <c r="D401" s="312"/>
      <c r="E401" s="312"/>
      <c r="F401" s="312"/>
      <c r="G401" s="312"/>
      <c r="H401" s="312"/>
      <c r="I401" s="312"/>
      <c r="J401" s="312"/>
      <c r="K401" s="312"/>
      <c r="L401" s="312"/>
      <c r="M401" s="312"/>
      <c r="N401" s="312"/>
      <c r="O401" s="312"/>
      <c r="P401" s="312"/>
      <c r="Q401" s="312"/>
      <c r="R401" s="312"/>
      <c r="S401" s="312"/>
      <c r="T401" s="312"/>
      <c r="U401" s="312"/>
      <c r="V401" s="313"/>
      <c r="W401" s="587">
        <f>'A-CALC'!V377</f>
        <v>0</v>
      </c>
      <c r="X401" s="590">
        <f>'A-CALC'!W377</f>
        <v>0</v>
      </c>
      <c r="Y401" s="590">
        <f>'A-CALC'!X377</f>
        <v>0</v>
      </c>
      <c r="Z401" s="593">
        <f t="shared" ref="Z401" si="293">ROUND((40/$Y$7)*W401,0)</f>
        <v>0</v>
      </c>
      <c r="AA401" s="301"/>
      <c r="AB401" s="583">
        <v>19</v>
      </c>
      <c r="AC401" s="584" t="str">
        <f t="shared" si="273"/>
        <v>પરમાર દિલીપકુમાર મધુભાઇ</v>
      </c>
      <c r="AD401" s="311"/>
      <c r="AE401" s="312"/>
      <c r="AF401" s="312"/>
      <c r="AG401" s="312"/>
      <c r="AH401" s="312"/>
      <c r="AI401" s="312"/>
      <c r="AJ401" s="312"/>
      <c r="AK401" s="312"/>
      <c r="AL401" s="312"/>
      <c r="AM401" s="312"/>
      <c r="AN401" s="312"/>
      <c r="AO401" s="312"/>
      <c r="AP401" s="312"/>
      <c r="AQ401" s="312"/>
      <c r="AR401" s="312"/>
      <c r="AS401" s="312"/>
      <c r="AT401" s="312"/>
      <c r="AU401" s="312"/>
      <c r="AV401" s="312"/>
      <c r="AW401" s="313"/>
      <c r="AX401" s="587">
        <f>'A-CALC'!AU377</f>
        <v>0</v>
      </c>
      <c r="AY401" s="590">
        <f>'A-CALC'!AV377</f>
        <v>0</v>
      </c>
      <c r="AZ401" s="590">
        <f>'A-CALC'!AW377</f>
        <v>0</v>
      </c>
      <c r="BA401" s="593">
        <f t="shared" ref="BA401" si="294">ROUND((40/$Y$7)*AX401,0)</f>
        <v>0</v>
      </c>
    </row>
    <row r="402" spans="1:53" ht="9" customHeight="1">
      <c r="A402" s="583"/>
      <c r="B402" s="585"/>
      <c r="C402" s="314"/>
      <c r="D402" s="315"/>
      <c r="E402" s="315"/>
      <c r="F402" s="315"/>
      <c r="G402" s="315"/>
      <c r="H402" s="315"/>
      <c r="I402" s="315"/>
      <c r="J402" s="315"/>
      <c r="K402" s="315"/>
      <c r="L402" s="315"/>
      <c r="M402" s="315"/>
      <c r="N402" s="315"/>
      <c r="O402" s="315"/>
      <c r="P402" s="315"/>
      <c r="Q402" s="315"/>
      <c r="R402" s="315"/>
      <c r="S402" s="315"/>
      <c r="T402" s="315"/>
      <c r="U402" s="315"/>
      <c r="V402" s="316"/>
      <c r="W402" s="588"/>
      <c r="X402" s="591"/>
      <c r="Y402" s="591"/>
      <c r="Z402" s="594"/>
      <c r="AA402" s="301"/>
      <c r="AB402" s="583"/>
      <c r="AC402" s="585"/>
      <c r="AD402" s="314"/>
      <c r="AE402" s="315"/>
      <c r="AF402" s="315"/>
      <c r="AG402" s="315"/>
      <c r="AH402" s="315"/>
      <c r="AI402" s="315"/>
      <c r="AJ402" s="315"/>
      <c r="AK402" s="315"/>
      <c r="AL402" s="315"/>
      <c r="AM402" s="315"/>
      <c r="AN402" s="315"/>
      <c r="AO402" s="315"/>
      <c r="AP402" s="315"/>
      <c r="AQ402" s="315"/>
      <c r="AR402" s="315"/>
      <c r="AS402" s="315"/>
      <c r="AT402" s="315"/>
      <c r="AU402" s="315"/>
      <c r="AV402" s="315"/>
      <c r="AW402" s="316"/>
      <c r="AX402" s="588"/>
      <c r="AY402" s="591"/>
      <c r="AZ402" s="591"/>
      <c r="BA402" s="594"/>
    </row>
    <row r="403" spans="1:53" ht="9" customHeight="1">
      <c r="A403" s="583"/>
      <c r="B403" s="586"/>
      <c r="C403" s="317"/>
      <c r="D403" s="318"/>
      <c r="E403" s="318"/>
      <c r="F403" s="318"/>
      <c r="G403" s="318"/>
      <c r="H403" s="318"/>
      <c r="I403" s="318"/>
      <c r="J403" s="318"/>
      <c r="K403" s="318"/>
      <c r="L403" s="318"/>
      <c r="M403" s="318"/>
      <c r="N403" s="318"/>
      <c r="O403" s="318"/>
      <c r="P403" s="318"/>
      <c r="Q403" s="318"/>
      <c r="R403" s="318"/>
      <c r="S403" s="318"/>
      <c r="T403" s="318"/>
      <c r="U403" s="318"/>
      <c r="V403" s="319"/>
      <c r="W403" s="589"/>
      <c r="X403" s="592"/>
      <c r="Y403" s="592"/>
      <c r="Z403" s="594"/>
      <c r="AA403" s="301"/>
      <c r="AB403" s="583"/>
      <c r="AC403" s="586"/>
      <c r="AD403" s="317"/>
      <c r="AE403" s="318"/>
      <c r="AF403" s="318"/>
      <c r="AG403" s="318"/>
      <c r="AH403" s="318"/>
      <c r="AI403" s="318"/>
      <c r="AJ403" s="318"/>
      <c r="AK403" s="318"/>
      <c r="AL403" s="318"/>
      <c r="AM403" s="318"/>
      <c r="AN403" s="318"/>
      <c r="AO403" s="318"/>
      <c r="AP403" s="318"/>
      <c r="AQ403" s="318"/>
      <c r="AR403" s="318"/>
      <c r="AS403" s="318"/>
      <c r="AT403" s="318"/>
      <c r="AU403" s="318"/>
      <c r="AV403" s="318"/>
      <c r="AW403" s="319"/>
      <c r="AX403" s="589"/>
      <c r="AY403" s="592"/>
      <c r="AZ403" s="592"/>
      <c r="BA403" s="594"/>
    </row>
    <row r="404" spans="1:53" ht="9" customHeight="1">
      <c r="A404" s="583">
        <v>20</v>
      </c>
      <c r="B404" s="584" t="str">
        <f t="shared" si="271"/>
        <v>વિરપરા કૃણાલ હરેશભાઇ</v>
      </c>
      <c r="C404" s="311"/>
      <c r="D404" s="312"/>
      <c r="E404" s="312"/>
      <c r="F404" s="312"/>
      <c r="G404" s="312"/>
      <c r="H404" s="312"/>
      <c r="I404" s="312"/>
      <c r="J404" s="312"/>
      <c r="K404" s="312"/>
      <c r="L404" s="312"/>
      <c r="M404" s="312"/>
      <c r="N404" s="312"/>
      <c r="O404" s="312"/>
      <c r="P404" s="312"/>
      <c r="Q404" s="312"/>
      <c r="R404" s="312"/>
      <c r="S404" s="312"/>
      <c r="T404" s="312"/>
      <c r="U404" s="312"/>
      <c r="V404" s="313"/>
      <c r="W404" s="587">
        <f>'A-CALC'!V380</f>
        <v>0</v>
      </c>
      <c r="X404" s="590">
        <f>'A-CALC'!W380</f>
        <v>0</v>
      </c>
      <c r="Y404" s="590">
        <f>'A-CALC'!X380</f>
        <v>0</v>
      </c>
      <c r="Z404" s="593">
        <f t="shared" ref="Z404" si="295">ROUND((40/$Y$7)*W404,0)</f>
        <v>0</v>
      </c>
      <c r="AA404" s="301"/>
      <c r="AB404" s="583">
        <v>20</v>
      </c>
      <c r="AC404" s="584" t="str">
        <f t="shared" si="273"/>
        <v>વિરપરા કૃણાલ હરેશભાઇ</v>
      </c>
      <c r="AD404" s="311"/>
      <c r="AE404" s="312"/>
      <c r="AF404" s="312"/>
      <c r="AG404" s="312"/>
      <c r="AH404" s="312"/>
      <c r="AI404" s="312"/>
      <c r="AJ404" s="312"/>
      <c r="AK404" s="312"/>
      <c r="AL404" s="312"/>
      <c r="AM404" s="312"/>
      <c r="AN404" s="312"/>
      <c r="AO404" s="312"/>
      <c r="AP404" s="312"/>
      <c r="AQ404" s="312"/>
      <c r="AR404" s="312"/>
      <c r="AS404" s="312"/>
      <c r="AT404" s="312"/>
      <c r="AU404" s="312"/>
      <c r="AV404" s="312"/>
      <c r="AW404" s="313"/>
      <c r="AX404" s="587">
        <f>'A-CALC'!AU380</f>
        <v>0</v>
      </c>
      <c r="AY404" s="590">
        <f>'A-CALC'!AV380</f>
        <v>0</v>
      </c>
      <c r="AZ404" s="590">
        <f>'A-CALC'!AW380</f>
        <v>0</v>
      </c>
      <c r="BA404" s="593">
        <f t="shared" ref="BA404" si="296">ROUND((40/$Y$7)*AX404,0)</f>
        <v>0</v>
      </c>
    </row>
    <row r="405" spans="1:53" ht="9" customHeight="1">
      <c r="A405" s="583"/>
      <c r="B405" s="585"/>
      <c r="C405" s="314"/>
      <c r="D405" s="315"/>
      <c r="E405" s="315"/>
      <c r="F405" s="315"/>
      <c r="G405" s="315"/>
      <c r="H405" s="315"/>
      <c r="I405" s="315"/>
      <c r="J405" s="315"/>
      <c r="K405" s="315"/>
      <c r="L405" s="315"/>
      <c r="M405" s="315"/>
      <c r="N405" s="315"/>
      <c r="O405" s="315"/>
      <c r="P405" s="315"/>
      <c r="Q405" s="315"/>
      <c r="R405" s="315"/>
      <c r="S405" s="315"/>
      <c r="T405" s="315"/>
      <c r="U405" s="315"/>
      <c r="V405" s="316"/>
      <c r="W405" s="588"/>
      <c r="X405" s="591"/>
      <c r="Y405" s="591"/>
      <c r="Z405" s="594"/>
      <c r="AA405" s="301"/>
      <c r="AB405" s="583"/>
      <c r="AC405" s="585"/>
      <c r="AD405" s="314"/>
      <c r="AE405" s="315"/>
      <c r="AF405" s="315"/>
      <c r="AG405" s="315"/>
      <c r="AH405" s="315"/>
      <c r="AI405" s="315"/>
      <c r="AJ405" s="315"/>
      <c r="AK405" s="315"/>
      <c r="AL405" s="315"/>
      <c r="AM405" s="315"/>
      <c r="AN405" s="315"/>
      <c r="AO405" s="315"/>
      <c r="AP405" s="315"/>
      <c r="AQ405" s="315"/>
      <c r="AR405" s="315"/>
      <c r="AS405" s="315"/>
      <c r="AT405" s="315"/>
      <c r="AU405" s="315"/>
      <c r="AV405" s="315"/>
      <c r="AW405" s="316"/>
      <c r="AX405" s="588"/>
      <c r="AY405" s="591"/>
      <c r="AZ405" s="591"/>
      <c r="BA405" s="594"/>
    </row>
    <row r="406" spans="1:53" ht="9" customHeight="1">
      <c r="A406" s="583"/>
      <c r="B406" s="586"/>
      <c r="C406" s="317"/>
      <c r="D406" s="318"/>
      <c r="E406" s="318"/>
      <c r="F406" s="318"/>
      <c r="G406" s="318"/>
      <c r="H406" s="318"/>
      <c r="I406" s="318"/>
      <c r="J406" s="318"/>
      <c r="K406" s="318"/>
      <c r="L406" s="318"/>
      <c r="M406" s="318"/>
      <c r="N406" s="318"/>
      <c r="O406" s="318"/>
      <c r="P406" s="318"/>
      <c r="Q406" s="318"/>
      <c r="R406" s="318"/>
      <c r="S406" s="318"/>
      <c r="T406" s="318"/>
      <c r="U406" s="318"/>
      <c r="V406" s="319"/>
      <c r="W406" s="589"/>
      <c r="X406" s="592"/>
      <c r="Y406" s="592"/>
      <c r="Z406" s="594"/>
      <c r="AA406" s="301"/>
      <c r="AB406" s="583"/>
      <c r="AC406" s="586"/>
      <c r="AD406" s="317"/>
      <c r="AE406" s="318"/>
      <c r="AF406" s="318"/>
      <c r="AG406" s="318"/>
      <c r="AH406" s="318"/>
      <c r="AI406" s="318"/>
      <c r="AJ406" s="318"/>
      <c r="AK406" s="318"/>
      <c r="AL406" s="318"/>
      <c r="AM406" s="318"/>
      <c r="AN406" s="318"/>
      <c r="AO406" s="318"/>
      <c r="AP406" s="318"/>
      <c r="AQ406" s="318"/>
      <c r="AR406" s="318"/>
      <c r="AS406" s="318"/>
      <c r="AT406" s="318"/>
      <c r="AU406" s="318"/>
      <c r="AV406" s="318"/>
      <c r="AW406" s="319"/>
      <c r="AX406" s="589"/>
      <c r="AY406" s="592"/>
      <c r="AZ406" s="592"/>
      <c r="BA406" s="594"/>
    </row>
    <row r="407" spans="1:53" ht="9" customHeight="1">
      <c r="A407" s="583">
        <v>21</v>
      </c>
      <c r="B407" s="584" t="str">
        <f t="shared" si="271"/>
        <v>મકરૂબિયા જીજ્ઞેશભાઇ અશોકભાઇ</v>
      </c>
      <c r="C407" s="311"/>
      <c r="D407" s="312"/>
      <c r="E407" s="312"/>
      <c r="F407" s="312"/>
      <c r="G407" s="312"/>
      <c r="H407" s="312"/>
      <c r="I407" s="312"/>
      <c r="J407" s="312"/>
      <c r="K407" s="312"/>
      <c r="L407" s="312"/>
      <c r="M407" s="312"/>
      <c r="N407" s="312"/>
      <c r="O407" s="312"/>
      <c r="P407" s="312"/>
      <c r="Q407" s="312"/>
      <c r="R407" s="312"/>
      <c r="S407" s="312"/>
      <c r="T407" s="312"/>
      <c r="U407" s="312"/>
      <c r="V407" s="313"/>
      <c r="W407" s="587">
        <f>'A-CALC'!V383</f>
        <v>0</v>
      </c>
      <c r="X407" s="590">
        <f>'A-CALC'!W383</f>
        <v>0</v>
      </c>
      <c r="Y407" s="590">
        <f>'A-CALC'!X383</f>
        <v>0</v>
      </c>
      <c r="Z407" s="593">
        <f t="shared" ref="Z407" si="297">ROUND((40/$Y$7)*W407,0)</f>
        <v>0</v>
      </c>
      <c r="AA407" s="301"/>
      <c r="AB407" s="583">
        <v>21</v>
      </c>
      <c r="AC407" s="584" t="str">
        <f t="shared" si="273"/>
        <v>મકરૂબિયા જીજ્ઞેશભાઇ અશોકભાઇ</v>
      </c>
      <c r="AD407" s="311"/>
      <c r="AE407" s="312"/>
      <c r="AF407" s="312"/>
      <c r="AG407" s="312"/>
      <c r="AH407" s="312"/>
      <c r="AI407" s="312"/>
      <c r="AJ407" s="312"/>
      <c r="AK407" s="312"/>
      <c r="AL407" s="312"/>
      <c r="AM407" s="312"/>
      <c r="AN407" s="312"/>
      <c r="AO407" s="312"/>
      <c r="AP407" s="312"/>
      <c r="AQ407" s="312"/>
      <c r="AR407" s="312"/>
      <c r="AS407" s="312"/>
      <c r="AT407" s="312"/>
      <c r="AU407" s="312"/>
      <c r="AV407" s="312"/>
      <c r="AW407" s="313"/>
      <c r="AX407" s="587">
        <f>'A-CALC'!AU383</f>
        <v>0</v>
      </c>
      <c r="AY407" s="590">
        <f>'A-CALC'!AV383</f>
        <v>0</v>
      </c>
      <c r="AZ407" s="590">
        <f>'A-CALC'!AW383</f>
        <v>0</v>
      </c>
      <c r="BA407" s="593">
        <f t="shared" ref="BA407" si="298">ROUND((40/$Y$7)*AX407,0)</f>
        <v>0</v>
      </c>
    </row>
    <row r="408" spans="1:53" ht="9" customHeight="1">
      <c r="A408" s="583"/>
      <c r="B408" s="585"/>
      <c r="C408" s="314"/>
      <c r="D408" s="315"/>
      <c r="E408" s="315"/>
      <c r="F408" s="315"/>
      <c r="G408" s="315"/>
      <c r="H408" s="315"/>
      <c r="I408" s="315"/>
      <c r="J408" s="315"/>
      <c r="K408" s="315"/>
      <c r="L408" s="315"/>
      <c r="M408" s="315"/>
      <c r="N408" s="315"/>
      <c r="O408" s="315"/>
      <c r="P408" s="315"/>
      <c r="Q408" s="315"/>
      <c r="R408" s="315"/>
      <c r="S408" s="315"/>
      <c r="T408" s="315"/>
      <c r="U408" s="315"/>
      <c r="V408" s="316"/>
      <c r="W408" s="588"/>
      <c r="X408" s="591"/>
      <c r="Y408" s="591"/>
      <c r="Z408" s="594"/>
      <c r="AA408" s="301"/>
      <c r="AB408" s="583"/>
      <c r="AC408" s="585"/>
      <c r="AD408" s="314"/>
      <c r="AE408" s="315"/>
      <c r="AF408" s="315"/>
      <c r="AG408" s="315"/>
      <c r="AH408" s="315"/>
      <c r="AI408" s="315"/>
      <c r="AJ408" s="315"/>
      <c r="AK408" s="315"/>
      <c r="AL408" s="315"/>
      <c r="AM408" s="315"/>
      <c r="AN408" s="315"/>
      <c r="AO408" s="315"/>
      <c r="AP408" s="315"/>
      <c r="AQ408" s="315"/>
      <c r="AR408" s="315"/>
      <c r="AS408" s="315"/>
      <c r="AT408" s="315"/>
      <c r="AU408" s="315"/>
      <c r="AV408" s="315"/>
      <c r="AW408" s="316"/>
      <c r="AX408" s="588"/>
      <c r="AY408" s="591"/>
      <c r="AZ408" s="591"/>
      <c r="BA408" s="594"/>
    </row>
    <row r="409" spans="1:53" ht="9" customHeight="1">
      <c r="A409" s="583"/>
      <c r="B409" s="586"/>
      <c r="C409" s="317"/>
      <c r="D409" s="318"/>
      <c r="E409" s="318"/>
      <c r="F409" s="318"/>
      <c r="G409" s="318"/>
      <c r="H409" s="318"/>
      <c r="I409" s="318"/>
      <c r="J409" s="318"/>
      <c r="K409" s="318"/>
      <c r="L409" s="318"/>
      <c r="M409" s="318"/>
      <c r="N409" s="318"/>
      <c r="O409" s="318"/>
      <c r="P409" s="318"/>
      <c r="Q409" s="318"/>
      <c r="R409" s="318"/>
      <c r="S409" s="318"/>
      <c r="T409" s="318"/>
      <c r="U409" s="318"/>
      <c r="V409" s="319"/>
      <c r="W409" s="589"/>
      <c r="X409" s="592"/>
      <c r="Y409" s="592"/>
      <c r="Z409" s="594"/>
      <c r="AA409" s="301"/>
      <c r="AB409" s="583"/>
      <c r="AC409" s="586"/>
      <c r="AD409" s="317"/>
      <c r="AE409" s="318"/>
      <c r="AF409" s="318"/>
      <c r="AG409" s="318"/>
      <c r="AH409" s="318"/>
      <c r="AI409" s="318"/>
      <c r="AJ409" s="318"/>
      <c r="AK409" s="318"/>
      <c r="AL409" s="318"/>
      <c r="AM409" s="318"/>
      <c r="AN409" s="318"/>
      <c r="AO409" s="318"/>
      <c r="AP409" s="318"/>
      <c r="AQ409" s="318"/>
      <c r="AR409" s="318"/>
      <c r="AS409" s="318"/>
      <c r="AT409" s="318"/>
      <c r="AU409" s="318"/>
      <c r="AV409" s="318"/>
      <c r="AW409" s="319"/>
      <c r="AX409" s="589"/>
      <c r="AY409" s="592"/>
      <c r="AZ409" s="592"/>
      <c r="BA409" s="594"/>
    </row>
    <row r="410" spans="1:53" ht="9" customHeight="1">
      <c r="A410" s="583">
        <v>22</v>
      </c>
      <c r="B410" s="584" t="str">
        <f t="shared" si="271"/>
        <v>ખિમસુરીયા જ્યોત્સના મુકેશભાઇ</v>
      </c>
      <c r="C410" s="311"/>
      <c r="D410" s="312"/>
      <c r="E410" s="312"/>
      <c r="F410" s="312"/>
      <c r="G410" s="312"/>
      <c r="H410" s="312"/>
      <c r="I410" s="312"/>
      <c r="J410" s="312"/>
      <c r="K410" s="312"/>
      <c r="L410" s="312"/>
      <c r="M410" s="312"/>
      <c r="N410" s="312"/>
      <c r="O410" s="312"/>
      <c r="P410" s="312"/>
      <c r="Q410" s="312"/>
      <c r="R410" s="312"/>
      <c r="S410" s="312"/>
      <c r="T410" s="312"/>
      <c r="U410" s="312"/>
      <c r="V410" s="313"/>
      <c r="W410" s="587">
        <f>'A-CALC'!V386</f>
        <v>0</v>
      </c>
      <c r="X410" s="590">
        <f>'A-CALC'!W386</f>
        <v>0</v>
      </c>
      <c r="Y410" s="590">
        <f>'A-CALC'!X386</f>
        <v>0</v>
      </c>
      <c r="Z410" s="593">
        <f t="shared" ref="Z410" si="299">ROUND((40/$Y$7)*W410,0)</f>
        <v>0</v>
      </c>
      <c r="AA410" s="301"/>
      <c r="AB410" s="583">
        <v>22</v>
      </c>
      <c r="AC410" s="584" t="str">
        <f t="shared" si="273"/>
        <v>ખિમસુરીયા જ્યોત્સના મુકેશભાઇ</v>
      </c>
      <c r="AD410" s="311"/>
      <c r="AE410" s="312"/>
      <c r="AF410" s="312"/>
      <c r="AG410" s="312"/>
      <c r="AH410" s="312"/>
      <c r="AI410" s="312"/>
      <c r="AJ410" s="312"/>
      <c r="AK410" s="312"/>
      <c r="AL410" s="312"/>
      <c r="AM410" s="312"/>
      <c r="AN410" s="312"/>
      <c r="AO410" s="312"/>
      <c r="AP410" s="312"/>
      <c r="AQ410" s="312"/>
      <c r="AR410" s="312"/>
      <c r="AS410" s="312"/>
      <c r="AT410" s="312"/>
      <c r="AU410" s="312"/>
      <c r="AV410" s="312"/>
      <c r="AW410" s="313"/>
      <c r="AX410" s="587">
        <f>'A-CALC'!AU386</f>
        <v>0</v>
      </c>
      <c r="AY410" s="590">
        <f>'A-CALC'!AV386</f>
        <v>0</v>
      </c>
      <c r="AZ410" s="590">
        <f>'A-CALC'!AW386</f>
        <v>0</v>
      </c>
      <c r="BA410" s="593">
        <f t="shared" ref="BA410" si="300">ROUND((40/$Y$7)*AX410,0)</f>
        <v>0</v>
      </c>
    </row>
    <row r="411" spans="1:53" ht="9" customHeight="1">
      <c r="A411" s="583"/>
      <c r="B411" s="585"/>
      <c r="C411" s="314"/>
      <c r="D411" s="315"/>
      <c r="E411" s="315"/>
      <c r="F411" s="315"/>
      <c r="G411" s="315"/>
      <c r="H411" s="315"/>
      <c r="I411" s="315"/>
      <c r="J411" s="315"/>
      <c r="K411" s="315"/>
      <c r="L411" s="315"/>
      <c r="M411" s="315"/>
      <c r="N411" s="315"/>
      <c r="O411" s="315"/>
      <c r="P411" s="315"/>
      <c r="Q411" s="315"/>
      <c r="R411" s="315"/>
      <c r="S411" s="315"/>
      <c r="T411" s="315"/>
      <c r="U411" s="315"/>
      <c r="V411" s="316"/>
      <c r="W411" s="588"/>
      <c r="X411" s="591"/>
      <c r="Y411" s="591"/>
      <c r="Z411" s="594"/>
      <c r="AA411" s="301"/>
      <c r="AB411" s="583"/>
      <c r="AC411" s="585"/>
      <c r="AD411" s="314"/>
      <c r="AE411" s="315"/>
      <c r="AF411" s="315"/>
      <c r="AG411" s="315"/>
      <c r="AH411" s="315"/>
      <c r="AI411" s="315"/>
      <c r="AJ411" s="315"/>
      <c r="AK411" s="315"/>
      <c r="AL411" s="315"/>
      <c r="AM411" s="315"/>
      <c r="AN411" s="315"/>
      <c r="AO411" s="315"/>
      <c r="AP411" s="315"/>
      <c r="AQ411" s="315"/>
      <c r="AR411" s="315"/>
      <c r="AS411" s="315"/>
      <c r="AT411" s="315"/>
      <c r="AU411" s="315"/>
      <c r="AV411" s="315"/>
      <c r="AW411" s="316"/>
      <c r="AX411" s="588"/>
      <c r="AY411" s="591"/>
      <c r="AZ411" s="591"/>
      <c r="BA411" s="594"/>
    </row>
    <row r="412" spans="1:53" ht="9" customHeight="1">
      <c r="A412" s="583"/>
      <c r="B412" s="586"/>
      <c r="C412" s="317"/>
      <c r="D412" s="318"/>
      <c r="E412" s="318"/>
      <c r="F412" s="318"/>
      <c r="G412" s="318"/>
      <c r="H412" s="318"/>
      <c r="I412" s="318"/>
      <c r="J412" s="318"/>
      <c r="K412" s="318"/>
      <c r="L412" s="318"/>
      <c r="M412" s="318"/>
      <c r="N412" s="318"/>
      <c r="O412" s="318"/>
      <c r="P412" s="318"/>
      <c r="Q412" s="318"/>
      <c r="R412" s="318"/>
      <c r="S412" s="318"/>
      <c r="T412" s="318"/>
      <c r="U412" s="318"/>
      <c r="V412" s="319"/>
      <c r="W412" s="589"/>
      <c r="X412" s="592"/>
      <c r="Y412" s="592"/>
      <c r="Z412" s="594"/>
      <c r="AA412" s="301"/>
      <c r="AB412" s="583"/>
      <c r="AC412" s="586"/>
      <c r="AD412" s="317"/>
      <c r="AE412" s="318"/>
      <c r="AF412" s="318"/>
      <c r="AG412" s="318"/>
      <c r="AH412" s="318"/>
      <c r="AI412" s="318"/>
      <c r="AJ412" s="318"/>
      <c r="AK412" s="318"/>
      <c r="AL412" s="318"/>
      <c r="AM412" s="318"/>
      <c r="AN412" s="318"/>
      <c r="AO412" s="318"/>
      <c r="AP412" s="318"/>
      <c r="AQ412" s="318"/>
      <c r="AR412" s="318"/>
      <c r="AS412" s="318"/>
      <c r="AT412" s="318"/>
      <c r="AU412" s="318"/>
      <c r="AV412" s="318"/>
      <c r="AW412" s="319"/>
      <c r="AX412" s="589"/>
      <c r="AY412" s="592"/>
      <c r="AZ412" s="592"/>
      <c r="BA412" s="594"/>
    </row>
    <row r="413" spans="1:53" ht="9" customHeight="1">
      <c r="A413" s="583">
        <v>23</v>
      </c>
      <c r="B413" s="584" t="str">
        <f t="shared" si="271"/>
        <v>ગરણિયા રાજલબેન સામતભાઇ</v>
      </c>
      <c r="C413" s="311"/>
      <c r="D413" s="312"/>
      <c r="E413" s="312"/>
      <c r="F413" s="312"/>
      <c r="G413" s="312"/>
      <c r="H413" s="312"/>
      <c r="I413" s="312"/>
      <c r="J413" s="312"/>
      <c r="K413" s="312"/>
      <c r="L413" s="312"/>
      <c r="M413" s="312"/>
      <c r="N413" s="312"/>
      <c r="O413" s="312"/>
      <c r="P413" s="312"/>
      <c r="Q413" s="312"/>
      <c r="R413" s="312"/>
      <c r="S413" s="312"/>
      <c r="T413" s="312"/>
      <c r="U413" s="312"/>
      <c r="V413" s="313"/>
      <c r="W413" s="587">
        <f>'A-CALC'!V389</f>
        <v>0</v>
      </c>
      <c r="X413" s="590">
        <f>'A-CALC'!W389</f>
        <v>0</v>
      </c>
      <c r="Y413" s="590">
        <f>'A-CALC'!X389</f>
        <v>0</v>
      </c>
      <c r="Z413" s="593">
        <f t="shared" ref="Z413" si="301">ROUND((40/$Y$7)*W413,0)</f>
        <v>0</v>
      </c>
      <c r="AA413" s="301"/>
      <c r="AB413" s="583">
        <v>23</v>
      </c>
      <c r="AC413" s="584" t="str">
        <f t="shared" si="273"/>
        <v>ગરણિયા રાજલબેન સામતભાઇ</v>
      </c>
      <c r="AD413" s="311"/>
      <c r="AE413" s="312"/>
      <c r="AF413" s="312"/>
      <c r="AG413" s="312"/>
      <c r="AH413" s="312"/>
      <c r="AI413" s="312"/>
      <c r="AJ413" s="312"/>
      <c r="AK413" s="312"/>
      <c r="AL413" s="312"/>
      <c r="AM413" s="312"/>
      <c r="AN413" s="312"/>
      <c r="AO413" s="312"/>
      <c r="AP413" s="312"/>
      <c r="AQ413" s="312"/>
      <c r="AR413" s="312"/>
      <c r="AS413" s="312"/>
      <c r="AT413" s="312"/>
      <c r="AU413" s="312"/>
      <c r="AV413" s="312"/>
      <c r="AW413" s="313"/>
      <c r="AX413" s="587">
        <f>'A-CALC'!AU389</f>
        <v>0</v>
      </c>
      <c r="AY413" s="590">
        <f>'A-CALC'!AV389</f>
        <v>0</v>
      </c>
      <c r="AZ413" s="590">
        <f>'A-CALC'!AW389</f>
        <v>0</v>
      </c>
      <c r="BA413" s="593">
        <f t="shared" ref="BA413" si="302">ROUND((40/$Y$7)*AX413,0)</f>
        <v>0</v>
      </c>
    </row>
    <row r="414" spans="1:53" ht="9" customHeight="1">
      <c r="A414" s="583"/>
      <c r="B414" s="585"/>
      <c r="C414" s="314"/>
      <c r="D414" s="315"/>
      <c r="E414" s="315"/>
      <c r="F414" s="315"/>
      <c r="G414" s="315"/>
      <c r="H414" s="315"/>
      <c r="I414" s="315"/>
      <c r="J414" s="315"/>
      <c r="K414" s="315"/>
      <c r="L414" s="315"/>
      <c r="M414" s="315"/>
      <c r="N414" s="315"/>
      <c r="O414" s="315"/>
      <c r="P414" s="315"/>
      <c r="Q414" s="315"/>
      <c r="R414" s="315"/>
      <c r="S414" s="315"/>
      <c r="T414" s="315"/>
      <c r="U414" s="315"/>
      <c r="V414" s="316"/>
      <c r="W414" s="588"/>
      <c r="X414" s="591"/>
      <c r="Y414" s="591"/>
      <c r="Z414" s="594"/>
      <c r="AA414" s="301"/>
      <c r="AB414" s="583"/>
      <c r="AC414" s="585"/>
      <c r="AD414" s="314"/>
      <c r="AE414" s="315"/>
      <c r="AF414" s="315"/>
      <c r="AG414" s="315"/>
      <c r="AH414" s="315"/>
      <c r="AI414" s="315"/>
      <c r="AJ414" s="315"/>
      <c r="AK414" s="315"/>
      <c r="AL414" s="315"/>
      <c r="AM414" s="315"/>
      <c r="AN414" s="315"/>
      <c r="AO414" s="315"/>
      <c r="AP414" s="315"/>
      <c r="AQ414" s="315"/>
      <c r="AR414" s="315"/>
      <c r="AS414" s="315"/>
      <c r="AT414" s="315"/>
      <c r="AU414" s="315"/>
      <c r="AV414" s="315"/>
      <c r="AW414" s="316"/>
      <c r="AX414" s="588"/>
      <c r="AY414" s="591"/>
      <c r="AZ414" s="591"/>
      <c r="BA414" s="594"/>
    </row>
    <row r="415" spans="1:53" ht="9" customHeight="1">
      <c r="A415" s="583"/>
      <c r="B415" s="586"/>
      <c r="C415" s="317"/>
      <c r="D415" s="318"/>
      <c r="E415" s="318"/>
      <c r="F415" s="318"/>
      <c r="G415" s="318"/>
      <c r="H415" s="318"/>
      <c r="I415" s="318"/>
      <c r="J415" s="318"/>
      <c r="K415" s="318"/>
      <c r="L415" s="318"/>
      <c r="M415" s="318"/>
      <c r="N415" s="318"/>
      <c r="O415" s="318"/>
      <c r="P415" s="318"/>
      <c r="Q415" s="318"/>
      <c r="R415" s="318"/>
      <c r="S415" s="318"/>
      <c r="T415" s="318"/>
      <c r="U415" s="318"/>
      <c r="V415" s="319"/>
      <c r="W415" s="589"/>
      <c r="X415" s="592"/>
      <c r="Y415" s="592"/>
      <c r="Z415" s="594"/>
      <c r="AA415" s="301"/>
      <c r="AB415" s="583"/>
      <c r="AC415" s="586"/>
      <c r="AD415" s="317"/>
      <c r="AE415" s="318"/>
      <c r="AF415" s="318"/>
      <c r="AG415" s="318"/>
      <c r="AH415" s="318"/>
      <c r="AI415" s="318"/>
      <c r="AJ415" s="318"/>
      <c r="AK415" s="318"/>
      <c r="AL415" s="318"/>
      <c r="AM415" s="318"/>
      <c r="AN415" s="318"/>
      <c r="AO415" s="318"/>
      <c r="AP415" s="318"/>
      <c r="AQ415" s="318"/>
      <c r="AR415" s="318"/>
      <c r="AS415" s="318"/>
      <c r="AT415" s="318"/>
      <c r="AU415" s="318"/>
      <c r="AV415" s="318"/>
      <c r="AW415" s="319"/>
      <c r="AX415" s="589"/>
      <c r="AY415" s="592"/>
      <c r="AZ415" s="592"/>
      <c r="BA415" s="594"/>
    </row>
    <row r="416" spans="1:53" ht="9" customHeight="1">
      <c r="A416" s="583">
        <v>24</v>
      </c>
      <c r="B416" s="584" t="str">
        <f t="shared" si="271"/>
        <v>ગરણિયા નિરાલીબેન પ્રદીપભાઇ</v>
      </c>
      <c r="C416" s="311"/>
      <c r="D416" s="312"/>
      <c r="E416" s="312"/>
      <c r="F416" s="312"/>
      <c r="G416" s="312"/>
      <c r="H416" s="312"/>
      <c r="I416" s="312"/>
      <c r="J416" s="312"/>
      <c r="K416" s="312"/>
      <c r="L416" s="312"/>
      <c r="M416" s="312"/>
      <c r="N416" s="312"/>
      <c r="O416" s="312"/>
      <c r="P416" s="312"/>
      <c r="Q416" s="312"/>
      <c r="R416" s="312"/>
      <c r="S416" s="312"/>
      <c r="T416" s="312"/>
      <c r="U416" s="312"/>
      <c r="V416" s="313"/>
      <c r="W416" s="587">
        <f>'A-CALC'!V392</f>
        <v>0</v>
      </c>
      <c r="X416" s="590">
        <f>'A-CALC'!W392</f>
        <v>0</v>
      </c>
      <c r="Y416" s="590">
        <f>'A-CALC'!X392</f>
        <v>0</v>
      </c>
      <c r="Z416" s="593">
        <f t="shared" ref="Z416" si="303">ROUND((40/$Y$7)*W416,0)</f>
        <v>0</v>
      </c>
      <c r="AA416" s="301"/>
      <c r="AB416" s="583">
        <v>24</v>
      </c>
      <c r="AC416" s="584" t="str">
        <f t="shared" si="273"/>
        <v>ગરણિયા નિરાલીબેન પ્રદીપભાઇ</v>
      </c>
      <c r="AD416" s="311"/>
      <c r="AE416" s="312"/>
      <c r="AF416" s="312"/>
      <c r="AG416" s="312"/>
      <c r="AH416" s="312"/>
      <c r="AI416" s="312"/>
      <c r="AJ416" s="312"/>
      <c r="AK416" s="312"/>
      <c r="AL416" s="312"/>
      <c r="AM416" s="312"/>
      <c r="AN416" s="312"/>
      <c r="AO416" s="312"/>
      <c r="AP416" s="312"/>
      <c r="AQ416" s="312"/>
      <c r="AR416" s="312"/>
      <c r="AS416" s="312"/>
      <c r="AT416" s="312"/>
      <c r="AU416" s="312"/>
      <c r="AV416" s="312"/>
      <c r="AW416" s="313"/>
      <c r="AX416" s="587">
        <f>'A-CALC'!AU392</f>
        <v>0</v>
      </c>
      <c r="AY416" s="590">
        <f>'A-CALC'!AV392</f>
        <v>0</v>
      </c>
      <c r="AZ416" s="590">
        <f>'A-CALC'!AW392</f>
        <v>0</v>
      </c>
      <c r="BA416" s="593">
        <f t="shared" ref="BA416" si="304">ROUND((40/$Y$7)*AX416,0)</f>
        <v>0</v>
      </c>
    </row>
    <row r="417" spans="1:53" ht="9" customHeight="1">
      <c r="A417" s="583"/>
      <c r="B417" s="585"/>
      <c r="C417" s="314"/>
      <c r="D417" s="315"/>
      <c r="E417" s="315"/>
      <c r="F417" s="315"/>
      <c r="G417" s="315"/>
      <c r="H417" s="315"/>
      <c r="I417" s="315"/>
      <c r="J417" s="315"/>
      <c r="K417" s="315"/>
      <c r="L417" s="315"/>
      <c r="M417" s="315"/>
      <c r="N417" s="315"/>
      <c r="O417" s="315"/>
      <c r="P417" s="315"/>
      <c r="Q417" s="315"/>
      <c r="R417" s="315"/>
      <c r="S417" s="315"/>
      <c r="T417" s="315"/>
      <c r="U417" s="315"/>
      <c r="V417" s="316"/>
      <c r="W417" s="588"/>
      <c r="X417" s="591"/>
      <c r="Y417" s="591"/>
      <c r="Z417" s="594"/>
      <c r="AA417" s="301"/>
      <c r="AB417" s="583"/>
      <c r="AC417" s="585"/>
      <c r="AD417" s="314"/>
      <c r="AE417" s="315"/>
      <c r="AF417" s="315"/>
      <c r="AG417" s="315"/>
      <c r="AH417" s="315"/>
      <c r="AI417" s="315"/>
      <c r="AJ417" s="315"/>
      <c r="AK417" s="315"/>
      <c r="AL417" s="315"/>
      <c r="AM417" s="315"/>
      <c r="AN417" s="315"/>
      <c r="AO417" s="315"/>
      <c r="AP417" s="315"/>
      <c r="AQ417" s="315"/>
      <c r="AR417" s="315"/>
      <c r="AS417" s="315"/>
      <c r="AT417" s="315"/>
      <c r="AU417" s="315"/>
      <c r="AV417" s="315"/>
      <c r="AW417" s="316"/>
      <c r="AX417" s="588"/>
      <c r="AY417" s="591"/>
      <c r="AZ417" s="591"/>
      <c r="BA417" s="594"/>
    </row>
    <row r="418" spans="1:53" ht="9" customHeight="1">
      <c r="A418" s="583"/>
      <c r="B418" s="586"/>
      <c r="C418" s="317"/>
      <c r="D418" s="318"/>
      <c r="E418" s="318"/>
      <c r="F418" s="318"/>
      <c r="G418" s="318"/>
      <c r="H418" s="318"/>
      <c r="I418" s="318"/>
      <c r="J418" s="318"/>
      <c r="K418" s="318"/>
      <c r="L418" s="318"/>
      <c r="M418" s="318"/>
      <c r="N418" s="318"/>
      <c r="O418" s="318"/>
      <c r="P418" s="318"/>
      <c r="Q418" s="318"/>
      <c r="R418" s="318"/>
      <c r="S418" s="318"/>
      <c r="T418" s="318"/>
      <c r="U418" s="318"/>
      <c r="V418" s="319"/>
      <c r="W418" s="589"/>
      <c r="X418" s="592"/>
      <c r="Y418" s="592"/>
      <c r="Z418" s="594"/>
      <c r="AA418" s="301"/>
      <c r="AB418" s="583"/>
      <c r="AC418" s="586"/>
      <c r="AD418" s="317"/>
      <c r="AE418" s="318"/>
      <c r="AF418" s="318"/>
      <c r="AG418" s="318"/>
      <c r="AH418" s="318"/>
      <c r="AI418" s="318"/>
      <c r="AJ418" s="318"/>
      <c r="AK418" s="318"/>
      <c r="AL418" s="318"/>
      <c r="AM418" s="318"/>
      <c r="AN418" s="318"/>
      <c r="AO418" s="318"/>
      <c r="AP418" s="318"/>
      <c r="AQ418" s="318"/>
      <c r="AR418" s="318"/>
      <c r="AS418" s="318"/>
      <c r="AT418" s="318"/>
      <c r="AU418" s="318"/>
      <c r="AV418" s="318"/>
      <c r="AW418" s="319"/>
      <c r="AX418" s="589"/>
      <c r="AY418" s="592"/>
      <c r="AZ418" s="592"/>
      <c r="BA418" s="594"/>
    </row>
    <row r="419" spans="1:53" ht="9" customHeight="1">
      <c r="A419" s="583">
        <v>25</v>
      </c>
      <c r="B419" s="584" t="str">
        <f t="shared" si="271"/>
        <v>ગરણિયા રાધાબેન લક્ષ્મણભાઇ</v>
      </c>
      <c r="C419" s="311"/>
      <c r="D419" s="312"/>
      <c r="E419" s="312"/>
      <c r="F419" s="312"/>
      <c r="G419" s="312"/>
      <c r="H419" s="312"/>
      <c r="I419" s="312"/>
      <c r="J419" s="312"/>
      <c r="K419" s="312"/>
      <c r="L419" s="312"/>
      <c r="M419" s="312"/>
      <c r="N419" s="312"/>
      <c r="O419" s="312"/>
      <c r="P419" s="312"/>
      <c r="Q419" s="312"/>
      <c r="R419" s="312"/>
      <c r="S419" s="312"/>
      <c r="T419" s="312"/>
      <c r="U419" s="312"/>
      <c r="V419" s="313"/>
      <c r="W419" s="587">
        <f>'A-CALC'!V395</f>
        <v>0</v>
      </c>
      <c r="X419" s="590">
        <f>'A-CALC'!W395</f>
        <v>0</v>
      </c>
      <c r="Y419" s="590">
        <f>'A-CALC'!X395</f>
        <v>0</v>
      </c>
      <c r="Z419" s="593">
        <f t="shared" ref="Z419" si="305">ROUND((40/$Y$7)*W419,0)</f>
        <v>0</v>
      </c>
      <c r="AA419" s="301"/>
      <c r="AB419" s="583">
        <v>25</v>
      </c>
      <c r="AC419" s="584" t="str">
        <f t="shared" si="273"/>
        <v>ગરણિયા રાધાબેન લક્ષ્મણભાઇ</v>
      </c>
      <c r="AD419" s="311"/>
      <c r="AE419" s="312"/>
      <c r="AF419" s="312"/>
      <c r="AG419" s="312"/>
      <c r="AH419" s="312"/>
      <c r="AI419" s="312"/>
      <c r="AJ419" s="312"/>
      <c r="AK419" s="312"/>
      <c r="AL419" s="312"/>
      <c r="AM419" s="312"/>
      <c r="AN419" s="312"/>
      <c r="AO419" s="312"/>
      <c r="AP419" s="312"/>
      <c r="AQ419" s="312"/>
      <c r="AR419" s="312"/>
      <c r="AS419" s="312"/>
      <c r="AT419" s="312"/>
      <c r="AU419" s="312"/>
      <c r="AV419" s="312"/>
      <c r="AW419" s="313"/>
      <c r="AX419" s="587">
        <f>'A-CALC'!AU395</f>
        <v>0</v>
      </c>
      <c r="AY419" s="590">
        <f>'A-CALC'!AV395</f>
        <v>0</v>
      </c>
      <c r="AZ419" s="590">
        <f>'A-CALC'!AW395</f>
        <v>0</v>
      </c>
      <c r="BA419" s="593">
        <f t="shared" ref="BA419" si="306">ROUND((40/$Y$7)*AX419,0)</f>
        <v>0</v>
      </c>
    </row>
    <row r="420" spans="1:53" ht="9" customHeight="1">
      <c r="A420" s="583"/>
      <c r="B420" s="585"/>
      <c r="C420" s="314"/>
      <c r="D420" s="315"/>
      <c r="E420" s="315"/>
      <c r="F420" s="315"/>
      <c r="G420" s="315"/>
      <c r="H420" s="315"/>
      <c r="I420" s="315"/>
      <c r="J420" s="315"/>
      <c r="K420" s="315"/>
      <c r="L420" s="315"/>
      <c r="M420" s="315"/>
      <c r="N420" s="315"/>
      <c r="O420" s="315"/>
      <c r="P420" s="315"/>
      <c r="Q420" s="315"/>
      <c r="R420" s="315"/>
      <c r="S420" s="315"/>
      <c r="T420" s="315"/>
      <c r="U420" s="315"/>
      <c r="V420" s="316"/>
      <c r="W420" s="588"/>
      <c r="X420" s="591"/>
      <c r="Y420" s="591"/>
      <c r="Z420" s="594"/>
      <c r="AA420" s="301"/>
      <c r="AB420" s="583"/>
      <c r="AC420" s="585"/>
      <c r="AD420" s="314"/>
      <c r="AE420" s="315"/>
      <c r="AF420" s="315"/>
      <c r="AG420" s="315"/>
      <c r="AH420" s="315"/>
      <c r="AI420" s="315"/>
      <c r="AJ420" s="315"/>
      <c r="AK420" s="315"/>
      <c r="AL420" s="315"/>
      <c r="AM420" s="315"/>
      <c r="AN420" s="315"/>
      <c r="AO420" s="315"/>
      <c r="AP420" s="315"/>
      <c r="AQ420" s="315"/>
      <c r="AR420" s="315"/>
      <c r="AS420" s="315"/>
      <c r="AT420" s="315"/>
      <c r="AU420" s="315"/>
      <c r="AV420" s="315"/>
      <c r="AW420" s="316"/>
      <c r="AX420" s="588"/>
      <c r="AY420" s="591"/>
      <c r="AZ420" s="591"/>
      <c r="BA420" s="594"/>
    </row>
    <row r="421" spans="1:53" ht="9" customHeight="1">
      <c r="A421" s="583"/>
      <c r="B421" s="586"/>
      <c r="C421" s="317"/>
      <c r="D421" s="318"/>
      <c r="E421" s="318"/>
      <c r="F421" s="318"/>
      <c r="G421" s="318"/>
      <c r="H421" s="318"/>
      <c r="I421" s="318"/>
      <c r="J421" s="318"/>
      <c r="K421" s="318"/>
      <c r="L421" s="318"/>
      <c r="M421" s="318"/>
      <c r="N421" s="318"/>
      <c r="O421" s="318"/>
      <c r="P421" s="318"/>
      <c r="Q421" s="318"/>
      <c r="R421" s="318"/>
      <c r="S421" s="318"/>
      <c r="T421" s="318"/>
      <c r="U421" s="318"/>
      <c r="V421" s="319"/>
      <c r="W421" s="589"/>
      <c r="X421" s="592"/>
      <c r="Y421" s="592"/>
      <c r="Z421" s="594"/>
      <c r="AA421" s="301"/>
      <c r="AB421" s="583"/>
      <c r="AC421" s="586"/>
      <c r="AD421" s="317"/>
      <c r="AE421" s="318"/>
      <c r="AF421" s="318"/>
      <c r="AG421" s="318"/>
      <c r="AH421" s="318"/>
      <c r="AI421" s="318"/>
      <c r="AJ421" s="318"/>
      <c r="AK421" s="318"/>
      <c r="AL421" s="318"/>
      <c r="AM421" s="318"/>
      <c r="AN421" s="318"/>
      <c r="AO421" s="318"/>
      <c r="AP421" s="318"/>
      <c r="AQ421" s="318"/>
      <c r="AR421" s="318"/>
      <c r="AS421" s="318"/>
      <c r="AT421" s="318"/>
      <c r="AU421" s="318"/>
      <c r="AV421" s="318"/>
      <c r="AW421" s="319"/>
      <c r="AX421" s="589"/>
      <c r="AY421" s="592"/>
      <c r="AZ421" s="592"/>
      <c r="BA421" s="594"/>
    </row>
    <row r="422" spans="1:53" ht="9" customHeight="1">
      <c r="A422" s="583">
        <v>26</v>
      </c>
      <c r="B422" s="584" t="str">
        <f t="shared" si="271"/>
        <v>ગૌસ્વામિ મયુરીબેન રમેશગીરી</v>
      </c>
      <c r="C422" s="311"/>
      <c r="D422" s="312"/>
      <c r="E422" s="312"/>
      <c r="F422" s="312"/>
      <c r="G422" s="312"/>
      <c r="H422" s="312"/>
      <c r="I422" s="312"/>
      <c r="J422" s="312"/>
      <c r="K422" s="312"/>
      <c r="L422" s="312"/>
      <c r="M422" s="312"/>
      <c r="N422" s="312"/>
      <c r="O422" s="312"/>
      <c r="P422" s="312"/>
      <c r="Q422" s="312"/>
      <c r="R422" s="312"/>
      <c r="S422" s="312"/>
      <c r="T422" s="312"/>
      <c r="U422" s="312"/>
      <c r="V422" s="313"/>
      <c r="W422" s="587">
        <f>'A-CALC'!V398</f>
        <v>0</v>
      </c>
      <c r="X422" s="590">
        <f>'A-CALC'!W398</f>
        <v>0</v>
      </c>
      <c r="Y422" s="590">
        <f>'A-CALC'!X398</f>
        <v>0</v>
      </c>
      <c r="Z422" s="593">
        <f t="shared" ref="Z422" si="307">ROUND((40/$Y$7)*W422,0)</f>
        <v>0</v>
      </c>
      <c r="AA422" s="301"/>
      <c r="AB422" s="583">
        <v>26</v>
      </c>
      <c r="AC422" s="584" t="str">
        <f t="shared" si="273"/>
        <v>ગૌસ્વામિ મયુરીબેન રમેશગીરી</v>
      </c>
      <c r="AD422" s="311"/>
      <c r="AE422" s="312"/>
      <c r="AF422" s="312"/>
      <c r="AG422" s="312"/>
      <c r="AH422" s="312"/>
      <c r="AI422" s="312"/>
      <c r="AJ422" s="312"/>
      <c r="AK422" s="312"/>
      <c r="AL422" s="312"/>
      <c r="AM422" s="312"/>
      <c r="AN422" s="312"/>
      <c r="AO422" s="312"/>
      <c r="AP422" s="312"/>
      <c r="AQ422" s="312"/>
      <c r="AR422" s="312"/>
      <c r="AS422" s="312"/>
      <c r="AT422" s="312"/>
      <c r="AU422" s="312"/>
      <c r="AV422" s="312"/>
      <c r="AW422" s="313"/>
      <c r="AX422" s="587">
        <f>'A-CALC'!AU398</f>
        <v>0</v>
      </c>
      <c r="AY422" s="590">
        <f>'A-CALC'!AV398</f>
        <v>0</v>
      </c>
      <c r="AZ422" s="590">
        <f>'A-CALC'!AW398</f>
        <v>0</v>
      </c>
      <c r="BA422" s="593">
        <f t="shared" ref="BA422" si="308">ROUND((40/$Y$7)*AX422,0)</f>
        <v>0</v>
      </c>
    </row>
    <row r="423" spans="1:53" ht="9" customHeight="1">
      <c r="A423" s="583"/>
      <c r="B423" s="585"/>
      <c r="C423" s="314"/>
      <c r="D423" s="315"/>
      <c r="E423" s="315"/>
      <c r="F423" s="315"/>
      <c r="G423" s="315"/>
      <c r="H423" s="315"/>
      <c r="I423" s="315"/>
      <c r="J423" s="315"/>
      <c r="K423" s="315"/>
      <c r="L423" s="315"/>
      <c r="M423" s="315"/>
      <c r="N423" s="315"/>
      <c r="O423" s="315"/>
      <c r="P423" s="315"/>
      <c r="Q423" s="315"/>
      <c r="R423" s="315"/>
      <c r="S423" s="315"/>
      <c r="T423" s="315"/>
      <c r="U423" s="315"/>
      <c r="V423" s="316"/>
      <c r="W423" s="588"/>
      <c r="X423" s="591"/>
      <c r="Y423" s="591"/>
      <c r="Z423" s="594"/>
      <c r="AA423" s="301"/>
      <c r="AB423" s="583"/>
      <c r="AC423" s="585"/>
      <c r="AD423" s="314"/>
      <c r="AE423" s="315"/>
      <c r="AF423" s="315"/>
      <c r="AG423" s="315"/>
      <c r="AH423" s="315"/>
      <c r="AI423" s="315"/>
      <c r="AJ423" s="315"/>
      <c r="AK423" s="315"/>
      <c r="AL423" s="315"/>
      <c r="AM423" s="315"/>
      <c r="AN423" s="315"/>
      <c r="AO423" s="315"/>
      <c r="AP423" s="315"/>
      <c r="AQ423" s="315"/>
      <c r="AR423" s="315"/>
      <c r="AS423" s="315"/>
      <c r="AT423" s="315"/>
      <c r="AU423" s="315"/>
      <c r="AV423" s="315"/>
      <c r="AW423" s="316"/>
      <c r="AX423" s="588"/>
      <c r="AY423" s="591"/>
      <c r="AZ423" s="591"/>
      <c r="BA423" s="594"/>
    </row>
    <row r="424" spans="1:53" ht="9" customHeight="1">
      <c r="A424" s="583"/>
      <c r="B424" s="586"/>
      <c r="C424" s="317"/>
      <c r="D424" s="318"/>
      <c r="E424" s="318"/>
      <c r="F424" s="318"/>
      <c r="G424" s="318"/>
      <c r="H424" s="318"/>
      <c r="I424" s="318"/>
      <c r="J424" s="318"/>
      <c r="K424" s="318"/>
      <c r="L424" s="318"/>
      <c r="M424" s="318"/>
      <c r="N424" s="318"/>
      <c r="O424" s="318"/>
      <c r="P424" s="318"/>
      <c r="Q424" s="318"/>
      <c r="R424" s="318"/>
      <c r="S424" s="318"/>
      <c r="T424" s="318"/>
      <c r="U424" s="318"/>
      <c r="V424" s="319"/>
      <c r="W424" s="589"/>
      <c r="X424" s="592"/>
      <c r="Y424" s="592"/>
      <c r="Z424" s="594"/>
      <c r="AA424" s="301"/>
      <c r="AB424" s="583"/>
      <c r="AC424" s="586"/>
      <c r="AD424" s="317"/>
      <c r="AE424" s="318"/>
      <c r="AF424" s="318"/>
      <c r="AG424" s="318"/>
      <c r="AH424" s="318"/>
      <c r="AI424" s="318"/>
      <c r="AJ424" s="318"/>
      <c r="AK424" s="318"/>
      <c r="AL424" s="318"/>
      <c r="AM424" s="318"/>
      <c r="AN424" s="318"/>
      <c r="AO424" s="318"/>
      <c r="AP424" s="318"/>
      <c r="AQ424" s="318"/>
      <c r="AR424" s="318"/>
      <c r="AS424" s="318"/>
      <c r="AT424" s="318"/>
      <c r="AU424" s="318"/>
      <c r="AV424" s="318"/>
      <c r="AW424" s="319"/>
      <c r="AX424" s="589"/>
      <c r="AY424" s="592"/>
      <c r="AZ424" s="592"/>
      <c r="BA424" s="594"/>
    </row>
    <row r="425" spans="1:53" ht="9" customHeight="1">
      <c r="A425" s="583">
        <v>27</v>
      </c>
      <c r="B425" s="584" t="str">
        <f t="shared" si="271"/>
        <v>બતાડા જાનકી વાલાભાઇ</v>
      </c>
      <c r="C425" s="311"/>
      <c r="D425" s="312"/>
      <c r="E425" s="312"/>
      <c r="F425" s="312"/>
      <c r="G425" s="312"/>
      <c r="H425" s="312"/>
      <c r="I425" s="312"/>
      <c r="J425" s="312"/>
      <c r="K425" s="312"/>
      <c r="L425" s="312"/>
      <c r="M425" s="312"/>
      <c r="N425" s="312"/>
      <c r="O425" s="312"/>
      <c r="P425" s="312"/>
      <c r="Q425" s="312"/>
      <c r="R425" s="312"/>
      <c r="S425" s="312"/>
      <c r="T425" s="312"/>
      <c r="U425" s="312"/>
      <c r="V425" s="313"/>
      <c r="W425" s="587">
        <f>'A-CALC'!V401</f>
        <v>0</v>
      </c>
      <c r="X425" s="590">
        <f>'A-CALC'!W401</f>
        <v>0</v>
      </c>
      <c r="Y425" s="590">
        <f>'A-CALC'!X401</f>
        <v>0</v>
      </c>
      <c r="Z425" s="593">
        <f t="shared" ref="Z425" si="309">ROUND((40/$Y$7)*W425,0)</f>
        <v>0</v>
      </c>
      <c r="AA425" s="301"/>
      <c r="AB425" s="583">
        <v>27</v>
      </c>
      <c r="AC425" s="584" t="str">
        <f t="shared" si="273"/>
        <v>બતાડા જાનકી વાલાભાઇ</v>
      </c>
      <c r="AD425" s="311"/>
      <c r="AE425" s="312"/>
      <c r="AF425" s="312"/>
      <c r="AG425" s="312"/>
      <c r="AH425" s="312"/>
      <c r="AI425" s="312"/>
      <c r="AJ425" s="312"/>
      <c r="AK425" s="312"/>
      <c r="AL425" s="312"/>
      <c r="AM425" s="312"/>
      <c r="AN425" s="312"/>
      <c r="AO425" s="312"/>
      <c r="AP425" s="312"/>
      <c r="AQ425" s="312"/>
      <c r="AR425" s="312"/>
      <c r="AS425" s="312"/>
      <c r="AT425" s="312"/>
      <c r="AU425" s="312"/>
      <c r="AV425" s="312"/>
      <c r="AW425" s="313"/>
      <c r="AX425" s="587">
        <f>'A-CALC'!AU401</f>
        <v>0</v>
      </c>
      <c r="AY425" s="590">
        <f>'A-CALC'!AV401</f>
        <v>0</v>
      </c>
      <c r="AZ425" s="590">
        <f>'A-CALC'!AW401</f>
        <v>0</v>
      </c>
      <c r="BA425" s="593">
        <f t="shared" ref="BA425" si="310">ROUND((40/$Y$7)*AX425,0)</f>
        <v>0</v>
      </c>
    </row>
    <row r="426" spans="1:53" ht="9" customHeight="1">
      <c r="A426" s="583"/>
      <c r="B426" s="585"/>
      <c r="C426" s="314"/>
      <c r="D426" s="315"/>
      <c r="E426" s="315"/>
      <c r="F426" s="315"/>
      <c r="G426" s="315"/>
      <c r="H426" s="315"/>
      <c r="I426" s="315"/>
      <c r="J426" s="315"/>
      <c r="K426" s="315"/>
      <c r="L426" s="315"/>
      <c r="M426" s="315"/>
      <c r="N426" s="315"/>
      <c r="O426" s="315"/>
      <c r="P426" s="315"/>
      <c r="Q426" s="315"/>
      <c r="R426" s="315"/>
      <c r="S426" s="315"/>
      <c r="T426" s="315"/>
      <c r="U426" s="315"/>
      <c r="V426" s="316"/>
      <c r="W426" s="588"/>
      <c r="X426" s="591"/>
      <c r="Y426" s="591"/>
      <c r="Z426" s="594"/>
      <c r="AA426" s="301"/>
      <c r="AB426" s="583"/>
      <c r="AC426" s="585"/>
      <c r="AD426" s="314"/>
      <c r="AE426" s="315"/>
      <c r="AF426" s="315"/>
      <c r="AG426" s="315"/>
      <c r="AH426" s="315"/>
      <c r="AI426" s="315"/>
      <c r="AJ426" s="315"/>
      <c r="AK426" s="315"/>
      <c r="AL426" s="315"/>
      <c r="AM426" s="315"/>
      <c r="AN426" s="315"/>
      <c r="AO426" s="315"/>
      <c r="AP426" s="315"/>
      <c r="AQ426" s="315"/>
      <c r="AR426" s="315"/>
      <c r="AS426" s="315"/>
      <c r="AT426" s="315"/>
      <c r="AU426" s="315"/>
      <c r="AV426" s="315"/>
      <c r="AW426" s="316"/>
      <c r="AX426" s="588"/>
      <c r="AY426" s="591"/>
      <c r="AZ426" s="591"/>
      <c r="BA426" s="594"/>
    </row>
    <row r="427" spans="1:53" ht="9" customHeight="1">
      <c r="A427" s="583"/>
      <c r="B427" s="586"/>
      <c r="C427" s="317"/>
      <c r="D427" s="318"/>
      <c r="E427" s="318"/>
      <c r="F427" s="318"/>
      <c r="G427" s="318"/>
      <c r="H427" s="318"/>
      <c r="I427" s="318"/>
      <c r="J427" s="318"/>
      <c r="K427" s="318"/>
      <c r="L427" s="318"/>
      <c r="M427" s="318"/>
      <c r="N427" s="318"/>
      <c r="O427" s="318"/>
      <c r="P427" s="318"/>
      <c r="Q427" s="318"/>
      <c r="R427" s="318"/>
      <c r="S427" s="318"/>
      <c r="T427" s="318"/>
      <c r="U427" s="318"/>
      <c r="V427" s="319"/>
      <c r="W427" s="589"/>
      <c r="X427" s="592"/>
      <c r="Y427" s="592"/>
      <c r="Z427" s="594"/>
      <c r="AA427" s="301"/>
      <c r="AB427" s="583"/>
      <c r="AC427" s="586"/>
      <c r="AD427" s="317"/>
      <c r="AE427" s="318"/>
      <c r="AF427" s="318"/>
      <c r="AG427" s="318"/>
      <c r="AH427" s="318"/>
      <c r="AI427" s="318"/>
      <c r="AJ427" s="318"/>
      <c r="AK427" s="318"/>
      <c r="AL427" s="318"/>
      <c r="AM427" s="318"/>
      <c r="AN427" s="318"/>
      <c r="AO427" s="318"/>
      <c r="AP427" s="318"/>
      <c r="AQ427" s="318"/>
      <c r="AR427" s="318"/>
      <c r="AS427" s="318"/>
      <c r="AT427" s="318"/>
      <c r="AU427" s="318"/>
      <c r="AV427" s="318"/>
      <c r="AW427" s="319"/>
      <c r="AX427" s="589"/>
      <c r="AY427" s="592"/>
      <c r="AZ427" s="592"/>
      <c r="BA427" s="594"/>
    </row>
    <row r="428" spans="1:53" ht="9" customHeight="1">
      <c r="A428" s="583">
        <v>28</v>
      </c>
      <c r="B428" s="584" t="str">
        <f t="shared" si="271"/>
        <v>બતાડા ક્રિષ્નાબેન દેવશીભાઇ</v>
      </c>
      <c r="C428" s="311"/>
      <c r="D428" s="312"/>
      <c r="E428" s="312"/>
      <c r="F428" s="312"/>
      <c r="G428" s="312"/>
      <c r="H428" s="312"/>
      <c r="I428" s="312"/>
      <c r="J428" s="312"/>
      <c r="K428" s="312"/>
      <c r="L428" s="312"/>
      <c r="M428" s="312"/>
      <c r="N428" s="312"/>
      <c r="O428" s="312"/>
      <c r="P428" s="312"/>
      <c r="Q428" s="312"/>
      <c r="R428" s="312"/>
      <c r="S428" s="312"/>
      <c r="T428" s="312"/>
      <c r="U428" s="312"/>
      <c r="V428" s="313"/>
      <c r="W428" s="587">
        <f>'A-CALC'!V404</f>
        <v>0</v>
      </c>
      <c r="X428" s="590">
        <f>'A-CALC'!W404</f>
        <v>0</v>
      </c>
      <c r="Y428" s="590">
        <f>'A-CALC'!X404</f>
        <v>0</v>
      </c>
      <c r="Z428" s="593">
        <f t="shared" ref="Z428" si="311">ROUND((40/$Y$7)*W428,0)</f>
        <v>0</v>
      </c>
      <c r="AA428" s="301"/>
      <c r="AB428" s="583">
        <v>28</v>
      </c>
      <c r="AC428" s="584" t="str">
        <f t="shared" si="273"/>
        <v>બતાડા ક્રિષ્નાબેન દેવશીભાઇ</v>
      </c>
      <c r="AD428" s="311"/>
      <c r="AE428" s="312"/>
      <c r="AF428" s="312"/>
      <c r="AG428" s="312"/>
      <c r="AH428" s="312"/>
      <c r="AI428" s="312"/>
      <c r="AJ428" s="312"/>
      <c r="AK428" s="312"/>
      <c r="AL428" s="312"/>
      <c r="AM428" s="312"/>
      <c r="AN428" s="312"/>
      <c r="AO428" s="312"/>
      <c r="AP428" s="312"/>
      <c r="AQ428" s="312"/>
      <c r="AR428" s="312"/>
      <c r="AS428" s="312"/>
      <c r="AT428" s="312"/>
      <c r="AU428" s="312"/>
      <c r="AV428" s="312"/>
      <c r="AW428" s="313"/>
      <c r="AX428" s="587">
        <f>'A-CALC'!AU404</f>
        <v>0</v>
      </c>
      <c r="AY428" s="590">
        <f>'A-CALC'!AV404</f>
        <v>0</v>
      </c>
      <c r="AZ428" s="590">
        <f>'A-CALC'!AW404</f>
        <v>0</v>
      </c>
      <c r="BA428" s="593">
        <f t="shared" ref="BA428" si="312">ROUND((40/$Y$7)*AX428,0)</f>
        <v>0</v>
      </c>
    </row>
    <row r="429" spans="1:53" ht="9" customHeight="1">
      <c r="A429" s="583"/>
      <c r="B429" s="585"/>
      <c r="C429" s="314"/>
      <c r="D429" s="315"/>
      <c r="E429" s="315"/>
      <c r="F429" s="315"/>
      <c r="G429" s="315"/>
      <c r="H429" s="315"/>
      <c r="I429" s="315"/>
      <c r="J429" s="315"/>
      <c r="K429" s="315"/>
      <c r="L429" s="315"/>
      <c r="M429" s="315"/>
      <c r="N429" s="315"/>
      <c r="O429" s="315"/>
      <c r="P429" s="315"/>
      <c r="Q429" s="315"/>
      <c r="R429" s="315"/>
      <c r="S429" s="315"/>
      <c r="T429" s="315"/>
      <c r="U429" s="315"/>
      <c r="V429" s="316"/>
      <c r="W429" s="588"/>
      <c r="X429" s="591"/>
      <c r="Y429" s="591"/>
      <c r="Z429" s="594"/>
      <c r="AA429" s="301"/>
      <c r="AB429" s="583"/>
      <c r="AC429" s="585"/>
      <c r="AD429" s="314"/>
      <c r="AE429" s="315"/>
      <c r="AF429" s="315"/>
      <c r="AG429" s="315"/>
      <c r="AH429" s="315"/>
      <c r="AI429" s="315"/>
      <c r="AJ429" s="315"/>
      <c r="AK429" s="315"/>
      <c r="AL429" s="315"/>
      <c r="AM429" s="315"/>
      <c r="AN429" s="315"/>
      <c r="AO429" s="315"/>
      <c r="AP429" s="315"/>
      <c r="AQ429" s="315"/>
      <c r="AR429" s="315"/>
      <c r="AS429" s="315"/>
      <c r="AT429" s="315"/>
      <c r="AU429" s="315"/>
      <c r="AV429" s="315"/>
      <c r="AW429" s="316"/>
      <c r="AX429" s="588"/>
      <c r="AY429" s="591"/>
      <c r="AZ429" s="591"/>
      <c r="BA429" s="594"/>
    </row>
    <row r="430" spans="1:53" ht="9" customHeight="1">
      <c r="A430" s="583"/>
      <c r="B430" s="586"/>
      <c r="C430" s="317"/>
      <c r="D430" s="318"/>
      <c r="E430" s="318"/>
      <c r="F430" s="318"/>
      <c r="G430" s="318"/>
      <c r="H430" s="318"/>
      <c r="I430" s="318"/>
      <c r="J430" s="318"/>
      <c r="K430" s="318"/>
      <c r="L430" s="318"/>
      <c r="M430" s="318"/>
      <c r="N430" s="318"/>
      <c r="O430" s="318"/>
      <c r="P430" s="318"/>
      <c r="Q430" s="318"/>
      <c r="R430" s="318"/>
      <c r="S430" s="318"/>
      <c r="T430" s="318"/>
      <c r="U430" s="318"/>
      <c r="V430" s="319"/>
      <c r="W430" s="589"/>
      <c r="X430" s="592"/>
      <c r="Y430" s="592"/>
      <c r="Z430" s="594"/>
      <c r="AA430" s="301"/>
      <c r="AB430" s="583"/>
      <c r="AC430" s="586"/>
      <c r="AD430" s="317"/>
      <c r="AE430" s="318"/>
      <c r="AF430" s="318"/>
      <c r="AG430" s="318"/>
      <c r="AH430" s="318"/>
      <c r="AI430" s="318"/>
      <c r="AJ430" s="318"/>
      <c r="AK430" s="318"/>
      <c r="AL430" s="318"/>
      <c r="AM430" s="318"/>
      <c r="AN430" s="318"/>
      <c r="AO430" s="318"/>
      <c r="AP430" s="318"/>
      <c r="AQ430" s="318"/>
      <c r="AR430" s="318"/>
      <c r="AS430" s="318"/>
      <c r="AT430" s="318"/>
      <c r="AU430" s="318"/>
      <c r="AV430" s="318"/>
      <c r="AW430" s="319"/>
      <c r="AX430" s="589"/>
      <c r="AY430" s="592"/>
      <c r="AZ430" s="592"/>
      <c r="BA430" s="594"/>
    </row>
    <row r="431" spans="1:53" ht="9" customHeight="1">
      <c r="A431" s="583">
        <v>29</v>
      </c>
      <c r="B431" s="584" t="str">
        <f t="shared" si="271"/>
        <v>પરમાર અનિષા રમેશભાઇ</v>
      </c>
      <c r="C431" s="311"/>
      <c r="D431" s="312"/>
      <c r="E431" s="312"/>
      <c r="F431" s="312"/>
      <c r="G431" s="312"/>
      <c r="H431" s="312"/>
      <c r="I431" s="312"/>
      <c r="J431" s="312"/>
      <c r="K431" s="312"/>
      <c r="L431" s="312"/>
      <c r="M431" s="312"/>
      <c r="N431" s="312"/>
      <c r="O431" s="312"/>
      <c r="P431" s="312"/>
      <c r="Q431" s="312"/>
      <c r="R431" s="312"/>
      <c r="S431" s="312"/>
      <c r="T431" s="312"/>
      <c r="U431" s="312"/>
      <c r="V431" s="313"/>
      <c r="W431" s="587">
        <f>'A-CALC'!V407</f>
        <v>0</v>
      </c>
      <c r="X431" s="590">
        <f>'A-CALC'!W407</f>
        <v>0</v>
      </c>
      <c r="Y431" s="590">
        <f>'A-CALC'!X407</f>
        <v>0</v>
      </c>
      <c r="Z431" s="593">
        <f t="shared" ref="Z431" si="313">ROUND((40/$Y$7)*W431,0)</f>
        <v>0</v>
      </c>
      <c r="AA431" s="301"/>
      <c r="AB431" s="583">
        <v>29</v>
      </c>
      <c r="AC431" s="584" t="str">
        <f t="shared" si="273"/>
        <v>પરમાર અનિષા રમેશભાઇ</v>
      </c>
      <c r="AD431" s="311"/>
      <c r="AE431" s="312"/>
      <c r="AF431" s="312"/>
      <c r="AG431" s="312"/>
      <c r="AH431" s="312"/>
      <c r="AI431" s="312"/>
      <c r="AJ431" s="312"/>
      <c r="AK431" s="312"/>
      <c r="AL431" s="312"/>
      <c r="AM431" s="312"/>
      <c r="AN431" s="312"/>
      <c r="AO431" s="312"/>
      <c r="AP431" s="312"/>
      <c r="AQ431" s="312"/>
      <c r="AR431" s="312"/>
      <c r="AS431" s="312"/>
      <c r="AT431" s="312"/>
      <c r="AU431" s="312"/>
      <c r="AV431" s="312"/>
      <c r="AW431" s="313"/>
      <c r="AX431" s="587">
        <f>'A-CALC'!AU407</f>
        <v>0</v>
      </c>
      <c r="AY431" s="590">
        <f>'A-CALC'!AV407</f>
        <v>0</v>
      </c>
      <c r="AZ431" s="590">
        <f>'A-CALC'!AW407</f>
        <v>0</v>
      </c>
      <c r="BA431" s="593">
        <f t="shared" ref="BA431" si="314">ROUND((40/$Y$7)*AX431,0)</f>
        <v>0</v>
      </c>
    </row>
    <row r="432" spans="1:53" ht="9" customHeight="1">
      <c r="A432" s="583"/>
      <c r="B432" s="585"/>
      <c r="C432" s="314"/>
      <c r="D432" s="315"/>
      <c r="E432" s="315"/>
      <c r="F432" s="315"/>
      <c r="G432" s="315"/>
      <c r="H432" s="315"/>
      <c r="I432" s="315"/>
      <c r="J432" s="315"/>
      <c r="K432" s="315"/>
      <c r="L432" s="315"/>
      <c r="M432" s="315"/>
      <c r="N432" s="315"/>
      <c r="O432" s="315"/>
      <c r="P432" s="315"/>
      <c r="Q432" s="315"/>
      <c r="R432" s="315"/>
      <c r="S432" s="315"/>
      <c r="T432" s="315"/>
      <c r="U432" s="315"/>
      <c r="V432" s="316"/>
      <c r="W432" s="588"/>
      <c r="X432" s="591"/>
      <c r="Y432" s="591"/>
      <c r="Z432" s="594"/>
      <c r="AA432" s="301"/>
      <c r="AB432" s="583"/>
      <c r="AC432" s="585"/>
      <c r="AD432" s="314"/>
      <c r="AE432" s="315"/>
      <c r="AF432" s="315"/>
      <c r="AG432" s="315"/>
      <c r="AH432" s="315"/>
      <c r="AI432" s="315"/>
      <c r="AJ432" s="315"/>
      <c r="AK432" s="315"/>
      <c r="AL432" s="315"/>
      <c r="AM432" s="315"/>
      <c r="AN432" s="315"/>
      <c r="AO432" s="315"/>
      <c r="AP432" s="315"/>
      <c r="AQ432" s="315"/>
      <c r="AR432" s="315"/>
      <c r="AS432" s="315"/>
      <c r="AT432" s="315"/>
      <c r="AU432" s="315"/>
      <c r="AV432" s="315"/>
      <c r="AW432" s="316"/>
      <c r="AX432" s="588"/>
      <c r="AY432" s="591"/>
      <c r="AZ432" s="591"/>
      <c r="BA432" s="594"/>
    </row>
    <row r="433" spans="1:53" ht="9" customHeight="1">
      <c r="A433" s="583"/>
      <c r="B433" s="586"/>
      <c r="C433" s="317"/>
      <c r="D433" s="318"/>
      <c r="E433" s="318"/>
      <c r="F433" s="318"/>
      <c r="G433" s="318"/>
      <c r="H433" s="318"/>
      <c r="I433" s="318"/>
      <c r="J433" s="318"/>
      <c r="K433" s="318"/>
      <c r="L433" s="318"/>
      <c r="M433" s="318"/>
      <c r="N433" s="318"/>
      <c r="O433" s="318"/>
      <c r="P433" s="318"/>
      <c r="Q433" s="318"/>
      <c r="R433" s="318"/>
      <c r="S433" s="318"/>
      <c r="T433" s="318"/>
      <c r="U433" s="318"/>
      <c r="V433" s="319"/>
      <c r="W433" s="589"/>
      <c r="X433" s="592"/>
      <c r="Y433" s="592"/>
      <c r="Z433" s="594"/>
      <c r="AA433" s="301"/>
      <c r="AB433" s="583"/>
      <c r="AC433" s="586"/>
      <c r="AD433" s="317"/>
      <c r="AE433" s="318"/>
      <c r="AF433" s="318"/>
      <c r="AG433" s="318"/>
      <c r="AH433" s="318"/>
      <c r="AI433" s="318"/>
      <c r="AJ433" s="318"/>
      <c r="AK433" s="318"/>
      <c r="AL433" s="318"/>
      <c r="AM433" s="318"/>
      <c r="AN433" s="318"/>
      <c r="AO433" s="318"/>
      <c r="AP433" s="318"/>
      <c r="AQ433" s="318"/>
      <c r="AR433" s="318"/>
      <c r="AS433" s="318"/>
      <c r="AT433" s="318"/>
      <c r="AU433" s="318"/>
      <c r="AV433" s="318"/>
      <c r="AW433" s="319"/>
      <c r="AX433" s="589"/>
      <c r="AY433" s="592"/>
      <c r="AZ433" s="592"/>
      <c r="BA433" s="594"/>
    </row>
    <row r="434" spans="1:53" ht="9" customHeight="1">
      <c r="A434" s="583">
        <v>30</v>
      </c>
      <c r="B434" s="584" t="str">
        <f t="shared" ref="B434:B449" si="315">B322</f>
        <v>મકરૂબિયા નમ્રતા વશરામભાઇ</v>
      </c>
      <c r="C434" s="311"/>
      <c r="D434" s="312"/>
      <c r="E434" s="312"/>
      <c r="F434" s="312"/>
      <c r="G434" s="312"/>
      <c r="H434" s="312"/>
      <c r="I434" s="312"/>
      <c r="J434" s="312"/>
      <c r="K434" s="312"/>
      <c r="L434" s="312"/>
      <c r="M434" s="312"/>
      <c r="N434" s="312"/>
      <c r="O434" s="312"/>
      <c r="P434" s="312"/>
      <c r="Q434" s="312"/>
      <c r="R434" s="312"/>
      <c r="S434" s="312"/>
      <c r="T434" s="312"/>
      <c r="U434" s="312"/>
      <c r="V434" s="313"/>
      <c r="W434" s="587">
        <f>'A-CALC'!V410</f>
        <v>0</v>
      </c>
      <c r="X434" s="590">
        <f>'A-CALC'!W410</f>
        <v>0</v>
      </c>
      <c r="Y434" s="590">
        <f>'A-CALC'!X410</f>
        <v>0</v>
      </c>
      <c r="Z434" s="593">
        <f t="shared" ref="Z434" si="316">ROUND((40/$Y$7)*W434,0)</f>
        <v>0</v>
      </c>
      <c r="AA434" s="301"/>
      <c r="AB434" s="583">
        <v>30</v>
      </c>
      <c r="AC434" s="584" t="str">
        <f t="shared" ref="AC434:AC449" si="317">AC322</f>
        <v>મકરૂબિયા નમ્રતા વશરામભાઇ</v>
      </c>
      <c r="AD434" s="311"/>
      <c r="AE434" s="312"/>
      <c r="AF434" s="312"/>
      <c r="AG434" s="312"/>
      <c r="AH434" s="312"/>
      <c r="AI434" s="312"/>
      <c r="AJ434" s="312"/>
      <c r="AK434" s="312"/>
      <c r="AL434" s="312"/>
      <c r="AM434" s="312"/>
      <c r="AN434" s="312"/>
      <c r="AO434" s="312"/>
      <c r="AP434" s="312"/>
      <c r="AQ434" s="312"/>
      <c r="AR434" s="312"/>
      <c r="AS434" s="312"/>
      <c r="AT434" s="312"/>
      <c r="AU434" s="312"/>
      <c r="AV434" s="312"/>
      <c r="AW434" s="313"/>
      <c r="AX434" s="587">
        <f>'A-CALC'!AU410</f>
        <v>0</v>
      </c>
      <c r="AY434" s="590">
        <f>'A-CALC'!AV410</f>
        <v>0</v>
      </c>
      <c r="AZ434" s="590">
        <f>'A-CALC'!AW410</f>
        <v>0</v>
      </c>
      <c r="BA434" s="593">
        <f t="shared" ref="BA434" si="318">ROUND((40/$Y$7)*AX434,0)</f>
        <v>0</v>
      </c>
    </row>
    <row r="435" spans="1:53" ht="9" customHeight="1">
      <c r="A435" s="583"/>
      <c r="B435" s="585"/>
      <c r="C435" s="314"/>
      <c r="D435" s="315"/>
      <c r="E435" s="315"/>
      <c r="F435" s="315"/>
      <c r="G435" s="315"/>
      <c r="H435" s="315"/>
      <c r="I435" s="315"/>
      <c r="J435" s="315"/>
      <c r="K435" s="315"/>
      <c r="L435" s="315"/>
      <c r="M435" s="315"/>
      <c r="N435" s="315"/>
      <c r="O435" s="315"/>
      <c r="P435" s="315"/>
      <c r="Q435" s="315"/>
      <c r="R435" s="315"/>
      <c r="S435" s="315"/>
      <c r="T435" s="315"/>
      <c r="U435" s="315"/>
      <c r="V435" s="316"/>
      <c r="W435" s="588"/>
      <c r="X435" s="591"/>
      <c r="Y435" s="591"/>
      <c r="Z435" s="594"/>
      <c r="AA435" s="301"/>
      <c r="AB435" s="583"/>
      <c r="AC435" s="585"/>
      <c r="AD435" s="314"/>
      <c r="AE435" s="315"/>
      <c r="AF435" s="315"/>
      <c r="AG435" s="315"/>
      <c r="AH435" s="315"/>
      <c r="AI435" s="315"/>
      <c r="AJ435" s="315"/>
      <c r="AK435" s="315"/>
      <c r="AL435" s="315"/>
      <c r="AM435" s="315"/>
      <c r="AN435" s="315"/>
      <c r="AO435" s="315"/>
      <c r="AP435" s="315"/>
      <c r="AQ435" s="315"/>
      <c r="AR435" s="315"/>
      <c r="AS435" s="315"/>
      <c r="AT435" s="315"/>
      <c r="AU435" s="315"/>
      <c r="AV435" s="315"/>
      <c r="AW435" s="316"/>
      <c r="AX435" s="588"/>
      <c r="AY435" s="591"/>
      <c r="AZ435" s="591"/>
      <c r="BA435" s="594"/>
    </row>
    <row r="436" spans="1:53" ht="9" customHeight="1">
      <c r="A436" s="583"/>
      <c r="B436" s="586"/>
      <c r="C436" s="317"/>
      <c r="D436" s="318"/>
      <c r="E436" s="318"/>
      <c r="F436" s="318"/>
      <c r="G436" s="318"/>
      <c r="H436" s="318"/>
      <c r="I436" s="318"/>
      <c r="J436" s="318"/>
      <c r="K436" s="318"/>
      <c r="L436" s="318"/>
      <c r="M436" s="318"/>
      <c r="N436" s="318"/>
      <c r="O436" s="318"/>
      <c r="P436" s="318"/>
      <c r="Q436" s="318"/>
      <c r="R436" s="318"/>
      <c r="S436" s="318"/>
      <c r="T436" s="318"/>
      <c r="U436" s="318"/>
      <c r="V436" s="319"/>
      <c r="W436" s="589"/>
      <c r="X436" s="592"/>
      <c r="Y436" s="592"/>
      <c r="Z436" s="594"/>
      <c r="AA436" s="301"/>
      <c r="AB436" s="583"/>
      <c r="AC436" s="586"/>
      <c r="AD436" s="317"/>
      <c r="AE436" s="318"/>
      <c r="AF436" s="318"/>
      <c r="AG436" s="318"/>
      <c r="AH436" s="318"/>
      <c r="AI436" s="318"/>
      <c r="AJ436" s="318"/>
      <c r="AK436" s="318"/>
      <c r="AL436" s="318"/>
      <c r="AM436" s="318"/>
      <c r="AN436" s="318"/>
      <c r="AO436" s="318"/>
      <c r="AP436" s="318"/>
      <c r="AQ436" s="318"/>
      <c r="AR436" s="318"/>
      <c r="AS436" s="318"/>
      <c r="AT436" s="318"/>
      <c r="AU436" s="318"/>
      <c r="AV436" s="318"/>
      <c r="AW436" s="319"/>
      <c r="AX436" s="589"/>
      <c r="AY436" s="592"/>
      <c r="AZ436" s="592"/>
      <c r="BA436" s="594"/>
    </row>
    <row r="437" spans="1:53" ht="9" customHeight="1">
      <c r="A437" s="583">
        <v>31</v>
      </c>
      <c r="B437" s="584">
        <f t="shared" si="315"/>
        <v>0</v>
      </c>
      <c r="C437" s="311"/>
      <c r="D437" s="312"/>
      <c r="E437" s="312"/>
      <c r="F437" s="312"/>
      <c r="G437" s="312"/>
      <c r="H437" s="312"/>
      <c r="I437" s="312"/>
      <c r="J437" s="312"/>
      <c r="K437" s="312"/>
      <c r="L437" s="312"/>
      <c r="M437" s="312"/>
      <c r="N437" s="312"/>
      <c r="O437" s="312"/>
      <c r="P437" s="312"/>
      <c r="Q437" s="312"/>
      <c r="R437" s="312"/>
      <c r="S437" s="312"/>
      <c r="T437" s="312"/>
      <c r="U437" s="312"/>
      <c r="V437" s="313"/>
      <c r="W437" s="587">
        <f>'A-CALC'!V413</f>
        <v>0</v>
      </c>
      <c r="X437" s="590">
        <f>'A-CALC'!W413</f>
        <v>0</v>
      </c>
      <c r="Y437" s="590">
        <f>'A-CALC'!X413</f>
        <v>0</v>
      </c>
      <c r="Z437" s="593">
        <f t="shared" ref="Z437" si="319">ROUND((40/$Y$7)*W437,0)</f>
        <v>0</v>
      </c>
      <c r="AA437" s="301"/>
      <c r="AB437" s="583">
        <v>31</v>
      </c>
      <c r="AC437" s="584">
        <f t="shared" si="317"/>
        <v>0</v>
      </c>
      <c r="AD437" s="311"/>
      <c r="AE437" s="312"/>
      <c r="AF437" s="312"/>
      <c r="AG437" s="312"/>
      <c r="AH437" s="312"/>
      <c r="AI437" s="312"/>
      <c r="AJ437" s="312"/>
      <c r="AK437" s="312"/>
      <c r="AL437" s="312"/>
      <c r="AM437" s="312"/>
      <c r="AN437" s="312"/>
      <c r="AO437" s="312"/>
      <c r="AP437" s="312"/>
      <c r="AQ437" s="312"/>
      <c r="AR437" s="312"/>
      <c r="AS437" s="312"/>
      <c r="AT437" s="312"/>
      <c r="AU437" s="312"/>
      <c r="AV437" s="312"/>
      <c r="AW437" s="313"/>
      <c r="AX437" s="587">
        <f>'A-CALC'!AU413</f>
        <v>0</v>
      </c>
      <c r="AY437" s="590">
        <f>'A-CALC'!AV413</f>
        <v>0</v>
      </c>
      <c r="AZ437" s="590">
        <f>'A-CALC'!AW413</f>
        <v>0</v>
      </c>
      <c r="BA437" s="593">
        <f t="shared" ref="BA437" si="320">ROUND((40/$Y$7)*AX437,0)</f>
        <v>0</v>
      </c>
    </row>
    <row r="438" spans="1:53" ht="9" customHeight="1">
      <c r="A438" s="583"/>
      <c r="B438" s="585"/>
      <c r="C438" s="314"/>
      <c r="D438" s="315"/>
      <c r="E438" s="315"/>
      <c r="F438" s="315"/>
      <c r="G438" s="315"/>
      <c r="H438" s="315"/>
      <c r="I438" s="315"/>
      <c r="J438" s="315"/>
      <c r="K438" s="315"/>
      <c r="L438" s="315"/>
      <c r="M438" s="315"/>
      <c r="N438" s="315"/>
      <c r="O438" s="315"/>
      <c r="P438" s="315"/>
      <c r="Q438" s="315"/>
      <c r="R438" s="315"/>
      <c r="S438" s="315"/>
      <c r="T438" s="315"/>
      <c r="U438" s="315"/>
      <c r="V438" s="316"/>
      <c r="W438" s="588"/>
      <c r="X438" s="591"/>
      <c r="Y438" s="591"/>
      <c r="Z438" s="594"/>
      <c r="AA438" s="301"/>
      <c r="AB438" s="583"/>
      <c r="AC438" s="585"/>
      <c r="AD438" s="314"/>
      <c r="AE438" s="315"/>
      <c r="AF438" s="315"/>
      <c r="AG438" s="315"/>
      <c r="AH438" s="315"/>
      <c r="AI438" s="315"/>
      <c r="AJ438" s="315"/>
      <c r="AK438" s="315"/>
      <c r="AL438" s="315"/>
      <c r="AM438" s="315"/>
      <c r="AN438" s="315"/>
      <c r="AO438" s="315"/>
      <c r="AP438" s="315"/>
      <c r="AQ438" s="315"/>
      <c r="AR438" s="315"/>
      <c r="AS438" s="315"/>
      <c r="AT438" s="315"/>
      <c r="AU438" s="315"/>
      <c r="AV438" s="315"/>
      <c r="AW438" s="316"/>
      <c r="AX438" s="588"/>
      <c r="AY438" s="591"/>
      <c r="AZ438" s="591"/>
      <c r="BA438" s="594"/>
    </row>
    <row r="439" spans="1:53" ht="9" customHeight="1">
      <c r="A439" s="583"/>
      <c r="B439" s="586"/>
      <c r="C439" s="317"/>
      <c r="D439" s="318"/>
      <c r="E439" s="318"/>
      <c r="F439" s="318"/>
      <c r="G439" s="318"/>
      <c r="H439" s="318"/>
      <c r="I439" s="318"/>
      <c r="J439" s="318"/>
      <c r="K439" s="318"/>
      <c r="L439" s="318"/>
      <c r="M439" s="318"/>
      <c r="N439" s="318"/>
      <c r="O439" s="318"/>
      <c r="P439" s="318"/>
      <c r="Q439" s="318"/>
      <c r="R439" s="318"/>
      <c r="S439" s="318"/>
      <c r="T439" s="318"/>
      <c r="U439" s="318"/>
      <c r="V439" s="319"/>
      <c r="W439" s="589"/>
      <c r="X439" s="592"/>
      <c r="Y439" s="592"/>
      <c r="Z439" s="594"/>
      <c r="AA439" s="301"/>
      <c r="AB439" s="583"/>
      <c r="AC439" s="586"/>
      <c r="AD439" s="317"/>
      <c r="AE439" s="318"/>
      <c r="AF439" s="318"/>
      <c r="AG439" s="318"/>
      <c r="AH439" s="318"/>
      <c r="AI439" s="318"/>
      <c r="AJ439" s="318"/>
      <c r="AK439" s="318"/>
      <c r="AL439" s="318"/>
      <c r="AM439" s="318"/>
      <c r="AN439" s="318"/>
      <c r="AO439" s="318"/>
      <c r="AP439" s="318"/>
      <c r="AQ439" s="318"/>
      <c r="AR439" s="318"/>
      <c r="AS439" s="318"/>
      <c r="AT439" s="318"/>
      <c r="AU439" s="318"/>
      <c r="AV439" s="318"/>
      <c r="AW439" s="319"/>
      <c r="AX439" s="589"/>
      <c r="AY439" s="592"/>
      <c r="AZ439" s="592"/>
      <c r="BA439" s="594"/>
    </row>
    <row r="440" spans="1:53" ht="9" customHeight="1">
      <c r="A440" s="583">
        <v>32</v>
      </c>
      <c r="B440" s="584">
        <f t="shared" si="315"/>
        <v>0</v>
      </c>
      <c r="C440" s="311"/>
      <c r="D440" s="312"/>
      <c r="E440" s="312"/>
      <c r="F440" s="312"/>
      <c r="G440" s="312"/>
      <c r="H440" s="312"/>
      <c r="I440" s="312"/>
      <c r="J440" s="312"/>
      <c r="K440" s="312"/>
      <c r="L440" s="312"/>
      <c r="M440" s="312"/>
      <c r="N440" s="312"/>
      <c r="O440" s="312"/>
      <c r="P440" s="312"/>
      <c r="Q440" s="312"/>
      <c r="R440" s="312"/>
      <c r="S440" s="312"/>
      <c r="T440" s="312"/>
      <c r="U440" s="312"/>
      <c r="V440" s="313"/>
      <c r="W440" s="587">
        <f>'A-CALC'!V416</f>
        <v>0</v>
      </c>
      <c r="X440" s="590">
        <f>'A-CALC'!W416</f>
        <v>0</v>
      </c>
      <c r="Y440" s="590">
        <f>'A-CALC'!X416</f>
        <v>0</v>
      </c>
      <c r="Z440" s="593">
        <f t="shared" ref="Z440" si="321">ROUND((40/$Y$7)*W440,0)</f>
        <v>0</v>
      </c>
      <c r="AA440" s="301"/>
      <c r="AB440" s="583">
        <v>32</v>
      </c>
      <c r="AC440" s="584">
        <f t="shared" si="317"/>
        <v>0</v>
      </c>
      <c r="AD440" s="311"/>
      <c r="AE440" s="312"/>
      <c r="AF440" s="312"/>
      <c r="AG440" s="312"/>
      <c r="AH440" s="312"/>
      <c r="AI440" s="312"/>
      <c r="AJ440" s="312"/>
      <c r="AK440" s="312"/>
      <c r="AL440" s="312"/>
      <c r="AM440" s="312"/>
      <c r="AN440" s="312"/>
      <c r="AO440" s="312"/>
      <c r="AP440" s="312"/>
      <c r="AQ440" s="312"/>
      <c r="AR440" s="312"/>
      <c r="AS440" s="312"/>
      <c r="AT440" s="312"/>
      <c r="AU440" s="312"/>
      <c r="AV440" s="312"/>
      <c r="AW440" s="313"/>
      <c r="AX440" s="587">
        <f>'A-CALC'!AU416</f>
        <v>0</v>
      </c>
      <c r="AY440" s="590">
        <f>'A-CALC'!AV416</f>
        <v>0</v>
      </c>
      <c r="AZ440" s="590">
        <f>'A-CALC'!AW416</f>
        <v>0</v>
      </c>
      <c r="BA440" s="593">
        <f t="shared" ref="BA440" si="322">ROUND((40/$Y$7)*AX440,0)</f>
        <v>0</v>
      </c>
    </row>
    <row r="441" spans="1:53" ht="9" customHeight="1">
      <c r="A441" s="583"/>
      <c r="B441" s="585"/>
      <c r="C441" s="314"/>
      <c r="D441" s="315"/>
      <c r="E441" s="315"/>
      <c r="F441" s="315"/>
      <c r="G441" s="315"/>
      <c r="H441" s="315"/>
      <c r="I441" s="315"/>
      <c r="J441" s="315"/>
      <c r="K441" s="315"/>
      <c r="L441" s="315"/>
      <c r="M441" s="315"/>
      <c r="N441" s="315"/>
      <c r="O441" s="315"/>
      <c r="P441" s="315"/>
      <c r="Q441" s="315"/>
      <c r="R441" s="315"/>
      <c r="S441" s="315"/>
      <c r="T441" s="315"/>
      <c r="U441" s="315"/>
      <c r="V441" s="316"/>
      <c r="W441" s="588"/>
      <c r="X441" s="591"/>
      <c r="Y441" s="591"/>
      <c r="Z441" s="594"/>
      <c r="AA441" s="301"/>
      <c r="AB441" s="583"/>
      <c r="AC441" s="585"/>
      <c r="AD441" s="314"/>
      <c r="AE441" s="315"/>
      <c r="AF441" s="315"/>
      <c r="AG441" s="315"/>
      <c r="AH441" s="315"/>
      <c r="AI441" s="315"/>
      <c r="AJ441" s="315"/>
      <c r="AK441" s="315"/>
      <c r="AL441" s="315"/>
      <c r="AM441" s="315"/>
      <c r="AN441" s="315"/>
      <c r="AO441" s="315"/>
      <c r="AP441" s="315"/>
      <c r="AQ441" s="315"/>
      <c r="AR441" s="315"/>
      <c r="AS441" s="315"/>
      <c r="AT441" s="315"/>
      <c r="AU441" s="315"/>
      <c r="AV441" s="315"/>
      <c r="AW441" s="316"/>
      <c r="AX441" s="588"/>
      <c r="AY441" s="591"/>
      <c r="AZ441" s="591"/>
      <c r="BA441" s="594"/>
    </row>
    <row r="442" spans="1:53" ht="9" customHeight="1">
      <c r="A442" s="583"/>
      <c r="B442" s="586"/>
      <c r="C442" s="317"/>
      <c r="D442" s="318"/>
      <c r="E442" s="318"/>
      <c r="F442" s="318"/>
      <c r="G442" s="318"/>
      <c r="H442" s="318"/>
      <c r="I442" s="318"/>
      <c r="J442" s="318"/>
      <c r="K442" s="318"/>
      <c r="L442" s="318"/>
      <c r="M442" s="318"/>
      <c r="N442" s="318"/>
      <c r="O442" s="318"/>
      <c r="P442" s="318"/>
      <c r="Q442" s="318"/>
      <c r="R442" s="318"/>
      <c r="S442" s="318"/>
      <c r="T442" s="318"/>
      <c r="U442" s="318"/>
      <c r="V442" s="319"/>
      <c r="W442" s="589"/>
      <c r="X442" s="592"/>
      <c r="Y442" s="592"/>
      <c r="Z442" s="594"/>
      <c r="AA442" s="301"/>
      <c r="AB442" s="583"/>
      <c r="AC442" s="586"/>
      <c r="AD442" s="317"/>
      <c r="AE442" s="318"/>
      <c r="AF442" s="318"/>
      <c r="AG442" s="318"/>
      <c r="AH442" s="318"/>
      <c r="AI442" s="318"/>
      <c r="AJ442" s="318"/>
      <c r="AK442" s="318"/>
      <c r="AL442" s="318"/>
      <c r="AM442" s="318"/>
      <c r="AN442" s="318"/>
      <c r="AO442" s="318"/>
      <c r="AP442" s="318"/>
      <c r="AQ442" s="318"/>
      <c r="AR442" s="318"/>
      <c r="AS442" s="318"/>
      <c r="AT442" s="318"/>
      <c r="AU442" s="318"/>
      <c r="AV442" s="318"/>
      <c r="AW442" s="319"/>
      <c r="AX442" s="589"/>
      <c r="AY442" s="592"/>
      <c r="AZ442" s="592"/>
      <c r="BA442" s="594"/>
    </row>
    <row r="443" spans="1:53" ht="9" customHeight="1">
      <c r="A443" s="583">
        <v>33</v>
      </c>
      <c r="B443" s="584">
        <f t="shared" si="315"/>
        <v>0</v>
      </c>
      <c r="C443" s="311"/>
      <c r="D443" s="312"/>
      <c r="E443" s="312"/>
      <c r="F443" s="312"/>
      <c r="G443" s="312"/>
      <c r="H443" s="312"/>
      <c r="I443" s="312"/>
      <c r="J443" s="312"/>
      <c r="K443" s="312"/>
      <c r="L443" s="312"/>
      <c r="M443" s="312"/>
      <c r="N443" s="312"/>
      <c r="O443" s="312"/>
      <c r="P443" s="312"/>
      <c r="Q443" s="312"/>
      <c r="R443" s="312"/>
      <c r="S443" s="312"/>
      <c r="T443" s="312"/>
      <c r="U443" s="312"/>
      <c r="V443" s="313"/>
      <c r="W443" s="587">
        <f>'A-CALC'!V419</f>
        <v>0</v>
      </c>
      <c r="X443" s="590">
        <f>'A-CALC'!W419</f>
        <v>0</v>
      </c>
      <c r="Y443" s="590">
        <f>'A-CALC'!X419</f>
        <v>0</v>
      </c>
      <c r="Z443" s="593">
        <f t="shared" ref="Z443" si="323">ROUND((40/$Y$7)*W443,0)</f>
        <v>0</v>
      </c>
      <c r="AA443" s="301"/>
      <c r="AB443" s="583">
        <v>33</v>
      </c>
      <c r="AC443" s="584">
        <f t="shared" si="317"/>
        <v>0</v>
      </c>
      <c r="AD443" s="311"/>
      <c r="AE443" s="312"/>
      <c r="AF443" s="312"/>
      <c r="AG443" s="312"/>
      <c r="AH443" s="312"/>
      <c r="AI443" s="312"/>
      <c r="AJ443" s="312"/>
      <c r="AK443" s="312"/>
      <c r="AL443" s="312"/>
      <c r="AM443" s="312"/>
      <c r="AN443" s="312"/>
      <c r="AO443" s="312"/>
      <c r="AP443" s="312"/>
      <c r="AQ443" s="312"/>
      <c r="AR443" s="312"/>
      <c r="AS443" s="312"/>
      <c r="AT443" s="312"/>
      <c r="AU443" s="312"/>
      <c r="AV443" s="312"/>
      <c r="AW443" s="313"/>
      <c r="AX443" s="587">
        <f>'A-CALC'!AU419</f>
        <v>0</v>
      </c>
      <c r="AY443" s="590">
        <f>'A-CALC'!AV419</f>
        <v>0</v>
      </c>
      <c r="AZ443" s="590">
        <f>'A-CALC'!AW419</f>
        <v>0</v>
      </c>
      <c r="BA443" s="593">
        <f t="shared" ref="BA443" si="324">ROUND((40/$Y$7)*AX443,0)</f>
        <v>0</v>
      </c>
    </row>
    <row r="444" spans="1:53" ht="9" customHeight="1">
      <c r="A444" s="583"/>
      <c r="B444" s="585"/>
      <c r="C444" s="314"/>
      <c r="D444" s="315"/>
      <c r="E444" s="315"/>
      <c r="F444" s="315"/>
      <c r="G444" s="315"/>
      <c r="H444" s="315"/>
      <c r="I444" s="315"/>
      <c r="J444" s="315"/>
      <c r="K444" s="315"/>
      <c r="L444" s="315"/>
      <c r="M444" s="315"/>
      <c r="N444" s="315"/>
      <c r="O444" s="315"/>
      <c r="P444" s="315"/>
      <c r="Q444" s="315"/>
      <c r="R444" s="315"/>
      <c r="S444" s="315"/>
      <c r="T444" s="315"/>
      <c r="U444" s="315"/>
      <c r="V444" s="316"/>
      <c r="W444" s="588"/>
      <c r="X444" s="591"/>
      <c r="Y444" s="591"/>
      <c r="Z444" s="594"/>
      <c r="AA444" s="301"/>
      <c r="AB444" s="583"/>
      <c r="AC444" s="585"/>
      <c r="AD444" s="314"/>
      <c r="AE444" s="315"/>
      <c r="AF444" s="315"/>
      <c r="AG444" s="315"/>
      <c r="AH444" s="315"/>
      <c r="AI444" s="315"/>
      <c r="AJ444" s="315"/>
      <c r="AK444" s="315"/>
      <c r="AL444" s="315"/>
      <c r="AM444" s="315"/>
      <c r="AN444" s="315"/>
      <c r="AO444" s="315"/>
      <c r="AP444" s="315"/>
      <c r="AQ444" s="315"/>
      <c r="AR444" s="315"/>
      <c r="AS444" s="315"/>
      <c r="AT444" s="315"/>
      <c r="AU444" s="315"/>
      <c r="AV444" s="315"/>
      <c r="AW444" s="316"/>
      <c r="AX444" s="588"/>
      <c r="AY444" s="591"/>
      <c r="AZ444" s="591"/>
      <c r="BA444" s="594"/>
    </row>
    <row r="445" spans="1:53" ht="9" customHeight="1">
      <c r="A445" s="583"/>
      <c r="B445" s="586"/>
      <c r="C445" s="317"/>
      <c r="D445" s="318"/>
      <c r="E445" s="318"/>
      <c r="F445" s="318"/>
      <c r="G445" s="318"/>
      <c r="H445" s="318"/>
      <c r="I445" s="318"/>
      <c r="J445" s="318"/>
      <c r="K445" s="318"/>
      <c r="L445" s="318"/>
      <c r="M445" s="318"/>
      <c r="N445" s="318"/>
      <c r="O445" s="318"/>
      <c r="P445" s="318"/>
      <c r="Q445" s="318"/>
      <c r="R445" s="318"/>
      <c r="S445" s="318"/>
      <c r="T445" s="318"/>
      <c r="U445" s="318"/>
      <c r="V445" s="319"/>
      <c r="W445" s="589"/>
      <c r="X445" s="592"/>
      <c r="Y445" s="592"/>
      <c r="Z445" s="594"/>
      <c r="AA445" s="301"/>
      <c r="AB445" s="583"/>
      <c r="AC445" s="586"/>
      <c r="AD445" s="317"/>
      <c r="AE445" s="318"/>
      <c r="AF445" s="318"/>
      <c r="AG445" s="318"/>
      <c r="AH445" s="318"/>
      <c r="AI445" s="318"/>
      <c r="AJ445" s="318"/>
      <c r="AK445" s="318"/>
      <c r="AL445" s="318"/>
      <c r="AM445" s="318"/>
      <c r="AN445" s="318"/>
      <c r="AO445" s="318"/>
      <c r="AP445" s="318"/>
      <c r="AQ445" s="318"/>
      <c r="AR445" s="318"/>
      <c r="AS445" s="318"/>
      <c r="AT445" s="318"/>
      <c r="AU445" s="318"/>
      <c r="AV445" s="318"/>
      <c r="AW445" s="319"/>
      <c r="AX445" s="589"/>
      <c r="AY445" s="592"/>
      <c r="AZ445" s="592"/>
      <c r="BA445" s="594"/>
    </row>
    <row r="446" spans="1:53" ht="9" customHeight="1">
      <c r="A446" s="583">
        <v>34</v>
      </c>
      <c r="B446" s="584">
        <f t="shared" si="315"/>
        <v>0</v>
      </c>
      <c r="C446" s="311"/>
      <c r="D446" s="312"/>
      <c r="E446" s="312"/>
      <c r="F446" s="312"/>
      <c r="G446" s="312"/>
      <c r="H446" s="312"/>
      <c r="I446" s="312"/>
      <c r="J446" s="312"/>
      <c r="K446" s="312"/>
      <c r="L446" s="312"/>
      <c r="M446" s="312"/>
      <c r="N446" s="312"/>
      <c r="O446" s="312"/>
      <c r="P446" s="312"/>
      <c r="Q446" s="312"/>
      <c r="R446" s="312"/>
      <c r="S446" s="312"/>
      <c r="T446" s="312"/>
      <c r="U446" s="312"/>
      <c r="V446" s="313"/>
      <c r="W446" s="587">
        <f>'A-CALC'!V422</f>
        <v>0</v>
      </c>
      <c r="X446" s="590">
        <f>'A-CALC'!W422</f>
        <v>0</v>
      </c>
      <c r="Y446" s="590">
        <f>'A-CALC'!X422</f>
        <v>0</v>
      </c>
      <c r="Z446" s="593">
        <f t="shared" ref="Z446" si="325">ROUND((40/$Y$7)*W446,0)</f>
        <v>0</v>
      </c>
      <c r="AA446" s="301"/>
      <c r="AB446" s="583">
        <v>34</v>
      </c>
      <c r="AC446" s="584">
        <f t="shared" si="317"/>
        <v>0</v>
      </c>
      <c r="AD446" s="311"/>
      <c r="AE446" s="312"/>
      <c r="AF446" s="312"/>
      <c r="AG446" s="312"/>
      <c r="AH446" s="312"/>
      <c r="AI446" s="312"/>
      <c r="AJ446" s="312"/>
      <c r="AK446" s="312"/>
      <c r="AL446" s="312"/>
      <c r="AM446" s="312"/>
      <c r="AN446" s="312"/>
      <c r="AO446" s="312"/>
      <c r="AP446" s="312"/>
      <c r="AQ446" s="312"/>
      <c r="AR446" s="312"/>
      <c r="AS446" s="312"/>
      <c r="AT446" s="312"/>
      <c r="AU446" s="312"/>
      <c r="AV446" s="312"/>
      <c r="AW446" s="313"/>
      <c r="AX446" s="587">
        <f>'A-CALC'!AU422</f>
        <v>0</v>
      </c>
      <c r="AY446" s="590">
        <f>'A-CALC'!AV422</f>
        <v>0</v>
      </c>
      <c r="AZ446" s="590">
        <f>'A-CALC'!AW422</f>
        <v>0</v>
      </c>
      <c r="BA446" s="593">
        <f t="shared" ref="BA446" si="326">ROUND((40/$Y$7)*AX446,0)</f>
        <v>0</v>
      </c>
    </row>
    <row r="447" spans="1:53" ht="9" customHeight="1">
      <c r="A447" s="583"/>
      <c r="B447" s="585"/>
      <c r="C447" s="314"/>
      <c r="D447" s="315"/>
      <c r="E447" s="315"/>
      <c r="F447" s="315"/>
      <c r="G447" s="315"/>
      <c r="H447" s="315"/>
      <c r="I447" s="315"/>
      <c r="J447" s="315"/>
      <c r="K447" s="315"/>
      <c r="L447" s="315"/>
      <c r="M447" s="315"/>
      <c r="N447" s="315"/>
      <c r="O447" s="315"/>
      <c r="P447" s="315"/>
      <c r="Q447" s="315"/>
      <c r="R447" s="315"/>
      <c r="S447" s="315"/>
      <c r="T447" s="315"/>
      <c r="U447" s="315"/>
      <c r="V447" s="316"/>
      <c r="W447" s="588"/>
      <c r="X447" s="591"/>
      <c r="Y447" s="591"/>
      <c r="Z447" s="594"/>
      <c r="AA447" s="301"/>
      <c r="AB447" s="583"/>
      <c r="AC447" s="585"/>
      <c r="AD447" s="314"/>
      <c r="AE447" s="315"/>
      <c r="AF447" s="315"/>
      <c r="AG447" s="315"/>
      <c r="AH447" s="315"/>
      <c r="AI447" s="315"/>
      <c r="AJ447" s="315"/>
      <c r="AK447" s="315"/>
      <c r="AL447" s="315"/>
      <c r="AM447" s="315"/>
      <c r="AN447" s="315"/>
      <c r="AO447" s="315"/>
      <c r="AP447" s="315"/>
      <c r="AQ447" s="315"/>
      <c r="AR447" s="315"/>
      <c r="AS447" s="315"/>
      <c r="AT447" s="315"/>
      <c r="AU447" s="315"/>
      <c r="AV447" s="315"/>
      <c r="AW447" s="316"/>
      <c r="AX447" s="588"/>
      <c r="AY447" s="591"/>
      <c r="AZ447" s="591"/>
      <c r="BA447" s="594"/>
    </row>
    <row r="448" spans="1:53" ht="9" customHeight="1">
      <c r="A448" s="583"/>
      <c r="B448" s="586"/>
      <c r="C448" s="317"/>
      <c r="D448" s="318"/>
      <c r="E448" s="318"/>
      <c r="F448" s="318"/>
      <c r="G448" s="318"/>
      <c r="H448" s="318"/>
      <c r="I448" s="318"/>
      <c r="J448" s="318"/>
      <c r="K448" s="318"/>
      <c r="L448" s="318"/>
      <c r="M448" s="318"/>
      <c r="N448" s="318"/>
      <c r="O448" s="318"/>
      <c r="P448" s="318"/>
      <c r="Q448" s="318"/>
      <c r="R448" s="318"/>
      <c r="S448" s="318"/>
      <c r="T448" s="318"/>
      <c r="U448" s="318"/>
      <c r="V448" s="319"/>
      <c r="W448" s="589"/>
      <c r="X448" s="592"/>
      <c r="Y448" s="592"/>
      <c r="Z448" s="594"/>
      <c r="AA448" s="301"/>
      <c r="AB448" s="583"/>
      <c r="AC448" s="586"/>
      <c r="AD448" s="317"/>
      <c r="AE448" s="318"/>
      <c r="AF448" s="318"/>
      <c r="AG448" s="318"/>
      <c r="AH448" s="318"/>
      <c r="AI448" s="318"/>
      <c r="AJ448" s="318"/>
      <c r="AK448" s="318"/>
      <c r="AL448" s="318"/>
      <c r="AM448" s="318"/>
      <c r="AN448" s="318"/>
      <c r="AO448" s="318"/>
      <c r="AP448" s="318"/>
      <c r="AQ448" s="318"/>
      <c r="AR448" s="318"/>
      <c r="AS448" s="318"/>
      <c r="AT448" s="318"/>
      <c r="AU448" s="318"/>
      <c r="AV448" s="318"/>
      <c r="AW448" s="319"/>
      <c r="AX448" s="589"/>
      <c r="AY448" s="592"/>
      <c r="AZ448" s="592"/>
      <c r="BA448" s="594"/>
    </row>
    <row r="449" spans="1:53" ht="9" customHeight="1">
      <c r="A449" s="583">
        <v>35</v>
      </c>
      <c r="B449" s="584">
        <f t="shared" si="315"/>
        <v>0</v>
      </c>
      <c r="C449" s="311"/>
      <c r="D449" s="312"/>
      <c r="E449" s="312"/>
      <c r="F449" s="312"/>
      <c r="G449" s="312"/>
      <c r="H449" s="312"/>
      <c r="I449" s="312"/>
      <c r="J449" s="312"/>
      <c r="K449" s="312"/>
      <c r="L449" s="312"/>
      <c r="M449" s="312"/>
      <c r="N449" s="312"/>
      <c r="O449" s="312"/>
      <c r="P449" s="312"/>
      <c r="Q449" s="312"/>
      <c r="R449" s="312"/>
      <c r="S449" s="312"/>
      <c r="T449" s="312"/>
      <c r="U449" s="312"/>
      <c r="V449" s="313"/>
      <c r="W449" s="587">
        <f>'A-CALC'!V425</f>
        <v>0</v>
      </c>
      <c r="X449" s="590">
        <f>'A-CALC'!W425</f>
        <v>0</v>
      </c>
      <c r="Y449" s="590">
        <f>'A-CALC'!X425</f>
        <v>0</v>
      </c>
      <c r="Z449" s="593">
        <f t="shared" ref="Z449" si="327">ROUND((40/$Y$7)*W449,0)</f>
        <v>0</v>
      </c>
      <c r="AA449" s="301"/>
      <c r="AB449" s="583">
        <v>35</v>
      </c>
      <c r="AC449" s="584">
        <f t="shared" si="317"/>
        <v>0</v>
      </c>
      <c r="AD449" s="311"/>
      <c r="AE449" s="312"/>
      <c r="AF449" s="312"/>
      <c r="AG449" s="312"/>
      <c r="AH449" s="312"/>
      <c r="AI449" s="312"/>
      <c r="AJ449" s="312"/>
      <c r="AK449" s="312"/>
      <c r="AL449" s="312"/>
      <c r="AM449" s="312"/>
      <c r="AN449" s="312"/>
      <c r="AO449" s="312"/>
      <c r="AP449" s="312"/>
      <c r="AQ449" s="312"/>
      <c r="AR449" s="312"/>
      <c r="AS449" s="312"/>
      <c r="AT449" s="312"/>
      <c r="AU449" s="312"/>
      <c r="AV449" s="312"/>
      <c r="AW449" s="313"/>
      <c r="AX449" s="587">
        <f>'A-CALC'!AU425</f>
        <v>0</v>
      </c>
      <c r="AY449" s="590">
        <f>'A-CALC'!AV425</f>
        <v>0</v>
      </c>
      <c r="AZ449" s="590">
        <f>'A-CALC'!AW425</f>
        <v>0</v>
      </c>
      <c r="BA449" s="593">
        <f t="shared" ref="BA449" si="328">ROUND((40/$Y$7)*AX449,0)</f>
        <v>0</v>
      </c>
    </row>
    <row r="450" spans="1:53" ht="9" customHeight="1">
      <c r="A450" s="583"/>
      <c r="B450" s="585"/>
      <c r="C450" s="314"/>
      <c r="D450" s="315"/>
      <c r="E450" s="315"/>
      <c r="F450" s="315"/>
      <c r="G450" s="315"/>
      <c r="H450" s="315"/>
      <c r="I450" s="315"/>
      <c r="J450" s="315"/>
      <c r="K450" s="315"/>
      <c r="L450" s="315"/>
      <c r="M450" s="315"/>
      <c r="N450" s="315"/>
      <c r="O450" s="315"/>
      <c r="P450" s="315"/>
      <c r="Q450" s="315"/>
      <c r="R450" s="315"/>
      <c r="S450" s="315"/>
      <c r="T450" s="315"/>
      <c r="U450" s="315"/>
      <c r="V450" s="316"/>
      <c r="W450" s="588"/>
      <c r="X450" s="591"/>
      <c r="Y450" s="591"/>
      <c r="Z450" s="594"/>
      <c r="AA450" s="301"/>
      <c r="AB450" s="583"/>
      <c r="AC450" s="585"/>
      <c r="AD450" s="314"/>
      <c r="AE450" s="315"/>
      <c r="AF450" s="315"/>
      <c r="AG450" s="315"/>
      <c r="AH450" s="315"/>
      <c r="AI450" s="315"/>
      <c r="AJ450" s="315"/>
      <c r="AK450" s="315"/>
      <c r="AL450" s="315"/>
      <c r="AM450" s="315"/>
      <c r="AN450" s="315"/>
      <c r="AO450" s="315"/>
      <c r="AP450" s="315"/>
      <c r="AQ450" s="315"/>
      <c r="AR450" s="315"/>
      <c r="AS450" s="315"/>
      <c r="AT450" s="315"/>
      <c r="AU450" s="315"/>
      <c r="AV450" s="315"/>
      <c r="AW450" s="316"/>
      <c r="AX450" s="588"/>
      <c r="AY450" s="591"/>
      <c r="AZ450" s="591"/>
      <c r="BA450" s="594"/>
    </row>
    <row r="451" spans="1:53" ht="9" customHeight="1">
      <c r="A451" s="583"/>
      <c r="B451" s="586"/>
      <c r="C451" s="317"/>
      <c r="D451" s="318"/>
      <c r="E451" s="318"/>
      <c r="F451" s="318"/>
      <c r="G451" s="318"/>
      <c r="H451" s="318"/>
      <c r="I451" s="318"/>
      <c r="J451" s="318"/>
      <c r="K451" s="318"/>
      <c r="L451" s="318"/>
      <c r="M451" s="318"/>
      <c r="N451" s="318"/>
      <c r="O451" s="318"/>
      <c r="P451" s="318"/>
      <c r="Q451" s="318"/>
      <c r="R451" s="318"/>
      <c r="S451" s="318"/>
      <c r="T451" s="318"/>
      <c r="U451" s="318"/>
      <c r="V451" s="319"/>
      <c r="W451" s="589"/>
      <c r="X451" s="592"/>
      <c r="Y451" s="592"/>
      <c r="Z451" s="608"/>
      <c r="AA451" s="301"/>
      <c r="AB451" s="583"/>
      <c r="AC451" s="586"/>
      <c r="AD451" s="317"/>
      <c r="AE451" s="318"/>
      <c r="AF451" s="318"/>
      <c r="AG451" s="318"/>
      <c r="AH451" s="318"/>
      <c r="AI451" s="318"/>
      <c r="AJ451" s="318"/>
      <c r="AK451" s="318"/>
      <c r="AL451" s="318"/>
      <c r="AM451" s="318"/>
      <c r="AN451" s="318"/>
      <c r="AO451" s="318"/>
      <c r="AP451" s="318"/>
      <c r="AQ451" s="318"/>
      <c r="AR451" s="318"/>
      <c r="AS451" s="318"/>
      <c r="AT451" s="318"/>
      <c r="AU451" s="318"/>
      <c r="AV451" s="318"/>
      <c r="AW451" s="319"/>
      <c r="AX451" s="589"/>
      <c r="AY451" s="592"/>
      <c r="AZ451" s="592"/>
      <c r="BA451" s="608"/>
    </row>
    <row r="452" spans="1:53"/>
    <row r="453" spans="1:53" ht="20.100000000000001" customHeight="1">
      <c r="A453" s="296" t="s">
        <v>286</v>
      </c>
      <c r="B453" s="581" t="s">
        <v>284</v>
      </c>
      <c r="C453" s="581"/>
      <c r="D453" s="581"/>
      <c r="E453" s="581"/>
      <c r="F453" s="581"/>
      <c r="G453" s="581"/>
      <c r="H453" s="581"/>
      <c r="I453" s="581"/>
      <c r="J453" s="581"/>
      <c r="K453" s="581"/>
      <c r="L453" s="581"/>
      <c r="M453" s="581"/>
      <c r="N453" s="581"/>
      <c r="O453" s="581"/>
      <c r="P453" s="581"/>
      <c r="Q453" s="581"/>
      <c r="R453" s="581"/>
      <c r="S453" s="581"/>
      <c r="T453" s="581"/>
      <c r="U453" s="581"/>
      <c r="V453" s="581"/>
      <c r="W453" s="581"/>
      <c r="X453" s="581"/>
      <c r="Y453" s="581"/>
      <c r="Z453" s="581"/>
      <c r="AA453" s="297"/>
      <c r="AB453" s="296" t="s">
        <v>286</v>
      </c>
      <c r="AC453" s="581" t="s">
        <v>284</v>
      </c>
      <c r="AD453" s="581"/>
      <c r="AE453" s="581"/>
      <c r="AF453" s="581"/>
      <c r="AG453" s="581"/>
      <c r="AH453" s="581"/>
      <c r="AI453" s="581"/>
      <c r="AJ453" s="581"/>
      <c r="AK453" s="581"/>
      <c r="AL453" s="581"/>
      <c r="AM453" s="581"/>
      <c r="AN453" s="581"/>
      <c r="AO453" s="581"/>
      <c r="AP453" s="581"/>
      <c r="AQ453" s="581"/>
      <c r="AR453" s="581"/>
      <c r="AS453" s="581"/>
      <c r="AT453" s="581"/>
      <c r="AU453" s="581"/>
      <c r="AV453" s="581"/>
      <c r="AW453" s="581"/>
      <c r="AX453" s="581"/>
      <c r="AY453" s="581"/>
      <c r="AZ453" s="581"/>
      <c r="BA453" s="581"/>
    </row>
    <row r="454" spans="1:53" ht="21.75" customHeight="1">
      <c r="A454" s="298"/>
      <c r="B454" s="612" t="s">
        <v>81</v>
      </c>
      <c r="C454" s="612"/>
      <c r="D454" s="612"/>
      <c r="E454" s="612"/>
      <c r="F454" s="612"/>
      <c r="G454" s="612"/>
      <c r="H454" s="612"/>
      <c r="I454" s="612"/>
      <c r="J454" s="612"/>
      <c r="K454" s="612"/>
      <c r="L454" s="612"/>
      <c r="M454" s="612"/>
      <c r="N454" s="612"/>
      <c r="O454" s="612"/>
      <c r="P454" s="612"/>
      <c r="Q454" s="612"/>
      <c r="R454" s="612"/>
      <c r="S454" s="612"/>
      <c r="T454" s="612"/>
      <c r="U454" s="612"/>
      <c r="V454" s="612"/>
      <c r="W454" s="612"/>
      <c r="X454" s="612"/>
      <c r="Y454" s="612"/>
      <c r="Z454" s="612"/>
      <c r="AA454" s="297"/>
      <c r="AB454" s="298"/>
      <c r="AC454" s="612" t="s">
        <v>81</v>
      </c>
      <c r="AD454" s="612"/>
      <c r="AE454" s="612"/>
      <c r="AF454" s="612"/>
      <c r="AG454" s="612"/>
      <c r="AH454" s="612"/>
      <c r="AI454" s="612"/>
      <c r="AJ454" s="612"/>
      <c r="AK454" s="612"/>
      <c r="AL454" s="612"/>
      <c r="AM454" s="612"/>
      <c r="AN454" s="612"/>
      <c r="AO454" s="612"/>
      <c r="AP454" s="612"/>
      <c r="AQ454" s="612"/>
      <c r="AR454" s="612"/>
      <c r="AS454" s="612"/>
      <c r="AT454" s="612"/>
      <c r="AU454" s="612"/>
      <c r="AV454" s="612"/>
      <c r="AW454" s="612"/>
      <c r="AX454" s="612"/>
      <c r="AY454" s="612"/>
      <c r="AZ454" s="612"/>
      <c r="BA454" s="612"/>
    </row>
    <row r="455" spans="1:53" ht="20.25" customHeight="1">
      <c r="A455" s="298"/>
      <c r="B455" s="299" t="str">
        <f>CONCATENATE("ધોરણ - ",SCHOOL!$D$3)</f>
        <v>ધોરણ - 1</v>
      </c>
      <c r="C455" s="577" t="s">
        <v>316</v>
      </c>
      <c r="D455" s="577"/>
      <c r="E455" s="577"/>
      <c r="F455" s="577"/>
      <c r="G455" s="577"/>
      <c r="H455" s="577"/>
      <c r="I455" s="577"/>
      <c r="J455" s="577"/>
      <c r="K455" s="577" t="s">
        <v>288</v>
      </c>
      <c r="L455" s="577"/>
      <c r="M455" s="577"/>
      <c r="N455" s="577"/>
      <c r="O455" s="577"/>
      <c r="P455" s="577"/>
      <c r="Q455" s="577"/>
      <c r="R455" s="577" t="s">
        <v>289</v>
      </c>
      <c r="S455" s="577"/>
      <c r="T455" s="577"/>
      <c r="U455" s="577"/>
      <c r="V455" s="577"/>
      <c r="W455" s="577"/>
      <c r="X455" s="577"/>
      <c r="Y455" s="577">
        <f>COUNTA(C458:V458)</f>
        <v>15</v>
      </c>
      <c r="Z455" s="577"/>
      <c r="AA455" s="300"/>
      <c r="AB455" s="298"/>
      <c r="AC455" s="299" t="str">
        <f>CONCATENATE("ધોરણ - ",SCHOOL!$D$3)</f>
        <v>ધોરણ - 1</v>
      </c>
      <c r="AD455" s="577" t="str">
        <f>C455</f>
        <v xml:space="preserve"> વિષય-સામા. વિજ્ઞાન  </v>
      </c>
      <c r="AE455" s="577"/>
      <c r="AF455" s="577"/>
      <c r="AG455" s="577"/>
      <c r="AH455" s="577"/>
      <c r="AI455" s="577"/>
      <c r="AJ455" s="577"/>
      <c r="AK455" s="577"/>
      <c r="AL455" s="577" t="s">
        <v>290</v>
      </c>
      <c r="AM455" s="577"/>
      <c r="AN455" s="577"/>
      <c r="AO455" s="577"/>
      <c r="AP455" s="577"/>
      <c r="AQ455" s="577"/>
      <c r="AR455" s="577"/>
      <c r="AS455" s="577" t="s">
        <v>289</v>
      </c>
      <c r="AT455" s="577"/>
      <c r="AU455" s="577"/>
      <c r="AV455" s="577"/>
      <c r="AW455" s="577"/>
      <c r="AX455" s="577"/>
      <c r="AY455" s="577"/>
      <c r="AZ455" s="577">
        <f>COUNTA(AD458:AW458)</f>
        <v>15</v>
      </c>
      <c r="BA455" s="577"/>
    </row>
    <row r="456" spans="1:53" ht="18.75" customHeight="1">
      <c r="A456" s="609" t="s">
        <v>291</v>
      </c>
      <c r="B456" s="595" t="s">
        <v>82</v>
      </c>
      <c r="C456" s="596" t="s">
        <v>292</v>
      </c>
      <c r="D456" s="597"/>
      <c r="E456" s="597"/>
      <c r="F456" s="597"/>
      <c r="G456" s="597"/>
      <c r="H456" s="597"/>
      <c r="I456" s="597"/>
      <c r="J456" s="597"/>
      <c r="K456" s="597"/>
      <c r="L456" s="597"/>
      <c r="M456" s="597"/>
      <c r="N456" s="597"/>
      <c r="O456" s="597"/>
      <c r="P456" s="597"/>
      <c r="Q456" s="597"/>
      <c r="R456" s="597"/>
      <c r="S456" s="597"/>
      <c r="T456" s="597"/>
      <c r="U456" s="597"/>
      <c r="V456" s="598"/>
      <c r="W456" s="599" t="s">
        <v>293</v>
      </c>
      <c r="X456" s="600"/>
      <c r="Y456" s="601"/>
      <c r="Z456" s="605" t="s">
        <v>294</v>
      </c>
      <c r="AA456" s="301"/>
      <c r="AB456" s="609" t="s">
        <v>291</v>
      </c>
      <c r="AC456" s="595" t="s">
        <v>82</v>
      </c>
      <c r="AD456" s="596" t="s">
        <v>292</v>
      </c>
      <c r="AE456" s="597"/>
      <c r="AF456" s="597"/>
      <c r="AG456" s="597"/>
      <c r="AH456" s="597"/>
      <c r="AI456" s="597"/>
      <c r="AJ456" s="597"/>
      <c r="AK456" s="597"/>
      <c r="AL456" s="597"/>
      <c r="AM456" s="597"/>
      <c r="AN456" s="597"/>
      <c r="AO456" s="597"/>
      <c r="AP456" s="597"/>
      <c r="AQ456" s="597"/>
      <c r="AR456" s="597"/>
      <c r="AS456" s="597"/>
      <c r="AT456" s="597"/>
      <c r="AU456" s="597"/>
      <c r="AV456" s="597"/>
      <c r="AW456" s="598"/>
      <c r="AX456" s="599" t="s">
        <v>293</v>
      </c>
      <c r="AY456" s="600"/>
      <c r="AZ456" s="601"/>
      <c r="BA456" s="605" t="s">
        <v>294</v>
      </c>
    </row>
    <row r="457" spans="1:53" ht="15" customHeight="1">
      <c r="A457" s="609"/>
      <c r="B457" s="595"/>
      <c r="C457" s="302">
        <v>1</v>
      </c>
      <c r="D457" s="303">
        <v>2</v>
      </c>
      <c r="E457" s="303">
        <v>3</v>
      </c>
      <c r="F457" s="303">
        <v>4</v>
      </c>
      <c r="G457" s="303">
        <v>5</v>
      </c>
      <c r="H457" s="303">
        <v>6</v>
      </c>
      <c r="I457" s="303">
        <v>7</v>
      </c>
      <c r="J457" s="303">
        <v>8</v>
      </c>
      <c r="K457" s="303">
        <v>9</v>
      </c>
      <c r="L457" s="303">
        <v>10</v>
      </c>
      <c r="M457" s="303">
        <v>11</v>
      </c>
      <c r="N457" s="303">
        <v>12</v>
      </c>
      <c r="O457" s="303">
        <v>13</v>
      </c>
      <c r="P457" s="303">
        <v>14</v>
      </c>
      <c r="Q457" s="303">
        <v>15</v>
      </c>
      <c r="R457" s="303">
        <v>16</v>
      </c>
      <c r="S457" s="303">
        <v>17</v>
      </c>
      <c r="T457" s="303">
        <v>18</v>
      </c>
      <c r="U457" s="303">
        <v>19</v>
      </c>
      <c r="V457" s="304">
        <v>20</v>
      </c>
      <c r="W457" s="602"/>
      <c r="X457" s="603"/>
      <c r="Y457" s="604"/>
      <c r="Z457" s="606"/>
      <c r="AA457" s="301"/>
      <c r="AB457" s="609"/>
      <c r="AC457" s="595"/>
      <c r="AD457" s="302">
        <v>1</v>
      </c>
      <c r="AE457" s="303">
        <v>2</v>
      </c>
      <c r="AF457" s="303">
        <v>3</v>
      </c>
      <c r="AG457" s="303">
        <v>4</v>
      </c>
      <c r="AH457" s="303">
        <v>5</v>
      </c>
      <c r="AI457" s="303">
        <v>6</v>
      </c>
      <c r="AJ457" s="303">
        <v>7</v>
      </c>
      <c r="AK457" s="303">
        <v>8</v>
      </c>
      <c r="AL457" s="303">
        <v>9</v>
      </c>
      <c r="AM457" s="303">
        <v>10</v>
      </c>
      <c r="AN457" s="303">
        <v>11</v>
      </c>
      <c r="AO457" s="303">
        <v>12</v>
      </c>
      <c r="AP457" s="303">
        <v>13</v>
      </c>
      <c r="AQ457" s="303">
        <v>14</v>
      </c>
      <c r="AR457" s="303">
        <v>15</v>
      </c>
      <c r="AS457" s="303">
        <v>16</v>
      </c>
      <c r="AT457" s="303">
        <v>17</v>
      </c>
      <c r="AU457" s="303">
        <v>18</v>
      </c>
      <c r="AV457" s="303">
        <v>19</v>
      </c>
      <c r="AW457" s="304">
        <v>20</v>
      </c>
      <c r="AX457" s="602"/>
      <c r="AY457" s="603"/>
      <c r="AZ457" s="604"/>
      <c r="BA457" s="606"/>
    </row>
    <row r="458" spans="1:53" ht="45" customHeight="1">
      <c r="A458" s="609"/>
      <c r="B458" s="595"/>
      <c r="C458" s="305" t="s">
        <v>295</v>
      </c>
      <c r="D458" s="306" t="s">
        <v>296</v>
      </c>
      <c r="E458" s="306" t="s">
        <v>297</v>
      </c>
      <c r="F458" s="306" t="s">
        <v>298</v>
      </c>
      <c r="G458" s="306" t="s">
        <v>299</v>
      </c>
      <c r="H458" s="306" t="s">
        <v>300</v>
      </c>
      <c r="I458" s="306" t="s">
        <v>301</v>
      </c>
      <c r="J458" s="306" t="s">
        <v>302</v>
      </c>
      <c r="K458" s="306" t="s">
        <v>303</v>
      </c>
      <c r="L458" s="306" t="s">
        <v>304</v>
      </c>
      <c r="M458" s="306" t="s">
        <v>305</v>
      </c>
      <c r="N458" s="306" t="s">
        <v>306</v>
      </c>
      <c r="O458" s="306" t="s">
        <v>307</v>
      </c>
      <c r="P458" s="306" t="s">
        <v>308</v>
      </c>
      <c r="Q458" s="306" t="s">
        <v>309</v>
      </c>
      <c r="R458" s="306"/>
      <c r="S458" s="306"/>
      <c r="T458" s="306"/>
      <c r="U458" s="306"/>
      <c r="V458" s="307"/>
      <c r="W458" s="308" t="s">
        <v>310</v>
      </c>
      <c r="X458" s="309" t="s">
        <v>311</v>
      </c>
      <c r="Y458" s="310" t="s">
        <v>312</v>
      </c>
      <c r="Z458" s="607"/>
      <c r="AA458" s="301"/>
      <c r="AB458" s="609"/>
      <c r="AC458" s="595"/>
      <c r="AD458" s="305" t="s">
        <v>295</v>
      </c>
      <c r="AE458" s="306" t="s">
        <v>296</v>
      </c>
      <c r="AF458" s="306" t="s">
        <v>297</v>
      </c>
      <c r="AG458" s="306" t="s">
        <v>298</v>
      </c>
      <c r="AH458" s="306" t="s">
        <v>299</v>
      </c>
      <c r="AI458" s="306" t="s">
        <v>300</v>
      </c>
      <c r="AJ458" s="306" t="s">
        <v>301</v>
      </c>
      <c r="AK458" s="306" t="s">
        <v>302</v>
      </c>
      <c r="AL458" s="306" t="s">
        <v>303</v>
      </c>
      <c r="AM458" s="306" t="s">
        <v>304</v>
      </c>
      <c r="AN458" s="306" t="s">
        <v>305</v>
      </c>
      <c r="AO458" s="306" t="s">
        <v>306</v>
      </c>
      <c r="AP458" s="306" t="s">
        <v>307</v>
      </c>
      <c r="AQ458" s="306" t="s">
        <v>308</v>
      </c>
      <c r="AR458" s="306" t="s">
        <v>309</v>
      </c>
      <c r="AS458" s="306"/>
      <c r="AT458" s="306"/>
      <c r="AU458" s="306"/>
      <c r="AV458" s="306"/>
      <c r="AW458" s="307"/>
      <c r="AX458" s="308" t="s">
        <v>310</v>
      </c>
      <c r="AY458" s="309" t="s">
        <v>311</v>
      </c>
      <c r="AZ458" s="310" t="s">
        <v>312</v>
      </c>
      <c r="BA458" s="607"/>
    </row>
    <row r="459" spans="1:53" ht="9" customHeight="1">
      <c r="A459" s="583">
        <v>1</v>
      </c>
      <c r="B459" s="584" t="str">
        <f>B347</f>
        <v>ગોહેલ રાજેશભાઇ ચીથરભાઇ</v>
      </c>
      <c r="C459" s="311" t="s">
        <v>312</v>
      </c>
      <c r="D459" s="312"/>
      <c r="E459" s="312"/>
      <c r="F459" s="312"/>
      <c r="G459" s="312"/>
      <c r="H459" s="312"/>
      <c r="I459" s="312"/>
      <c r="J459" s="312"/>
      <c r="K459" s="312"/>
      <c r="L459" s="312"/>
      <c r="M459" s="312"/>
      <c r="N459" s="312"/>
      <c r="O459" s="312"/>
      <c r="P459" s="312"/>
      <c r="Q459" s="312"/>
      <c r="R459" s="312"/>
      <c r="S459" s="312"/>
      <c r="T459" s="312"/>
      <c r="U459" s="312"/>
      <c r="V459" s="313"/>
      <c r="W459" s="587">
        <f>'A-CALC'!V430</f>
        <v>1</v>
      </c>
      <c r="X459" s="590">
        <f>'A-CALC'!W430</f>
        <v>0</v>
      </c>
      <c r="Y459" s="590">
        <f>'A-CALC'!X430</f>
        <v>0</v>
      </c>
      <c r="Z459" s="593">
        <f>ROUND((40/$Y$7)*W459,0)</f>
        <v>3</v>
      </c>
      <c r="AA459" s="301"/>
      <c r="AB459" s="583">
        <v>1</v>
      </c>
      <c r="AC459" s="584" t="str">
        <f>AC347</f>
        <v>ગોહેલ રાજેશભાઇ ચીથરભાઇ</v>
      </c>
      <c r="AD459" s="311"/>
      <c r="AE459" s="312"/>
      <c r="AF459" s="312"/>
      <c r="AG459" s="312"/>
      <c r="AH459" s="312"/>
      <c r="AI459" s="312"/>
      <c r="AJ459" s="312"/>
      <c r="AK459" s="312"/>
      <c r="AL459" s="312"/>
      <c r="AM459" s="312"/>
      <c r="AN459" s="312"/>
      <c r="AO459" s="312"/>
      <c r="AP459" s="312"/>
      <c r="AQ459" s="312"/>
      <c r="AR459" s="312"/>
      <c r="AS459" s="312"/>
      <c r="AT459" s="312"/>
      <c r="AU459" s="312"/>
      <c r="AV459" s="312"/>
      <c r="AW459" s="313"/>
      <c r="AX459" s="587">
        <f>'A-CALC'!AU430</f>
        <v>0</v>
      </c>
      <c r="AY459" s="590">
        <f>'A-CALC'!AV430</f>
        <v>0</v>
      </c>
      <c r="AZ459" s="590">
        <f>'A-CALC'!AW430</f>
        <v>0</v>
      </c>
      <c r="BA459" s="593">
        <f>ROUND((40/$Y$7)*AX459,0)</f>
        <v>0</v>
      </c>
    </row>
    <row r="460" spans="1:53" ht="9" customHeight="1">
      <c r="A460" s="583"/>
      <c r="B460" s="585"/>
      <c r="C460" s="314" t="s">
        <v>311</v>
      </c>
      <c r="D460" s="315"/>
      <c r="E460" s="315"/>
      <c r="F460" s="315"/>
      <c r="G460" s="315"/>
      <c r="H460" s="315"/>
      <c r="I460" s="315"/>
      <c r="J460" s="315"/>
      <c r="K460" s="315"/>
      <c r="L460" s="315"/>
      <c r="M460" s="315"/>
      <c r="N460" s="315"/>
      <c r="O460" s="315"/>
      <c r="P460" s="315"/>
      <c r="Q460" s="315"/>
      <c r="R460" s="315"/>
      <c r="S460" s="315"/>
      <c r="T460" s="315"/>
      <c r="U460" s="315"/>
      <c r="V460" s="316"/>
      <c r="W460" s="588"/>
      <c r="X460" s="591"/>
      <c r="Y460" s="591"/>
      <c r="Z460" s="594"/>
      <c r="AA460" s="301"/>
      <c r="AB460" s="583"/>
      <c r="AC460" s="585"/>
      <c r="AD460" s="314"/>
      <c r="AE460" s="315"/>
      <c r="AF460" s="315"/>
      <c r="AG460" s="315"/>
      <c r="AH460" s="315"/>
      <c r="AI460" s="315"/>
      <c r="AJ460" s="315"/>
      <c r="AK460" s="315"/>
      <c r="AL460" s="315"/>
      <c r="AM460" s="315"/>
      <c r="AN460" s="315"/>
      <c r="AO460" s="315"/>
      <c r="AP460" s="315"/>
      <c r="AQ460" s="315"/>
      <c r="AR460" s="315"/>
      <c r="AS460" s="315"/>
      <c r="AT460" s="315"/>
      <c r="AU460" s="315"/>
      <c r="AV460" s="315"/>
      <c r="AW460" s="316"/>
      <c r="AX460" s="588"/>
      <c r="AY460" s="591"/>
      <c r="AZ460" s="591"/>
      <c r="BA460" s="594"/>
    </row>
    <row r="461" spans="1:53" ht="9" customHeight="1">
      <c r="A461" s="583"/>
      <c r="B461" s="586"/>
      <c r="C461" s="317" t="s">
        <v>310</v>
      </c>
      <c r="D461" s="318"/>
      <c r="E461" s="318"/>
      <c r="F461" s="318"/>
      <c r="G461" s="318"/>
      <c r="H461" s="318"/>
      <c r="I461" s="318"/>
      <c r="J461" s="318"/>
      <c r="K461" s="318"/>
      <c r="L461" s="318"/>
      <c r="M461" s="318"/>
      <c r="N461" s="318"/>
      <c r="O461" s="318"/>
      <c r="P461" s="318"/>
      <c r="Q461" s="318"/>
      <c r="R461" s="318"/>
      <c r="S461" s="318"/>
      <c r="T461" s="318"/>
      <c r="U461" s="318"/>
      <c r="V461" s="319"/>
      <c r="W461" s="589"/>
      <c r="X461" s="592"/>
      <c r="Y461" s="592"/>
      <c r="Z461" s="594"/>
      <c r="AA461" s="301"/>
      <c r="AB461" s="583"/>
      <c r="AC461" s="586"/>
      <c r="AD461" s="317"/>
      <c r="AE461" s="318"/>
      <c r="AF461" s="318"/>
      <c r="AG461" s="318"/>
      <c r="AH461" s="318"/>
      <c r="AI461" s="318"/>
      <c r="AJ461" s="318"/>
      <c r="AK461" s="318"/>
      <c r="AL461" s="318"/>
      <c r="AM461" s="318"/>
      <c r="AN461" s="318"/>
      <c r="AO461" s="318"/>
      <c r="AP461" s="318"/>
      <c r="AQ461" s="318"/>
      <c r="AR461" s="318"/>
      <c r="AS461" s="318"/>
      <c r="AT461" s="318"/>
      <c r="AU461" s="318"/>
      <c r="AV461" s="318"/>
      <c r="AW461" s="319"/>
      <c r="AX461" s="589"/>
      <c r="AY461" s="592"/>
      <c r="AZ461" s="592"/>
      <c r="BA461" s="594"/>
    </row>
    <row r="462" spans="1:53" ht="9" customHeight="1">
      <c r="A462" s="583">
        <v>2</v>
      </c>
      <c r="B462" s="584" t="str">
        <f t="shared" ref="B462" si="329">B350</f>
        <v>ખિમસુરીયા સાહિલકુમાર અરજણભાઇ</v>
      </c>
      <c r="C462" s="311"/>
      <c r="D462" s="312"/>
      <c r="E462" s="312"/>
      <c r="F462" s="312"/>
      <c r="G462" s="312"/>
      <c r="H462" s="312"/>
      <c r="I462" s="312"/>
      <c r="J462" s="312"/>
      <c r="K462" s="312"/>
      <c r="L462" s="312"/>
      <c r="M462" s="312"/>
      <c r="N462" s="312"/>
      <c r="O462" s="312"/>
      <c r="P462" s="312"/>
      <c r="Q462" s="312"/>
      <c r="R462" s="312"/>
      <c r="S462" s="312"/>
      <c r="T462" s="312"/>
      <c r="U462" s="312"/>
      <c r="V462" s="313"/>
      <c r="W462" s="587">
        <f>'A-CALC'!V433</f>
        <v>0</v>
      </c>
      <c r="X462" s="590">
        <f>'A-CALC'!W433</f>
        <v>0</v>
      </c>
      <c r="Y462" s="590">
        <f>'A-CALC'!X433</f>
        <v>0</v>
      </c>
      <c r="Z462" s="593">
        <f t="shared" ref="Z462" si="330">ROUND((40/$Y$7)*W462,0)</f>
        <v>0</v>
      </c>
      <c r="AA462" s="301"/>
      <c r="AB462" s="583">
        <v>2</v>
      </c>
      <c r="AC462" s="584" t="str">
        <f t="shared" ref="AC462" si="331">AC350</f>
        <v>ખિમસુરીયા સાહિલકુમાર અરજણભાઇ</v>
      </c>
      <c r="AD462" s="311"/>
      <c r="AE462" s="312"/>
      <c r="AF462" s="312"/>
      <c r="AG462" s="312"/>
      <c r="AH462" s="312"/>
      <c r="AI462" s="312"/>
      <c r="AJ462" s="312"/>
      <c r="AK462" s="312"/>
      <c r="AL462" s="312"/>
      <c r="AM462" s="312"/>
      <c r="AN462" s="312"/>
      <c r="AO462" s="312"/>
      <c r="AP462" s="312"/>
      <c r="AQ462" s="312"/>
      <c r="AR462" s="312"/>
      <c r="AS462" s="312"/>
      <c r="AT462" s="312"/>
      <c r="AU462" s="312"/>
      <c r="AV462" s="312"/>
      <c r="AW462" s="313"/>
      <c r="AX462" s="587">
        <f>'A-CALC'!AU433</f>
        <v>0</v>
      </c>
      <c r="AY462" s="590">
        <f>'A-CALC'!AV433</f>
        <v>0</v>
      </c>
      <c r="AZ462" s="590">
        <f>'A-CALC'!AW433</f>
        <v>0</v>
      </c>
      <c r="BA462" s="593">
        <f t="shared" ref="BA462" si="332">ROUND((40/$Y$7)*AX462,0)</f>
        <v>0</v>
      </c>
    </row>
    <row r="463" spans="1:53" ht="9" customHeight="1">
      <c r="A463" s="583"/>
      <c r="B463" s="585"/>
      <c r="C463" s="314"/>
      <c r="D463" s="315"/>
      <c r="E463" s="315"/>
      <c r="F463" s="315"/>
      <c r="G463" s="315"/>
      <c r="H463" s="315"/>
      <c r="I463" s="315"/>
      <c r="J463" s="315"/>
      <c r="K463" s="315"/>
      <c r="L463" s="315"/>
      <c r="M463" s="315"/>
      <c r="N463" s="315"/>
      <c r="O463" s="315"/>
      <c r="P463" s="315"/>
      <c r="Q463" s="315"/>
      <c r="R463" s="315"/>
      <c r="S463" s="315"/>
      <c r="T463" s="315"/>
      <c r="U463" s="315"/>
      <c r="V463" s="316"/>
      <c r="W463" s="588"/>
      <c r="X463" s="591"/>
      <c r="Y463" s="591"/>
      <c r="Z463" s="594"/>
      <c r="AA463" s="301"/>
      <c r="AB463" s="583"/>
      <c r="AC463" s="585"/>
      <c r="AD463" s="314"/>
      <c r="AE463" s="315"/>
      <c r="AF463" s="315"/>
      <c r="AG463" s="315"/>
      <c r="AH463" s="315"/>
      <c r="AI463" s="315"/>
      <c r="AJ463" s="315"/>
      <c r="AK463" s="315"/>
      <c r="AL463" s="315"/>
      <c r="AM463" s="315"/>
      <c r="AN463" s="315"/>
      <c r="AO463" s="315"/>
      <c r="AP463" s="315"/>
      <c r="AQ463" s="315"/>
      <c r="AR463" s="315"/>
      <c r="AS463" s="315"/>
      <c r="AT463" s="315"/>
      <c r="AU463" s="315"/>
      <c r="AV463" s="315"/>
      <c r="AW463" s="316"/>
      <c r="AX463" s="588"/>
      <c r="AY463" s="591"/>
      <c r="AZ463" s="591"/>
      <c r="BA463" s="594"/>
    </row>
    <row r="464" spans="1:53" ht="9" customHeight="1">
      <c r="A464" s="583"/>
      <c r="B464" s="586"/>
      <c r="C464" s="317"/>
      <c r="D464" s="318"/>
      <c r="E464" s="318"/>
      <c r="F464" s="318"/>
      <c r="G464" s="318"/>
      <c r="H464" s="318"/>
      <c r="I464" s="318"/>
      <c r="J464" s="318"/>
      <c r="K464" s="318"/>
      <c r="L464" s="318"/>
      <c r="M464" s="318"/>
      <c r="N464" s="318"/>
      <c r="O464" s="318"/>
      <c r="P464" s="318"/>
      <c r="Q464" s="318"/>
      <c r="R464" s="318"/>
      <c r="S464" s="318"/>
      <c r="T464" s="318"/>
      <c r="U464" s="318"/>
      <c r="V464" s="319"/>
      <c r="W464" s="589"/>
      <c r="X464" s="592"/>
      <c r="Y464" s="592"/>
      <c r="Z464" s="594"/>
      <c r="AA464" s="301"/>
      <c r="AB464" s="583"/>
      <c r="AC464" s="586"/>
      <c r="AD464" s="317"/>
      <c r="AE464" s="318"/>
      <c r="AF464" s="318"/>
      <c r="AG464" s="318"/>
      <c r="AH464" s="318"/>
      <c r="AI464" s="318"/>
      <c r="AJ464" s="318"/>
      <c r="AK464" s="318"/>
      <c r="AL464" s="318"/>
      <c r="AM464" s="318"/>
      <c r="AN464" s="318"/>
      <c r="AO464" s="318"/>
      <c r="AP464" s="318"/>
      <c r="AQ464" s="318"/>
      <c r="AR464" s="318"/>
      <c r="AS464" s="318"/>
      <c r="AT464" s="318"/>
      <c r="AU464" s="318"/>
      <c r="AV464" s="318"/>
      <c r="AW464" s="319"/>
      <c r="AX464" s="589"/>
      <c r="AY464" s="592"/>
      <c r="AZ464" s="592"/>
      <c r="BA464" s="594"/>
    </row>
    <row r="465" spans="1:53" ht="9" customHeight="1">
      <c r="A465" s="583">
        <v>3</v>
      </c>
      <c r="B465" s="584" t="str">
        <f t="shared" ref="B465" si="333">B353</f>
        <v>ગરણિયા મયુરકુમાર અશોકભાઇ</v>
      </c>
      <c r="C465" s="311"/>
      <c r="D465" s="312"/>
      <c r="E465" s="312"/>
      <c r="F465" s="312"/>
      <c r="G465" s="312"/>
      <c r="H465" s="312"/>
      <c r="I465" s="312"/>
      <c r="J465" s="312"/>
      <c r="K465" s="312"/>
      <c r="L465" s="312"/>
      <c r="M465" s="312"/>
      <c r="N465" s="312"/>
      <c r="O465" s="312"/>
      <c r="P465" s="312"/>
      <c r="Q465" s="312"/>
      <c r="R465" s="312"/>
      <c r="S465" s="312"/>
      <c r="T465" s="312"/>
      <c r="U465" s="312"/>
      <c r="V465" s="313"/>
      <c r="W465" s="587">
        <f>'A-CALC'!V436</f>
        <v>0</v>
      </c>
      <c r="X465" s="590">
        <f>'A-CALC'!W436</f>
        <v>0</v>
      </c>
      <c r="Y465" s="590">
        <f>'A-CALC'!X436</f>
        <v>0</v>
      </c>
      <c r="Z465" s="593">
        <f t="shared" ref="Z465" si="334">ROUND((40/$Y$7)*W465,0)</f>
        <v>0</v>
      </c>
      <c r="AA465" s="301"/>
      <c r="AB465" s="583">
        <v>3</v>
      </c>
      <c r="AC465" s="584" t="str">
        <f t="shared" ref="AC465" si="335">AC353</f>
        <v>ગરણિયા મયુરકુમાર અશોકભાઇ</v>
      </c>
      <c r="AD465" s="311"/>
      <c r="AE465" s="312"/>
      <c r="AF465" s="312"/>
      <c r="AG465" s="312"/>
      <c r="AH465" s="312"/>
      <c r="AI465" s="312"/>
      <c r="AJ465" s="312"/>
      <c r="AK465" s="312"/>
      <c r="AL465" s="312"/>
      <c r="AM465" s="312"/>
      <c r="AN465" s="312"/>
      <c r="AO465" s="312"/>
      <c r="AP465" s="312"/>
      <c r="AQ465" s="312"/>
      <c r="AR465" s="312"/>
      <c r="AS465" s="312"/>
      <c r="AT465" s="312"/>
      <c r="AU465" s="312"/>
      <c r="AV465" s="312"/>
      <c r="AW465" s="313"/>
      <c r="AX465" s="587">
        <f>'A-CALC'!AU436</f>
        <v>0</v>
      </c>
      <c r="AY465" s="590">
        <f>'A-CALC'!AV436</f>
        <v>0</v>
      </c>
      <c r="AZ465" s="590">
        <f>'A-CALC'!AW436</f>
        <v>0</v>
      </c>
      <c r="BA465" s="593">
        <f t="shared" ref="BA465" si="336">ROUND((40/$Y$7)*AX465,0)</f>
        <v>0</v>
      </c>
    </row>
    <row r="466" spans="1:53" ht="9" customHeight="1">
      <c r="A466" s="583"/>
      <c r="B466" s="585"/>
      <c r="C466" s="314"/>
      <c r="D466" s="315"/>
      <c r="E466" s="315"/>
      <c r="F466" s="315"/>
      <c r="G466" s="315"/>
      <c r="H466" s="315"/>
      <c r="I466" s="315"/>
      <c r="J466" s="315"/>
      <c r="K466" s="315"/>
      <c r="L466" s="315"/>
      <c r="M466" s="315"/>
      <c r="N466" s="315"/>
      <c r="O466" s="315"/>
      <c r="P466" s="315"/>
      <c r="Q466" s="315"/>
      <c r="R466" s="315"/>
      <c r="S466" s="315"/>
      <c r="T466" s="315"/>
      <c r="U466" s="315"/>
      <c r="V466" s="316"/>
      <c r="W466" s="588"/>
      <c r="X466" s="591"/>
      <c r="Y466" s="591"/>
      <c r="Z466" s="594"/>
      <c r="AA466" s="301"/>
      <c r="AB466" s="583"/>
      <c r="AC466" s="585"/>
      <c r="AD466" s="314"/>
      <c r="AE466" s="315"/>
      <c r="AF466" s="315"/>
      <c r="AG466" s="315"/>
      <c r="AH466" s="315"/>
      <c r="AI466" s="315"/>
      <c r="AJ466" s="315"/>
      <c r="AK466" s="315"/>
      <c r="AL466" s="315"/>
      <c r="AM466" s="315"/>
      <c r="AN466" s="315"/>
      <c r="AO466" s="315"/>
      <c r="AP466" s="315"/>
      <c r="AQ466" s="315"/>
      <c r="AR466" s="315"/>
      <c r="AS466" s="315"/>
      <c r="AT466" s="315"/>
      <c r="AU466" s="315"/>
      <c r="AV466" s="315"/>
      <c r="AW466" s="316"/>
      <c r="AX466" s="588"/>
      <c r="AY466" s="591"/>
      <c r="AZ466" s="591"/>
      <c r="BA466" s="594"/>
    </row>
    <row r="467" spans="1:53" ht="9" customHeight="1">
      <c r="A467" s="583"/>
      <c r="B467" s="586"/>
      <c r="C467" s="317"/>
      <c r="D467" s="318"/>
      <c r="E467" s="318"/>
      <c r="F467" s="318"/>
      <c r="G467" s="318"/>
      <c r="H467" s="318"/>
      <c r="I467" s="318"/>
      <c r="J467" s="318"/>
      <c r="K467" s="318"/>
      <c r="L467" s="318"/>
      <c r="M467" s="318"/>
      <c r="N467" s="318"/>
      <c r="O467" s="318"/>
      <c r="P467" s="318"/>
      <c r="Q467" s="318"/>
      <c r="R467" s="318"/>
      <c r="S467" s="318"/>
      <c r="T467" s="318"/>
      <c r="U467" s="318"/>
      <c r="V467" s="319"/>
      <c r="W467" s="589"/>
      <c r="X467" s="592"/>
      <c r="Y467" s="592"/>
      <c r="Z467" s="594"/>
      <c r="AA467" s="301"/>
      <c r="AB467" s="583"/>
      <c r="AC467" s="586"/>
      <c r="AD467" s="317"/>
      <c r="AE467" s="318"/>
      <c r="AF467" s="318"/>
      <c r="AG467" s="318"/>
      <c r="AH467" s="318"/>
      <c r="AI467" s="318"/>
      <c r="AJ467" s="318"/>
      <c r="AK467" s="318"/>
      <c r="AL467" s="318"/>
      <c r="AM467" s="318"/>
      <c r="AN467" s="318"/>
      <c r="AO467" s="318"/>
      <c r="AP467" s="318"/>
      <c r="AQ467" s="318"/>
      <c r="AR467" s="318"/>
      <c r="AS467" s="318"/>
      <c r="AT467" s="318"/>
      <c r="AU467" s="318"/>
      <c r="AV467" s="318"/>
      <c r="AW467" s="319"/>
      <c r="AX467" s="589"/>
      <c r="AY467" s="592"/>
      <c r="AZ467" s="592"/>
      <c r="BA467" s="594"/>
    </row>
    <row r="468" spans="1:53" ht="9" customHeight="1">
      <c r="A468" s="583">
        <v>4</v>
      </c>
      <c r="B468" s="584" t="str">
        <f t="shared" ref="B468" si="337">B356</f>
        <v>ગરણિયા અલ્પેશકુમાર મેરામભાઇ</v>
      </c>
      <c r="C468" s="311"/>
      <c r="D468" s="312"/>
      <c r="E468" s="312"/>
      <c r="F468" s="312"/>
      <c r="G468" s="312"/>
      <c r="H468" s="312"/>
      <c r="I468" s="312"/>
      <c r="J468" s="312"/>
      <c r="K468" s="312"/>
      <c r="L468" s="312"/>
      <c r="M468" s="312"/>
      <c r="N468" s="312"/>
      <c r="O468" s="312"/>
      <c r="P468" s="312"/>
      <c r="Q468" s="312"/>
      <c r="R468" s="312"/>
      <c r="S468" s="312"/>
      <c r="T468" s="312"/>
      <c r="U468" s="312"/>
      <c r="V468" s="313"/>
      <c r="W468" s="587">
        <f>'A-CALC'!V439</f>
        <v>0</v>
      </c>
      <c r="X468" s="590">
        <f>'A-CALC'!W439</f>
        <v>0</v>
      </c>
      <c r="Y468" s="590">
        <f>'A-CALC'!X439</f>
        <v>0</v>
      </c>
      <c r="Z468" s="593">
        <f t="shared" ref="Z468" si="338">ROUND((40/$Y$7)*W468,0)</f>
        <v>0</v>
      </c>
      <c r="AA468" s="301"/>
      <c r="AB468" s="583">
        <v>4</v>
      </c>
      <c r="AC468" s="584" t="str">
        <f t="shared" ref="AC468" si="339">AC356</f>
        <v>ગરણિયા અલ્પેશકુમાર મેરામભાઇ</v>
      </c>
      <c r="AD468" s="311"/>
      <c r="AE468" s="312"/>
      <c r="AF468" s="312"/>
      <c r="AG468" s="312"/>
      <c r="AH468" s="312"/>
      <c r="AI468" s="312"/>
      <c r="AJ468" s="312"/>
      <c r="AK468" s="312"/>
      <c r="AL468" s="312"/>
      <c r="AM468" s="312"/>
      <c r="AN468" s="312"/>
      <c r="AO468" s="312"/>
      <c r="AP468" s="312"/>
      <c r="AQ468" s="312"/>
      <c r="AR468" s="312"/>
      <c r="AS468" s="312"/>
      <c r="AT468" s="312"/>
      <c r="AU468" s="312"/>
      <c r="AV468" s="312"/>
      <c r="AW468" s="313"/>
      <c r="AX468" s="587">
        <f>'A-CALC'!AU439</f>
        <v>0</v>
      </c>
      <c r="AY468" s="590">
        <f>'A-CALC'!AV439</f>
        <v>0</v>
      </c>
      <c r="AZ468" s="590">
        <f>'A-CALC'!AW439</f>
        <v>0</v>
      </c>
      <c r="BA468" s="593">
        <f t="shared" ref="BA468" si="340">ROUND((40/$Y$7)*AX468,0)</f>
        <v>0</v>
      </c>
    </row>
    <row r="469" spans="1:53" ht="9" customHeight="1">
      <c r="A469" s="583"/>
      <c r="B469" s="585"/>
      <c r="C469" s="314"/>
      <c r="D469" s="315"/>
      <c r="E469" s="315"/>
      <c r="F469" s="315"/>
      <c r="G469" s="315"/>
      <c r="H469" s="315"/>
      <c r="I469" s="315"/>
      <c r="J469" s="315"/>
      <c r="K469" s="315"/>
      <c r="L469" s="315"/>
      <c r="M469" s="315"/>
      <c r="N469" s="315"/>
      <c r="O469" s="315"/>
      <c r="P469" s="315"/>
      <c r="Q469" s="315"/>
      <c r="R469" s="315"/>
      <c r="S469" s="315"/>
      <c r="T469" s="315"/>
      <c r="U469" s="315"/>
      <c r="V469" s="316"/>
      <c r="W469" s="588"/>
      <c r="X469" s="591"/>
      <c r="Y469" s="591"/>
      <c r="Z469" s="594"/>
      <c r="AA469" s="301"/>
      <c r="AB469" s="583"/>
      <c r="AC469" s="585"/>
      <c r="AD469" s="314"/>
      <c r="AE469" s="315"/>
      <c r="AF469" s="315"/>
      <c r="AG469" s="315"/>
      <c r="AH469" s="315"/>
      <c r="AI469" s="315"/>
      <c r="AJ469" s="315"/>
      <c r="AK469" s="315"/>
      <c r="AL469" s="315"/>
      <c r="AM469" s="315"/>
      <c r="AN469" s="315"/>
      <c r="AO469" s="315"/>
      <c r="AP469" s="315"/>
      <c r="AQ469" s="315"/>
      <c r="AR469" s="315"/>
      <c r="AS469" s="315"/>
      <c r="AT469" s="315"/>
      <c r="AU469" s="315"/>
      <c r="AV469" s="315"/>
      <c r="AW469" s="316"/>
      <c r="AX469" s="588"/>
      <c r="AY469" s="591"/>
      <c r="AZ469" s="591"/>
      <c r="BA469" s="594"/>
    </row>
    <row r="470" spans="1:53" ht="9" customHeight="1">
      <c r="A470" s="583"/>
      <c r="B470" s="586"/>
      <c r="C470" s="317"/>
      <c r="D470" s="318"/>
      <c r="E470" s="318"/>
      <c r="F470" s="318"/>
      <c r="G470" s="318"/>
      <c r="H470" s="318"/>
      <c r="I470" s="318"/>
      <c r="J470" s="318"/>
      <c r="K470" s="318"/>
      <c r="L470" s="318"/>
      <c r="M470" s="318"/>
      <c r="N470" s="318"/>
      <c r="O470" s="318"/>
      <c r="P470" s="318"/>
      <c r="Q470" s="318"/>
      <c r="R470" s="318"/>
      <c r="S470" s="318"/>
      <c r="T470" s="318"/>
      <c r="U470" s="318"/>
      <c r="V470" s="319"/>
      <c r="W470" s="589"/>
      <c r="X470" s="592"/>
      <c r="Y470" s="592"/>
      <c r="Z470" s="594"/>
      <c r="AA470" s="301"/>
      <c r="AB470" s="583"/>
      <c r="AC470" s="586"/>
      <c r="AD470" s="317"/>
      <c r="AE470" s="318"/>
      <c r="AF470" s="318"/>
      <c r="AG470" s="318"/>
      <c r="AH470" s="318"/>
      <c r="AI470" s="318"/>
      <c r="AJ470" s="318"/>
      <c r="AK470" s="318"/>
      <c r="AL470" s="318"/>
      <c r="AM470" s="318"/>
      <c r="AN470" s="318"/>
      <c r="AO470" s="318"/>
      <c r="AP470" s="318"/>
      <c r="AQ470" s="318"/>
      <c r="AR470" s="318"/>
      <c r="AS470" s="318"/>
      <c r="AT470" s="318"/>
      <c r="AU470" s="318"/>
      <c r="AV470" s="318"/>
      <c r="AW470" s="319"/>
      <c r="AX470" s="589"/>
      <c r="AY470" s="592"/>
      <c r="AZ470" s="592"/>
      <c r="BA470" s="594"/>
    </row>
    <row r="471" spans="1:53" ht="9" customHeight="1">
      <c r="A471" s="583">
        <v>5</v>
      </c>
      <c r="B471" s="584" t="str">
        <f t="shared" ref="B471" si="341">B359</f>
        <v>ગરણિયા મિલન પોપટભાઇ</v>
      </c>
      <c r="C471" s="311"/>
      <c r="D471" s="312"/>
      <c r="E471" s="312"/>
      <c r="F471" s="312"/>
      <c r="G471" s="312"/>
      <c r="H471" s="312"/>
      <c r="I471" s="312"/>
      <c r="J471" s="312"/>
      <c r="K471" s="312"/>
      <c r="L471" s="312"/>
      <c r="M471" s="312"/>
      <c r="N471" s="312"/>
      <c r="O471" s="312"/>
      <c r="P471" s="312"/>
      <c r="Q471" s="312"/>
      <c r="R471" s="312"/>
      <c r="S471" s="312"/>
      <c r="T471" s="312"/>
      <c r="U471" s="312"/>
      <c r="V471" s="313"/>
      <c r="W471" s="587">
        <f>'A-CALC'!V442</f>
        <v>0</v>
      </c>
      <c r="X471" s="590">
        <f>'A-CALC'!W442</f>
        <v>0</v>
      </c>
      <c r="Y471" s="590">
        <f>'A-CALC'!X442</f>
        <v>0</v>
      </c>
      <c r="Z471" s="593">
        <f t="shared" ref="Z471" si="342">ROUND((40/$Y$7)*W471,0)</f>
        <v>0</v>
      </c>
      <c r="AA471" s="301"/>
      <c r="AB471" s="583">
        <v>5</v>
      </c>
      <c r="AC471" s="584" t="str">
        <f t="shared" ref="AC471" si="343">AC359</f>
        <v>ગરણિયા મિલન પોપટભાઇ</v>
      </c>
      <c r="AD471" s="311"/>
      <c r="AE471" s="312"/>
      <c r="AF471" s="312"/>
      <c r="AG471" s="312"/>
      <c r="AH471" s="312"/>
      <c r="AI471" s="312"/>
      <c r="AJ471" s="312"/>
      <c r="AK471" s="312"/>
      <c r="AL471" s="312"/>
      <c r="AM471" s="312"/>
      <c r="AN471" s="312"/>
      <c r="AO471" s="312"/>
      <c r="AP471" s="312"/>
      <c r="AQ471" s="312"/>
      <c r="AR471" s="312"/>
      <c r="AS471" s="312"/>
      <c r="AT471" s="312"/>
      <c r="AU471" s="312"/>
      <c r="AV471" s="312"/>
      <c r="AW471" s="313"/>
      <c r="AX471" s="587">
        <f>'A-CALC'!AU442</f>
        <v>0</v>
      </c>
      <c r="AY471" s="590">
        <f>'A-CALC'!AV442</f>
        <v>0</v>
      </c>
      <c r="AZ471" s="590">
        <f>'A-CALC'!AW442</f>
        <v>0</v>
      </c>
      <c r="BA471" s="593">
        <f t="shared" ref="BA471" si="344">ROUND((40/$Y$7)*AX471,0)</f>
        <v>0</v>
      </c>
    </row>
    <row r="472" spans="1:53" ht="9" customHeight="1">
      <c r="A472" s="583"/>
      <c r="B472" s="585"/>
      <c r="C472" s="314"/>
      <c r="D472" s="315"/>
      <c r="E472" s="315"/>
      <c r="F472" s="315"/>
      <c r="G472" s="315"/>
      <c r="H472" s="315"/>
      <c r="I472" s="315"/>
      <c r="J472" s="315"/>
      <c r="K472" s="315"/>
      <c r="L472" s="315"/>
      <c r="M472" s="315"/>
      <c r="N472" s="315"/>
      <c r="O472" s="315"/>
      <c r="P472" s="315"/>
      <c r="Q472" s="315"/>
      <c r="R472" s="315"/>
      <c r="S472" s="315"/>
      <c r="T472" s="315"/>
      <c r="U472" s="315"/>
      <c r="V472" s="316"/>
      <c r="W472" s="588"/>
      <c r="X472" s="591"/>
      <c r="Y472" s="591"/>
      <c r="Z472" s="594"/>
      <c r="AA472" s="301"/>
      <c r="AB472" s="583"/>
      <c r="AC472" s="585"/>
      <c r="AD472" s="314"/>
      <c r="AE472" s="315"/>
      <c r="AF472" s="315"/>
      <c r="AG472" s="315"/>
      <c r="AH472" s="315"/>
      <c r="AI472" s="315"/>
      <c r="AJ472" s="315"/>
      <c r="AK472" s="315"/>
      <c r="AL472" s="315"/>
      <c r="AM472" s="315"/>
      <c r="AN472" s="315"/>
      <c r="AO472" s="315"/>
      <c r="AP472" s="315"/>
      <c r="AQ472" s="315"/>
      <c r="AR472" s="315"/>
      <c r="AS472" s="315"/>
      <c r="AT472" s="315"/>
      <c r="AU472" s="315"/>
      <c r="AV472" s="315"/>
      <c r="AW472" s="316"/>
      <c r="AX472" s="588"/>
      <c r="AY472" s="591"/>
      <c r="AZ472" s="591"/>
      <c r="BA472" s="594"/>
    </row>
    <row r="473" spans="1:53" ht="9" customHeight="1">
      <c r="A473" s="583"/>
      <c r="B473" s="586"/>
      <c r="C473" s="317"/>
      <c r="D473" s="318"/>
      <c r="E473" s="318"/>
      <c r="F473" s="318"/>
      <c r="G473" s="318"/>
      <c r="H473" s="318"/>
      <c r="I473" s="318"/>
      <c r="J473" s="318"/>
      <c r="K473" s="318"/>
      <c r="L473" s="318"/>
      <c r="M473" s="318"/>
      <c r="N473" s="318"/>
      <c r="O473" s="318"/>
      <c r="P473" s="318"/>
      <c r="Q473" s="318"/>
      <c r="R473" s="318"/>
      <c r="S473" s="318"/>
      <c r="T473" s="318"/>
      <c r="U473" s="318"/>
      <c r="V473" s="319"/>
      <c r="W473" s="589"/>
      <c r="X473" s="592"/>
      <c r="Y473" s="592"/>
      <c r="Z473" s="594"/>
      <c r="AA473" s="301"/>
      <c r="AB473" s="583"/>
      <c r="AC473" s="586"/>
      <c r="AD473" s="317"/>
      <c r="AE473" s="318"/>
      <c r="AF473" s="318"/>
      <c r="AG473" s="318"/>
      <c r="AH473" s="318"/>
      <c r="AI473" s="318"/>
      <c r="AJ473" s="318"/>
      <c r="AK473" s="318"/>
      <c r="AL473" s="318"/>
      <c r="AM473" s="318"/>
      <c r="AN473" s="318"/>
      <c r="AO473" s="318"/>
      <c r="AP473" s="318"/>
      <c r="AQ473" s="318"/>
      <c r="AR473" s="318"/>
      <c r="AS473" s="318"/>
      <c r="AT473" s="318"/>
      <c r="AU473" s="318"/>
      <c r="AV473" s="318"/>
      <c r="AW473" s="319"/>
      <c r="AX473" s="589"/>
      <c r="AY473" s="592"/>
      <c r="AZ473" s="592"/>
      <c r="BA473" s="594"/>
    </row>
    <row r="474" spans="1:53" ht="9" customHeight="1">
      <c r="A474" s="583">
        <v>6</v>
      </c>
      <c r="B474" s="584" t="str">
        <f t="shared" ref="B474" si="345">B362</f>
        <v>ગરણિયા મોહિત રાવતભાઇ</v>
      </c>
      <c r="C474" s="311"/>
      <c r="D474" s="312"/>
      <c r="E474" s="312"/>
      <c r="F474" s="312"/>
      <c r="G474" s="312"/>
      <c r="H474" s="312"/>
      <c r="I474" s="312"/>
      <c r="J474" s="312"/>
      <c r="K474" s="312"/>
      <c r="L474" s="312"/>
      <c r="M474" s="312"/>
      <c r="N474" s="312"/>
      <c r="O474" s="312"/>
      <c r="P474" s="312"/>
      <c r="Q474" s="312"/>
      <c r="R474" s="312"/>
      <c r="S474" s="312"/>
      <c r="T474" s="312"/>
      <c r="U474" s="312"/>
      <c r="V474" s="313"/>
      <c r="W474" s="587">
        <f>'A-CALC'!V445</f>
        <v>0</v>
      </c>
      <c r="X474" s="590">
        <f>'A-CALC'!W445</f>
        <v>0</v>
      </c>
      <c r="Y474" s="590">
        <f>'A-CALC'!X445</f>
        <v>0</v>
      </c>
      <c r="Z474" s="593">
        <f t="shared" ref="Z474" si="346">ROUND((40/$Y$7)*W474,0)</f>
        <v>0</v>
      </c>
      <c r="AA474" s="301"/>
      <c r="AB474" s="583">
        <v>6</v>
      </c>
      <c r="AC474" s="584" t="str">
        <f t="shared" ref="AC474" si="347">AC362</f>
        <v>ગરણિયા મોહિત રાવતભાઇ</v>
      </c>
      <c r="AD474" s="311"/>
      <c r="AE474" s="312"/>
      <c r="AF474" s="312"/>
      <c r="AG474" s="312"/>
      <c r="AH474" s="312"/>
      <c r="AI474" s="312"/>
      <c r="AJ474" s="312"/>
      <c r="AK474" s="312"/>
      <c r="AL474" s="312"/>
      <c r="AM474" s="312"/>
      <c r="AN474" s="312"/>
      <c r="AO474" s="312"/>
      <c r="AP474" s="312"/>
      <c r="AQ474" s="312"/>
      <c r="AR474" s="312"/>
      <c r="AS474" s="312"/>
      <c r="AT474" s="312"/>
      <c r="AU474" s="312"/>
      <c r="AV474" s="312"/>
      <c r="AW474" s="313"/>
      <c r="AX474" s="587">
        <f>'A-CALC'!AU445</f>
        <v>0</v>
      </c>
      <c r="AY474" s="590">
        <f>'A-CALC'!AV445</f>
        <v>0</v>
      </c>
      <c r="AZ474" s="590">
        <f>'A-CALC'!AW445</f>
        <v>0</v>
      </c>
      <c r="BA474" s="593">
        <f t="shared" ref="BA474" si="348">ROUND((40/$Y$7)*AX474,0)</f>
        <v>0</v>
      </c>
    </row>
    <row r="475" spans="1:53" ht="9" customHeight="1">
      <c r="A475" s="583"/>
      <c r="B475" s="585"/>
      <c r="C475" s="314"/>
      <c r="D475" s="315"/>
      <c r="E475" s="315"/>
      <c r="F475" s="315"/>
      <c r="G475" s="315"/>
      <c r="H475" s="315"/>
      <c r="I475" s="315"/>
      <c r="J475" s="315"/>
      <c r="K475" s="315"/>
      <c r="L475" s="315"/>
      <c r="M475" s="315"/>
      <c r="N475" s="315"/>
      <c r="O475" s="315"/>
      <c r="P475" s="315"/>
      <c r="Q475" s="315"/>
      <c r="R475" s="315"/>
      <c r="S475" s="315"/>
      <c r="T475" s="315"/>
      <c r="U475" s="315"/>
      <c r="V475" s="316"/>
      <c r="W475" s="588"/>
      <c r="X475" s="591"/>
      <c r="Y475" s="591"/>
      <c r="Z475" s="594"/>
      <c r="AA475" s="301"/>
      <c r="AB475" s="583"/>
      <c r="AC475" s="585"/>
      <c r="AD475" s="314"/>
      <c r="AE475" s="315"/>
      <c r="AF475" s="315"/>
      <c r="AG475" s="315"/>
      <c r="AH475" s="315"/>
      <c r="AI475" s="315"/>
      <c r="AJ475" s="315"/>
      <c r="AK475" s="315"/>
      <c r="AL475" s="315"/>
      <c r="AM475" s="315"/>
      <c r="AN475" s="315"/>
      <c r="AO475" s="315"/>
      <c r="AP475" s="315"/>
      <c r="AQ475" s="315"/>
      <c r="AR475" s="315"/>
      <c r="AS475" s="315"/>
      <c r="AT475" s="315"/>
      <c r="AU475" s="315"/>
      <c r="AV475" s="315"/>
      <c r="AW475" s="316"/>
      <c r="AX475" s="588"/>
      <c r="AY475" s="591"/>
      <c r="AZ475" s="591"/>
      <c r="BA475" s="594"/>
    </row>
    <row r="476" spans="1:53" ht="9" customHeight="1">
      <c r="A476" s="583"/>
      <c r="B476" s="586"/>
      <c r="C476" s="317"/>
      <c r="D476" s="318"/>
      <c r="E476" s="318"/>
      <c r="F476" s="318"/>
      <c r="G476" s="318"/>
      <c r="H476" s="318"/>
      <c r="I476" s="318"/>
      <c r="J476" s="318"/>
      <c r="K476" s="318"/>
      <c r="L476" s="318"/>
      <c r="M476" s="318"/>
      <c r="N476" s="318"/>
      <c r="O476" s="318"/>
      <c r="P476" s="318"/>
      <c r="Q476" s="318"/>
      <c r="R476" s="318"/>
      <c r="S476" s="318"/>
      <c r="T476" s="318"/>
      <c r="U476" s="318"/>
      <c r="V476" s="319"/>
      <c r="W476" s="589"/>
      <c r="X476" s="592"/>
      <c r="Y476" s="592"/>
      <c r="Z476" s="594"/>
      <c r="AA476" s="301"/>
      <c r="AB476" s="583"/>
      <c r="AC476" s="586"/>
      <c r="AD476" s="317"/>
      <c r="AE476" s="318"/>
      <c r="AF476" s="318"/>
      <c r="AG476" s="318"/>
      <c r="AH476" s="318"/>
      <c r="AI476" s="318"/>
      <c r="AJ476" s="318"/>
      <c r="AK476" s="318"/>
      <c r="AL476" s="318"/>
      <c r="AM476" s="318"/>
      <c r="AN476" s="318"/>
      <c r="AO476" s="318"/>
      <c r="AP476" s="318"/>
      <c r="AQ476" s="318"/>
      <c r="AR476" s="318"/>
      <c r="AS476" s="318"/>
      <c r="AT476" s="318"/>
      <c r="AU476" s="318"/>
      <c r="AV476" s="318"/>
      <c r="AW476" s="319"/>
      <c r="AX476" s="589"/>
      <c r="AY476" s="592"/>
      <c r="AZ476" s="592"/>
      <c r="BA476" s="594"/>
    </row>
    <row r="477" spans="1:53" ht="9" customHeight="1">
      <c r="A477" s="583">
        <v>7</v>
      </c>
      <c r="B477" s="584" t="str">
        <f t="shared" ref="B477" si="349">B365</f>
        <v>ગરણિયા સુમિત પોપટભાઇ</v>
      </c>
      <c r="C477" s="311"/>
      <c r="D477" s="312"/>
      <c r="E477" s="312"/>
      <c r="F477" s="312"/>
      <c r="G477" s="312"/>
      <c r="H477" s="312"/>
      <c r="I477" s="312"/>
      <c r="J477" s="312"/>
      <c r="K477" s="312"/>
      <c r="L477" s="312"/>
      <c r="M477" s="312"/>
      <c r="N477" s="312"/>
      <c r="O477" s="312"/>
      <c r="P477" s="312"/>
      <c r="Q477" s="312"/>
      <c r="R477" s="312"/>
      <c r="S477" s="312"/>
      <c r="T477" s="312"/>
      <c r="U477" s="312"/>
      <c r="V477" s="313"/>
      <c r="W477" s="587">
        <f>'A-CALC'!V448</f>
        <v>0</v>
      </c>
      <c r="X477" s="590">
        <f>'A-CALC'!W448</f>
        <v>0</v>
      </c>
      <c r="Y477" s="590">
        <f>'A-CALC'!X448</f>
        <v>0</v>
      </c>
      <c r="Z477" s="593">
        <f t="shared" ref="Z477" si="350">ROUND((40/$Y$7)*W477,0)</f>
        <v>0</v>
      </c>
      <c r="AA477" s="301"/>
      <c r="AB477" s="583">
        <v>7</v>
      </c>
      <c r="AC477" s="584" t="str">
        <f t="shared" ref="AC477" si="351">AC365</f>
        <v>ગરણિયા સુમિત પોપટભાઇ</v>
      </c>
      <c r="AD477" s="311"/>
      <c r="AE477" s="312"/>
      <c r="AF477" s="312"/>
      <c r="AG477" s="312"/>
      <c r="AH477" s="312"/>
      <c r="AI477" s="312"/>
      <c r="AJ477" s="312"/>
      <c r="AK477" s="312"/>
      <c r="AL477" s="312"/>
      <c r="AM477" s="312"/>
      <c r="AN477" s="312"/>
      <c r="AO477" s="312"/>
      <c r="AP477" s="312"/>
      <c r="AQ477" s="312"/>
      <c r="AR477" s="312"/>
      <c r="AS477" s="312"/>
      <c r="AT477" s="312"/>
      <c r="AU477" s="312"/>
      <c r="AV477" s="312"/>
      <c r="AW477" s="313"/>
      <c r="AX477" s="587">
        <f>'A-CALC'!AU448</f>
        <v>0</v>
      </c>
      <c r="AY477" s="590">
        <f>'A-CALC'!AV448</f>
        <v>0</v>
      </c>
      <c r="AZ477" s="590">
        <f>'A-CALC'!AW448</f>
        <v>0</v>
      </c>
      <c r="BA477" s="593">
        <f t="shared" ref="BA477" si="352">ROUND((40/$Y$7)*AX477,0)</f>
        <v>0</v>
      </c>
    </row>
    <row r="478" spans="1:53" ht="9" customHeight="1">
      <c r="A478" s="583"/>
      <c r="B478" s="585"/>
      <c r="C478" s="314"/>
      <c r="D478" s="315"/>
      <c r="E478" s="315"/>
      <c r="F478" s="315"/>
      <c r="G478" s="315"/>
      <c r="H478" s="315"/>
      <c r="I478" s="315"/>
      <c r="J478" s="315"/>
      <c r="K478" s="315"/>
      <c r="L478" s="315"/>
      <c r="M478" s="315"/>
      <c r="N478" s="315"/>
      <c r="O478" s="315"/>
      <c r="P478" s="315"/>
      <c r="Q478" s="315"/>
      <c r="R478" s="315"/>
      <c r="S478" s="315"/>
      <c r="T478" s="315"/>
      <c r="U478" s="315"/>
      <c r="V478" s="316"/>
      <c r="W478" s="588"/>
      <c r="X478" s="591"/>
      <c r="Y478" s="591"/>
      <c r="Z478" s="594"/>
      <c r="AA478" s="301"/>
      <c r="AB478" s="583"/>
      <c r="AC478" s="585"/>
      <c r="AD478" s="314"/>
      <c r="AE478" s="315"/>
      <c r="AF478" s="315"/>
      <c r="AG478" s="315"/>
      <c r="AH478" s="315"/>
      <c r="AI478" s="315"/>
      <c r="AJ478" s="315"/>
      <c r="AK478" s="315"/>
      <c r="AL478" s="315"/>
      <c r="AM478" s="315"/>
      <c r="AN478" s="315"/>
      <c r="AO478" s="315"/>
      <c r="AP478" s="315"/>
      <c r="AQ478" s="315"/>
      <c r="AR478" s="315"/>
      <c r="AS478" s="315"/>
      <c r="AT478" s="315"/>
      <c r="AU478" s="315"/>
      <c r="AV478" s="315"/>
      <c r="AW478" s="316"/>
      <c r="AX478" s="588"/>
      <c r="AY478" s="591"/>
      <c r="AZ478" s="591"/>
      <c r="BA478" s="594"/>
    </row>
    <row r="479" spans="1:53" ht="9" customHeight="1">
      <c r="A479" s="583"/>
      <c r="B479" s="586"/>
      <c r="C479" s="317"/>
      <c r="D479" s="318"/>
      <c r="E479" s="318"/>
      <c r="F479" s="318"/>
      <c r="G479" s="318"/>
      <c r="H479" s="318"/>
      <c r="I479" s="318"/>
      <c r="J479" s="318"/>
      <c r="K479" s="318"/>
      <c r="L479" s="318"/>
      <c r="M479" s="318"/>
      <c r="N479" s="318"/>
      <c r="O479" s="318"/>
      <c r="P479" s="318"/>
      <c r="Q479" s="318"/>
      <c r="R479" s="318"/>
      <c r="S479" s="318"/>
      <c r="T479" s="318"/>
      <c r="U479" s="318"/>
      <c r="V479" s="319"/>
      <c r="W479" s="589"/>
      <c r="X479" s="592"/>
      <c r="Y479" s="592"/>
      <c r="Z479" s="594"/>
      <c r="AA479" s="301"/>
      <c r="AB479" s="583"/>
      <c r="AC479" s="586"/>
      <c r="AD479" s="317"/>
      <c r="AE479" s="318"/>
      <c r="AF479" s="318"/>
      <c r="AG479" s="318"/>
      <c r="AH479" s="318"/>
      <c r="AI479" s="318"/>
      <c r="AJ479" s="318"/>
      <c r="AK479" s="318"/>
      <c r="AL479" s="318"/>
      <c r="AM479" s="318"/>
      <c r="AN479" s="318"/>
      <c r="AO479" s="318"/>
      <c r="AP479" s="318"/>
      <c r="AQ479" s="318"/>
      <c r="AR479" s="318"/>
      <c r="AS479" s="318"/>
      <c r="AT479" s="318"/>
      <c r="AU479" s="318"/>
      <c r="AV479" s="318"/>
      <c r="AW479" s="319"/>
      <c r="AX479" s="589"/>
      <c r="AY479" s="592"/>
      <c r="AZ479" s="592"/>
      <c r="BA479" s="594"/>
    </row>
    <row r="480" spans="1:53" ht="9" customHeight="1">
      <c r="A480" s="583">
        <v>8</v>
      </c>
      <c r="B480" s="584" t="str">
        <f t="shared" ref="B480:B543" si="353">B368</f>
        <v>ગરણિયા રામકુભાઇ સાર્દૂળભાઇ</v>
      </c>
      <c r="C480" s="311"/>
      <c r="D480" s="312"/>
      <c r="E480" s="312"/>
      <c r="F480" s="312"/>
      <c r="G480" s="312"/>
      <c r="H480" s="312"/>
      <c r="I480" s="312"/>
      <c r="J480" s="312"/>
      <c r="K480" s="312"/>
      <c r="L480" s="312"/>
      <c r="M480" s="312"/>
      <c r="N480" s="312"/>
      <c r="O480" s="312"/>
      <c r="P480" s="312"/>
      <c r="Q480" s="312"/>
      <c r="R480" s="312"/>
      <c r="S480" s="312"/>
      <c r="T480" s="312"/>
      <c r="U480" s="312"/>
      <c r="V480" s="313"/>
      <c r="W480" s="587">
        <f>'A-CALC'!V451</f>
        <v>0</v>
      </c>
      <c r="X480" s="590">
        <f>'A-CALC'!W451</f>
        <v>0</v>
      </c>
      <c r="Y480" s="590">
        <f>'A-CALC'!X451</f>
        <v>0</v>
      </c>
      <c r="Z480" s="593">
        <f t="shared" ref="Z480" si="354">ROUND((40/$Y$7)*W480,0)</f>
        <v>0</v>
      </c>
      <c r="AA480" s="301"/>
      <c r="AB480" s="583">
        <v>8</v>
      </c>
      <c r="AC480" s="584" t="str">
        <f t="shared" ref="AC480:AC543" si="355">AC368</f>
        <v>ગરણિયા રામકુભાઇ સાર્દૂળભાઇ</v>
      </c>
      <c r="AD480" s="311"/>
      <c r="AE480" s="312"/>
      <c r="AF480" s="312"/>
      <c r="AG480" s="312"/>
      <c r="AH480" s="312"/>
      <c r="AI480" s="312"/>
      <c r="AJ480" s="312"/>
      <c r="AK480" s="312"/>
      <c r="AL480" s="312"/>
      <c r="AM480" s="312"/>
      <c r="AN480" s="312"/>
      <c r="AO480" s="312"/>
      <c r="AP480" s="312"/>
      <c r="AQ480" s="312"/>
      <c r="AR480" s="312"/>
      <c r="AS480" s="312"/>
      <c r="AT480" s="312"/>
      <c r="AU480" s="312"/>
      <c r="AV480" s="312"/>
      <c r="AW480" s="313"/>
      <c r="AX480" s="587">
        <f>'A-CALC'!AU451</f>
        <v>0</v>
      </c>
      <c r="AY480" s="590">
        <f>'A-CALC'!AV451</f>
        <v>0</v>
      </c>
      <c r="AZ480" s="590">
        <f>'A-CALC'!AW451</f>
        <v>0</v>
      </c>
      <c r="BA480" s="593">
        <f t="shared" ref="BA480" si="356">ROUND((40/$Y$7)*AX480,0)</f>
        <v>0</v>
      </c>
    </row>
    <row r="481" spans="1:53" ht="9" customHeight="1">
      <c r="A481" s="583"/>
      <c r="B481" s="585"/>
      <c r="C481" s="314"/>
      <c r="D481" s="315"/>
      <c r="E481" s="315"/>
      <c r="F481" s="315"/>
      <c r="G481" s="315"/>
      <c r="H481" s="315"/>
      <c r="I481" s="315"/>
      <c r="J481" s="315"/>
      <c r="K481" s="315"/>
      <c r="L481" s="315"/>
      <c r="M481" s="315"/>
      <c r="N481" s="315"/>
      <c r="O481" s="315"/>
      <c r="P481" s="315"/>
      <c r="Q481" s="315"/>
      <c r="R481" s="315"/>
      <c r="S481" s="315"/>
      <c r="T481" s="315"/>
      <c r="U481" s="315"/>
      <c r="V481" s="316"/>
      <c r="W481" s="588"/>
      <c r="X481" s="591"/>
      <c r="Y481" s="591"/>
      <c r="Z481" s="594"/>
      <c r="AA481" s="301"/>
      <c r="AB481" s="583"/>
      <c r="AC481" s="585"/>
      <c r="AD481" s="314"/>
      <c r="AE481" s="315"/>
      <c r="AF481" s="315"/>
      <c r="AG481" s="315"/>
      <c r="AH481" s="315"/>
      <c r="AI481" s="315"/>
      <c r="AJ481" s="315"/>
      <c r="AK481" s="315"/>
      <c r="AL481" s="315"/>
      <c r="AM481" s="315"/>
      <c r="AN481" s="315"/>
      <c r="AO481" s="315"/>
      <c r="AP481" s="315"/>
      <c r="AQ481" s="315"/>
      <c r="AR481" s="315"/>
      <c r="AS481" s="315"/>
      <c r="AT481" s="315"/>
      <c r="AU481" s="315"/>
      <c r="AV481" s="315"/>
      <c r="AW481" s="316"/>
      <c r="AX481" s="588"/>
      <c r="AY481" s="591"/>
      <c r="AZ481" s="591"/>
      <c r="BA481" s="594"/>
    </row>
    <row r="482" spans="1:53" ht="9" customHeight="1">
      <c r="A482" s="583"/>
      <c r="B482" s="586"/>
      <c r="C482" s="317"/>
      <c r="D482" s="318"/>
      <c r="E482" s="318"/>
      <c r="F482" s="318"/>
      <c r="G482" s="318"/>
      <c r="H482" s="318"/>
      <c r="I482" s="318"/>
      <c r="J482" s="318"/>
      <c r="K482" s="318"/>
      <c r="L482" s="318"/>
      <c r="M482" s="318"/>
      <c r="N482" s="318"/>
      <c r="O482" s="318"/>
      <c r="P482" s="318"/>
      <c r="Q482" s="318"/>
      <c r="R482" s="318"/>
      <c r="S482" s="318"/>
      <c r="T482" s="318"/>
      <c r="U482" s="318"/>
      <c r="V482" s="319"/>
      <c r="W482" s="589"/>
      <c r="X482" s="592"/>
      <c r="Y482" s="592"/>
      <c r="Z482" s="594"/>
      <c r="AA482" s="301"/>
      <c r="AB482" s="583"/>
      <c r="AC482" s="586"/>
      <c r="AD482" s="317"/>
      <c r="AE482" s="318"/>
      <c r="AF482" s="318"/>
      <c r="AG482" s="318"/>
      <c r="AH482" s="318"/>
      <c r="AI482" s="318"/>
      <c r="AJ482" s="318"/>
      <c r="AK482" s="318"/>
      <c r="AL482" s="318"/>
      <c r="AM482" s="318"/>
      <c r="AN482" s="318"/>
      <c r="AO482" s="318"/>
      <c r="AP482" s="318"/>
      <c r="AQ482" s="318"/>
      <c r="AR482" s="318"/>
      <c r="AS482" s="318"/>
      <c r="AT482" s="318"/>
      <c r="AU482" s="318"/>
      <c r="AV482" s="318"/>
      <c r="AW482" s="319"/>
      <c r="AX482" s="589"/>
      <c r="AY482" s="592"/>
      <c r="AZ482" s="592"/>
      <c r="BA482" s="594"/>
    </row>
    <row r="483" spans="1:53" ht="9" customHeight="1">
      <c r="A483" s="583">
        <v>9</v>
      </c>
      <c r="B483" s="584" t="str">
        <f t="shared" si="353"/>
        <v>ડેર હિતેષકુમાર પ્રતાપભાઇ</v>
      </c>
      <c r="C483" s="311"/>
      <c r="D483" s="312"/>
      <c r="E483" s="312"/>
      <c r="F483" s="312"/>
      <c r="G483" s="312"/>
      <c r="H483" s="312"/>
      <c r="I483" s="312"/>
      <c r="J483" s="312"/>
      <c r="K483" s="312"/>
      <c r="L483" s="312"/>
      <c r="M483" s="312"/>
      <c r="N483" s="312"/>
      <c r="O483" s="312"/>
      <c r="P483" s="312"/>
      <c r="Q483" s="312"/>
      <c r="R483" s="312"/>
      <c r="S483" s="312"/>
      <c r="T483" s="312"/>
      <c r="U483" s="312"/>
      <c r="V483" s="313"/>
      <c r="W483" s="587">
        <f>'A-CALC'!V454</f>
        <v>0</v>
      </c>
      <c r="X483" s="590">
        <f>'A-CALC'!W454</f>
        <v>0</v>
      </c>
      <c r="Y483" s="590">
        <f>'A-CALC'!X454</f>
        <v>0</v>
      </c>
      <c r="Z483" s="593">
        <f t="shared" ref="Z483" si="357">ROUND((40/$Y$7)*W483,0)</f>
        <v>0</v>
      </c>
      <c r="AA483" s="301"/>
      <c r="AB483" s="583">
        <v>9</v>
      </c>
      <c r="AC483" s="584" t="str">
        <f t="shared" si="355"/>
        <v>ડેર હિતેષકુમાર પ્રતાપભાઇ</v>
      </c>
      <c r="AD483" s="311"/>
      <c r="AE483" s="312"/>
      <c r="AF483" s="312"/>
      <c r="AG483" s="312"/>
      <c r="AH483" s="312"/>
      <c r="AI483" s="312"/>
      <c r="AJ483" s="312"/>
      <c r="AK483" s="312"/>
      <c r="AL483" s="312"/>
      <c r="AM483" s="312"/>
      <c r="AN483" s="312"/>
      <c r="AO483" s="312"/>
      <c r="AP483" s="312"/>
      <c r="AQ483" s="312"/>
      <c r="AR483" s="312"/>
      <c r="AS483" s="312"/>
      <c r="AT483" s="312"/>
      <c r="AU483" s="312"/>
      <c r="AV483" s="312"/>
      <c r="AW483" s="313"/>
      <c r="AX483" s="587">
        <f>'A-CALC'!AU454</f>
        <v>0</v>
      </c>
      <c r="AY483" s="590">
        <f>'A-CALC'!AV454</f>
        <v>0</v>
      </c>
      <c r="AZ483" s="590">
        <f>'A-CALC'!AW454</f>
        <v>0</v>
      </c>
      <c r="BA483" s="593">
        <f t="shared" ref="BA483" si="358">ROUND((40/$Y$7)*AX483,0)</f>
        <v>0</v>
      </c>
    </row>
    <row r="484" spans="1:53" ht="9" customHeight="1">
      <c r="A484" s="583"/>
      <c r="B484" s="585"/>
      <c r="C484" s="314"/>
      <c r="D484" s="315"/>
      <c r="E484" s="315"/>
      <c r="F484" s="315"/>
      <c r="G484" s="315"/>
      <c r="H484" s="315"/>
      <c r="I484" s="315"/>
      <c r="J484" s="315"/>
      <c r="K484" s="315"/>
      <c r="L484" s="315"/>
      <c r="M484" s="315"/>
      <c r="N484" s="315"/>
      <c r="O484" s="315"/>
      <c r="P484" s="315"/>
      <c r="Q484" s="315"/>
      <c r="R484" s="315"/>
      <c r="S484" s="315"/>
      <c r="T484" s="315"/>
      <c r="U484" s="315"/>
      <c r="V484" s="316"/>
      <c r="W484" s="588"/>
      <c r="X484" s="591"/>
      <c r="Y484" s="591"/>
      <c r="Z484" s="594"/>
      <c r="AA484" s="301"/>
      <c r="AB484" s="583"/>
      <c r="AC484" s="585"/>
      <c r="AD484" s="314"/>
      <c r="AE484" s="315"/>
      <c r="AF484" s="315"/>
      <c r="AG484" s="315"/>
      <c r="AH484" s="315"/>
      <c r="AI484" s="315"/>
      <c r="AJ484" s="315"/>
      <c r="AK484" s="315"/>
      <c r="AL484" s="315"/>
      <c r="AM484" s="315"/>
      <c r="AN484" s="315"/>
      <c r="AO484" s="315"/>
      <c r="AP484" s="315"/>
      <c r="AQ484" s="315"/>
      <c r="AR484" s="315"/>
      <c r="AS484" s="315"/>
      <c r="AT484" s="315"/>
      <c r="AU484" s="315"/>
      <c r="AV484" s="315"/>
      <c r="AW484" s="316"/>
      <c r="AX484" s="588"/>
      <c r="AY484" s="591"/>
      <c r="AZ484" s="591"/>
      <c r="BA484" s="594"/>
    </row>
    <row r="485" spans="1:53" ht="9" customHeight="1">
      <c r="A485" s="583"/>
      <c r="B485" s="586"/>
      <c r="C485" s="317"/>
      <c r="D485" s="318"/>
      <c r="E485" s="318"/>
      <c r="F485" s="318"/>
      <c r="G485" s="318"/>
      <c r="H485" s="318"/>
      <c r="I485" s="318"/>
      <c r="J485" s="318"/>
      <c r="K485" s="318"/>
      <c r="L485" s="318"/>
      <c r="M485" s="318"/>
      <c r="N485" s="318"/>
      <c r="O485" s="318"/>
      <c r="P485" s="318"/>
      <c r="Q485" s="318"/>
      <c r="R485" s="318"/>
      <c r="S485" s="318"/>
      <c r="T485" s="318"/>
      <c r="U485" s="318"/>
      <c r="V485" s="319"/>
      <c r="W485" s="589"/>
      <c r="X485" s="592"/>
      <c r="Y485" s="592"/>
      <c r="Z485" s="594"/>
      <c r="AA485" s="301"/>
      <c r="AB485" s="583"/>
      <c r="AC485" s="586"/>
      <c r="AD485" s="317"/>
      <c r="AE485" s="318"/>
      <c r="AF485" s="318"/>
      <c r="AG485" s="318"/>
      <c r="AH485" s="318"/>
      <c r="AI485" s="318"/>
      <c r="AJ485" s="318"/>
      <c r="AK485" s="318"/>
      <c r="AL485" s="318"/>
      <c r="AM485" s="318"/>
      <c r="AN485" s="318"/>
      <c r="AO485" s="318"/>
      <c r="AP485" s="318"/>
      <c r="AQ485" s="318"/>
      <c r="AR485" s="318"/>
      <c r="AS485" s="318"/>
      <c r="AT485" s="318"/>
      <c r="AU485" s="318"/>
      <c r="AV485" s="318"/>
      <c r="AW485" s="319"/>
      <c r="AX485" s="589"/>
      <c r="AY485" s="592"/>
      <c r="AZ485" s="592"/>
      <c r="BA485" s="594"/>
    </row>
    <row r="486" spans="1:53" ht="9" customHeight="1">
      <c r="A486" s="583">
        <v>10</v>
      </c>
      <c r="B486" s="584" t="str">
        <f t="shared" si="353"/>
        <v>વેકરીયા વિશાલકુમાર દિપકભાઇ</v>
      </c>
      <c r="C486" s="311"/>
      <c r="D486" s="312"/>
      <c r="E486" s="312"/>
      <c r="F486" s="312"/>
      <c r="G486" s="312"/>
      <c r="H486" s="312"/>
      <c r="I486" s="312"/>
      <c r="J486" s="312"/>
      <c r="K486" s="312"/>
      <c r="L486" s="312"/>
      <c r="M486" s="312"/>
      <c r="N486" s="312"/>
      <c r="O486" s="312"/>
      <c r="P486" s="312"/>
      <c r="Q486" s="312"/>
      <c r="R486" s="312"/>
      <c r="S486" s="312"/>
      <c r="T486" s="312"/>
      <c r="U486" s="312"/>
      <c r="V486" s="313"/>
      <c r="W486" s="587">
        <f>'A-CALC'!V457</f>
        <v>0</v>
      </c>
      <c r="X486" s="590">
        <f>'A-CALC'!W457</f>
        <v>0</v>
      </c>
      <c r="Y486" s="590">
        <f>'A-CALC'!X457</f>
        <v>0</v>
      </c>
      <c r="Z486" s="593">
        <f t="shared" ref="Z486" si="359">ROUND((40/$Y$7)*W486,0)</f>
        <v>0</v>
      </c>
      <c r="AA486" s="301"/>
      <c r="AB486" s="583">
        <v>10</v>
      </c>
      <c r="AC486" s="584" t="str">
        <f t="shared" si="355"/>
        <v>વેકરીયા વિશાલકુમાર દિપકભાઇ</v>
      </c>
      <c r="AD486" s="311"/>
      <c r="AE486" s="312"/>
      <c r="AF486" s="312"/>
      <c r="AG486" s="312"/>
      <c r="AH486" s="312"/>
      <c r="AI486" s="312"/>
      <c r="AJ486" s="312"/>
      <c r="AK486" s="312"/>
      <c r="AL486" s="312"/>
      <c r="AM486" s="312"/>
      <c r="AN486" s="312"/>
      <c r="AO486" s="312"/>
      <c r="AP486" s="312"/>
      <c r="AQ486" s="312"/>
      <c r="AR486" s="312"/>
      <c r="AS486" s="312"/>
      <c r="AT486" s="312"/>
      <c r="AU486" s="312"/>
      <c r="AV486" s="312"/>
      <c r="AW486" s="313"/>
      <c r="AX486" s="587">
        <f>'A-CALC'!AU457</f>
        <v>0</v>
      </c>
      <c r="AY486" s="590">
        <f>'A-CALC'!AV457</f>
        <v>0</v>
      </c>
      <c r="AZ486" s="590">
        <f>'A-CALC'!AW457</f>
        <v>0</v>
      </c>
      <c r="BA486" s="593">
        <f t="shared" ref="BA486" si="360">ROUND((40/$Y$7)*AX486,0)</f>
        <v>0</v>
      </c>
    </row>
    <row r="487" spans="1:53" ht="9" customHeight="1">
      <c r="A487" s="583"/>
      <c r="B487" s="585"/>
      <c r="C487" s="314"/>
      <c r="D487" s="315"/>
      <c r="E487" s="315"/>
      <c r="F487" s="315"/>
      <c r="G487" s="315"/>
      <c r="H487" s="315"/>
      <c r="I487" s="315"/>
      <c r="J487" s="315"/>
      <c r="K487" s="315"/>
      <c r="L487" s="315"/>
      <c r="M487" s="315"/>
      <c r="N487" s="315"/>
      <c r="O487" s="315"/>
      <c r="P487" s="315"/>
      <c r="Q487" s="315"/>
      <c r="R487" s="315"/>
      <c r="S487" s="315"/>
      <c r="T487" s="315"/>
      <c r="U487" s="315"/>
      <c r="V487" s="316"/>
      <c r="W487" s="588"/>
      <c r="X487" s="591"/>
      <c r="Y487" s="591"/>
      <c r="Z487" s="594"/>
      <c r="AA487" s="301"/>
      <c r="AB487" s="583"/>
      <c r="AC487" s="585"/>
      <c r="AD487" s="314"/>
      <c r="AE487" s="315"/>
      <c r="AF487" s="315"/>
      <c r="AG487" s="315"/>
      <c r="AH487" s="315"/>
      <c r="AI487" s="315"/>
      <c r="AJ487" s="315"/>
      <c r="AK487" s="315"/>
      <c r="AL487" s="315"/>
      <c r="AM487" s="315"/>
      <c r="AN487" s="315"/>
      <c r="AO487" s="315"/>
      <c r="AP487" s="315"/>
      <c r="AQ487" s="315"/>
      <c r="AR487" s="315"/>
      <c r="AS487" s="315"/>
      <c r="AT487" s="315"/>
      <c r="AU487" s="315"/>
      <c r="AV487" s="315"/>
      <c r="AW487" s="316"/>
      <c r="AX487" s="588"/>
      <c r="AY487" s="591"/>
      <c r="AZ487" s="591"/>
      <c r="BA487" s="594"/>
    </row>
    <row r="488" spans="1:53" ht="9" customHeight="1">
      <c r="A488" s="583"/>
      <c r="B488" s="586"/>
      <c r="C488" s="317"/>
      <c r="D488" s="318"/>
      <c r="E488" s="318"/>
      <c r="F488" s="318"/>
      <c r="G488" s="318"/>
      <c r="H488" s="318"/>
      <c r="I488" s="318"/>
      <c r="J488" s="318"/>
      <c r="K488" s="318"/>
      <c r="L488" s="318"/>
      <c r="M488" s="318"/>
      <c r="N488" s="318"/>
      <c r="O488" s="318"/>
      <c r="P488" s="318"/>
      <c r="Q488" s="318"/>
      <c r="R488" s="318"/>
      <c r="S488" s="318"/>
      <c r="T488" s="318"/>
      <c r="U488" s="318"/>
      <c r="V488" s="319"/>
      <c r="W488" s="589"/>
      <c r="X488" s="592"/>
      <c r="Y488" s="592"/>
      <c r="Z488" s="594"/>
      <c r="AA488" s="301"/>
      <c r="AB488" s="583"/>
      <c r="AC488" s="586"/>
      <c r="AD488" s="317"/>
      <c r="AE488" s="318"/>
      <c r="AF488" s="318"/>
      <c r="AG488" s="318"/>
      <c r="AH488" s="318"/>
      <c r="AI488" s="318"/>
      <c r="AJ488" s="318"/>
      <c r="AK488" s="318"/>
      <c r="AL488" s="318"/>
      <c r="AM488" s="318"/>
      <c r="AN488" s="318"/>
      <c r="AO488" s="318"/>
      <c r="AP488" s="318"/>
      <c r="AQ488" s="318"/>
      <c r="AR488" s="318"/>
      <c r="AS488" s="318"/>
      <c r="AT488" s="318"/>
      <c r="AU488" s="318"/>
      <c r="AV488" s="318"/>
      <c r="AW488" s="319"/>
      <c r="AX488" s="589"/>
      <c r="AY488" s="592"/>
      <c r="AZ488" s="592"/>
      <c r="BA488" s="594"/>
    </row>
    <row r="489" spans="1:53" ht="9" customHeight="1">
      <c r="A489" s="583">
        <v>11</v>
      </c>
      <c r="B489" s="584" t="str">
        <f t="shared" si="353"/>
        <v>માણસુરીયા મહેન્દ્રભાઇ ભૂપતભાઇ</v>
      </c>
      <c r="C489" s="311"/>
      <c r="D489" s="312"/>
      <c r="E489" s="312"/>
      <c r="F489" s="312"/>
      <c r="G489" s="312"/>
      <c r="H489" s="312"/>
      <c r="I489" s="312"/>
      <c r="J489" s="312"/>
      <c r="K489" s="312"/>
      <c r="L489" s="312"/>
      <c r="M489" s="312"/>
      <c r="N489" s="312"/>
      <c r="O489" s="312"/>
      <c r="P489" s="312"/>
      <c r="Q489" s="312"/>
      <c r="R489" s="312"/>
      <c r="S489" s="312"/>
      <c r="T489" s="312"/>
      <c r="U489" s="312"/>
      <c r="V489" s="313"/>
      <c r="W489" s="587">
        <f>'A-CALC'!V460</f>
        <v>0</v>
      </c>
      <c r="X489" s="590">
        <f>'A-CALC'!W460</f>
        <v>0</v>
      </c>
      <c r="Y489" s="590">
        <f>'A-CALC'!X460</f>
        <v>0</v>
      </c>
      <c r="Z489" s="593">
        <f t="shared" ref="Z489" si="361">ROUND((40/$Y$7)*W489,0)</f>
        <v>0</v>
      </c>
      <c r="AA489" s="301"/>
      <c r="AB489" s="583">
        <v>11</v>
      </c>
      <c r="AC489" s="584" t="str">
        <f t="shared" si="355"/>
        <v>માણસુરીયા મહેન્દ્રભાઇ ભૂપતભાઇ</v>
      </c>
      <c r="AD489" s="311"/>
      <c r="AE489" s="312"/>
      <c r="AF489" s="312"/>
      <c r="AG489" s="312"/>
      <c r="AH489" s="312"/>
      <c r="AI489" s="312"/>
      <c r="AJ489" s="312"/>
      <c r="AK489" s="312"/>
      <c r="AL489" s="312"/>
      <c r="AM489" s="312"/>
      <c r="AN489" s="312"/>
      <c r="AO489" s="312"/>
      <c r="AP489" s="312"/>
      <c r="AQ489" s="312"/>
      <c r="AR489" s="312"/>
      <c r="AS489" s="312"/>
      <c r="AT489" s="312"/>
      <c r="AU489" s="312"/>
      <c r="AV489" s="312"/>
      <c r="AW489" s="313"/>
      <c r="AX489" s="587">
        <f>'A-CALC'!AU460</f>
        <v>0</v>
      </c>
      <c r="AY489" s="590">
        <f>'A-CALC'!AV460</f>
        <v>0</v>
      </c>
      <c r="AZ489" s="590">
        <f>'A-CALC'!AW460</f>
        <v>0</v>
      </c>
      <c r="BA489" s="593">
        <f t="shared" ref="BA489" si="362">ROUND((40/$Y$7)*AX489,0)</f>
        <v>0</v>
      </c>
    </row>
    <row r="490" spans="1:53" ht="9" customHeight="1">
      <c r="A490" s="583"/>
      <c r="B490" s="585"/>
      <c r="C490" s="314"/>
      <c r="D490" s="315"/>
      <c r="E490" s="315"/>
      <c r="F490" s="315"/>
      <c r="G490" s="315"/>
      <c r="H490" s="315"/>
      <c r="I490" s="315"/>
      <c r="J490" s="315"/>
      <c r="K490" s="315"/>
      <c r="L490" s="315"/>
      <c r="M490" s="315"/>
      <c r="N490" s="315"/>
      <c r="O490" s="315"/>
      <c r="P490" s="315"/>
      <c r="Q490" s="315"/>
      <c r="R490" s="315"/>
      <c r="S490" s="315"/>
      <c r="T490" s="315"/>
      <c r="U490" s="315"/>
      <c r="V490" s="316"/>
      <c r="W490" s="588"/>
      <c r="X490" s="591"/>
      <c r="Y490" s="591"/>
      <c r="Z490" s="594"/>
      <c r="AA490" s="301"/>
      <c r="AB490" s="583"/>
      <c r="AC490" s="585"/>
      <c r="AD490" s="314"/>
      <c r="AE490" s="315"/>
      <c r="AF490" s="315"/>
      <c r="AG490" s="315"/>
      <c r="AH490" s="315"/>
      <c r="AI490" s="315"/>
      <c r="AJ490" s="315"/>
      <c r="AK490" s="315"/>
      <c r="AL490" s="315"/>
      <c r="AM490" s="315"/>
      <c r="AN490" s="315"/>
      <c r="AO490" s="315"/>
      <c r="AP490" s="315"/>
      <c r="AQ490" s="315"/>
      <c r="AR490" s="315"/>
      <c r="AS490" s="315"/>
      <c r="AT490" s="315"/>
      <c r="AU490" s="315"/>
      <c r="AV490" s="315"/>
      <c r="AW490" s="316"/>
      <c r="AX490" s="588"/>
      <c r="AY490" s="591"/>
      <c r="AZ490" s="591"/>
      <c r="BA490" s="594"/>
    </row>
    <row r="491" spans="1:53" ht="9" customHeight="1">
      <c r="A491" s="583"/>
      <c r="B491" s="586"/>
      <c r="C491" s="317"/>
      <c r="D491" s="318"/>
      <c r="E491" s="318"/>
      <c r="F491" s="318"/>
      <c r="G491" s="318"/>
      <c r="H491" s="318"/>
      <c r="I491" s="318"/>
      <c r="J491" s="318"/>
      <c r="K491" s="318"/>
      <c r="L491" s="318"/>
      <c r="M491" s="318"/>
      <c r="N491" s="318"/>
      <c r="O491" s="318"/>
      <c r="P491" s="318"/>
      <c r="Q491" s="318"/>
      <c r="R491" s="318"/>
      <c r="S491" s="318"/>
      <c r="T491" s="318"/>
      <c r="U491" s="318"/>
      <c r="V491" s="319"/>
      <c r="W491" s="589"/>
      <c r="X491" s="592"/>
      <c r="Y491" s="592"/>
      <c r="Z491" s="594"/>
      <c r="AA491" s="301"/>
      <c r="AB491" s="583"/>
      <c r="AC491" s="586"/>
      <c r="AD491" s="317"/>
      <c r="AE491" s="318"/>
      <c r="AF491" s="318"/>
      <c r="AG491" s="318"/>
      <c r="AH491" s="318"/>
      <c r="AI491" s="318"/>
      <c r="AJ491" s="318"/>
      <c r="AK491" s="318"/>
      <c r="AL491" s="318"/>
      <c r="AM491" s="318"/>
      <c r="AN491" s="318"/>
      <c r="AO491" s="318"/>
      <c r="AP491" s="318"/>
      <c r="AQ491" s="318"/>
      <c r="AR491" s="318"/>
      <c r="AS491" s="318"/>
      <c r="AT491" s="318"/>
      <c r="AU491" s="318"/>
      <c r="AV491" s="318"/>
      <c r="AW491" s="319"/>
      <c r="AX491" s="589"/>
      <c r="AY491" s="592"/>
      <c r="AZ491" s="592"/>
      <c r="BA491" s="594"/>
    </row>
    <row r="492" spans="1:53" ht="9" customHeight="1">
      <c r="A492" s="583">
        <v>12</v>
      </c>
      <c r="B492" s="584" t="str">
        <f t="shared" si="353"/>
        <v>પરમાર અજયકુમાર રમેશભાઇ</v>
      </c>
      <c r="C492" s="311"/>
      <c r="D492" s="312"/>
      <c r="E492" s="312"/>
      <c r="F492" s="312"/>
      <c r="G492" s="312"/>
      <c r="H492" s="312"/>
      <c r="I492" s="312"/>
      <c r="J492" s="312"/>
      <c r="K492" s="312"/>
      <c r="L492" s="312"/>
      <c r="M492" s="312"/>
      <c r="N492" s="312"/>
      <c r="O492" s="312"/>
      <c r="P492" s="312"/>
      <c r="Q492" s="312"/>
      <c r="R492" s="312"/>
      <c r="S492" s="312"/>
      <c r="T492" s="312"/>
      <c r="U492" s="312"/>
      <c r="V492" s="313"/>
      <c r="W492" s="587">
        <f>'A-CALC'!V463</f>
        <v>0</v>
      </c>
      <c r="X492" s="590">
        <f>'A-CALC'!W463</f>
        <v>0</v>
      </c>
      <c r="Y492" s="590">
        <f>'A-CALC'!X463</f>
        <v>0</v>
      </c>
      <c r="Z492" s="593">
        <f t="shared" ref="Z492" si="363">ROUND((40/$Y$7)*W492,0)</f>
        <v>0</v>
      </c>
      <c r="AA492" s="301"/>
      <c r="AB492" s="583">
        <v>12</v>
      </c>
      <c r="AC492" s="584" t="str">
        <f t="shared" si="355"/>
        <v>પરમાર અજયકુમાર રમેશભાઇ</v>
      </c>
      <c r="AD492" s="311"/>
      <c r="AE492" s="312"/>
      <c r="AF492" s="312"/>
      <c r="AG492" s="312"/>
      <c r="AH492" s="312"/>
      <c r="AI492" s="312"/>
      <c r="AJ492" s="312"/>
      <c r="AK492" s="312"/>
      <c r="AL492" s="312"/>
      <c r="AM492" s="312"/>
      <c r="AN492" s="312"/>
      <c r="AO492" s="312"/>
      <c r="AP492" s="312"/>
      <c r="AQ492" s="312"/>
      <c r="AR492" s="312"/>
      <c r="AS492" s="312"/>
      <c r="AT492" s="312"/>
      <c r="AU492" s="312"/>
      <c r="AV492" s="312"/>
      <c r="AW492" s="313"/>
      <c r="AX492" s="587">
        <f>'A-CALC'!AU463</f>
        <v>0</v>
      </c>
      <c r="AY492" s="590">
        <f>'A-CALC'!AV463</f>
        <v>0</v>
      </c>
      <c r="AZ492" s="590">
        <f>'A-CALC'!AW463</f>
        <v>0</v>
      </c>
      <c r="BA492" s="593">
        <f t="shared" ref="BA492" si="364">ROUND((40/$Y$7)*AX492,0)</f>
        <v>0</v>
      </c>
    </row>
    <row r="493" spans="1:53" ht="9" customHeight="1">
      <c r="A493" s="583"/>
      <c r="B493" s="585"/>
      <c r="C493" s="314"/>
      <c r="D493" s="315"/>
      <c r="E493" s="315"/>
      <c r="F493" s="315"/>
      <c r="G493" s="315"/>
      <c r="H493" s="315"/>
      <c r="I493" s="315"/>
      <c r="J493" s="315"/>
      <c r="K493" s="315"/>
      <c r="L493" s="315"/>
      <c r="M493" s="315"/>
      <c r="N493" s="315"/>
      <c r="O493" s="315"/>
      <c r="P493" s="315"/>
      <c r="Q493" s="315"/>
      <c r="R493" s="315"/>
      <c r="S493" s="315"/>
      <c r="T493" s="315"/>
      <c r="U493" s="315"/>
      <c r="V493" s="316"/>
      <c r="W493" s="588"/>
      <c r="X493" s="591"/>
      <c r="Y493" s="591"/>
      <c r="Z493" s="594"/>
      <c r="AA493" s="301"/>
      <c r="AB493" s="583"/>
      <c r="AC493" s="585"/>
      <c r="AD493" s="314"/>
      <c r="AE493" s="315"/>
      <c r="AF493" s="315"/>
      <c r="AG493" s="315"/>
      <c r="AH493" s="315"/>
      <c r="AI493" s="315"/>
      <c r="AJ493" s="315"/>
      <c r="AK493" s="315"/>
      <c r="AL493" s="315"/>
      <c r="AM493" s="315"/>
      <c r="AN493" s="315"/>
      <c r="AO493" s="315"/>
      <c r="AP493" s="315"/>
      <c r="AQ493" s="315"/>
      <c r="AR493" s="315"/>
      <c r="AS493" s="315"/>
      <c r="AT493" s="315"/>
      <c r="AU493" s="315"/>
      <c r="AV493" s="315"/>
      <c r="AW493" s="316"/>
      <c r="AX493" s="588"/>
      <c r="AY493" s="591"/>
      <c r="AZ493" s="591"/>
      <c r="BA493" s="594"/>
    </row>
    <row r="494" spans="1:53" ht="9" customHeight="1">
      <c r="A494" s="583"/>
      <c r="B494" s="586"/>
      <c r="C494" s="317"/>
      <c r="D494" s="318"/>
      <c r="E494" s="318"/>
      <c r="F494" s="318"/>
      <c r="G494" s="318"/>
      <c r="H494" s="318"/>
      <c r="I494" s="318"/>
      <c r="J494" s="318"/>
      <c r="K494" s="318"/>
      <c r="L494" s="318"/>
      <c r="M494" s="318"/>
      <c r="N494" s="318"/>
      <c r="O494" s="318"/>
      <c r="P494" s="318"/>
      <c r="Q494" s="318"/>
      <c r="R494" s="318"/>
      <c r="S494" s="318"/>
      <c r="T494" s="318"/>
      <c r="U494" s="318"/>
      <c r="V494" s="319"/>
      <c r="W494" s="589"/>
      <c r="X494" s="592"/>
      <c r="Y494" s="592"/>
      <c r="Z494" s="594"/>
      <c r="AA494" s="301"/>
      <c r="AB494" s="583"/>
      <c r="AC494" s="586"/>
      <c r="AD494" s="317"/>
      <c r="AE494" s="318"/>
      <c r="AF494" s="318"/>
      <c r="AG494" s="318"/>
      <c r="AH494" s="318"/>
      <c r="AI494" s="318"/>
      <c r="AJ494" s="318"/>
      <c r="AK494" s="318"/>
      <c r="AL494" s="318"/>
      <c r="AM494" s="318"/>
      <c r="AN494" s="318"/>
      <c r="AO494" s="318"/>
      <c r="AP494" s="318"/>
      <c r="AQ494" s="318"/>
      <c r="AR494" s="318"/>
      <c r="AS494" s="318"/>
      <c r="AT494" s="318"/>
      <c r="AU494" s="318"/>
      <c r="AV494" s="318"/>
      <c r="AW494" s="319"/>
      <c r="AX494" s="589"/>
      <c r="AY494" s="592"/>
      <c r="AZ494" s="592"/>
      <c r="BA494" s="594"/>
    </row>
    <row r="495" spans="1:53" ht="9" customHeight="1">
      <c r="A495" s="583">
        <v>13</v>
      </c>
      <c r="B495" s="584" t="str">
        <f t="shared" si="353"/>
        <v>કંડોળીયા અલ્પેશકુમાર ભરતભાઇ</v>
      </c>
      <c r="C495" s="311"/>
      <c r="D495" s="312"/>
      <c r="E495" s="312"/>
      <c r="F495" s="312"/>
      <c r="G495" s="312"/>
      <c r="H495" s="312"/>
      <c r="I495" s="312"/>
      <c r="J495" s="312"/>
      <c r="K495" s="312"/>
      <c r="L495" s="312"/>
      <c r="M495" s="312"/>
      <c r="N495" s="312"/>
      <c r="O495" s="312"/>
      <c r="P495" s="312"/>
      <c r="Q495" s="312"/>
      <c r="R495" s="312"/>
      <c r="S495" s="312"/>
      <c r="T495" s="312"/>
      <c r="U495" s="312"/>
      <c r="V495" s="313"/>
      <c r="W495" s="587">
        <f>'A-CALC'!V466</f>
        <v>0</v>
      </c>
      <c r="X495" s="590">
        <f>'A-CALC'!W466</f>
        <v>0</v>
      </c>
      <c r="Y495" s="590">
        <f>'A-CALC'!X466</f>
        <v>0</v>
      </c>
      <c r="Z495" s="593">
        <f>ROUND((40/$Y$7)*W495,0)</f>
        <v>0</v>
      </c>
      <c r="AA495" s="301"/>
      <c r="AB495" s="583">
        <v>13</v>
      </c>
      <c r="AC495" s="584" t="str">
        <f t="shared" si="355"/>
        <v>કંડોળીયા અલ્પેશકુમાર ભરતભાઇ</v>
      </c>
      <c r="AD495" s="311"/>
      <c r="AE495" s="312"/>
      <c r="AF495" s="312"/>
      <c r="AG495" s="312"/>
      <c r="AH495" s="312"/>
      <c r="AI495" s="312"/>
      <c r="AJ495" s="312"/>
      <c r="AK495" s="312"/>
      <c r="AL495" s="312"/>
      <c r="AM495" s="312"/>
      <c r="AN495" s="312"/>
      <c r="AO495" s="312"/>
      <c r="AP495" s="312"/>
      <c r="AQ495" s="312"/>
      <c r="AR495" s="312"/>
      <c r="AS495" s="312"/>
      <c r="AT495" s="312"/>
      <c r="AU495" s="312"/>
      <c r="AV495" s="312"/>
      <c r="AW495" s="313"/>
      <c r="AX495" s="587">
        <f>'A-CALC'!AU466</f>
        <v>0</v>
      </c>
      <c r="AY495" s="590">
        <f>'A-CALC'!AV466</f>
        <v>0</v>
      </c>
      <c r="AZ495" s="590">
        <f>'A-CALC'!AW466</f>
        <v>0</v>
      </c>
      <c r="BA495" s="593">
        <f>ROUND((40/$Y$7)*AX495,0)</f>
        <v>0</v>
      </c>
    </row>
    <row r="496" spans="1:53" ht="9" customHeight="1">
      <c r="A496" s="583"/>
      <c r="B496" s="585"/>
      <c r="C496" s="314"/>
      <c r="D496" s="315"/>
      <c r="E496" s="315"/>
      <c r="F496" s="315"/>
      <c r="G496" s="315"/>
      <c r="H496" s="315"/>
      <c r="I496" s="315"/>
      <c r="J496" s="315"/>
      <c r="K496" s="315"/>
      <c r="L496" s="315"/>
      <c r="M496" s="315"/>
      <c r="N496" s="315"/>
      <c r="O496" s="315"/>
      <c r="P496" s="315"/>
      <c r="Q496" s="315"/>
      <c r="R496" s="315"/>
      <c r="S496" s="315"/>
      <c r="T496" s="315"/>
      <c r="U496" s="315"/>
      <c r="V496" s="316"/>
      <c r="W496" s="588"/>
      <c r="X496" s="591"/>
      <c r="Y496" s="591"/>
      <c r="Z496" s="594"/>
      <c r="AA496" s="301"/>
      <c r="AB496" s="583"/>
      <c r="AC496" s="585"/>
      <c r="AD496" s="314"/>
      <c r="AE496" s="315"/>
      <c r="AF496" s="315"/>
      <c r="AG496" s="315"/>
      <c r="AH496" s="315"/>
      <c r="AI496" s="315"/>
      <c r="AJ496" s="315"/>
      <c r="AK496" s="315"/>
      <c r="AL496" s="315"/>
      <c r="AM496" s="315"/>
      <c r="AN496" s="315"/>
      <c r="AO496" s="315"/>
      <c r="AP496" s="315"/>
      <c r="AQ496" s="315"/>
      <c r="AR496" s="315"/>
      <c r="AS496" s="315"/>
      <c r="AT496" s="315"/>
      <c r="AU496" s="315"/>
      <c r="AV496" s="315"/>
      <c r="AW496" s="316"/>
      <c r="AX496" s="588"/>
      <c r="AY496" s="591"/>
      <c r="AZ496" s="591"/>
      <c r="BA496" s="594"/>
    </row>
    <row r="497" spans="1:53" ht="9" customHeight="1">
      <c r="A497" s="583"/>
      <c r="B497" s="586"/>
      <c r="C497" s="317"/>
      <c r="D497" s="318"/>
      <c r="E497" s="318"/>
      <c r="F497" s="318"/>
      <c r="G497" s="318"/>
      <c r="H497" s="318"/>
      <c r="I497" s="318"/>
      <c r="J497" s="318"/>
      <c r="K497" s="318"/>
      <c r="L497" s="318"/>
      <c r="M497" s="318"/>
      <c r="N497" s="318"/>
      <c r="O497" s="318"/>
      <c r="P497" s="318"/>
      <c r="Q497" s="318"/>
      <c r="R497" s="318"/>
      <c r="S497" s="318"/>
      <c r="T497" s="318"/>
      <c r="U497" s="318"/>
      <c r="V497" s="319"/>
      <c r="W497" s="589"/>
      <c r="X497" s="592"/>
      <c r="Y497" s="592"/>
      <c r="Z497" s="594"/>
      <c r="AA497" s="301"/>
      <c r="AB497" s="583"/>
      <c r="AC497" s="586"/>
      <c r="AD497" s="317"/>
      <c r="AE497" s="318"/>
      <c r="AF497" s="318"/>
      <c r="AG497" s="318"/>
      <c r="AH497" s="318"/>
      <c r="AI497" s="318"/>
      <c r="AJ497" s="318"/>
      <c r="AK497" s="318"/>
      <c r="AL497" s="318"/>
      <c r="AM497" s="318"/>
      <c r="AN497" s="318"/>
      <c r="AO497" s="318"/>
      <c r="AP497" s="318"/>
      <c r="AQ497" s="318"/>
      <c r="AR497" s="318"/>
      <c r="AS497" s="318"/>
      <c r="AT497" s="318"/>
      <c r="AU497" s="318"/>
      <c r="AV497" s="318"/>
      <c r="AW497" s="319"/>
      <c r="AX497" s="589"/>
      <c r="AY497" s="592"/>
      <c r="AZ497" s="592"/>
      <c r="BA497" s="594"/>
    </row>
    <row r="498" spans="1:53" ht="9" customHeight="1">
      <c r="A498" s="583">
        <v>14</v>
      </c>
      <c r="B498" s="584" t="str">
        <f t="shared" si="353"/>
        <v>મકવાણા તરંગકુમાર કિશોરભાઇ</v>
      </c>
      <c r="C498" s="311"/>
      <c r="D498" s="312"/>
      <c r="E498" s="312"/>
      <c r="F498" s="312"/>
      <c r="G498" s="312"/>
      <c r="H498" s="312"/>
      <c r="I498" s="312"/>
      <c r="J498" s="312"/>
      <c r="K498" s="312"/>
      <c r="L498" s="312"/>
      <c r="M498" s="312"/>
      <c r="N498" s="312"/>
      <c r="O498" s="312"/>
      <c r="P498" s="312"/>
      <c r="Q498" s="312"/>
      <c r="R498" s="312"/>
      <c r="S498" s="312"/>
      <c r="T498" s="312"/>
      <c r="U498" s="312"/>
      <c r="V498" s="313"/>
      <c r="W498" s="587">
        <f>'A-CALC'!V469</f>
        <v>0</v>
      </c>
      <c r="X498" s="590">
        <f>'A-CALC'!W469</f>
        <v>0</v>
      </c>
      <c r="Y498" s="590">
        <f>'A-CALC'!X469</f>
        <v>0</v>
      </c>
      <c r="Z498" s="593">
        <f t="shared" ref="Z498" si="365">ROUND((40/$Y$7)*W498,0)</f>
        <v>0</v>
      </c>
      <c r="AA498" s="301"/>
      <c r="AB498" s="583">
        <v>14</v>
      </c>
      <c r="AC498" s="584" t="str">
        <f t="shared" si="355"/>
        <v>મકવાણા તરંગકુમાર કિશોરભાઇ</v>
      </c>
      <c r="AD498" s="311"/>
      <c r="AE498" s="312"/>
      <c r="AF498" s="312"/>
      <c r="AG498" s="312"/>
      <c r="AH498" s="312"/>
      <c r="AI498" s="312"/>
      <c r="AJ498" s="312"/>
      <c r="AK498" s="312"/>
      <c r="AL498" s="312"/>
      <c r="AM498" s="312"/>
      <c r="AN498" s="312"/>
      <c r="AO498" s="312"/>
      <c r="AP498" s="312"/>
      <c r="AQ498" s="312"/>
      <c r="AR498" s="312"/>
      <c r="AS498" s="312"/>
      <c r="AT498" s="312"/>
      <c r="AU498" s="312"/>
      <c r="AV498" s="312"/>
      <c r="AW498" s="313"/>
      <c r="AX498" s="587">
        <f>'A-CALC'!AU469</f>
        <v>0</v>
      </c>
      <c r="AY498" s="590">
        <f>'A-CALC'!AV469</f>
        <v>0</v>
      </c>
      <c r="AZ498" s="590">
        <f>'A-CALC'!AW469</f>
        <v>0</v>
      </c>
      <c r="BA498" s="593">
        <f t="shared" ref="BA498" si="366">ROUND((40/$Y$7)*AX498,0)</f>
        <v>0</v>
      </c>
    </row>
    <row r="499" spans="1:53" ht="9" customHeight="1">
      <c r="A499" s="583"/>
      <c r="B499" s="585"/>
      <c r="C499" s="314"/>
      <c r="D499" s="315"/>
      <c r="E499" s="315"/>
      <c r="F499" s="315"/>
      <c r="G499" s="315"/>
      <c r="H499" s="315"/>
      <c r="I499" s="315"/>
      <c r="J499" s="315"/>
      <c r="K499" s="315"/>
      <c r="L499" s="315"/>
      <c r="M499" s="315"/>
      <c r="N499" s="315"/>
      <c r="O499" s="315"/>
      <c r="P499" s="315"/>
      <c r="Q499" s="315"/>
      <c r="R499" s="315"/>
      <c r="S499" s="315"/>
      <c r="T499" s="315"/>
      <c r="U499" s="315"/>
      <c r="V499" s="316"/>
      <c r="W499" s="588"/>
      <c r="X499" s="591"/>
      <c r="Y499" s="591"/>
      <c r="Z499" s="594"/>
      <c r="AA499" s="301"/>
      <c r="AB499" s="583"/>
      <c r="AC499" s="585"/>
      <c r="AD499" s="314"/>
      <c r="AE499" s="315"/>
      <c r="AF499" s="315"/>
      <c r="AG499" s="315"/>
      <c r="AH499" s="315"/>
      <c r="AI499" s="315"/>
      <c r="AJ499" s="315"/>
      <c r="AK499" s="315"/>
      <c r="AL499" s="315"/>
      <c r="AM499" s="315"/>
      <c r="AN499" s="315"/>
      <c r="AO499" s="315"/>
      <c r="AP499" s="315"/>
      <c r="AQ499" s="315"/>
      <c r="AR499" s="315"/>
      <c r="AS499" s="315"/>
      <c r="AT499" s="315"/>
      <c r="AU499" s="315"/>
      <c r="AV499" s="315"/>
      <c r="AW499" s="316"/>
      <c r="AX499" s="588"/>
      <c r="AY499" s="591"/>
      <c r="AZ499" s="591"/>
      <c r="BA499" s="594"/>
    </row>
    <row r="500" spans="1:53" ht="9" customHeight="1">
      <c r="A500" s="583"/>
      <c r="B500" s="586"/>
      <c r="C500" s="317"/>
      <c r="D500" s="318"/>
      <c r="E500" s="318"/>
      <c r="F500" s="318"/>
      <c r="G500" s="318"/>
      <c r="H500" s="318"/>
      <c r="I500" s="318"/>
      <c r="J500" s="318"/>
      <c r="K500" s="318"/>
      <c r="L500" s="318"/>
      <c r="M500" s="318"/>
      <c r="N500" s="318"/>
      <c r="O500" s="318"/>
      <c r="P500" s="318"/>
      <c r="Q500" s="318"/>
      <c r="R500" s="318"/>
      <c r="S500" s="318"/>
      <c r="T500" s="318"/>
      <c r="U500" s="318"/>
      <c r="V500" s="319"/>
      <c r="W500" s="589"/>
      <c r="X500" s="592"/>
      <c r="Y500" s="592"/>
      <c r="Z500" s="594"/>
      <c r="AA500" s="301"/>
      <c r="AB500" s="583"/>
      <c r="AC500" s="586"/>
      <c r="AD500" s="317"/>
      <c r="AE500" s="318"/>
      <c r="AF500" s="318"/>
      <c r="AG500" s="318"/>
      <c r="AH500" s="318"/>
      <c r="AI500" s="318"/>
      <c r="AJ500" s="318"/>
      <c r="AK500" s="318"/>
      <c r="AL500" s="318"/>
      <c r="AM500" s="318"/>
      <c r="AN500" s="318"/>
      <c r="AO500" s="318"/>
      <c r="AP500" s="318"/>
      <c r="AQ500" s="318"/>
      <c r="AR500" s="318"/>
      <c r="AS500" s="318"/>
      <c r="AT500" s="318"/>
      <c r="AU500" s="318"/>
      <c r="AV500" s="318"/>
      <c r="AW500" s="319"/>
      <c r="AX500" s="589"/>
      <c r="AY500" s="592"/>
      <c r="AZ500" s="592"/>
      <c r="BA500" s="594"/>
    </row>
    <row r="501" spans="1:53" ht="9" customHeight="1">
      <c r="A501" s="583">
        <v>15</v>
      </c>
      <c r="B501" s="584" t="str">
        <f t="shared" si="353"/>
        <v>ઢીમેચા સતીષ હનુભાઇ</v>
      </c>
      <c r="C501" s="311"/>
      <c r="D501" s="312"/>
      <c r="E501" s="312"/>
      <c r="F501" s="312"/>
      <c r="G501" s="312"/>
      <c r="H501" s="312"/>
      <c r="I501" s="312"/>
      <c r="J501" s="312"/>
      <c r="K501" s="312"/>
      <c r="L501" s="312"/>
      <c r="M501" s="312"/>
      <c r="N501" s="312"/>
      <c r="O501" s="312"/>
      <c r="P501" s="312"/>
      <c r="Q501" s="312"/>
      <c r="R501" s="312"/>
      <c r="S501" s="312"/>
      <c r="T501" s="312"/>
      <c r="U501" s="312"/>
      <c r="V501" s="313"/>
      <c r="W501" s="587">
        <f>'A-CALC'!V472</f>
        <v>0</v>
      </c>
      <c r="X501" s="590">
        <f>'A-CALC'!W472</f>
        <v>0</v>
      </c>
      <c r="Y501" s="590">
        <f>'A-CALC'!X472</f>
        <v>0</v>
      </c>
      <c r="Z501" s="593">
        <f t="shared" ref="Z501" si="367">ROUND((40/$Y$7)*W501,0)</f>
        <v>0</v>
      </c>
      <c r="AA501" s="301"/>
      <c r="AB501" s="583">
        <v>15</v>
      </c>
      <c r="AC501" s="584" t="str">
        <f t="shared" si="355"/>
        <v>ઢીમેચા સતીષ હનુભાઇ</v>
      </c>
      <c r="AD501" s="311"/>
      <c r="AE501" s="312"/>
      <c r="AF501" s="312"/>
      <c r="AG501" s="312"/>
      <c r="AH501" s="312"/>
      <c r="AI501" s="312"/>
      <c r="AJ501" s="312"/>
      <c r="AK501" s="312"/>
      <c r="AL501" s="312"/>
      <c r="AM501" s="312"/>
      <c r="AN501" s="312"/>
      <c r="AO501" s="312"/>
      <c r="AP501" s="312"/>
      <c r="AQ501" s="312"/>
      <c r="AR501" s="312"/>
      <c r="AS501" s="312"/>
      <c r="AT501" s="312"/>
      <c r="AU501" s="312"/>
      <c r="AV501" s="312"/>
      <c r="AW501" s="313"/>
      <c r="AX501" s="587">
        <f>'A-CALC'!AU472</f>
        <v>0</v>
      </c>
      <c r="AY501" s="590">
        <f>'A-CALC'!AV472</f>
        <v>0</v>
      </c>
      <c r="AZ501" s="590">
        <f>'A-CALC'!AW472</f>
        <v>0</v>
      </c>
      <c r="BA501" s="593">
        <f t="shared" ref="BA501" si="368">ROUND((40/$Y$7)*AX501,0)</f>
        <v>0</v>
      </c>
    </row>
    <row r="502" spans="1:53" ht="9" customHeight="1">
      <c r="A502" s="583"/>
      <c r="B502" s="585"/>
      <c r="C502" s="314"/>
      <c r="D502" s="315"/>
      <c r="E502" s="315"/>
      <c r="F502" s="315"/>
      <c r="G502" s="315"/>
      <c r="H502" s="315"/>
      <c r="I502" s="315"/>
      <c r="J502" s="315"/>
      <c r="K502" s="315"/>
      <c r="L502" s="315"/>
      <c r="M502" s="315"/>
      <c r="N502" s="315"/>
      <c r="O502" s="315"/>
      <c r="P502" s="315"/>
      <c r="Q502" s="315"/>
      <c r="R502" s="315"/>
      <c r="S502" s="315"/>
      <c r="T502" s="315"/>
      <c r="U502" s="315"/>
      <c r="V502" s="316"/>
      <c r="W502" s="588"/>
      <c r="X502" s="591"/>
      <c r="Y502" s="591"/>
      <c r="Z502" s="594"/>
      <c r="AA502" s="301"/>
      <c r="AB502" s="583"/>
      <c r="AC502" s="585"/>
      <c r="AD502" s="314"/>
      <c r="AE502" s="315"/>
      <c r="AF502" s="315"/>
      <c r="AG502" s="315"/>
      <c r="AH502" s="315"/>
      <c r="AI502" s="315"/>
      <c r="AJ502" s="315"/>
      <c r="AK502" s="315"/>
      <c r="AL502" s="315"/>
      <c r="AM502" s="315"/>
      <c r="AN502" s="315"/>
      <c r="AO502" s="315"/>
      <c r="AP502" s="315"/>
      <c r="AQ502" s="315"/>
      <c r="AR502" s="315"/>
      <c r="AS502" s="315"/>
      <c r="AT502" s="315"/>
      <c r="AU502" s="315"/>
      <c r="AV502" s="315"/>
      <c r="AW502" s="316"/>
      <c r="AX502" s="588"/>
      <c r="AY502" s="591"/>
      <c r="AZ502" s="591"/>
      <c r="BA502" s="594"/>
    </row>
    <row r="503" spans="1:53" ht="9" customHeight="1">
      <c r="A503" s="583"/>
      <c r="B503" s="586"/>
      <c r="C503" s="317"/>
      <c r="D503" s="318"/>
      <c r="E503" s="318"/>
      <c r="F503" s="318"/>
      <c r="G503" s="318"/>
      <c r="H503" s="318"/>
      <c r="I503" s="318"/>
      <c r="J503" s="318"/>
      <c r="K503" s="318"/>
      <c r="L503" s="318"/>
      <c r="M503" s="318"/>
      <c r="N503" s="318"/>
      <c r="O503" s="318"/>
      <c r="P503" s="318"/>
      <c r="Q503" s="318"/>
      <c r="R503" s="318"/>
      <c r="S503" s="318"/>
      <c r="T503" s="318"/>
      <c r="U503" s="318"/>
      <c r="V503" s="319"/>
      <c r="W503" s="589"/>
      <c r="X503" s="592"/>
      <c r="Y503" s="592"/>
      <c r="Z503" s="594"/>
      <c r="AA503" s="301"/>
      <c r="AB503" s="583"/>
      <c r="AC503" s="586"/>
      <c r="AD503" s="317"/>
      <c r="AE503" s="318"/>
      <c r="AF503" s="318"/>
      <c r="AG503" s="318"/>
      <c r="AH503" s="318"/>
      <c r="AI503" s="318"/>
      <c r="AJ503" s="318"/>
      <c r="AK503" s="318"/>
      <c r="AL503" s="318"/>
      <c r="AM503" s="318"/>
      <c r="AN503" s="318"/>
      <c r="AO503" s="318"/>
      <c r="AP503" s="318"/>
      <c r="AQ503" s="318"/>
      <c r="AR503" s="318"/>
      <c r="AS503" s="318"/>
      <c r="AT503" s="318"/>
      <c r="AU503" s="318"/>
      <c r="AV503" s="318"/>
      <c r="AW503" s="319"/>
      <c r="AX503" s="589"/>
      <c r="AY503" s="592"/>
      <c r="AZ503" s="592"/>
      <c r="BA503" s="594"/>
    </row>
    <row r="504" spans="1:53" ht="9" customHeight="1">
      <c r="A504" s="583">
        <v>16</v>
      </c>
      <c r="B504" s="584" t="str">
        <f t="shared" si="353"/>
        <v>ખુમાણ શિવરાજભાઇ બાબુભાઇ</v>
      </c>
      <c r="C504" s="311"/>
      <c r="D504" s="312"/>
      <c r="E504" s="312"/>
      <c r="F504" s="312"/>
      <c r="G504" s="312"/>
      <c r="H504" s="312"/>
      <c r="I504" s="312"/>
      <c r="J504" s="312"/>
      <c r="K504" s="312"/>
      <c r="L504" s="312"/>
      <c r="M504" s="312"/>
      <c r="N504" s="312"/>
      <c r="O504" s="312"/>
      <c r="P504" s="312"/>
      <c r="Q504" s="312"/>
      <c r="R504" s="312"/>
      <c r="S504" s="312"/>
      <c r="T504" s="312"/>
      <c r="U504" s="312"/>
      <c r="V504" s="313"/>
      <c r="W504" s="587">
        <f>'A-CALC'!V475</f>
        <v>0</v>
      </c>
      <c r="X504" s="590">
        <f>'A-CALC'!W475</f>
        <v>0</v>
      </c>
      <c r="Y504" s="590">
        <f>'A-CALC'!X475</f>
        <v>0</v>
      </c>
      <c r="Z504" s="593">
        <f t="shared" ref="Z504" si="369">ROUND((40/$Y$7)*W504,0)</f>
        <v>0</v>
      </c>
      <c r="AA504" s="301"/>
      <c r="AB504" s="583">
        <v>16</v>
      </c>
      <c r="AC504" s="584" t="str">
        <f t="shared" si="355"/>
        <v>ખુમાણ શિવરાજભાઇ બાબુભાઇ</v>
      </c>
      <c r="AD504" s="311"/>
      <c r="AE504" s="312"/>
      <c r="AF504" s="312"/>
      <c r="AG504" s="312"/>
      <c r="AH504" s="312"/>
      <c r="AI504" s="312"/>
      <c r="AJ504" s="312"/>
      <c r="AK504" s="312"/>
      <c r="AL504" s="312"/>
      <c r="AM504" s="312"/>
      <c r="AN504" s="312"/>
      <c r="AO504" s="312"/>
      <c r="AP504" s="312"/>
      <c r="AQ504" s="312"/>
      <c r="AR504" s="312"/>
      <c r="AS504" s="312"/>
      <c r="AT504" s="312"/>
      <c r="AU504" s="312"/>
      <c r="AV504" s="312"/>
      <c r="AW504" s="313"/>
      <c r="AX504" s="587">
        <f>'A-CALC'!AU475</f>
        <v>0</v>
      </c>
      <c r="AY504" s="590">
        <f>'A-CALC'!AV475</f>
        <v>0</v>
      </c>
      <c r="AZ504" s="590">
        <f>'A-CALC'!AW475</f>
        <v>0</v>
      </c>
      <c r="BA504" s="593">
        <f t="shared" ref="BA504" si="370">ROUND((40/$Y$7)*AX504,0)</f>
        <v>0</v>
      </c>
    </row>
    <row r="505" spans="1:53" ht="9" customHeight="1">
      <c r="A505" s="583"/>
      <c r="B505" s="585"/>
      <c r="C505" s="314"/>
      <c r="D505" s="315"/>
      <c r="E505" s="315"/>
      <c r="F505" s="315"/>
      <c r="G505" s="315"/>
      <c r="H505" s="315"/>
      <c r="I505" s="315"/>
      <c r="J505" s="315"/>
      <c r="K505" s="315"/>
      <c r="L505" s="315"/>
      <c r="M505" s="315"/>
      <c r="N505" s="315"/>
      <c r="O505" s="315"/>
      <c r="P505" s="315"/>
      <c r="Q505" s="315"/>
      <c r="R505" s="315"/>
      <c r="S505" s="315"/>
      <c r="T505" s="315"/>
      <c r="U505" s="315"/>
      <c r="V505" s="316"/>
      <c r="W505" s="588"/>
      <c r="X505" s="591"/>
      <c r="Y505" s="591"/>
      <c r="Z505" s="594"/>
      <c r="AA505" s="301"/>
      <c r="AB505" s="583"/>
      <c r="AC505" s="585"/>
      <c r="AD505" s="314"/>
      <c r="AE505" s="315"/>
      <c r="AF505" s="315"/>
      <c r="AG505" s="315"/>
      <c r="AH505" s="315"/>
      <c r="AI505" s="315"/>
      <c r="AJ505" s="315"/>
      <c r="AK505" s="315"/>
      <c r="AL505" s="315"/>
      <c r="AM505" s="315"/>
      <c r="AN505" s="315"/>
      <c r="AO505" s="315"/>
      <c r="AP505" s="315"/>
      <c r="AQ505" s="315"/>
      <c r="AR505" s="315"/>
      <c r="AS505" s="315"/>
      <c r="AT505" s="315"/>
      <c r="AU505" s="315"/>
      <c r="AV505" s="315"/>
      <c r="AW505" s="316"/>
      <c r="AX505" s="588"/>
      <c r="AY505" s="591"/>
      <c r="AZ505" s="591"/>
      <c r="BA505" s="594"/>
    </row>
    <row r="506" spans="1:53" ht="9" customHeight="1">
      <c r="A506" s="583"/>
      <c r="B506" s="586"/>
      <c r="C506" s="317"/>
      <c r="D506" s="318"/>
      <c r="E506" s="318"/>
      <c r="F506" s="318"/>
      <c r="G506" s="318"/>
      <c r="H506" s="318"/>
      <c r="I506" s="318"/>
      <c r="J506" s="318"/>
      <c r="K506" s="318"/>
      <c r="L506" s="318"/>
      <c r="M506" s="318"/>
      <c r="N506" s="318"/>
      <c r="O506" s="318"/>
      <c r="P506" s="318"/>
      <c r="Q506" s="318"/>
      <c r="R506" s="318"/>
      <c r="S506" s="318"/>
      <c r="T506" s="318"/>
      <c r="U506" s="318"/>
      <c r="V506" s="319"/>
      <c r="W506" s="589"/>
      <c r="X506" s="592"/>
      <c r="Y506" s="592"/>
      <c r="Z506" s="594"/>
      <c r="AA506" s="301"/>
      <c r="AB506" s="583"/>
      <c r="AC506" s="586"/>
      <c r="AD506" s="317"/>
      <c r="AE506" s="318"/>
      <c r="AF506" s="318"/>
      <c r="AG506" s="318"/>
      <c r="AH506" s="318"/>
      <c r="AI506" s="318"/>
      <c r="AJ506" s="318"/>
      <c r="AK506" s="318"/>
      <c r="AL506" s="318"/>
      <c r="AM506" s="318"/>
      <c r="AN506" s="318"/>
      <c r="AO506" s="318"/>
      <c r="AP506" s="318"/>
      <c r="AQ506" s="318"/>
      <c r="AR506" s="318"/>
      <c r="AS506" s="318"/>
      <c r="AT506" s="318"/>
      <c r="AU506" s="318"/>
      <c r="AV506" s="318"/>
      <c r="AW506" s="319"/>
      <c r="AX506" s="589"/>
      <c r="AY506" s="592"/>
      <c r="AZ506" s="592"/>
      <c r="BA506" s="594"/>
    </row>
    <row r="507" spans="1:53" ht="9" customHeight="1">
      <c r="A507" s="583">
        <v>17</v>
      </c>
      <c r="B507" s="584" t="str">
        <f t="shared" si="353"/>
        <v>માથાસુરીયા દિનેશભાઇ અમરાભાઇ</v>
      </c>
      <c r="C507" s="311"/>
      <c r="D507" s="312"/>
      <c r="E507" s="312"/>
      <c r="F507" s="312"/>
      <c r="G507" s="312"/>
      <c r="H507" s="312"/>
      <c r="I507" s="312"/>
      <c r="J507" s="312"/>
      <c r="K507" s="312"/>
      <c r="L507" s="312"/>
      <c r="M507" s="312"/>
      <c r="N507" s="312"/>
      <c r="O507" s="312"/>
      <c r="P507" s="312"/>
      <c r="Q507" s="312"/>
      <c r="R507" s="312"/>
      <c r="S507" s="312"/>
      <c r="T507" s="312"/>
      <c r="U507" s="312"/>
      <c r="V507" s="313"/>
      <c r="W507" s="587">
        <f>'A-CALC'!V478</f>
        <v>0</v>
      </c>
      <c r="X507" s="590">
        <f>'A-CALC'!W478</f>
        <v>0</v>
      </c>
      <c r="Y507" s="590">
        <f>'A-CALC'!X478</f>
        <v>0</v>
      </c>
      <c r="Z507" s="593">
        <f t="shared" ref="Z507" si="371">ROUND((40/$Y$7)*W507,0)</f>
        <v>0</v>
      </c>
      <c r="AA507" s="301"/>
      <c r="AB507" s="583">
        <v>17</v>
      </c>
      <c r="AC507" s="584" t="str">
        <f t="shared" si="355"/>
        <v>માથાસુરીયા દિનેશભાઇ અમરાભાઇ</v>
      </c>
      <c r="AD507" s="311"/>
      <c r="AE507" s="312"/>
      <c r="AF507" s="312"/>
      <c r="AG507" s="312"/>
      <c r="AH507" s="312"/>
      <c r="AI507" s="312"/>
      <c r="AJ507" s="312"/>
      <c r="AK507" s="312"/>
      <c r="AL507" s="312"/>
      <c r="AM507" s="312"/>
      <c r="AN507" s="312"/>
      <c r="AO507" s="312"/>
      <c r="AP507" s="312"/>
      <c r="AQ507" s="312"/>
      <c r="AR507" s="312"/>
      <c r="AS507" s="312"/>
      <c r="AT507" s="312"/>
      <c r="AU507" s="312"/>
      <c r="AV507" s="312"/>
      <c r="AW507" s="313"/>
      <c r="AX507" s="587">
        <f>'A-CALC'!AU478</f>
        <v>0</v>
      </c>
      <c r="AY507" s="590">
        <f>'A-CALC'!AV478</f>
        <v>0</v>
      </c>
      <c r="AZ507" s="590">
        <f>'A-CALC'!AW478</f>
        <v>0</v>
      </c>
      <c r="BA507" s="593">
        <f t="shared" ref="BA507" si="372">ROUND((40/$Y$7)*AX507,0)</f>
        <v>0</v>
      </c>
    </row>
    <row r="508" spans="1:53" ht="9" customHeight="1">
      <c r="A508" s="583"/>
      <c r="B508" s="585"/>
      <c r="C508" s="314"/>
      <c r="D508" s="315"/>
      <c r="E508" s="315"/>
      <c r="F508" s="315"/>
      <c r="G508" s="315"/>
      <c r="H508" s="315"/>
      <c r="I508" s="315"/>
      <c r="J508" s="315"/>
      <c r="K508" s="315"/>
      <c r="L508" s="315"/>
      <c r="M508" s="315"/>
      <c r="N508" s="315"/>
      <c r="O508" s="315"/>
      <c r="P508" s="315"/>
      <c r="Q508" s="315"/>
      <c r="R508" s="315"/>
      <c r="S508" s="315"/>
      <c r="T508" s="315"/>
      <c r="U508" s="315"/>
      <c r="V508" s="316"/>
      <c r="W508" s="588"/>
      <c r="X508" s="591"/>
      <c r="Y508" s="591"/>
      <c r="Z508" s="594"/>
      <c r="AA508" s="301"/>
      <c r="AB508" s="583"/>
      <c r="AC508" s="585"/>
      <c r="AD508" s="314"/>
      <c r="AE508" s="315"/>
      <c r="AF508" s="315"/>
      <c r="AG508" s="315"/>
      <c r="AH508" s="315"/>
      <c r="AI508" s="315"/>
      <c r="AJ508" s="315"/>
      <c r="AK508" s="315"/>
      <c r="AL508" s="315"/>
      <c r="AM508" s="315"/>
      <c r="AN508" s="315"/>
      <c r="AO508" s="315"/>
      <c r="AP508" s="315"/>
      <c r="AQ508" s="315"/>
      <c r="AR508" s="315"/>
      <c r="AS508" s="315"/>
      <c r="AT508" s="315"/>
      <c r="AU508" s="315"/>
      <c r="AV508" s="315"/>
      <c r="AW508" s="316"/>
      <c r="AX508" s="588"/>
      <c r="AY508" s="591"/>
      <c r="AZ508" s="591"/>
      <c r="BA508" s="594"/>
    </row>
    <row r="509" spans="1:53" ht="9" customHeight="1">
      <c r="A509" s="583"/>
      <c r="B509" s="586"/>
      <c r="C509" s="317"/>
      <c r="D509" s="318"/>
      <c r="E509" s="318"/>
      <c r="F509" s="318"/>
      <c r="G509" s="318"/>
      <c r="H509" s="318"/>
      <c r="I509" s="318"/>
      <c r="J509" s="318"/>
      <c r="K509" s="318"/>
      <c r="L509" s="318"/>
      <c r="M509" s="318"/>
      <c r="N509" s="318"/>
      <c r="O509" s="318"/>
      <c r="P509" s="318"/>
      <c r="Q509" s="318"/>
      <c r="R509" s="318"/>
      <c r="S509" s="318"/>
      <c r="T509" s="318"/>
      <c r="U509" s="318"/>
      <c r="V509" s="319"/>
      <c r="W509" s="589"/>
      <c r="X509" s="592"/>
      <c r="Y509" s="592"/>
      <c r="Z509" s="594"/>
      <c r="AA509" s="301"/>
      <c r="AB509" s="583"/>
      <c r="AC509" s="586"/>
      <c r="AD509" s="317"/>
      <c r="AE509" s="318"/>
      <c r="AF509" s="318"/>
      <c r="AG509" s="318"/>
      <c r="AH509" s="318"/>
      <c r="AI509" s="318"/>
      <c r="AJ509" s="318"/>
      <c r="AK509" s="318"/>
      <c r="AL509" s="318"/>
      <c r="AM509" s="318"/>
      <c r="AN509" s="318"/>
      <c r="AO509" s="318"/>
      <c r="AP509" s="318"/>
      <c r="AQ509" s="318"/>
      <c r="AR509" s="318"/>
      <c r="AS509" s="318"/>
      <c r="AT509" s="318"/>
      <c r="AU509" s="318"/>
      <c r="AV509" s="318"/>
      <c r="AW509" s="319"/>
      <c r="AX509" s="589"/>
      <c r="AY509" s="592"/>
      <c r="AZ509" s="592"/>
      <c r="BA509" s="594"/>
    </row>
    <row r="510" spans="1:53" ht="9" customHeight="1">
      <c r="A510" s="583">
        <v>18</v>
      </c>
      <c r="B510" s="584" t="str">
        <f t="shared" si="353"/>
        <v>વાઘેલા હરેશ જીલુભાઇ</v>
      </c>
      <c r="C510" s="311"/>
      <c r="D510" s="312"/>
      <c r="E510" s="312"/>
      <c r="F510" s="312"/>
      <c r="G510" s="312"/>
      <c r="H510" s="312"/>
      <c r="I510" s="312"/>
      <c r="J510" s="312"/>
      <c r="K510" s="312"/>
      <c r="L510" s="312"/>
      <c r="M510" s="312"/>
      <c r="N510" s="312"/>
      <c r="O510" s="312"/>
      <c r="P510" s="312"/>
      <c r="Q510" s="312"/>
      <c r="R510" s="312"/>
      <c r="S510" s="312"/>
      <c r="T510" s="312"/>
      <c r="U510" s="312"/>
      <c r="V510" s="313"/>
      <c r="W510" s="587">
        <f>'A-CALC'!V481</f>
        <v>0</v>
      </c>
      <c r="X510" s="590">
        <f>'A-CALC'!W481</f>
        <v>0</v>
      </c>
      <c r="Y510" s="590">
        <f>'A-CALC'!X481</f>
        <v>0</v>
      </c>
      <c r="Z510" s="593">
        <f t="shared" ref="Z510" si="373">ROUND((40/$Y$7)*W510,0)</f>
        <v>0</v>
      </c>
      <c r="AA510" s="301"/>
      <c r="AB510" s="583">
        <v>18</v>
      </c>
      <c r="AC510" s="584" t="str">
        <f t="shared" si="355"/>
        <v>વાઘેલા હરેશ જીલુભાઇ</v>
      </c>
      <c r="AD510" s="311"/>
      <c r="AE510" s="312"/>
      <c r="AF510" s="312"/>
      <c r="AG510" s="312"/>
      <c r="AH510" s="312"/>
      <c r="AI510" s="312"/>
      <c r="AJ510" s="312"/>
      <c r="AK510" s="312"/>
      <c r="AL510" s="312"/>
      <c r="AM510" s="312"/>
      <c r="AN510" s="312"/>
      <c r="AO510" s="312"/>
      <c r="AP510" s="312"/>
      <c r="AQ510" s="312"/>
      <c r="AR510" s="312"/>
      <c r="AS510" s="312"/>
      <c r="AT510" s="312"/>
      <c r="AU510" s="312"/>
      <c r="AV510" s="312"/>
      <c r="AW510" s="313"/>
      <c r="AX510" s="587">
        <f>'A-CALC'!AU481</f>
        <v>0</v>
      </c>
      <c r="AY510" s="590">
        <f>'A-CALC'!AV481</f>
        <v>0</v>
      </c>
      <c r="AZ510" s="590">
        <f>'A-CALC'!AW481</f>
        <v>0</v>
      </c>
      <c r="BA510" s="593">
        <f t="shared" ref="BA510" si="374">ROUND((40/$Y$7)*AX510,0)</f>
        <v>0</v>
      </c>
    </row>
    <row r="511" spans="1:53" ht="9" customHeight="1">
      <c r="A511" s="583"/>
      <c r="B511" s="585"/>
      <c r="C511" s="314"/>
      <c r="D511" s="315"/>
      <c r="E511" s="315"/>
      <c r="F511" s="315"/>
      <c r="G511" s="315"/>
      <c r="H511" s="315"/>
      <c r="I511" s="315"/>
      <c r="J511" s="315"/>
      <c r="K511" s="315"/>
      <c r="L511" s="315"/>
      <c r="M511" s="315"/>
      <c r="N511" s="315"/>
      <c r="O511" s="315"/>
      <c r="P511" s="315"/>
      <c r="Q511" s="315"/>
      <c r="R511" s="315"/>
      <c r="S511" s="315"/>
      <c r="T511" s="315"/>
      <c r="U511" s="315"/>
      <c r="V511" s="316"/>
      <c r="W511" s="588"/>
      <c r="X511" s="591"/>
      <c r="Y511" s="591"/>
      <c r="Z511" s="594"/>
      <c r="AA511" s="301"/>
      <c r="AB511" s="583"/>
      <c r="AC511" s="585"/>
      <c r="AD511" s="314"/>
      <c r="AE511" s="315"/>
      <c r="AF511" s="315"/>
      <c r="AG511" s="315"/>
      <c r="AH511" s="315"/>
      <c r="AI511" s="315"/>
      <c r="AJ511" s="315"/>
      <c r="AK511" s="315"/>
      <c r="AL511" s="315"/>
      <c r="AM511" s="315"/>
      <c r="AN511" s="315"/>
      <c r="AO511" s="315"/>
      <c r="AP511" s="315"/>
      <c r="AQ511" s="315"/>
      <c r="AR511" s="315"/>
      <c r="AS511" s="315"/>
      <c r="AT511" s="315"/>
      <c r="AU511" s="315"/>
      <c r="AV511" s="315"/>
      <c r="AW511" s="316"/>
      <c r="AX511" s="588"/>
      <c r="AY511" s="591"/>
      <c r="AZ511" s="591"/>
      <c r="BA511" s="594"/>
    </row>
    <row r="512" spans="1:53" ht="9" customHeight="1">
      <c r="A512" s="583"/>
      <c r="B512" s="586"/>
      <c r="C512" s="317"/>
      <c r="D512" s="318"/>
      <c r="E512" s="318"/>
      <c r="F512" s="318"/>
      <c r="G512" s="318"/>
      <c r="H512" s="318"/>
      <c r="I512" s="318"/>
      <c r="J512" s="318"/>
      <c r="K512" s="318"/>
      <c r="L512" s="318"/>
      <c r="M512" s="318"/>
      <c r="N512" s="318"/>
      <c r="O512" s="318"/>
      <c r="P512" s="318"/>
      <c r="Q512" s="318"/>
      <c r="R512" s="318"/>
      <c r="S512" s="318"/>
      <c r="T512" s="318"/>
      <c r="U512" s="318"/>
      <c r="V512" s="319"/>
      <c r="W512" s="589"/>
      <c r="X512" s="592"/>
      <c r="Y512" s="592"/>
      <c r="Z512" s="594"/>
      <c r="AA512" s="301"/>
      <c r="AB512" s="583"/>
      <c r="AC512" s="586"/>
      <c r="AD512" s="317"/>
      <c r="AE512" s="318"/>
      <c r="AF512" s="318"/>
      <c r="AG512" s="318"/>
      <c r="AH512" s="318"/>
      <c r="AI512" s="318"/>
      <c r="AJ512" s="318"/>
      <c r="AK512" s="318"/>
      <c r="AL512" s="318"/>
      <c r="AM512" s="318"/>
      <c r="AN512" s="318"/>
      <c r="AO512" s="318"/>
      <c r="AP512" s="318"/>
      <c r="AQ512" s="318"/>
      <c r="AR512" s="318"/>
      <c r="AS512" s="318"/>
      <c r="AT512" s="318"/>
      <c r="AU512" s="318"/>
      <c r="AV512" s="318"/>
      <c r="AW512" s="319"/>
      <c r="AX512" s="589"/>
      <c r="AY512" s="592"/>
      <c r="AZ512" s="592"/>
      <c r="BA512" s="594"/>
    </row>
    <row r="513" spans="1:53" ht="9" customHeight="1">
      <c r="A513" s="583">
        <v>19</v>
      </c>
      <c r="B513" s="584" t="str">
        <f t="shared" si="353"/>
        <v>પરમાર દિલીપકુમાર મધુભાઇ</v>
      </c>
      <c r="C513" s="311"/>
      <c r="D513" s="312"/>
      <c r="E513" s="312"/>
      <c r="F513" s="312"/>
      <c r="G513" s="312"/>
      <c r="H513" s="312"/>
      <c r="I513" s="312"/>
      <c r="J513" s="312"/>
      <c r="K513" s="312"/>
      <c r="L513" s="312"/>
      <c r="M513" s="312"/>
      <c r="N513" s="312"/>
      <c r="O513" s="312"/>
      <c r="P513" s="312"/>
      <c r="Q513" s="312"/>
      <c r="R513" s="312"/>
      <c r="S513" s="312"/>
      <c r="T513" s="312"/>
      <c r="U513" s="312"/>
      <c r="V513" s="313"/>
      <c r="W513" s="587">
        <f>'A-CALC'!V484</f>
        <v>0</v>
      </c>
      <c r="X513" s="590">
        <f>'A-CALC'!W484</f>
        <v>0</v>
      </c>
      <c r="Y513" s="590">
        <f>'A-CALC'!X484</f>
        <v>0</v>
      </c>
      <c r="Z513" s="593">
        <f t="shared" ref="Z513" si="375">ROUND((40/$Y$7)*W513,0)</f>
        <v>0</v>
      </c>
      <c r="AA513" s="301"/>
      <c r="AB513" s="583">
        <v>19</v>
      </c>
      <c r="AC513" s="584" t="str">
        <f t="shared" si="355"/>
        <v>પરમાર દિલીપકુમાર મધુભાઇ</v>
      </c>
      <c r="AD513" s="311"/>
      <c r="AE513" s="312"/>
      <c r="AF513" s="312"/>
      <c r="AG513" s="312"/>
      <c r="AH513" s="312"/>
      <c r="AI513" s="312"/>
      <c r="AJ513" s="312"/>
      <c r="AK513" s="312"/>
      <c r="AL513" s="312"/>
      <c r="AM513" s="312"/>
      <c r="AN513" s="312"/>
      <c r="AO513" s="312"/>
      <c r="AP513" s="312"/>
      <c r="AQ513" s="312"/>
      <c r="AR513" s="312"/>
      <c r="AS513" s="312"/>
      <c r="AT513" s="312"/>
      <c r="AU513" s="312"/>
      <c r="AV513" s="312"/>
      <c r="AW513" s="313"/>
      <c r="AX513" s="587">
        <f>'A-CALC'!AU484</f>
        <v>0</v>
      </c>
      <c r="AY513" s="590">
        <f>'A-CALC'!AV484</f>
        <v>0</v>
      </c>
      <c r="AZ513" s="590">
        <f>'A-CALC'!AW484</f>
        <v>0</v>
      </c>
      <c r="BA513" s="593">
        <f t="shared" ref="BA513" si="376">ROUND((40/$Y$7)*AX513,0)</f>
        <v>0</v>
      </c>
    </row>
    <row r="514" spans="1:53" ht="9" customHeight="1">
      <c r="A514" s="583"/>
      <c r="B514" s="585"/>
      <c r="C514" s="314"/>
      <c r="D514" s="315"/>
      <c r="E514" s="315"/>
      <c r="F514" s="315"/>
      <c r="G514" s="315"/>
      <c r="H514" s="315"/>
      <c r="I514" s="315"/>
      <c r="J514" s="315"/>
      <c r="K514" s="315"/>
      <c r="L514" s="315"/>
      <c r="M514" s="315"/>
      <c r="N514" s="315"/>
      <c r="O514" s="315"/>
      <c r="P514" s="315"/>
      <c r="Q514" s="315"/>
      <c r="R514" s="315"/>
      <c r="S514" s="315"/>
      <c r="T514" s="315"/>
      <c r="U514" s="315"/>
      <c r="V514" s="316"/>
      <c r="W514" s="588"/>
      <c r="X514" s="591"/>
      <c r="Y514" s="591"/>
      <c r="Z514" s="594"/>
      <c r="AA514" s="301"/>
      <c r="AB514" s="583"/>
      <c r="AC514" s="585"/>
      <c r="AD514" s="314"/>
      <c r="AE514" s="315"/>
      <c r="AF514" s="315"/>
      <c r="AG514" s="315"/>
      <c r="AH514" s="315"/>
      <c r="AI514" s="315"/>
      <c r="AJ514" s="315"/>
      <c r="AK514" s="315"/>
      <c r="AL514" s="315"/>
      <c r="AM514" s="315"/>
      <c r="AN514" s="315"/>
      <c r="AO514" s="315"/>
      <c r="AP514" s="315"/>
      <c r="AQ514" s="315"/>
      <c r="AR514" s="315"/>
      <c r="AS514" s="315"/>
      <c r="AT514" s="315"/>
      <c r="AU514" s="315"/>
      <c r="AV514" s="315"/>
      <c r="AW514" s="316"/>
      <c r="AX514" s="588"/>
      <c r="AY514" s="591"/>
      <c r="AZ514" s="591"/>
      <c r="BA514" s="594"/>
    </row>
    <row r="515" spans="1:53" ht="9" customHeight="1">
      <c r="A515" s="583"/>
      <c r="B515" s="586"/>
      <c r="C515" s="317"/>
      <c r="D515" s="318"/>
      <c r="E515" s="318"/>
      <c r="F515" s="318"/>
      <c r="G515" s="318"/>
      <c r="H515" s="318"/>
      <c r="I515" s="318"/>
      <c r="J515" s="318"/>
      <c r="K515" s="318"/>
      <c r="L515" s="318"/>
      <c r="M515" s="318"/>
      <c r="N515" s="318"/>
      <c r="O515" s="318"/>
      <c r="P515" s="318"/>
      <c r="Q515" s="318"/>
      <c r="R515" s="318"/>
      <c r="S515" s="318"/>
      <c r="T515" s="318"/>
      <c r="U515" s="318"/>
      <c r="V515" s="319"/>
      <c r="W515" s="589"/>
      <c r="X515" s="592"/>
      <c r="Y515" s="592"/>
      <c r="Z515" s="594"/>
      <c r="AA515" s="301"/>
      <c r="AB515" s="583"/>
      <c r="AC515" s="586"/>
      <c r="AD515" s="317"/>
      <c r="AE515" s="318"/>
      <c r="AF515" s="318"/>
      <c r="AG515" s="318"/>
      <c r="AH515" s="318"/>
      <c r="AI515" s="318"/>
      <c r="AJ515" s="318"/>
      <c r="AK515" s="318"/>
      <c r="AL515" s="318"/>
      <c r="AM515" s="318"/>
      <c r="AN515" s="318"/>
      <c r="AO515" s="318"/>
      <c r="AP515" s="318"/>
      <c r="AQ515" s="318"/>
      <c r="AR515" s="318"/>
      <c r="AS515" s="318"/>
      <c r="AT515" s="318"/>
      <c r="AU515" s="318"/>
      <c r="AV515" s="318"/>
      <c r="AW515" s="319"/>
      <c r="AX515" s="589"/>
      <c r="AY515" s="592"/>
      <c r="AZ515" s="592"/>
      <c r="BA515" s="594"/>
    </row>
    <row r="516" spans="1:53" ht="9" customHeight="1">
      <c r="A516" s="583">
        <v>20</v>
      </c>
      <c r="B516" s="584" t="str">
        <f t="shared" si="353"/>
        <v>વિરપરા કૃણાલ હરેશભાઇ</v>
      </c>
      <c r="C516" s="311"/>
      <c r="D516" s="312"/>
      <c r="E516" s="312"/>
      <c r="F516" s="312"/>
      <c r="G516" s="312"/>
      <c r="H516" s="312"/>
      <c r="I516" s="312"/>
      <c r="J516" s="312"/>
      <c r="K516" s="312"/>
      <c r="L516" s="312"/>
      <c r="M516" s="312"/>
      <c r="N516" s="312"/>
      <c r="O516" s="312"/>
      <c r="P516" s="312"/>
      <c r="Q516" s="312"/>
      <c r="R516" s="312"/>
      <c r="S516" s="312"/>
      <c r="T516" s="312"/>
      <c r="U516" s="312"/>
      <c r="V516" s="313"/>
      <c r="W516" s="587">
        <f>'A-CALC'!V487</f>
        <v>0</v>
      </c>
      <c r="X516" s="590">
        <f>'A-CALC'!W487</f>
        <v>0</v>
      </c>
      <c r="Y516" s="590">
        <f>'A-CALC'!X487</f>
        <v>0</v>
      </c>
      <c r="Z516" s="593">
        <f t="shared" ref="Z516" si="377">ROUND((40/$Y$7)*W516,0)</f>
        <v>0</v>
      </c>
      <c r="AA516" s="301"/>
      <c r="AB516" s="583">
        <v>20</v>
      </c>
      <c r="AC516" s="584" t="str">
        <f t="shared" si="355"/>
        <v>વિરપરા કૃણાલ હરેશભાઇ</v>
      </c>
      <c r="AD516" s="311"/>
      <c r="AE516" s="312"/>
      <c r="AF516" s="312"/>
      <c r="AG516" s="312"/>
      <c r="AH516" s="312"/>
      <c r="AI516" s="312"/>
      <c r="AJ516" s="312"/>
      <c r="AK516" s="312"/>
      <c r="AL516" s="312"/>
      <c r="AM516" s="312"/>
      <c r="AN516" s="312"/>
      <c r="AO516" s="312"/>
      <c r="AP516" s="312"/>
      <c r="AQ516" s="312"/>
      <c r="AR516" s="312"/>
      <c r="AS516" s="312"/>
      <c r="AT516" s="312"/>
      <c r="AU516" s="312"/>
      <c r="AV516" s="312"/>
      <c r="AW516" s="313"/>
      <c r="AX516" s="587">
        <f>'A-CALC'!AU487</f>
        <v>0</v>
      </c>
      <c r="AY516" s="590">
        <f>'A-CALC'!AV487</f>
        <v>0</v>
      </c>
      <c r="AZ516" s="590">
        <f>'A-CALC'!AW487</f>
        <v>0</v>
      </c>
      <c r="BA516" s="593">
        <f t="shared" ref="BA516" si="378">ROUND((40/$Y$7)*AX516,0)</f>
        <v>0</v>
      </c>
    </row>
    <row r="517" spans="1:53" ht="9" customHeight="1">
      <c r="A517" s="583"/>
      <c r="B517" s="585"/>
      <c r="C517" s="314"/>
      <c r="D517" s="315"/>
      <c r="E517" s="315"/>
      <c r="F517" s="315"/>
      <c r="G517" s="315"/>
      <c r="H517" s="315"/>
      <c r="I517" s="315"/>
      <c r="J517" s="315"/>
      <c r="K517" s="315"/>
      <c r="L517" s="315"/>
      <c r="M517" s="315"/>
      <c r="N517" s="315"/>
      <c r="O517" s="315"/>
      <c r="P517" s="315"/>
      <c r="Q517" s="315"/>
      <c r="R517" s="315"/>
      <c r="S517" s="315"/>
      <c r="T517" s="315"/>
      <c r="U517" s="315"/>
      <c r="V517" s="316"/>
      <c r="W517" s="588"/>
      <c r="X517" s="591"/>
      <c r="Y517" s="591"/>
      <c r="Z517" s="594"/>
      <c r="AA517" s="301"/>
      <c r="AB517" s="583"/>
      <c r="AC517" s="585"/>
      <c r="AD517" s="314"/>
      <c r="AE517" s="315"/>
      <c r="AF517" s="315"/>
      <c r="AG517" s="315"/>
      <c r="AH517" s="315"/>
      <c r="AI517" s="315"/>
      <c r="AJ517" s="315"/>
      <c r="AK517" s="315"/>
      <c r="AL517" s="315"/>
      <c r="AM517" s="315"/>
      <c r="AN517" s="315"/>
      <c r="AO517" s="315"/>
      <c r="AP517" s="315"/>
      <c r="AQ517" s="315"/>
      <c r="AR517" s="315"/>
      <c r="AS517" s="315"/>
      <c r="AT517" s="315"/>
      <c r="AU517" s="315"/>
      <c r="AV517" s="315"/>
      <c r="AW517" s="316"/>
      <c r="AX517" s="588"/>
      <c r="AY517" s="591"/>
      <c r="AZ517" s="591"/>
      <c r="BA517" s="594"/>
    </row>
    <row r="518" spans="1:53" ht="9" customHeight="1">
      <c r="A518" s="583"/>
      <c r="B518" s="586"/>
      <c r="C518" s="317"/>
      <c r="D518" s="318"/>
      <c r="E518" s="318"/>
      <c r="F518" s="318"/>
      <c r="G518" s="318"/>
      <c r="H518" s="318"/>
      <c r="I518" s="318"/>
      <c r="J518" s="318"/>
      <c r="K518" s="318"/>
      <c r="L518" s="318"/>
      <c r="M518" s="318"/>
      <c r="N518" s="318"/>
      <c r="O518" s="318"/>
      <c r="P518" s="318"/>
      <c r="Q518" s="318"/>
      <c r="R518" s="318"/>
      <c r="S518" s="318"/>
      <c r="T518" s="318"/>
      <c r="U518" s="318"/>
      <c r="V518" s="319"/>
      <c r="W518" s="589"/>
      <c r="X518" s="592"/>
      <c r="Y518" s="592"/>
      <c r="Z518" s="594"/>
      <c r="AA518" s="301"/>
      <c r="AB518" s="583"/>
      <c r="AC518" s="586"/>
      <c r="AD518" s="317"/>
      <c r="AE518" s="318"/>
      <c r="AF518" s="318"/>
      <c r="AG518" s="318"/>
      <c r="AH518" s="318"/>
      <c r="AI518" s="318"/>
      <c r="AJ518" s="318"/>
      <c r="AK518" s="318"/>
      <c r="AL518" s="318"/>
      <c r="AM518" s="318"/>
      <c r="AN518" s="318"/>
      <c r="AO518" s="318"/>
      <c r="AP518" s="318"/>
      <c r="AQ518" s="318"/>
      <c r="AR518" s="318"/>
      <c r="AS518" s="318"/>
      <c r="AT518" s="318"/>
      <c r="AU518" s="318"/>
      <c r="AV518" s="318"/>
      <c r="AW518" s="319"/>
      <c r="AX518" s="589"/>
      <c r="AY518" s="592"/>
      <c r="AZ518" s="592"/>
      <c r="BA518" s="594"/>
    </row>
    <row r="519" spans="1:53" ht="9" customHeight="1">
      <c r="A519" s="583">
        <v>21</v>
      </c>
      <c r="B519" s="584" t="str">
        <f t="shared" si="353"/>
        <v>મકરૂબિયા જીજ્ઞેશભાઇ અશોકભાઇ</v>
      </c>
      <c r="C519" s="311"/>
      <c r="D519" s="312"/>
      <c r="E519" s="312"/>
      <c r="F519" s="312"/>
      <c r="G519" s="312"/>
      <c r="H519" s="312"/>
      <c r="I519" s="312"/>
      <c r="J519" s="312"/>
      <c r="K519" s="312"/>
      <c r="L519" s="312"/>
      <c r="M519" s="312"/>
      <c r="N519" s="312"/>
      <c r="O519" s="312"/>
      <c r="P519" s="312"/>
      <c r="Q519" s="312"/>
      <c r="R519" s="312"/>
      <c r="S519" s="312"/>
      <c r="T519" s="312"/>
      <c r="U519" s="312"/>
      <c r="V519" s="313"/>
      <c r="W519" s="587">
        <f>'A-CALC'!V490</f>
        <v>0</v>
      </c>
      <c r="X519" s="590">
        <f>'A-CALC'!W490</f>
        <v>0</v>
      </c>
      <c r="Y519" s="590">
        <f>'A-CALC'!X490</f>
        <v>0</v>
      </c>
      <c r="Z519" s="593">
        <f t="shared" ref="Z519" si="379">ROUND((40/$Y$7)*W519,0)</f>
        <v>0</v>
      </c>
      <c r="AA519" s="301"/>
      <c r="AB519" s="583">
        <v>21</v>
      </c>
      <c r="AC519" s="584" t="str">
        <f t="shared" si="355"/>
        <v>મકરૂબિયા જીજ્ઞેશભાઇ અશોકભાઇ</v>
      </c>
      <c r="AD519" s="311"/>
      <c r="AE519" s="312"/>
      <c r="AF519" s="312"/>
      <c r="AG519" s="312"/>
      <c r="AH519" s="312"/>
      <c r="AI519" s="312"/>
      <c r="AJ519" s="312"/>
      <c r="AK519" s="312"/>
      <c r="AL519" s="312"/>
      <c r="AM519" s="312"/>
      <c r="AN519" s="312"/>
      <c r="AO519" s="312"/>
      <c r="AP519" s="312"/>
      <c r="AQ519" s="312"/>
      <c r="AR519" s="312"/>
      <c r="AS519" s="312"/>
      <c r="AT519" s="312"/>
      <c r="AU519" s="312"/>
      <c r="AV519" s="312"/>
      <c r="AW519" s="313"/>
      <c r="AX519" s="587">
        <f>'A-CALC'!AU490</f>
        <v>0</v>
      </c>
      <c r="AY519" s="590">
        <f>'A-CALC'!AV490</f>
        <v>0</v>
      </c>
      <c r="AZ519" s="590">
        <f>'A-CALC'!AW490</f>
        <v>0</v>
      </c>
      <c r="BA519" s="593">
        <f t="shared" ref="BA519" si="380">ROUND((40/$Y$7)*AX519,0)</f>
        <v>0</v>
      </c>
    </row>
    <row r="520" spans="1:53" ht="9" customHeight="1">
      <c r="A520" s="583"/>
      <c r="B520" s="585"/>
      <c r="C520" s="314"/>
      <c r="D520" s="315"/>
      <c r="E520" s="315"/>
      <c r="F520" s="315"/>
      <c r="G520" s="315"/>
      <c r="H520" s="315"/>
      <c r="I520" s="315"/>
      <c r="J520" s="315"/>
      <c r="K520" s="315"/>
      <c r="L520" s="315"/>
      <c r="M520" s="315"/>
      <c r="N520" s="315"/>
      <c r="O520" s="315"/>
      <c r="P520" s="315"/>
      <c r="Q520" s="315"/>
      <c r="R520" s="315"/>
      <c r="S520" s="315"/>
      <c r="T520" s="315"/>
      <c r="U520" s="315"/>
      <c r="V520" s="316"/>
      <c r="W520" s="588"/>
      <c r="X520" s="591"/>
      <c r="Y520" s="591"/>
      <c r="Z520" s="594"/>
      <c r="AA520" s="301"/>
      <c r="AB520" s="583"/>
      <c r="AC520" s="585"/>
      <c r="AD520" s="314"/>
      <c r="AE520" s="315"/>
      <c r="AF520" s="315"/>
      <c r="AG520" s="315"/>
      <c r="AH520" s="315"/>
      <c r="AI520" s="315"/>
      <c r="AJ520" s="315"/>
      <c r="AK520" s="315"/>
      <c r="AL520" s="315"/>
      <c r="AM520" s="315"/>
      <c r="AN520" s="315"/>
      <c r="AO520" s="315"/>
      <c r="AP520" s="315"/>
      <c r="AQ520" s="315"/>
      <c r="AR520" s="315"/>
      <c r="AS520" s="315"/>
      <c r="AT520" s="315"/>
      <c r="AU520" s="315"/>
      <c r="AV520" s="315"/>
      <c r="AW520" s="316"/>
      <c r="AX520" s="588"/>
      <c r="AY520" s="591"/>
      <c r="AZ520" s="591"/>
      <c r="BA520" s="594"/>
    </row>
    <row r="521" spans="1:53" ht="9" customHeight="1">
      <c r="A521" s="583"/>
      <c r="B521" s="586"/>
      <c r="C521" s="317"/>
      <c r="D521" s="318"/>
      <c r="E521" s="318"/>
      <c r="F521" s="318"/>
      <c r="G521" s="318"/>
      <c r="H521" s="318"/>
      <c r="I521" s="318"/>
      <c r="J521" s="318"/>
      <c r="K521" s="318"/>
      <c r="L521" s="318"/>
      <c r="M521" s="318"/>
      <c r="N521" s="318"/>
      <c r="O521" s="318"/>
      <c r="P521" s="318"/>
      <c r="Q521" s="318"/>
      <c r="R521" s="318"/>
      <c r="S521" s="318"/>
      <c r="T521" s="318"/>
      <c r="U521" s="318"/>
      <c r="V521" s="319"/>
      <c r="W521" s="589"/>
      <c r="X521" s="592"/>
      <c r="Y521" s="592"/>
      <c r="Z521" s="594"/>
      <c r="AA521" s="301"/>
      <c r="AB521" s="583"/>
      <c r="AC521" s="586"/>
      <c r="AD521" s="317"/>
      <c r="AE521" s="318"/>
      <c r="AF521" s="318"/>
      <c r="AG521" s="318"/>
      <c r="AH521" s="318"/>
      <c r="AI521" s="318"/>
      <c r="AJ521" s="318"/>
      <c r="AK521" s="318"/>
      <c r="AL521" s="318"/>
      <c r="AM521" s="318"/>
      <c r="AN521" s="318"/>
      <c r="AO521" s="318"/>
      <c r="AP521" s="318"/>
      <c r="AQ521" s="318"/>
      <c r="AR521" s="318"/>
      <c r="AS521" s="318"/>
      <c r="AT521" s="318"/>
      <c r="AU521" s="318"/>
      <c r="AV521" s="318"/>
      <c r="AW521" s="319"/>
      <c r="AX521" s="589"/>
      <c r="AY521" s="592"/>
      <c r="AZ521" s="592"/>
      <c r="BA521" s="594"/>
    </row>
    <row r="522" spans="1:53" ht="9" customHeight="1">
      <c r="A522" s="583">
        <v>22</v>
      </c>
      <c r="B522" s="584" t="str">
        <f t="shared" si="353"/>
        <v>ખિમસુરીયા જ્યોત્સના મુકેશભાઇ</v>
      </c>
      <c r="C522" s="311"/>
      <c r="D522" s="312"/>
      <c r="E522" s="312"/>
      <c r="F522" s="312"/>
      <c r="G522" s="312"/>
      <c r="H522" s="312"/>
      <c r="I522" s="312"/>
      <c r="J522" s="312"/>
      <c r="K522" s="312"/>
      <c r="L522" s="312"/>
      <c r="M522" s="312"/>
      <c r="N522" s="312"/>
      <c r="O522" s="312"/>
      <c r="P522" s="312"/>
      <c r="Q522" s="312"/>
      <c r="R522" s="312"/>
      <c r="S522" s="312"/>
      <c r="T522" s="312"/>
      <c r="U522" s="312"/>
      <c r="V522" s="313"/>
      <c r="W522" s="587">
        <f>'A-CALC'!V493</f>
        <v>0</v>
      </c>
      <c r="X522" s="590">
        <f>'A-CALC'!W493</f>
        <v>0</v>
      </c>
      <c r="Y522" s="590">
        <f>'A-CALC'!X493</f>
        <v>0</v>
      </c>
      <c r="Z522" s="593">
        <f t="shared" ref="Z522" si="381">ROUND((40/$Y$7)*W522,0)</f>
        <v>0</v>
      </c>
      <c r="AA522" s="301"/>
      <c r="AB522" s="583">
        <v>22</v>
      </c>
      <c r="AC522" s="584" t="str">
        <f t="shared" si="355"/>
        <v>ખિમસુરીયા જ્યોત્સના મુકેશભાઇ</v>
      </c>
      <c r="AD522" s="311"/>
      <c r="AE522" s="312"/>
      <c r="AF522" s="312"/>
      <c r="AG522" s="312"/>
      <c r="AH522" s="312"/>
      <c r="AI522" s="312"/>
      <c r="AJ522" s="312"/>
      <c r="AK522" s="312"/>
      <c r="AL522" s="312"/>
      <c r="AM522" s="312"/>
      <c r="AN522" s="312"/>
      <c r="AO522" s="312"/>
      <c r="AP522" s="312"/>
      <c r="AQ522" s="312"/>
      <c r="AR522" s="312"/>
      <c r="AS522" s="312"/>
      <c r="AT522" s="312"/>
      <c r="AU522" s="312"/>
      <c r="AV522" s="312"/>
      <c r="AW522" s="313"/>
      <c r="AX522" s="587">
        <f>'A-CALC'!AU493</f>
        <v>0</v>
      </c>
      <c r="AY522" s="590">
        <f>'A-CALC'!AV493</f>
        <v>0</v>
      </c>
      <c r="AZ522" s="590">
        <f>'A-CALC'!AW493</f>
        <v>0</v>
      </c>
      <c r="BA522" s="593">
        <f t="shared" ref="BA522" si="382">ROUND((40/$Y$7)*AX522,0)</f>
        <v>0</v>
      </c>
    </row>
    <row r="523" spans="1:53" ht="9" customHeight="1">
      <c r="A523" s="583"/>
      <c r="B523" s="585"/>
      <c r="C523" s="314"/>
      <c r="D523" s="315"/>
      <c r="E523" s="315"/>
      <c r="F523" s="315"/>
      <c r="G523" s="315"/>
      <c r="H523" s="315"/>
      <c r="I523" s="315"/>
      <c r="J523" s="315"/>
      <c r="K523" s="315"/>
      <c r="L523" s="315"/>
      <c r="M523" s="315"/>
      <c r="N523" s="315"/>
      <c r="O523" s="315"/>
      <c r="P523" s="315"/>
      <c r="Q523" s="315"/>
      <c r="R523" s="315"/>
      <c r="S523" s="315"/>
      <c r="T523" s="315"/>
      <c r="U523" s="315"/>
      <c r="V523" s="316"/>
      <c r="W523" s="588"/>
      <c r="X523" s="591"/>
      <c r="Y523" s="591"/>
      <c r="Z523" s="594"/>
      <c r="AA523" s="301"/>
      <c r="AB523" s="583"/>
      <c r="AC523" s="585"/>
      <c r="AD523" s="314"/>
      <c r="AE523" s="315"/>
      <c r="AF523" s="315"/>
      <c r="AG523" s="315"/>
      <c r="AH523" s="315"/>
      <c r="AI523" s="315"/>
      <c r="AJ523" s="315"/>
      <c r="AK523" s="315"/>
      <c r="AL523" s="315"/>
      <c r="AM523" s="315"/>
      <c r="AN523" s="315"/>
      <c r="AO523" s="315"/>
      <c r="AP523" s="315"/>
      <c r="AQ523" s="315"/>
      <c r="AR523" s="315"/>
      <c r="AS523" s="315"/>
      <c r="AT523" s="315"/>
      <c r="AU523" s="315"/>
      <c r="AV523" s="315"/>
      <c r="AW523" s="316"/>
      <c r="AX523" s="588"/>
      <c r="AY523" s="591"/>
      <c r="AZ523" s="591"/>
      <c r="BA523" s="594"/>
    </row>
    <row r="524" spans="1:53" ht="9" customHeight="1">
      <c r="A524" s="583"/>
      <c r="B524" s="586"/>
      <c r="C524" s="317"/>
      <c r="D524" s="318"/>
      <c r="E524" s="318"/>
      <c r="F524" s="318"/>
      <c r="G524" s="318"/>
      <c r="H524" s="318"/>
      <c r="I524" s="318"/>
      <c r="J524" s="318"/>
      <c r="K524" s="318"/>
      <c r="L524" s="318"/>
      <c r="M524" s="318"/>
      <c r="N524" s="318"/>
      <c r="O524" s="318"/>
      <c r="P524" s="318"/>
      <c r="Q524" s="318"/>
      <c r="R524" s="318"/>
      <c r="S524" s="318"/>
      <c r="T524" s="318"/>
      <c r="U524" s="318"/>
      <c r="V524" s="319"/>
      <c r="W524" s="589"/>
      <c r="X524" s="592"/>
      <c r="Y524" s="592"/>
      <c r="Z524" s="594"/>
      <c r="AA524" s="301"/>
      <c r="AB524" s="583"/>
      <c r="AC524" s="586"/>
      <c r="AD524" s="317"/>
      <c r="AE524" s="318"/>
      <c r="AF524" s="318"/>
      <c r="AG524" s="318"/>
      <c r="AH524" s="318"/>
      <c r="AI524" s="318"/>
      <c r="AJ524" s="318"/>
      <c r="AK524" s="318"/>
      <c r="AL524" s="318"/>
      <c r="AM524" s="318"/>
      <c r="AN524" s="318"/>
      <c r="AO524" s="318"/>
      <c r="AP524" s="318"/>
      <c r="AQ524" s="318"/>
      <c r="AR524" s="318"/>
      <c r="AS524" s="318"/>
      <c r="AT524" s="318"/>
      <c r="AU524" s="318"/>
      <c r="AV524" s="318"/>
      <c r="AW524" s="319"/>
      <c r="AX524" s="589"/>
      <c r="AY524" s="592"/>
      <c r="AZ524" s="592"/>
      <c r="BA524" s="594"/>
    </row>
    <row r="525" spans="1:53" ht="9" customHeight="1">
      <c r="A525" s="583">
        <v>23</v>
      </c>
      <c r="B525" s="584" t="str">
        <f t="shared" si="353"/>
        <v>ગરણિયા રાજલબેન સામતભાઇ</v>
      </c>
      <c r="C525" s="311"/>
      <c r="D525" s="312"/>
      <c r="E525" s="312"/>
      <c r="F525" s="312"/>
      <c r="G525" s="312"/>
      <c r="H525" s="312"/>
      <c r="I525" s="312"/>
      <c r="J525" s="312"/>
      <c r="K525" s="312"/>
      <c r="L525" s="312"/>
      <c r="M525" s="312"/>
      <c r="N525" s="312"/>
      <c r="O525" s="312"/>
      <c r="P525" s="312"/>
      <c r="Q525" s="312"/>
      <c r="R525" s="312"/>
      <c r="S525" s="312"/>
      <c r="T525" s="312"/>
      <c r="U525" s="312"/>
      <c r="V525" s="313"/>
      <c r="W525" s="587">
        <f>'A-CALC'!V496</f>
        <v>0</v>
      </c>
      <c r="X525" s="590">
        <f>'A-CALC'!W496</f>
        <v>0</v>
      </c>
      <c r="Y525" s="590">
        <f>'A-CALC'!X496</f>
        <v>0</v>
      </c>
      <c r="Z525" s="593">
        <f t="shared" ref="Z525" si="383">ROUND((40/$Y$7)*W525,0)</f>
        <v>0</v>
      </c>
      <c r="AA525" s="301"/>
      <c r="AB525" s="583">
        <v>23</v>
      </c>
      <c r="AC525" s="584" t="str">
        <f t="shared" si="355"/>
        <v>ગરણિયા રાજલબેન સામતભાઇ</v>
      </c>
      <c r="AD525" s="311"/>
      <c r="AE525" s="312"/>
      <c r="AF525" s="312"/>
      <c r="AG525" s="312"/>
      <c r="AH525" s="312"/>
      <c r="AI525" s="312"/>
      <c r="AJ525" s="312"/>
      <c r="AK525" s="312"/>
      <c r="AL525" s="312"/>
      <c r="AM525" s="312"/>
      <c r="AN525" s="312"/>
      <c r="AO525" s="312"/>
      <c r="AP525" s="312"/>
      <c r="AQ525" s="312"/>
      <c r="AR525" s="312"/>
      <c r="AS525" s="312"/>
      <c r="AT525" s="312"/>
      <c r="AU525" s="312"/>
      <c r="AV525" s="312"/>
      <c r="AW525" s="313"/>
      <c r="AX525" s="587">
        <f>'A-CALC'!AU496</f>
        <v>0</v>
      </c>
      <c r="AY525" s="590">
        <f>'A-CALC'!AV496</f>
        <v>0</v>
      </c>
      <c r="AZ525" s="590">
        <f>'A-CALC'!AW496</f>
        <v>0</v>
      </c>
      <c r="BA525" s="593">
        <f t="shared" ref="BA525" si="384">ROUND((40/$Y$7)*AX525,0)</f>
        <v>0</v>
      </c>
    </row>
    <row r="526" spans="1:53" ht="9" customHeight="1">
      <c r="A526" s="583"/>
      <c r="B526" s="585"/>
      <c r="C526" s="314"/>
      <c r="D526" s="315"/>
      <c r="E526" s="315"/>
      <c r="F526" s="315"/>
      <c r="G526" s="315"/>
      <c r="H526" s="315"/>
      <c r="I526" s="315"/>
      <c r="J526" s="315"/>
      <c r="K526" s="315"/>
      <c r="L526" s="315"/>
      <c r="M526" s="315"/>
      <c r="N526" s="315"/>
      <c r="O526" s="315"/>
      <c r="P526" s="315"/>
      <c r="Q526" s="315"/>
      <c r="R526" s="315"/>
      <c r="S526" s="315"/>
      <c r="T526" s="315"/>
      <c r="U526" s="315"/>
      <c r="V526" s="316"/>
      <c r="W526" s="588"/>
      <c r="X526" s="591"/>
      <c r="Y526" s="591"/>
      <c r="Z526" s="594"/>
      <c r="AA526" s="301"/>
      <c r="AB526" s="583"/>
      <c r="AC526" s="585"/>
      <c r="AD526" s="314"/>
      <c r="AE526" s="315"/>
      <c r="AF526" s="315"/>
      <c r="AG526" s="315"/>
      <c r="AH526" s="315"/>
      <c r="AI526" s="315"/>
      <c r="AJ526" s="315"/>
      <c r="AK526" s="315"/>
      <c r="AL526" s="315"/>
      <c r="AM526" s="315"/>
      <c r="AN526" s="315"/>
      <c r="AO526" s="315"/>
      <c r="AP526" s="315"/>
      <c r="AQ526" s="315"/>
      <c r="AR526" s="315"/>
      <c r="AS526" s="315"/>
      <c r="AT526" s="315"/>
      <c r="AU526" s="315"/>
      <c r="AV526" s="315"/>
      <c r="AW526" s="316"/>
      <c r="AX526" s="588"/>
      <c r="AY526" s="591"/>
      <c r="AZ526" s="591"/>
      <c r="BA526" s="594"/>
    </row>
    <row r="527" spans="1:53" ht="9" customHeight="1">
      <c r="A527" s="583"/>
      <c r="B527" s="586"/>
      <c r="C527" s="317"/>
      <c r="D527" s="318"/>
      <c r="E527" s="318"/>
      <c r="F527" s="318"/>
      <c r="G527" s="318"/>
      <c r="H527" s="318"/>
      <c r="I527" s="318"/>
      <c r="J527" s="318"/>
      <c r="K527" s="318"/>
      <c r="L527" s="318"/>
      <c r="M527" s="318"/>
      <c r="N527" s="318"/>
      <c r="O527" s="318"/>
      <c r="P527" s="318"/>
      <c r="Q527" s="318"/>
      <c r="R527" s="318"/>
      <c r="S527" s="318"/>
      <c r="T527" s="318"/>
      <c r="U527" s="318"/>
      <c r="V527" s="319"/>
      <c r="W527" s="589"/>
      <c r="X527" s="592"/>
      <c r="Y527" s="592"/>
      <c r="Z527" s="594"/>
      <c r="AA527" s="301"/>
      <c r="AB527" s="583"/>
      <c r="AC527" s="586"/>
      <c r="AD527" s="317"/>
      <c r="AE527" s="318"/>
      <c r="AF527" s="318"/>
      <c r="AG527" s="318"/>
      <c r="AH527" s="318"/>
      <c r="AI527" s="318"/>
      <c r="AJ527" s="318"/>
      <c r="AK527" s="318"/>
      <c r="AL527" s="318"/>
      <c r="AM527" s="318"/>
      <c r="AN527" s="318"/>
      <c r="AO527" s="318"/>
      <c r="AP527" s="318"/>
      <c r="AQ527" s="318"/>
      <c r="AR527" s="318"/>
      <c r="AS527" s="318"/>
      <c r="AT527" s="318"/>
      <c r="AU527" s="318"/>
      <c r="AV527" s="318"/>
      <c r="AW527" s="319"/>
      <c r="AX527" s="589"/>
      <c r="AY527" s="592"/>
      <c r="AZ527" s="592"/>
      <c r="BA527" s="594"/>
    </row>
    <row r="528" spans="1:53" ht="9" customHeight="1">
      <c r="A528" s="583">
        <v>24</v>
      </c>
      <c r="B528" s="584" t="str">
        <f t="shared" si="353"/>
        <v>ગરણિયા નિરાલીબેન પ્રદીપભાઇ</v>
      </c>
      <c r="C528" s="311"/>
      <c r="D528" s="312"/>
      <c r="E528" s="312"/>
      <c r="F528" s="312"/>
      <c r="G528" s="312"/>
      <c r="H528" s="312"/>
      <c r="I528" s="312"/>
      <c r="J528" s="312"/>
      <c r="K528" s="312"/>
      <c r="L528" s="312"/>
      <c r="M528" s="312"/>
      <c r="N528" s="312"/>
      <c r="O528" s="312"/>
      <c r="P528" s="312"/>
      <c r="Q528" s="312"/>
      <c r="R528" s="312"/>
      <c r="S528" s="312"/>
      <c r="T528" s="312"/>
      <c r="U528" s="312"/>
      <c r="V528" s="313"/>
      <c r="W528" s="587">
        <f>'A-CALC'!V499</f>
        <v>0</v>
      </c>
      <c r="X528" s="590">
        <f>'A-CALC'!W499</f>
        <v>0</v>
      </c>
      <c r="Y528" s="590">
        <f>'A-CALC'!X499</f>
        <v>0</v>
      </c>
      <c r="Z528" s="593">
        <f t="shared" ref="Z528" si="385">ROUND((40/$Y$7)*W528,0)</f>
        <v>0</v>
      </c>
      <c r="AA528" s="301"/>
      <c r="AB528" s="583">
        <v>24</v>
      </c>
      <c r="AC528" s="584" t="str">
        <f t="shared" si="355"/>
        <v>ગરણિયા નિરાલીબેન પ્રદીપભાઇ</v>
      </c>
      <c r="AD528" s="311"/>
      <c r="AE528" s="312"/>
      <c r="AF528" s="312"/>
      <c r="AG528" s="312"/>
      <c r="AH528" s="312"/>
      <c r="AI528" s="312"/>
      <c r="AJ528" s="312"/>
      <c r="AK528" s="312"/>
      <c r="AL528" s="312"/>
      <c r="AM528" s="312"/>
      <c r="AN528" s="312"/>
      <c r="AO528" s="312"/>
      <c r="AP528" s="312"/>
      <c r="AQ528" s="312"/>
      <c r="AR528" s="312"/>
      <c r="AS528" s="312"/>
      <c r="AT528" s="312"/>
      <c r="AU528" s="312"/>
      <c r="AV528" s="312"/>
      <c r="AW528" s="313"/>
      <c r="AX528" s="587">
        <f>'A-CALC'!AU499</f>
        <v>0</v>
      </c>
      <c r="AY528" s="590">
        <f>'A-CALC'!AV499</f>
        <v>0</v>
      </c>
      <c r="AZ528" s="590">
        <f>'A-CALC'!AW499</f>
        <v>0</v>
      </c>
      <c r="BA528" s="593">
        <f t="shared" ref="BA528" si="386">ROUND((40/$Y$7)*AX528,0)</f>
        <v>0</v>
      </c>
    </row>
    <row r="529" spans="1:53" ht="9" customHeight="1">
      <c r="A529" s="583"/>
      <c r="B529" s="585"/>
      <c r="C529" s="314"/>
      <c r="D529" s="315"/>
      <c r="E529" s="315"/>
      <c r="F529" s="315"/>
      <c r="G529" s="315"/>
      <c r="H529" s="315"/>
      <c r="I529" s="315"/>
      <c r="J529" s="315"/>
      <c r="K529" s="315"/>
      <c r="L529" s="315"/>
      <c r="M529" s="315"/>
      <c r="N529" s="315"/>
      <c r="O529" s="315"/>
      <c r="P529" s="315"/>
      <c r="Q529" s="315"/>
      <c r="R529" s="315"/>
      <c r="S529" s="315"/>
      <c r="T529" s="315"/>
      <c r="U529" s="315"/>
      <c r="V529" s="316"/>
      <c r="W529" s="588"/>
      <c r="X529" s="591"/>
      <c r="Y529" s="591"/>
      <c r="Z529" s="594"/>
      <c r="AA529" s="301"/>
      <c r="AB529" s="583"/>
      <c r="AC529" s="585"/>
      <c r="AD529" s="314"/>
      <c r="AE529" s="315"/>
      <c r="AF529" s="315"/>
      <c r="AG529" s="315"/>
      <c r="AH529" s="315"/>
      <c r="AI529" s="315"/>
      <c r="AJ529" s="315"/>
      <c r="AK529" s="315"/>
      <c r="AL529" s="315"/>
      <c r="AM529" s="315"/>
      <c r="AN529" s="315"/>
      <c r="AO529" s="315"/>
      <c r="AP529" s="315"/>
      <c r="AQ529" s="315"/>
      <c r="AR529" s="315"/>
      <c r="AS529" s="315"/>
      <c r="AT529" s="315"/>
      <c r="AU529" s="315"/>
      <c r="AV529" s="315"/>
      <c r="AW529" s="316"/>
      <c r="AX529" s="588"/>
      <c r="AY529" s="591"/>
      <c r="AZ529" s="591"/>
      <c r="BA529" s="594"/>
    </row>
    <row r="530" spans="1:53" ht="9" customHeight="1">
      <c r="A530" s="583"/>
      <c r="B530" s="586"/>
      <c r="C530" s="317"/>
      <c r="D530" s="318"/>
      <c r="E530" s="318"/>
      <c r="F530" s="318"/>
      <c r="G530" s="318"/>
      <c r="H530" s="318"/>
      <c r="I530" s="318"/>
      <c r="J530" s="318"/>
      <c r="K530" s="318"/>
      <c r="L530" s="318"/>
      <c r="M530" s="318"/>
      <c r="N530" s="318"/>
      <c r="O530" s="318"/>
      <c r="P530" s="318"/>
      <c r="Q530" s="318"/>
      <c r="R530" s="318"/>
      <c r="S530" s="318"/>
      <c r="T530" s="318"/>
      <c r="U530" s="318"/>
      <c r="V530" s="319"/>
      <c r="W530" s="589"/>
      <c r="X530" s="592"/>
      <c r="Y530" s="592"/>
      <c r="Z530" s="594"/>
      <c r="AA530" s="301"/>
      <c r="AB530" s="583"/>
      <c r="AC530" s="586"/>
      <c r="AD530" s="317"/>
      <c r="AE530" s="318"/>
      <c r="AF530" s="318"/>
      <c r="AG530" s="318"/>
      <c r="AH530" s="318"/>
      <c r="AI530" s="318"/>
      <c r="AJ530" s="318"/>
      <c r="AK530" s="318"/>
      <c r="AL530" s="318"/>
      <c r="AM530" s="318"/>
      <c r="AN530" s="318"/>
      <c r="AO530" s="318"/>
      <c r="AP530" s="318"/>
      <c r="AQ530" s="318"/>
      <c r="AR530" s="318"/>
      <c r="AS530" s="318"/>
      <c r="AT530" s="318"/>
      <c r="AU530" s="318"/>
      <c r="AV530" s="318"/>
      <c r="AW530" s="319"/>
      <c r="AX530" s="589"/>
      <c r="AY530" s="592"/>
      <c r="AZ530" s="592"/>
      <c r="BA530" s="594"/>
    </row>
    <row r="531" spans="1:53" ht="9" customHeight="1">
      <c r="A531" s="583">
        <v>25</v>
      </c>
      <c r="B531" s="584" t="str">
        <f t="shared" si="353"/>
        <v>ગરણિયા રાધાબેન લક્ષ્મણભાઇ</v>
      </c>
      <c r="C531" s="311"/>
      <c r="D531" s="312"/>
      <c r="E531" s="312"/>
      <c r="F531" s="312"/>
      <c r="G531" s="312"/>
      <c r="H531" s="312"/>
      <c r="I531" s="312"/>
      <c r="J531" s="312"/>
      <c r="K531" s="312"/>
      <c r="L531" s="312"/>
      <c r="M531" s="312"/>
      <c r="N531" s="312"/>
      <c r="O531" s="312"/>
      <c r="P531" s="312"/>
      <c r="Q531" s="312"/>
      <c r="R531" s="312"/>
      <c r="S531" s="312"/>
      <c r="T531" s="312"/>
      <c r="U531" s="312"/>
      <c r="V531" s="313"/>
      <c r="W531" s="587">
        <f>'A-CALC'!V502</f>
        <v>0</v>
      </c>
      <c r="X531" s="590">
        <f>'A-CALC'!W502</f>
        <v>0</v>
      </c>
      <c r="Y531" s="590">
        <f>'A-CALC'!X502</f>
        <v>0</v>
      </c>
      <c r="Z531" s="593">
        <f t="shared" ref="Z531" si="387">ROUND((40/$Y$7)*W531,0)</f>
        <v>0</v>
      </c>
      <c r="AA531" s="301"/>
      <c r="AB531" s="583">
        <v>25</v>
      </c>
      <c r="AC531" s="584" t="str">
        <f t="shared" si="355"/>
        <v>ગરણિયા રાધાબેન લક્ષ્મણભાઇ</v>
      </c>
      <c r="AD531" s="311"/>
      <c r="AE531" s="312"/>
      <c r="AF531" s="312"/>
      <c r="AG531" s="312"/>
      <c r="AH531" s="312"/>
      <c r="AI531" s="312"/>
      <c r="AJ531" s="312"/>
      <c r="AK531" s="312"/>
      <c r="AL531" s="312"/>
      <c r="AM531" s="312"/>
      <c r="AN531" s="312"/>
      <c r="AO531" s="312"/>
      <c r="AP531" s="312"/>
      <c r="AQ531" s="312"/>
      <c r="AR531" s="312"/>
      <c r="AS531" s="312"/>
      <c r="AT531" s="312"/>
      <c r="AU531" s="312"/>
      <c r="AV531" s="312"/>
      <c r="AW531" s="313"/>
      <c r="AX531" s="587">
        <f>'A-CALC'!AU502</f>
        <v>0</v>
      </c>
      <c r="AY531" s="590">
        <f>'A-CALC'!AV502</f>
        <v>0</v>
      </c>
      <c r="AZ531" s="590">
        <f>'A-CALC'!AW502</f>
        <v>0</v>
      </c>
      <c r="BA531" s="593">
        <f t="shared" ref="BA531" si="388">ROUND((40/$Y$7)*AX531,0)</f>
        <v>0</v>
      </c>
    </row>
    <row r="532" spans="1:53" ht="9" customHeight="1">
      <c r="A532" s="583"/>
      <c r="B532" s="585"/>
      <c r="C532" s="314"/>
      <c r="D532" s="315"/>
      <c r="E532" s="315"/>
      <c r="F532" s="315"/>
      <c r="G532" s="315"/>
      <c r="H532" s="315"/>
      <c r="I532" s="315"/>
      <c r="J532" s="315"/>
      <c r="K532" s="315"/>
      <c r="L532" s="315"/>
      <c r="M532" s="315"/>
      <c r="N532" s="315"/>
      <c r="O532" s="315"/>
      <c r="P532" s="315"/>
      <c r="Q532" s="315"/>
      <c r="R532" s="315"/>
      <c r="S532" s="315"/>
      <c r="T532" s="315"/>
      <c r="U532" s="315"/>
      <c r="V532" s="316"/>
      <c r="W532" s="588"/>
      <c r="X532" s="591"/>
      <c r="Y532" s="591"/>
      <c r="Z532" s="594"/>
      <c r="AA532" s="301"/>
      <c r="AB532" s="583"/>
      <c r="AC532" s="585"/>
      <c r="AD532" s="314"/>
      <c r="AE532" s="315"/>
      <c r="AF532" s="315"/>
      <c r="AG532" s="315"/>
      <c r="AH532" s="315"/>
      <c r="AI532" s="315"/>
      <c r="AJ532" s="315"/>
      <c r="AK532" s="315"/>
      <c r="AL532" s="315"/>
      <c r="AM532" s="315"/>
      <c r="AN532" s="315"/>
      <c r="AO532" s="315"/>
      <c r="AP532" s="315"/>
      <c r="AQ532" s="315"/>
      <c r="AR532" s="315"/>
      <c r="AS532" s="315"/>
      <c r="AT532" s="315"/>
      <c r="AU532" s="315"/>
      <c r="AV532" s="315"/>
      <c r="AW532" s="316"/>
      <c r="AX532" s="588"/>
      <c r="AY532" s="591"/>
      <c r="AZ532" s="591"/>
      <c r="BA532" s="594"/>
    </row>
    <row r="533" spans="1:53" ht="9" customHeight="1">
      <c r="A533" s="583"/>
      <c r="B533" s="586"/>
      <c r="C533" s="317"/>
      <c r="D533" s="318"/>
      <c r="E533" s="318"/>
      <c r="F533" s="318"/>
      <c r="G533" s="318"/>
      <c r="H533" s="318"/>
      <c r="I533" s="318"/>
      <c r="J533" s="318"/>
      <c r="K533" s="318"/>
      <c r="L533" s="318"/>
      <c r="M533" s="318"/>
      <c r="N533" s="318"/>
      <c r="O533" s="318"/>
      <c r="P533" s="318"/>
      <c r="Q533" s="318"/>
      <c r="R533" s="318"/>
      <c r="S533" s="318"/>
      <c r="T533" s="318"/>
      <c r="U533" s="318"/>
      <c r="V533" s="319"/>
      <c r="W533" s="589"/>
      <c r="X533" s="592"/>
      <c r="Y533" s="592"/>
      <c r="Z533" s="594"/>
      <c r="AA533" s="301"/>
      <c r="AB533" s="583"/>
      <c r="AC533" s="586"/>
      <c r="AD533" s="317"/>
      <c r="AE533" s="318"/>
      <c r="AF533" s="318"/>
      <c r="AG533" s="318"/>
      <c r="AH533" s="318"/>
      <c r="AI533" s="318"/>
      <c r="AJ533" s="318"/>
      <c r="AK533" s="318"/>
      <c r="AL533" s="318"/>
      <c r="AM533" s="318"/>
      <c r="AN533" s="318"/>
      <c r="AO533" s="318"/>
      <c r="AP533" s="318"/>
      <c r="AQ533" s="318"/>
      <c r="AR533" s="318"/>
      <c r="AS533" s="318"/>
      <c r="AT533" s="318"/>
      <c r="AU533" s="318"/>
      <c r="AV533" s="318"/>
      <c r="AW533" s="319"/>
      <c r="AX533" s="589"/>
      <c r="AY533" s="592"/>
      <c r="AZ533" s="592"/>
      <c r="BA533" s="594"/>
    </row>
    <row r="534" spans="1:53" ht="9" customHeight="1">
      <c r="A534" s="583">
        <v>26</v>
      </c>
      <c r="B534" s="584" t="str">
        <f t="shared" si="353"/>
        <v>ગૌસ્વામિ મયુરીબેન રમેશગીરી</v>
      </c>
      <c r="C534" s="311"/>
      <c r="D534" s="312"/>
      <c r="E534" s="312"/>
      <c r="F534" s="312"/>
      <c r="G534" s="312"/>
      <c r="H534" s="312"/>
      <c r="I534" s="312"/>
      <c r="J534" s="312" t="s">
        <v>312</v>
      </c>
      <c r="K534" s="312"/>
      <c r="L534" s="312"/>
      <c r="M534" s="312"/>
      <c r="N534" s="312"/>
      <c r="O534" s="312"/>
      <c r="P534" s="312"/>
      <c r="Q534" s="312"/>
      <c r="R534" s="312"/>
      <c r="S534" s="312"/>
      <c r="T534" s="312"/>
      <c r="U534" s="312"/>
      <c r="V534" s="313"/>
      <c r="W534" s="587">
        <f>'A-CALC'!V505</f>
        <v>0</v>
      </c>
      <c r="X534" s="590">
        <f>'A-CALC'!W505</f>
        <v>0</v>
      </c>
      <c r="Y534" s="590">
        <f>'A-CALC'!X505</f>
        <v>1</v>
      </c>
      <c r="Z534" s="593">
        <f t="shared" ref="Z534" si="389">ROUND((40/$Y$7)*W534,0)</f>
        <v>0</v>
      </c>
      <c r="AA534" s="301"/>
      <c r="AB534" s="583">
        <v>26</v>
      </c>
      <c r="AC534" s="584" t="str">
        <f t="shared" si="355"/>
        <v>ગૌસ્વામિ મયુરીબેન રમેશગીરી</v>
      </c>
      <c r="AD534" s="311"/>
      <c r="AE534" s="312"/>
      <c r="AF534" s="312"/>
      <c r="AG534" s="312" t="s">
        <v>312</v>
      </c>
      <c r="AH534" s="312"/>
      <c r="AI534" s="312"/>
      <c r="AJ534" s="312"/>
      <c r="AK534" s="312"/>
      <c r="AL534" s="312"/>
      <c r="AM534" s="312"/>
      <c r="AN534" s="312"/>
      <c r="AO534" s="312"/>
      <c r="AP534" s="312"/>
      <c r="AQ534" s="312"/>
      <c r="AR534" s="312"/>
      <c r="AS534" s="312"/>
      <c r="AT534" s="312"/>
      <c r="AU534" s="312"/>
      <c r="AV534" s="312"/>
      <c r="AW534" s="313"/>
      <c r="AX534" s="587">
        <f>'A-CALC'!AU505</f>
        <v>1</v>
      </c>
      <c r="AY534" s="590">
        <f>'A-CALC'!AV505</f>
        <v>1</v>
      </c>
      <c r="AZ534" s="590">
        <f>'A-CALC'!AW505</f>
        <v>1</v>
      </c>
      <c r="BA534" s="593">
        <f t="shared" ref="BA534" si="390">ROUND((40/$Y$7)*AX534,0)</f>
        <v>3</v>
      </c>
    </row>
    <row r="535" spans="1:53" ht="9" customHeight="1">
      <c r="A535" s="583"/>
      <c r="B535" s="585"/>
      <c r="C535" s="314"/>
      <c r="D535" s="315"/>
      <c r="E535" s="315"/>
      <c r="F535" s="315"/>
      <c r="G535" s="315"/>
      <c r="H535" s="315"/>
      <c r="I535" s="315"/>
      <c r="J535" s="315"/>
      <c r="K535" s="315"/>
      <c r="L535" s="315"/>
      <c r="M535" s="315"/>
      <c r="N535" s="315"/>
      <c r="O535" s="315"/>
      <c r="P535" s="315"/>
      <c r="Q535" s="315"/>
      <c r="R535" s="315"/>
      <c r="S535" s="315"/>
      <c r="T535" s="315"/>
      <c r="U535" s="315"/>
      <c r="V535" s="316"/>
      <c r="W535" s="588"/>
      <c r="X535" s="591"/>
      <c r="Y535" s="591"/>
      <c r="Z535" s="594"/>
      <c r="AA535" s="301"/>
      <c r="AB535" s="583"/>
      <c r="AC535" s="585"/>
      <c r="AD535" s="314"/>
      <c r="AE535" s="315"/>
      <c r="AF535" s="315"/>
      <c r="AG535" s="315"/>
      <c r="AH535" s="315" t="s">
        <v>311</v>
      </c>
      <c r="AI535" s="315" t="s">
        <v>311</v>
      </c>
      <c r="AJ535" s="315"/>
      <c r="AK535" s="315"/>
      <c r="AL535" s="315"/>
      <c r="AM535" s="315"/>
      <c r="AN535" s="315"/>
      <c r="AO535" s="315"/>
      <c r="AP535" s="315"/>
      <c r="AQ535" s="315"/>
      <c r="AR535" s="315"/>
      <c r="AS535" s="315"/>
      <c r="AT535" s="315"/>
      <c r="AU535" s="315"/>
      <c r="AV535" s="315"/>
      <c r="AW535" s="316"/>
      <c r="AX535" s="588"/>
      <c r="AY535" s="591"/>
      <c r="AZ535" s="591"/>
      <c r="BA535" s="594"/>
    </row>
    <row r="536" spans="1:53" ht="9" customHeight="1">
      <c r="A536" s="583"/>
      <c r="B536" s="586"/>
      <c r="C536" s="317"/>
      <c r="D536" s="318"/>
      <c r="E536" s="318"/>
      <c r="F536" s="318"/>
      <c r="G536" s="318"/>
      <c r="H536" s="318"/>
      <c r="I536" s="318"/>
      <c r="J536" s="318"/>
      <c r="K536" s="318"/>
      <c r="L536" s="318"/>
      <c r="M536" s="318"/>
      <c r="N536" s="318"/>
      <c r="O536" s="318"/>
      <c r="P536" s="318"/>
      <c r="Q536" s="318"/>
      <c r="R536" s="318"/>
      <c r="S536" s="318"/>
      <c r="T536" s="318"/>
      <c r="U536" s="318"/>
      <c r="V536" s="319"/>
      <c r="W536" s="589"/>
      <c r="X536" s="592"/>
      <c r="Y536" s="592"/>
      <c r="Z536" s="594"/>
      <c r="AA536" s="301"/>
      <c r="AB536" s="583"/>
      <c r="AC536" s="586"/>
      <c r="AD536" s="317"/>
      <c r="AE536" s="318"/>
      <c r="AF536" s="318"/>
      <c r="AG536" s="318"/>
      <c r="AH536" s="318"/>
      <c r="AI536" s="318" t="s">
        <v>310</v>
      </c>
      <c r="AJ536" s="318"/>
      <c r="AK536" s="318"/>
      <c r="AL536" s="318"/>
      <c r="AM536" s="318"/>
      <c r="AN536" s="318"/>
      <c r="AO536" s="318"/>
      <c r="AP536" s="318"/>
      <c r="AQ536" s="318"/>
      <c r="AR536" s="318"/>
      <c r="AS536" s="318"/>
      <c r="AT536" s="318"/>
      <c r="AU536" s="318"/>
      <c r="AV536" s="318"/>
      <c r="AW536" s="319"/>
      <c r="AX536" s="589"/>
      <c r="AY536" s="592"/>
      <c r="AZ536" s="592"/>
      <c r="BA536" s="594"/>
    </row>
    <row r="537" spans="1:53" ht="9" customHeight="1">
      <c r="A537" s="583">
        <v>27</v>
      </c>
      <c r="B537" s="584" t="str">
        <f t="shared" si="353"/>
        <v>બતાડા જાનકી વાલાભાઇ</v>
      </c>
      <c r="C537" s="311"/>
      <c r="D537" s="312"/>
      <c r="E537" s="312"/>
      <c r="F537" s="312"/>
      <c r="G537" s="312"/>
      <c r="H537" s="312"/>
      <c r="I537" s="312"/>
      <c r="J537" s="312"/>
      <c r="K537" s="312"/>
      <c r="L537" s="312"/>
      <c r="M537" s="312"/>
      <c r="N537" s="312"/>
      <c r="O537" s="312"/>
      <c r="P537" s="312"/>
      <c r="Q537" s="312"/>
      <c r="R537" s="312"/>
      <c r="S537" s="312"/>
      <c r="T537" s="312"/>
      <c r="U537" s="312"/>
      <c r="V537" s="313"/>
      <c r="W537" s="587">
        <f>'A-CALC'!V508</f>
        <v>0</v>
      </c>
      <c r="X537" s="590">
        <f>'A-CALC'!W508</f>
        <v>0</v>
      </c>
      <c r="Y537" s="590">
        <f>'A-CALC'!X508</f>
        <v>0</v>
      </c>
      <c r="Z537" s="593">
        <f t="shared" ref="Z537" si="391">ROUND((40/$Y$7)*W537,0)</f>
        <v>0</v>
      </c>
      <c r="AA537" s="301"/>
      <c r="AB537" s="583">
        <v>27</v>
      </c>
      <c r="AC537" s="584" t="str">
        <f t="shared" si="355"/>
        <v>બતાડા જાનકી વાલાભાઇ</v>
      </c>
      <c r="AD537" s="311"/>
      <c r="AE537" s="312"/>
      <c r="AF537" s="312"/>
      <c r="AG537" s="312"/>
      <c r="AH537" s="312"/>
      <c r="AI537" s="312"/>
      <c r="AJ537" s="312"/>
      <c r="AK537" s="312"/>
      <c r="AL537" s="312"/>
      <c r="AM537" s="312"/>
      <c r="AN537" s="312"/>
      <c r="AO537" s="312"/>
      <c r="AP537" s="312"/>
      <c r="AQ537" s="312"/>
      <c r="AR537" s="312"/>
      <c r="AS537" s="312"/>
      <c r="AT537" s="312"/>
      <c r="AU537" s="312"/>
      <c r="AV537" s="312"/>
      <c r="AW537" s="313"/>
      <c r="AX537" s="587">
        <f>'A-CALC'!AU508</f>
        <v>0</v>
      </c>
      <c r="AY537" s="590">
        <f>'A-CALC'!AV508</f>
        <v>0</v>
      </c>
      <c r="AZ537" s="590">
        <f>'A-CALC'!AW508</f>
        <v>0</v>
      </c>
      <c r="BA537" s="593">
        <f t="shared" ref="BA537" si="392">ROUND((40/$Y$7)*AX537,0)</f>
        <v>0</v>
      </c>
    </row>
    <row r="538" spans="1:53" ht="9" customHeight="1">
      <c r="A538" s="583"/>
      <c r="B538" s="585"/>
      <c r="C538" s="314"/>
      <c r="D538" s="315"/>
      <c r="E538" s="315"/>
      <c r="F538" s="315"/>
      <c r="G538" s="315"/>
      <c r="H538" s="315"/>
      <c r="I538" s="315"/>
      <c r="J538" s="315"/>
      <c r="K538" s="315"/>
      <c r="L538" s="315"/>
      <c r="M538" s="315"/>
      <c r="N538" s="315"/>
      <c r="O538" s="315"/>
      <c r="P538" s="315"/>
      <c r="Q538" s="315"/>
      <c r="R538" s="315"/>
      <c r="S538" s="315"/>
      <c r="T538" s="315"/>
      <c r="U538" s="315"/>
      <c r="V538" s="316"/>
      <c r="W538" s="588"/>
      <c r="X538" s="591"/>
      <c r="Y538" s="591"/>
      <c r="Z538" s="594"/>
      <c r="AA538" s="301"/>
      <c r="AB538" s="583"/>
      <c r="AC538" s="585"/>
      <c r="AD538" s="314"/>
      <c r="AE538" s="315"/>
      <c r="AF538" s="315"/>
      <c r="AG538" s="315"/>
      <c r="AH538" s="315"/>
      <c r="AI538" s="315"/>
      <c r="AJ538" s="315"/>
      <c r="AK538" s="315"/>
      <c r="AL538" s="315"/>
      <c r="AM538" s="315"/>
      <c r="AN538" s="315"/>
      <c r="AO538" s="315"/>
      <c r="AP538" s="315"/>
      <c r="AQ538" s="315"/>
      <c r="AR538" s="315"/>
      <c r="AS538" s="315"/>
      <c r="AT538" s="315"/>
      <c r="AU538" s="315"/>
      <c r="AV538" s="315"/>
      <c r="AW538" s="316"/>
      <c r="AX538" s="588"/>
      <c r="AY538" s="591"/>
      <c r="AZ538" s="591"/>
      <c r="BA538" s="594"/>
    </row>
    <row r="539" spans="1:53" ht="9" customHeight="1">
      <c r="A539" s="583"/>
      <c r="B539" s="586"/>
      <c r="C539" s="317"/>
      <c r="D539" s="318"/>
      <c r="E539" s="318"/>
      <c r="F539" s="318"/>
      <c r="G539" s="318"/>
      <c r="H539" s="318"/>
      <c r="I539" s="318"/>
      <c r="J539" s="318"/>
      <c r="K539" s="318"/>
      <c r="L539" s="318"/>
      <c r="M539" s="318"/>
      <c r="N539" s="318"/>
      <c r="O539" s="318"/>
      <c r="P539" s="318"/>
      <c r="Q539" s="318"/>
      <c r="R539" s="318"/>
      <c r="S539" s="318"/>
      <c r="T539" s="318"/>
      <c r="U539" s="318"/>
      <c r="V539" s="319"/>
      <c r="W539" s="589"/>
      <c r="X539" s="592"/>
      <c r="Y539" s="592"/>
      <c r="Z539" s="594"/>
      <c r="AA539" s="301"/>
      <c r="AB539" s="583"/>
      <c r="AC539" s="586"/>
      <c r="AD539" s="317"/>
      <c r="AE539" s="318"/>
      <c r="AF539" s="318"/>
      <c r="AG539" s="318"/>
      <c r="AH539" s="318"/>
      <c r="AI539" s="318"/>
      <c r="AJ539" s="318"/>
      <c r="AK539" s="318"/>
      <c r="AL539" s="318"/>
      <c r="AM539" s="318"/>
      <c r="AN539" s="318"/>
      <c r="AO539" s="318"/>
      <c r="AP539" s="318"/>
      <c r="AQ539" s="318"/>
      <c r="AR539" s="318"/>
      <c r="AS539" s="318"/>
      <c r="AT539" s="318"/>
      <c r="AU539" s="318"/>
      <c r="AV539" s="318"/>
      <c r="AW539" s="319"/>
      <c r="AX539" s="589"/>
      <c r="AY539" s="592"/>
      <c r="AZ539" s="592"/>
      <c r="BA539" s="594"/>
    </row>
    <row r="540" spans="1:53" ht="9" customHeight="1">
      <c r="A540" s="583">
        <v>28</v>
      </c>
      <c r="B540" s="584" t="str">
        <f t="shared" si="353"/>
        <v>બતાડા ક્રિષ્નાબેન દેવશીભાઇ</v>
      </c>
      <c r="C540" s="311"/>
      <c r="D540" s="312"/>
      <c r="E540" s="312"/>
      <c r="F540" s="312"/>
      <c r="G540" s="312"/>
      <c r="H540" s="312"/>
      <c r="I540" s="312"/>
      <c r="J540" s="312"/>
      <c r="K540" s="312" t="s">
        <v>312</v>
      </c>
      <c r="L540" s="312"/>
      <c r="M540" s="312"/>
      <c r="N540" s="312"/>
      <c r="O540" s="312"/>
      <c r="P540" s="312"/>
      <c r="Q540" s="312"/>
      <c r="R540" s="312"/>
      <c r="S540" s="312"/>
      <c r="T540" s="312"/>
      <c r="U540" s="312"/>
      <c r="V540" s="313"/>
      <c r="W540" s="587">
        <f>'A-CALC'!V511</f>
        <v>0</v>
      </c>
      <c r="X540" s="590">
        <f>'A-CALC'!W511</f>
        <v>0</v>
      </c>
      <c r="Y540" s="590">
        <f>'A-CALC'!X511</f>
        <v>1</v>
      </c>
      <c r="Z540" s="593">
        <f t="shared" ref="Z540" si="393">ROUND((40/$Y$7)*W540,0)</f>
        <v>0</v>
      </c>
      <c r="AA540" s="301"/>
      <c r="AB540" s="583">
        <v>28</v>
      </c>
      <c r="AC540" s="584" t="str">
        <f t="shared" si="355"/>
        <v>બતાડા ક્રિષ્નાબેન દેવશીભાઇ</v>
      </c>
      <c r="AD540" s="311"/>
      <c r="AE540" s="312"/>
      <c r="AF540" s="312"/>
      <c r="AG540" s="312"/>
      <c r="AH540" s="312"/>
      <c r="AI540" s="312"/>
      <c r="AJ540" s="312"/>
      <c r="AK540" s="312"/>
      <c r="AL540" s="312"/>
      <c r="AM540" s="312"/>
      <c r="AN540" s="312"/>
      <c r="AO540" s="312"/>
      <c r="AP540" s="312"/>
      <c r="AQ540" s="312"/>
      <c r="AR540" s="312"/>
      <c r="AS540" s="312"/>
      <c r="AT540" s="312"/>
      <c r="AU540" s="312"/>
      <c r="AV540" s="312"/>
      <c r="AW540" s="313"/>
      <c r="AX540" s="587">
        <f>'A-CALC'!AU511</f>
        <v>0</v>
      </c>
      <c r="AY540" s="590">
        <f>'A-CALC'!AV511</f>
        <v>0</v>
      </c>
      <c r="AZ540" s="590">
        <f>'A-CALC'!AW511</f>
        <v>0</v>
      </c>
      <c r="BA540" s="593">
        <f t="shared" ref="BA540" si="394">ROUND((40/$Y$7)*AX540,0)</f>
        <v>0</v>
      </c>
    </row>
    <row r="541" spans="1:53" ht="9" customHeight="1">
      <c r="A541" s="583"/>
      <c r="B541" s="585"/>
      <c r="C541" s="314"/>
      <c r="D541" s="315"/>
      <c r="E541" s="315"/>
      <c r="F541" s="315"/>
      <c r="G541" s="315"/>
      <c r="H541" s="315"/>
      <c r="I541" s="315"/>
      <c r="J541" s="315"/>
      <c r="K541" s="315"/>
      <c r="L541" s="315"/>
      <c r="M541" s="315"/>
      <c r="N541" s="315"/>
      <c r="O541" s="315"/>
      <c r="P541" s="315"/>
      <c r="Q541" s="315"/>
      <c r="R541" s="315"/>
      <c r="S541" s="315"/>
      <c r="T541" s="315"/>
      <c r="U541" s="315"/>
      <c r="V541" s="316"/>
      <c r="W541" s="588"/>
      <c r="X541" s="591"/>
      <c r="Y541" s="591"/>
      <c r="Z541" s="594"/>
      <c r="AA541" s="301"/>
      <c r="AB541" s="583"/>
      <c r="AC541" s="585"/>
      <c r="AD541" s="314"/>
      <c r="AE541" s="315"/>
      <c r="AF541" s="315"/>
      <c r="AG541" s="315"/>
      <c r="AH541" s="315"/>
      <c r="AI541" s="315"/>
      <c r="AJ541" s="315"/>
      <c r="AK541" s="315"/>
      <c r="AL541" s="315"/>
      <c r="AM541" s="315"/>
      <c r="AN541" s="315"/>
      <c r="AO541" s="315"/>
      <c r="AP541" s="315"/>
      <c r="AQ541" s="315"/>
      <c r="AR541" s="315"/>
      <c r="AS541" s="315"/>
      <c r="AT541" s="315"/>
      <c r="AU541" s="315"/>
      <c r="AV541" s="315"/>
      <c r="AW541" s="316"/>
      <c r="AX541" s="588"/>
      <c r="AY541" s="591"/>
      <c r="AZ541" s="591"/>
      <c r="BA541" s="594"/>
    </row>
    <row r="542" spans="1:53" ht="9" customHeight="1">
      <c r="A542" s="583"/>
      <c r="B542" s="586"/>
      <c r="C542" s="317"/>
      <c r="D542" s="318"/>
      <c r="E542" s="318"/>
      <c r="F542" s="318"/>
      <c r="G542" s="318"/>
      <c r="H542" s="318"/>
      <c r="I542" s="318"/>
      <c r="J542" s="318"/>
      <c r="K542" s="318"/>
      <c r="L542" s="318"/>
      <c r="M542" s="318"/>
      <c r="N542" s="318"/>
      <c r="O542" s="318"/>
      <c r="P542" s="318"/>
      <c r="Q542" s="318"/>
      <c r="R542" s="318"/>
      <c r="S542" s="318"/>
      <c r="T542" s="318"/>
      <c r="U542" s="318"/>
      <c r="V542" s="319"/>
      <c r="W542" s="589"/>
      <c r="X542" s="592"/>
      <c r="Y542" s="592"/>
      <c r="Z542" s="594"/>
      <c r="AA542" s="301"/>
      <c r="AB542" s="583"/>
      <c r="AC542" s="586"/>
      <c r="AD542" s="317"/>
      <c r="AE542" s="318"/>
      <c r="AF542" s="318"/>
      <c r="AG542" s="318"/>
      <c r="AH542" s="318"/>
      <c r="AI542" s="318"/>
      <c r="AJ542" s="318"/>
      <c r="AK542" s="318"/>
      <c r="AL542" s="318"/>
      <c r="AM542" s="318"/>
      <c r="AN542" s="318"/>
      <c r="AO542" s="318"/>
      <c r="AP542" s="318"/>
      <c r="AQ542" s="318"/>
      <c r="AR542" s="318"/>
      <c r="AS542" s="318"/>
      <c r="AT542" s="318"/>
      <c r="AU542" s="318"/>
      <c r="AV542" s="318"/>
      <c r="AW542" s="319"/>
      <c r="AX542" s="589"/>
      <c r="AY542" s="592"/>
      <c r="AZ542" s="592"/>
      <c r="BA542" s="594"/>
    </row>
    <row r="543" spans="1:53" ht="9" customHeight="1">
      <c r="A543" s="583">
        <v>29</v>
      </c>
      <c r="B543" s="584" t="str">
        <f t="shared" si="353"/>
        <v>પરમાર અનિષા રમેશભાઇ</v>
      </c>
      <c r="C543" s="311"/>
      <c r="D543" s="312"/>
      <c r="E543" s="312"/>
      <c r="F543" s="312"/>
      <c r="G543" s="312"/>
      <c r="H543" s="312"/>
      <c r="I543" s="312"/>
      <c r="J543" s="312"/>
      <c r="K543" s="312"/>
      <c r="L543" s="312"/>
      <c r="M543" s="312"/>
      <c r="N543" s="312"/>
      <c r="O543" s="312"/>
      <c r="P543" s="312"/>
      <c r="Q543" s="312"/>
      <c r="R543" s="312"/>
      <c r="S543" s="312"/>
      <c r="T543" s="312"/>
      <c r="U543" s="312"/>
      <c r="V543" s="313"/>
      <c r="W543" s="587">
        <f>'A-CALC'!V514</f>
        <v>0</v>
      </c>
      <c r="X543" s="590">
        <f>'A-CALC'!W514</f>
        <v>0</v>
      </c>
      <c r="Y543" s="590">
        <f>'A-CALC'!X514</f>
        <v>0</v>
      </c>
      <c r="Z543" s="593">
        <f t="shared" ref="Z543" si="395">ROUND((40/$Y$7)*W543,0)</f>
        <v>0</v>
      </c>
      <c r="AA543" s="301"/>
      <c r="AB543" s="583">
        <v>29</v>
      </c>
      <c r="AC543" s="584" t="str">
        <f t="shared" si="355"/>
        <v>પરમાર અનિષા રમેશભાઇ</v>
      </c>
      <c r="AD543" s="311"/>
      <c r="AE543" s="312"/>
      <c r="AF543" s="312"/>
      <c r="AG543" s="312"/>
      <c r="AH543" s="312"/>
      <c r="AI543" s="312"/>
      <c r="AJ543" s="312"/>
      <c r="AK543" s="312"/>
      <c r="AL543" s="312"/>
      <c r="AM543" s="312"/>
      <c r="AN543" s="312"/>
      <c r="AO543" s="312"/>
      <c r="AP543" s="312"/>
      <c r="AQ543" s="312"/>
      <c r="AR543" s="312"/>
      <c r="AS543" s="312"/>
      <c r="AT543" s="312"/>
      <c r="AU543" s="312"/>
      <c r="AV543" s="312"/>
      <c r="AW543" s="313"/>
      <c r="AX543" s="587">
        <f>'A-CALC'!AU514</f>
        <v>1</v>
      </c>
      <c r="AY543" s="590">
        <f>'A-CALC'!AV514</f>
        <v>0</v>
      </c>
      <c r="AZ543" s="590">
        <f>'A-CALC'!AW514</f>
        <v>0</v>
      </c>
      <c r="BA543" s="593">
        <f t="shared" ref="BA543" si="396">ROUND((40/$Y$7)*AX543,0)</f>
        <v>3</v>
      </c>
    </row>
    <row r="544" spans="1:53" ht="9" customHeight="1">
      <c r="A544" s="583"/>
      <c r="B544" s="585"/>
      <c r="C544" s="314"/>
      <c r="D544" s="315"/>
      <c r="E544" s="315"/>
      <c r="F544" s="315"/>
      <c r="G544" s="315"/>
      <c r="H544" s="315"/>
      <c r="I544" s="315"/>
      <c r="J544" s="315"/>
      <c r="K544" s="315"/>
      <c r="L544" s="315"/>
      <c r="M544" s="315"/>
      <c r="N544" s="315"/>
      <c r="O544" s="315"/>
      <c r="P544" s="315"/>
      <c r="Q544" s="315"/>
      <c r="R544" s="315"/>
      <c r="S544" s="315"/>
      <c r="T544" s="315"/>
      <c r="U544" s="315"/>
      <c r="V544" s="316"/>
      <c r="W544" s="588"/>
      <c r="X544" s="591"/>
      <c r="Y544" s="591"/>
      <c r="Z544" s="594"/>
      <c r="AA544" s="301"/>
      <c r="AB544" s="583"/>
      <c r="AC544" s="585"/>
      <c r="AD544" s="314"/>
      <c r="AE544" s="315"/>
      <c r="AF544" s="315"/>
      <c r="AG544" s="315"/>
      <c r="AH544" s="315"/>
      <c r="AI544" s="315"/>
      <c r="AJ544" s="315"/>
      <c r="AK544" s="315"/>
      <c r="AL544" s="315"/>
      <c r="AM544" s="315"/>
      <c r="AN544" s="315"/>
      <c r="AO544" s="315"/>
      <c r="AP544" s="315"/>
      <c r="AQ544" s="315"/>
      <c r="AR544" s="315"/>
      <c r="AS544" s="315"/>
      <c r="AT544" s="315"/>
      <c r="AU544" s="315"/>
      <c r="AV544" s="315"/>
      <c r="AW544" s="316"/>
      <c r="AX544" s="588"/>
      <c r="AY544" s="591"/>
      <c r="AZ544" s="591"/>
      <c r="BA544" s="594"/>
    </row>
    <row r="545" spans="1:53" ht="9" customHeight="1">
      <c r="A545" s="583"/>
      <c r="B545" s="586"/>
      <c r="C545" s="317"/>
      <c r="D545" s="318"/>
      <c r="E545" s="318"/>
      <c r="F545" s="318"/>
      <c r="G545" s="318"/>
      <c r="H545" s="318"/>
      <c r="I545" s="318"/>
      <c r="J545" s="318"/>
      <c r="K545" s="318"/>
      <c r="L545" s="318"/>
      <c r="M545" s="318"/>
      <c r="N545" s="318"/>
      <c r="O545" s="318"/>
      <c r="P545" s="318"/>
      <c r="Q545" s="318"/>
      <c r="R545" s="318"/>
      <c r="S545" s="318"/>
      <c r="T545" s="318"/>
      <c r="U545" s="318"/>
      <c r="V545" s="319"/>
      <c r="W545" s="589"/>
      <c r="X545" s="592"/>
      <c r="Y545" s="592"/>
      <c r="Z545" s="594"/>
      <c r="AA545" s="301"/>
      <c r="AB545" s="583"/>
      <c r="AC545" s="586"/>
      <c r="AD545" s="317"/>
      <c r="AE545" s="318"/>
      <c r="AF545" s="318"/>
      <c r="AG545" s="318"/>
      <c r="AH545" s="318"/>
      <c r="AI545" s="318"/>
      <c r="AJ545" s="318" t="s">
        <v>310</v>
      </c>
      <c r="AK545" s="318"/>
      <c r="AL545" s="318"/>
      <c r="AM545" s="318"/>
      <c r="AN545" s="318"/>
      <c r="AO545" s="318"/>
      <c r="AP545" s="318"/>
      <c r="AQ545" s="318"/>
      <c r="AR545" s="318"/>
      <c r="AS545" s="318"/>
      <c r="AT545" s="318"/>
      <c r="AU545" s="318"/>
      <c r="AV545" s="318"/>
      <c r="AW545" s="319"/>
      <c r="AX545" s="589"/>
      <c r="AY545" s="592"/>
      <c r="AZ545" s="592"/>
      <c r="BA545" s="594"/>
    </row>
    <row r="546" spans="1:53" ht="9" customHeight="1">
      <c r="A546" s="583">
        <v>30</v>
      </c>
      <c r="B546" s="584" t="str">
        <f t="shared" ref="B546:B561" si="397">B434</f>
        <v>મકરૂબિયા નમ્રતા વશરામભાઇ</v>
      </c>
      <c r="C546" s="311"/>
      <c r="D546" s="312"/>
      <c r="E546" s="312"/>
      <c r="F546" s="312"/>
      <c r="G546" s="312"/>
      <c r="H546" s="312"/>
      <c r="I546" s="312"/>
      <c r="J546" s="312"/>
      <c r="K546" s="312"/>
      <c r="L546" s="312"/>
      <c r="M546" s="312"/>
      <c r="N546" s="312"/>
      <c r="O546" s="312"/>
      <c r="P546" s="312"/>
      <c r="Q546" s="312"/>
      <c r="R546" s="312"/>
      <c r="S546" s="312"/>
      <c r="T546" s="312"/>
      <c r="U546" s="312"/>
      <c r="V546" s="313"/>
      <c r="W546" s="587">
        <f>'A-CALC'!V517</f>
        <v>0</v>
      </c>
      <c r="X546" s="590">
        <f>'A-CALC'!W517</f>
        <v>0</v>
      </c>
      <c r="Y546" s="590">
        <f>'A-CALC'!X517</f>
        <v>0</v>
      </c>
      <c r="Z546" s="593">
        <f t="shared" ref="Z546" si="398">ROUND((40/$Y$7)*W546,0)</f>
        <v>0</v>
      </c>
      <c r="AA546" s="301"/>
      <c r="AB546" s="583">
        <v>30</v>
      </c>
      <c r="AC546" s="584" t="str">
        <f t="shared" ref="AC546:AC561" si="399">AC434</f>
        <v>મકરૂબિયા નમ્રતા વશરામભાઇ</v>
      </c>
      <c r="AD546" s="311"/>
      <c r="AE546" s="312"/>
      <c r="AF546" s="312"/>
      <c r="AG546" s="312"/>
      <c r="AH546" s="312"/>
      <c r="AI546" s="312"/>
      <c r="AJ546" s="312"/>
      <c r="AK546" s="312"/>
      <c r="AL546" s="312"/>
      <c r="AM546" s="312"/>
      <c r="AN546" s="312"/>
      <c r="AO546" s="312"/>
      <c r="AP546" s="312"/>
      <c r="AQ546" s="312"/>
      <c r="AR546" s="312"/>
      <c r="AS546" s="312"/>
      <c r="AT546" s="312"/>
      <c r="AU546" s="312"/>
      <c r="AV546" s="312"/>
      <c r="AW546" s="313"/>
      <c r="AX546" s="587">
        <f>'A-CALC'!AU517</f>
        <v>0</v>
      </c>
      <c r="AY546" s="590">
        <f>'A-CALC'!AV517</f>
        <v>0</v>
      </c>
      <c r="AZ546" s="590">
        <f>'A-CALC'!AW517</f>
        <v>0</v>
      </c>
      <c r="BA546" s="593">
        <f t="shared" ref="BA546" si="400">ROUND((40/$Y$7)*AX546,0)</f>
        <v>0</v>
      </c>
    </row>
    <row r="547" spans="1:53" ht="9" customHeight="1">
      <c r="A547" s="583"/>
      <c r="B547" s="585"/>
      <c r="C547" s="314"/>
      <c r="D547" s="315"/>
      <c r="E547" s="315"/>
      <c r="F547" s="315"/>
      <c r="G547" s="315"/>
      <c r="H547" s="315"/>
      <c r="I547" s="315"/>
      <c r="J547" s="315"/>
      <c r="K547" s="315"/>
      <c r="L547" s="315"/>
      <c r="M547" s="315"/>
      <c r="N547" s="315"/>
      <c r="O547" s="315"/>
      <c r="P547" s="315"/>
      <c r="Q547" s="315"/>
      <c r="R547" s="315"/>
      <c r="S547" s="315"/>
      <c r="T547" s="315"/>
      <c r="U547" s="315"/>
      <c r="V547" s="316"/>
      <c r="W547" s="588"/>
      <c r="X547" s="591"/>
      <c r="Y547" s="591"/>
      <c r="Z547" s="594"/>
      <c r="AA547" s="301"/>
      <c r="AB547" s="583"/>
      <c r="AC547" s="585"/>
      <c r="AD547" s="314"/>
      <c r="AE547" s="315"/>
      <c r="AF547" s="315"/>
      <c r="AG547" s="315"/>
      <c r="AH547" s="315"/>
      <c r="AI547" s="315"/>
      <c r="AJ547" s="315"/>
      <c r="AK547" s="315"/>
      <c r="AL547" s="315"/>
      <c r="AM547" s="315"/>
      <c r="AN547" s="315"/>
      <c r="AO547" s="315"/>
      <c r="AP547" s="315"/>
      <c r="AQ547" s="315"/>
      <c r="AR547" s="315"/>
      <c r="AS547" s="315"/>
      <c r="AT547" s="315"/>
      <c r="AU547" s="315"/>
      <c r="AV547" s="315"/>
      <c r="AW547" s="316"/>
      <c r="AX547" s="588"/>
      <c r="AY547" s="591"/>
      <c r="AZ547" s="591"/>
      <c r="BA547" s="594"/>
    </row>
    <row r="548" spans="1:53" ht="9" customHeight="1">
      <c r="A548" s="583"/>
      <c r="B548" s="586"/>
      <c r="C548" s="317"/>
      <c r="D548" s="318"/>
      <c r="E548" s="318"/>
      <c r="F548" s="318"/>
      <c r="G548" s="318"/>
      <c r="H548" s="318"/>
      <c r="I548" s="318"/>
      <c r="J548" s="318"/>
      <c r="K548" s="318"/>
      <c r="L548" s="318"/>
      <c r="M548" s="318"/>
      <c r="N548" s="318"/>
      <c r="O548" s="318"/>
      <c r="P548" s="318"/>
      <c r="Q548" s="318"/>
      <c r="R548" s="318"/>
      <c r="S548" s="318"/>
      <c r="T548" s="318"/>
      <c r="U548" s="318"/>
      <c r="V548" s="319"/>
      <c r="W548" s="589"/>
      <c r="X548" s="592"/>
      <c r="Y548" s="592"/>
      <c r="Z548" s="594"/>
      <c r="AA548" s="301"/>
      <c r="AB548" s="583"/>
      <c r="AC548" s="586"/>
      <c r="AD548" s="317"/>
      <c r="AE548" s="318"/>
      <c r="AF548" s="318"/>
      <c r="AG548" s="318"/>
      <c r="AH548" s="318"/>
      <c r="AI548" s="318"/>
      <c r="AJ548" s="318"/>
      <c r="AK548" s="318"/>
      <c r="AL548" s="318"/>
      <c r="AM548" s="318"/>
      <c r="AN548" s="318"/>
      <c r="AO548" s="318"/>
      <c r="AP548" s="318"/>
      <c r="AQ548" s="318"/>
      <c r="AR548" s="318"/>
      <c r="AS548" s="318"/>
      <c r="AT548" s="318"/>
      <c r="AU548" s="318"/>
      <c r="AV548" s="318"/>
      <c r="AW548" s="319"/>
      <c r="AX548" s="589"/>
      <c r="AY548" s="592"/>
      <c r="AZ548" s="592"/>
      <c r="BA548" s="594"/>
    </row>
    <row r="549" spans="1:53" ht="9" customHeight="1">
      <c r="A549" s="583">
        <v>31</v>
      </c>
      <c r="B549" s="584">
        <f t="shared" si="397"/>
        <v>0</v>
      </c>
      <c r="C549" s="311"/>
      <c r="D549" s="312"/>
      <c r="E549" s="312"/>
      <c r="F549" s="312"/>
      <c r="G549" s="312"/>
      <c r="H549" s="312"/>
      <c r="I549" s="312"/>
      <c r="J549" s="312"/>
      <c r="K549" s="312"/>
      <c r="L549" s="312"/>
      <c r="M549" s="312"/>
      <c r="N549" s="312"/>
      <c r="O549" s="312"/>
      <c r="P549" s="312"/>
      <c r="Q549" s="312"/>
      <c r="R549" s="312"/>
      <c r="S549" s="312"/>
      <c r="T549" s="312"/>
      <c r="U549" s="312"/>
      <c r="V549" s="313"/>
      <c r="W549" s="587">
        <f>'A-CALC'!V520</f>
        <v>0</v>
      </c>
      <c r="X549" s="590">
        <f>'A-CALC'!W520</f>
        <v>0</v>
      </c>
      <c r="Y549" s="590">
        <f>'A-CALC'!X520</f>
        <v>0</v>
      </c>
      <c r="Z549" s="593">
        <f t="shared" ref="Z549" si="401">ROUND((40/$Y$7)*W549,0)</f>
        <v>0</v>
      </c>
      <c r="AA549" s="301"/>
      <c r="AB549" s="583">
        <v>31</v>
      </c>
      <c r="AC549" s="584">
        <f t="shared" si="399"/>
        <v>0</v>
      </c>
      <c r="AD549" s="311"/>
      <c r="AE549" s="312"/>
      <c r="AF549" s="312"/>
      <c r="AG549" s="312"/>
      <c r="AH549" s="312"/>
      <c r="AI549" s="312"/>
      <c r="AJ549" s="312"/>
      <c r="AK549" s="312"/>
      <c r="AL549" s="312"/>
      <c r="AM549" s="312"/>
      <c r="AN549" s="312"/>
      <c r="AO549" s="312"/>
      <c r="AP549" s="312"/>
      <c r="AQ549" s="312"/>
      <c r="AR549" s="312"/>
      <c r="AS549" s="312"/>
      <c r="AT549" s="312"/>
      <c r="AU549" s="312"/>
      <c r="AV549" s="312"/>
      <c r="AW549" s="313"/>
      <c r="AX549" s="587">
        <f>'A-CALC'!AU520</f>
        <v>0</v>
      </c>
      <c r="AY549" s="590">
        <f>'A-CALC'!AV520</f>
        <v>0</v>
      </c>
      <c r="AZ549" s="590">
        <f>'A-CALC'!AW520</f>
        <v>0</v>
      </c>
      <c r="BA549" s="593">
        <f t="shared" ref="BA549" si="402">ROUND((40/$Y$7)*AX549,0)</f>
        <v>0</v>
      </c>
    </row>
    <row r="550" spans="1:53" ht="9" customHeight="1">
      <c r="A550" s="583"/>
      <c r="B550" s="585"/>
      <c r="C550" s="314"/>
      <c r="D550" s="315"/>
      <c r="E550" s="315"/>
      <c r="F550" s="315"/>
      <c r="G550" s="315"/>
      <c r="H550" s="315"/>
      <c r="I550" s="315"/>
      <c r="J550" s="315"/>
      <c r="K550" s="315"/>
      <c r="L550" s="315"/>
      <c r="M550" s="315"/>
      <c r="N550" s="315"/>
      <c r="O550" s="315"/>
      <c r="P550" s="315"/>
      <c r="Q550" s="315"/>
      <c r="R550" s="315"/>
      <c r="S550" s="315"/>
      <c r="T550" s="315"/>
      <c r="U550" s="315"/>
      <c r="V550" s="316"/>
      <c r="W550" s="588"/>
      <c r="X550" s="591"/>
      <c r="Y550" s="591"/>
      <c r="Z550" s="594"/>
      <c r="AA550" s="301"/>
      <c r="AB550" s="583"/>
      <c r="AC550" s="585"/>
      <c r="AD550" s="314"/>
      <c r="AE550" s="315"/>
      <c r="AF550" s="315"/>
      <c r="AG550" s="315"/>
      <c r="AH550" s="315"/>
      <c r="AI550" s="315"/>
      <c r="AJ550" s="315"/>
      <c r="AK550" s="315"/>
      <c r="AL550" s="315"/>
      <c r="AM550" s="315"/>
      <c r="AN550" s="315"/>
      <c r="AO550" s="315"/>
      <c r="AP550" s="315"/>
      <c r="AQ550" s="315"/>
      <c r="AR550" s="315"/>
      <c r="AS550" s="315"/>
      <c r="AT550" s="315"/>
      <c r="AU550" s="315"/>
      <c r="AV550" s="315"/>
      <c r="AW550" s="316"/>
      <c r="AX550" s="588"/>
      <c r="AY550" s="591"/>
      <c r="AZ550" s="591"/>
      <c r="BA550" s="594"/>
    </row>
    <row r="551" spans="1:53" ht="9" customHeight="1">
      <c r="A551" s="583"/>
      <c r="B551" s="586"/>
      <c r="C551" s="317"/>
      <c r="D551" s="318"/>
      <c r="E551" s="318"/>
      <c r="F551" s="318"/>
      <c r="G551" s="318"/>
      <c r="H551" s="318"/>
      <c r="I551" s="318"/>
      <c r="J551" s="318"/>
      <c r="K551" s="318"/>
      <c r="L551" s="318"/>
      <c r="M551" s="318"/>
      <c r="N551" s="318"/>
      <c r="O551" s="318"/>
      <c r="P551" s="318"/>
      <c r="Q551" s="318"/>
      <c r="R551" s="318"/>
      <c r="S551" s="318"/>
      <c r="T551" s="318"/>
      <c r="U551" s="318"/>
      <c r="V551" s="319"/>
      <c r="W551" s="589"/>
      <c r="X551" s="592"/>
      <c r="Y551" s="592"/>
      <c r="Z551" s="594"/>
      <c r="AA551" s="301"/>
      <c r="AB551" s="583"/>
      <c r="AC551" s="586"/>
      <c r="AD551" s="317"/>
      <c r="AE551" s="318"/>
      <c r="AF551" s="318"/>
      <c r="AG551" s="318"/>
      <c r="AH551" s="318"/>
      <c r="AI551" s="318"/>
      <c r="AJ551" s="318"/>
      <c r="AK551" s="318"/>
      <c r="AL551" s="318"/>
      <c r="AM551" s="318"/>
      <c r="AN551" s="318"/>
      <c r="AO551" s="318"/>
      <c r="AP551" s="318"/>
      <c r="AQ551" s="318"/>
      <c r="AR551" s="318"/>
      <c r="AS551" s="318"/>
      <c r="AT551" s="318"/>
      <c r="AU551" s="318"/>
      <c r="AV551" s="318"/>
      <c r="AW551" s="319"/>
      <c r="AX551" s="589"/>
      <c r="AY551" s="592"/>
      <c r="AZ551" s="592"/>
      <c r="BA551" s="594"/>
    </row>
    <row r="552" spans="1:53" ht="9" customHeight="1">
      <c r="A552" s="583">
        <v>32</v>
      </c>
      <c r="B552" s="584">
        <f t="shared" si="397"/>
        <v>0</v>
      </c>
      <c r="C552" s="311"/>
      <c r="D552" s="312"/>
      <c r="E552" s="312"/>
      <c r="F552" s="312"/>
      <c r="G552" s="312"/>
      <c r="H552" s="312"/>
      <c r="I552" s="312"/>
      <c r="J552" s="312"/>
      <c r="K552" s="312"/>
      <c r="L552" s="312"/>
      <c r="M552" s="312"/>
      <c r="N552" s="312"/>
      <c r="O552" s="312"/>
      <c r="P552" s="312"/>
      <c r="Q552" s="312"/>
      <c r="R552" s="312"/>
      <c r="S552" s="312"/>
      <c r="T552" s="312"/>
      <c r="U552" s="312"/>
      <c r="V552" s="313"/>
      <c r="W552" s="587">
        <f>'A-CALC'!V523</f>
        <v>0</v>
      </c>
      <c r="X552" s="590">
        <f>'A-CALC'!W523</f>
        <v>0</v>
      </c>
      <c r="Y552" s="590">
        <f>'A-CALC'!X523</f>
        <v>0</v>
      </c>
      <c r="Z552" s="593">
        <f t="shared" ref="Z552" si="403">ROUND((40/$Y$7)*W552,0)</f>
        <v>0</v>
      </c>
      <c r="AA552" s="301"/>
      <c r="AB552" s="583">
        <v>32</v>
      </c>
      <c r="AC552" s="584">
        <f t="shared" si="399"/>
        <v>0</v>
      </c>
      <c r="AD552" s="311"/>
      <c r="AE552" s="312"/>
      <c r="AF552" s="312"/>
      <c r="AG552" s="312"/>
      <c r="AH552" s="312"/>
      <c r="AI552" s="312"/>
      <c r="AJ552" s="312"/>
      <c r="AK552" s="312"/>
      <c r="AL552" s="312"/>
      <c r="AM552" s="312"/>
      <c r="AN552" s="312"/>
      <c r="AO552" s="312"/>
      <c r="AP552" s="312"/>
      <c r="AQ552" s="312"/>
      <c r="AR552" s="312"/>
      <c r="AS552" s="312"/>
      <c r="AT552" s="312"/>
      <c r="AU552" s="312"/>
      <c r="AV552" s="312"/>
      <c r="AW552" s="313"/>
      <c r="AX552" s="587">
        <f>'A-CALC'!AU523</f>
        <v>0</v>
      </c>
      <c r="AY552" s="590">
        <f>'A-CALC'!AV523</f>
        <v>0</v>
      </c>
      <c r="AZ552" s="590">
        <f>'A-CALC'!AW523</f>
        <v>0</v>
      </c>
      <c r="BA552" s="593">
        <f t="shared" ref="BA552" si="404">ROUND((40/$Y$7)*AX552,0)</f>
        <v>0</v>
      </c>
    </row>
    <row r="553" spans="1:53" ht="9" customHeight="1">
      <c r="A553" s="583"/>
      <c r="B553" s="585"/>
      <c r="C553" s="314"/>
      <c r="D553" s="315"/>
      <c r="E553" s="315"/>
      <c r="F553" s="315"/>
      <c r="G553" s="315"/>
      <c r="H553" s="315"/>
      <c r="I553" s="315"/>
      <c r="J553" s="315"/>
      <c r="K553" s="315"/>
      <c r="L553" s="315"/>
      <c r="M553" s="315"/>
      <c r="N553" s="315"/>
      <c r="O553" s="315"/>
      <c r="P553" s="315"/>
      <c r="Q553" s="315"/>
      <c r="R553" s="315"/>
      <c r="S553" s="315"/>
      <c r="T553" s="315"/>
      <c r="U553" s="315"/>
      <c r="V553" s="316"/>
      <c r="W553" s="588"/>
      <c r="X553" s="591"/>
      <c r="Y553" s="591"/>
      <c r="Z553" s="594"/>
      <c r="AA553" s="301"/>
      <c r="AB553" s="583"/>
      <c r="AC553" s="585"/>
      <c r="AD553" s="314"/>
      <c r="AE553" s="315"/>
      <c r="AF553" s="315"/>
      <c r="AG553" s="315"/>
      <c r="AH553" s="315"/>
      <c r="AI553" s="315"/>
      <c r="AJ553" s="315"/>
      <c r="AK553" s="315"/>
      <c r="AL553" s="315"/>
      <c r="AM553" s="315"/>
      <c r="AN553" s="315"/>
      <c r="AO553" s="315"/>
      <c r="AP553" s="315"/>
      <c r="AQ553" s="315"/>
      <c r="AR553" s="315"/>
      <c r="AS553" s="315"/>
      <c r="AT553" s="315"/>
      <c r="AU553" s="315"/>
      <c r="AV553" s="315"/>
      <c r="AW553" s="316"/>
      <c r="AX553" s="588"/>
      <c r="AY553" s="591"/>
      <c r="AZ553" s="591"/>
      <c r="BA553" s="594"/>
    </row>
    <row r="554" spans="1:53" ht="9" customHeight="1">
      <c r="A554" s="583"/>
      <c r="B554" s="586"/>
      <c r="C554" s="317"/>
      <c r="D554" s="318"/>
      <c r="E554" s="318"/>
      <c r="F554" s="318"/>
      <c r="G554" s="318"/>
      <c r="H554" s="318"/>
      <c r="I554" s="318"/>
      <c r="J554" s="318"/>
      <c r="K554" s="318"/>
      <c r="L554" s="318"/>
      <c r="M554" s="318"/>
      <c r="N554" s="318"/>
      <c r="O554" s="318"/>
      <c r="P554" s="318"/>
      <c r="Q554" s="318"/>
      <c r="R554" s="318"/>
      <c r="S554" s="318"/>
      <c r="T554" s="318"/>
      <c r="U554" s="318"/>
      <c r="V554" s="319"/>
      <c r="W554" s="589"/>
      <c r="X554" s="592"/>
      <c r="Y554" s="592"/>
      <c r="Z554" s="594"/>
      <c r="AA554" s="301"/>
      <c r="AB554" s="583"/>
      <c r="AC554" s="586"/>
      <c r="AD554" s="317"/>
      <c r="AE554" s="318"/>
      <c r="AF554" s="318"/>
      <c r="AG554" s="318"/>
      <c r="AH554" s="318"/>
      <c r="AI554" s="318"/>
      <c r="AJ554" s="318"/>
      <c r="AK554" s="318"/>
      <c r="AL554" s="318"/>
      <c r="AM554" s="318"/>
      <c r="AN554" s="318"/>
      <c r="AO554" s="318"/>
      <c r="AP554" s="318"/>
      <c r="AQ554" s="318"/>
      <c r="AR554" s="318"/>
      <c r="AS554" s="318"/>
      <c r="AT554" s="318"/>
      <c r="AU554" s="318"/>
      <c r="AV554" s="318"/>
      <c r="AW554" s="319"/>
      <c r="AX554" s="589"/>
      <c r="AY554" s="592"/>
      <c r="AZ554" s="592"/>
      <c r="BA554" s="594"/>
    </row>
    <row r="555" spans="1:53" ht="9" customHeight="1">
      <c r="A555" s="583">
        <v>33</v>
      </c>
      <c r="B555" s="584">
        <f t="shared" si="397"/>
        <v>0</v>
      </c>
      <c r="C555" s="311"/>
      <c r="D555" s="312"/>
      <c r="E555" s="312"/>
      <c r="F555" s="312"/>
      <c r="G555" s="312"/>
      <c r="H555" s="312"/>
      <c r="I555" s="312"/>
      <c r="J555" s="312"/>
      <c r="K555" s="312"/>
      <c r="L555" s="312"/>
      <c r="M555" s="312"/>
      <c r="N555" s="312"/>
      <c r="O555" s="312"/>
      <c r="P555" s="312"/>
      <c r="Q555" s="312"/>
      <c r="R555" s="312"/>
      <c r="S555" s="312"/>
      <c r="T555" s="312"/>
      <c r="U555" s="312"/>
      <c r="V555" s="313"/>
      <c r="W555" s="587">
        <f>'A-CALC'!V526</f>
        <v>0</v>
      </c>
      <c r="X555" s="590">
        <f>'A-CALC'!W526</f>
        <v>0</v>
      </c>
      <c r="Y555" s="590">
        <f>'A-CALC'!X526</f>
        <v>0</v>
      </c>
      <c r="Z555" s="593">
        <f t="shared" ref="Z555" si="405">ROUND((40/$Y$7)*W555,0)</f>
        <v>0</v>
      </c>
      <c r="AA555" s="301"/>
      <c r="AB555" s="583">
        <v>33</v>
      </c>
      <c r="AC555" s="584">
        <f t="shared" si="399"/>
        <v>0</v>
      </c>
      <c r="AD555" s="311"/>
      <c r="AE555" s="312"/>
      <c r="AF555" s="312"/>
      <c r="AG555" s="312"/>
      <c r="AH555" s="312"/>
      <c r="AI555" s="312"/>
      <c r="AJ555" s="312"/>
      <c r="AK555" s="312"/>
      <c r="AL555" s="312"/>
      <c r="AM555" s="312"/>
      <c r="AN555" s="312"/>
      <c r="AO555" s="312"/>
      <c r="AP555" s="312"/>
      <c r="AQ555" s="312"/>
      <c r="AR555" s="312"/>
      <c r="AS555" s="312"/>
      <c r="AT555" s="312"/>
      <c r="AU555" s="312"/>
      <c r="AV555" s="312"/>
      <c r="AW555" s="313"/>
      <c r="AX555" s="587">
        <f>'A-CALC'!AU526</f>
        <v>0</v>
      </c>
      <c r="AY555" s="590">
        <f>'A-CALC'!AV526</f>
        <v>0</v>
      </c>
      <c r="AZ555" s="590">
        <f>'A-CALC'!AW526</f>
        <v>0</v>
      </c>
      <c r="BA555" s="593">
        <f t="shared" ref="BA555" si="406">ROUND((40/$Y$7)*AX555,0)</f>
        <v>0</v>
      </c>
    </row>
    <row r="556" spans="1:53" ht="9" customHeight="1">
      <c r="A556" s="583"/>
      <c r="B556" s="585"/>
      <c r="C556" s="314"/>
      <c r="D556" s="315"/>
      <c r="E556" s="315"/>
      <c r="F556" s="315"/>
      <c r="G556" s="315"/>
      <c r="H556" s="315"/>
      <c r="I556" s="315"/>
      <c r="J556" s="315"/>
      <c r="K556" s="315"/>
      <c r="L556" s="315"/>
      <c r="M556" s="315"/>
      <c r="N556" s="315"/>
      <c r="O556" s="315"/>
      <c r="P556" s="315"/>
      <c r="Q556" s="315"/>
      <c r="R556" s="315"/>
      <c r="S556" s="315"/>
      <c r="T556" s="315"/>
      <c r="U556" s="315"/>
      <c r="V556" s="316"/>
      <c r="W556" s="588"/>
      <c r="X556" s="591"/>
      <c r="Y556" s="591"/>
      <c r="Z556" s="594"/>
      <c r="AA556" s="301"/>
      <c r="AB556" s="583"/>
      <c r="AC556" s="585"/>
      <c r="AD556" s="314"/>
      <c r="AE556" s="315"/>
      <c r="AF556" s="315"/>
      <c r="AG556" s="315"/>
      <c r="AH556" s="315"/>
      <c r="AI556" s="315"/>
      <c r="AJ556" s="315"/>
      <c r="AK556" s="315"/>
      <c r="AL556" s="315"/>
      <c r="AM556" s="315"/>
      <c r="AN556" s="315"/>
      <c r="AO556" s="315"/>
      <c r="AP556" s="315"/>
      <c r="AQ556" s="315"/>
      <c r="AR556" s="315"/>
      <c r="AS556" s="315"/>
      <c r="AT556" s="315"/>
      <c r="AU556" s="315"/>
      <c r="AV556" s="315"/>
      <c r="AW556" s="316"/>
      <c r="AX556" s="588"/>
      <c r="AY556" s="591"/>
      <c r="AZ556" s="591"/>
      <c r="BA556" s="594"/>
    </row>
    <row r="557" spans="1:53" ht="9" customHeight="1">
      <c r="A557" s="583"/>
      <c r="B557" s="586"/>
      <c r="C557" s="317"/>
      <c r="D557" s="318"/>
      <c r="E557" s="318"/>
      <c r="F557" s="318"/>
      <c r="G557" s="318"/>
      <c r="H557" s="318"/>
      <c r="I557" s="318"/>
      <c r="J557" s="318"/>
      <c r="K557" s="318"/>
      <c r="L557" s="318"/>
      <c r="M557" s="318"/>
      <c r="N557" s="318"/>
      <c r="O557" s="318"/>
      <c r="P557" s="318"/>
      <c r="Q557" s="318"/>
      <c r="R557" s="318"/>
      <c r="S557" s="318"/>
      <c r="T557" s="318"/>
      <c r="U557" s="318"/>
      <c r="V557" s="319"/>
      <c r="W557" s="589"/>
      <c r="X557" s="592"/>
      <c r="Y557" s="592"/>
      <c r="Z557" s="594"/>
      <c r="AA557" s="301"/>
      <c r="AB557" s="583"/>
      <c r="AC557" s="586"/>
      <c r="AD557" s="317"/>
      <c r="AE557" s="318"/>
      <c r="AF557" s="318"/>
      <c r="AG557" s="318"/>
      <c r="AH557" s="318"/>
      <c r="AI557" s="318"/>
      <c r="AJ557" s="318"/>
      <c r="AK557" s="318"/>
      <c r="AL557" s="318"/>
      <c r="AM557" s="318"/>
      <c r="AN557" s="318"/>
      <c r="AO557" s="318"/>
      <c r="AP557" s="318"/>
      <c r="AQ557" s="318"/>
      <c r="AR557" s="318"/>
      <c r="AS557" s="318"/>
      <c r="AT557" s="318"/>
      <c r="AU557" s="318"/>
      <c r="AV557" s="318"/>
      <c r="AW557" s="319"/>
      <c r="AX557" s="589"/>
      <c r="AY557" s="592"/>
      <c r="AZ557" s="592"/>
      <c r="BA557" s="594"/>
    </row>
    <row r="558" spans="1:53" ht="9" customHeight="1">
      <c r="A558" s="583">
        <v>34</v>
      </c>
      <c r="B558" s="584">
        <f t="shared" si="397"/>
        <v>0</v>
      </c>
      <c r="C558" s="311"/>
      <c r="D558" s="312"/>
      <c r="E558" s="312"/>
      <c r="F558" s="312"/>
      <c r="G558" s="312"/>
      <c r="H558" s="312"/>
      <c r="I558" s="312"/>
      <c r="J558" s="312"/>
      <c r="K558" s="312"/>
      <c r="L558" s="312"/>
      <c r="M558" s="312"/>
      <c r="N558" s="312"/>
      <c r="O558" s="312"/>
      <c r="P558" s="312"/>
      <c r="Q558" s="312"/>
      <c r="R558" s="312"/>
      <c r="S558" s="312"/>
      <c r="T558" s="312"/>
      <c r="U558" s="312"/>
      <c r="V558" s="313"/>
      <c r="W558" s="587">
        <f>'A-CALC'!V529</f>
        <v>0</v>
      </c>
      <c r="X558" s="590">
        <f>'A-CALC'!W529</f>
        <v>0</v>
      </c>
      <c r="Y558" s="590">
        <f>'A-CALC'!X529</f>
        <v>0</v>
      </c>
      <c r="Z558" s="593">
        <f t="shared" ref="Z558" si="407">ROUND((40/$Y$7)*W558,0)</f>
        <v>0</v>
      </c>
      <c r="AA558" s="301"/>
      <c r="AB558" s="583">
        <v>34</v>
      </c>
      <c r="AC558" s="584">
        <f t="shared" si="399"/>
        <v>0</v>
      </c>
      <c r="AD558" s="311"/>
      <c r="AE558" s="312"/>
      <c r="AF558" s="312"/>
      <c r="AG558" s="312"/>
      <c r="AH558" s="312"/>
      <c r="AI558" s="312"/>
      <c r="AJ558" s="312"/>
      <c r="AK558" s="312"/>
      <c r="AL558" s="312"/>
      <c r="AM558" s="312"/>
      <c r="AN558" s="312"/>
      <c r="AO558" s="312"/>
      <c r="AP558" s="312"/>
      <c r="AQ558" s="312"/>
      <c r="AR558" s="312"/>
      <c r="AS558" s="312"/>
      <c r="AT558" s="312"/>
      <c r="AU558" s="312"/>
      <c r="AV558" s="312"/>
      <c r="AW558" s="313"/>
      <c r="AX558" s="587">
        <f>'A-CALC'!AU529</f>
        <v>0</v>
      </c>
      <c r="AY558" s="590">
        <f>'A-CALC'!AV529</f>
        <v>0</v>
      </c>
      <c r="AZ558" s="590">
        <f>'A-CALC'!AW529</f>
        <v>0</v>
      </c>
      <c r="BA558" s="593">
        <f t="shared" ref="BA558" si="408">ROUND((40/$Y$7)*AX558,0)</f>
        <v>0</v>
      </c>
    </row>
    <row r="559" spans="1:53" ht="9" customHeight="1">
      <c r="A559" s="583"/>
      <c r="B559" s="585"/>
      <c r="C559" s="314"/>
      <c r="D559" s="315"/>
      <c r="E559" s="315"/>
      <c r="F559" s="315"/>
      <c r="G559" s="315"/>
      <c r="H559" s="315"/>
      <c r="I559" s="315"/>
      <c r="J559" s="315"/>
      <c r="K559" s="315"/>
      <c r="L559" s="315"/>
      <c r="M559" s="315"/>
      <c r="N559" s="315"/>
      <c r="O559" s="315"/>
      <c r="P559" s="315"/>
      <c r="Q559" s="315"/>
      <c r="R559" s="315"/>
      <c r="S559" s="315"/>
      <c r="T559" s="315"/>
      <c r="U559" s="315"/>
      <c r="V559" s="316"/>
      <c r="W559" s="588"/>
      <c r="X559" s="591"/>
      <c r="Y559" s="591"/>
      <c r="Z559" s="594"/>
      <c r="AA559" s="301"/>
      <c r="AB559" s="583"/>
      <c r="AC559" s="585"/>
      <c r="AD559" s="314"/>
      <c r="AE559" s="315"/>
      <c r="AF559" s="315"/>
      <c r="AG559" s="315"/>
      <c r="AH559" s="315"/>
      <c r="AI559" s="315"/>
      <c r="AJ559" s="315"/>
      <c r="AK559" s="315"/>
      <c r="AL559" s="315"/>
      <c r="AM559" s="315"/>
      <c r="AN559" s="315"/>
      <c r="AO559" s="315"/>
      <c r="AP559" s="315"/>
      <c r="AQ559" s="315"/>
      <c r="AR559" s="315"/>
      <c r="AS559" s="315"/>
      <c r="AT559" s="315"/>
      <c r="AU559" s="315"/>
      <c r="AV559" s="315"/>
      <c r="AW559" s="316"/>
      <c r="AX559" s="588"/>
      <c r="AY559" s="591"/>
      <c r="AZ559" s="591"/>
      <c r="BA559" s="594"/>
    </row>
    <row r="560" spans="1:53" ht="9" customHeight="1">
      <c r="A560" s="583"/>
      <c r="B560" s="586"/>
      <c r="C560" s="317"/>
      <c r="D560" s="318"/>
      <c r="E560" s="318"/>
      <c r="F560" s="318"/>
      <c r="G560" s="318"/>
      <c r="H560" s="318"/>
      <c r="I560" s="318"/>
      <c r="J560" s="318"/>
      <c r="K560" s="318"/>
      <c r="L560" s="318"/>
      <c r="M560" s="318"/>
      <c r="N560" s="318"/>
      <c r="O560" s="318"/>
      <c r="P560" s="318"/>
      <c r="Q560" s="318"/>
      <c r="R560" s="318"/>
      <c r="S560" s="318"/>
      <c r="T560" s="318"/>
      <c r="U560" s="318"/>
      <c r="V560" s="319"/>
      <c r="W560" s="589"/>
      <c r="X560" s="592"/>
      <c r="Y560" s="592"/>
      <c r="Z560" s="594"/>
      <c r="AA560" s="301"/>
      <c r="AB560" s="583"/>
      <c r="AC560" s="586"/>
      <c r="AD560" s="317"/>
      <c r="AE560" s="318"/>
      <c r="AF560" s="318"/>
      <c r="AG560" s="318"/>
      <c r="AH560" s="318"/>
      <c r="AI560" s="318"/>
      <c r="AJ560" s="318"/>
      <c r="AK560" s="318"/>
      <c r="AL560" s="318"/>
      <c r="AM560" s="318"/>
      <c r="AN560" s="318"/>
      <c r="AO560" s="318"/>
      <c r="AP560" s="318"/>
      <c r="AQ560" s="318"/>
      <c r="AR560" s="318"/>
      <c r="AS560" s="318"/>
      <c r="AT560" s="318"/>
      <c r="AU560" s="318"/>
      <c r="AV560" s="318"/>
      <c r="AW560" s="319"/>
      <c r="AX560" s="589"/>
      <c r="AY560" s="592"/>
      <c r="AZ560" s="592"/>
      <c r="BA560" s="594"/>
    </row>
    <row r="561" spans="1:53" ht="9" customHeight="1">
      <c r="A561" s="583">
        <v>35</v>
      </c>
      <c r="B561" s="584">
        <f t="shared" si="397"/>
        <v>0</v>
      </c>
      <c r="C561" s="311"/>
      <c r="D561" s="312"/>
      <c r="E561" s="312"/>
      <c r="F561" s="312"/>
      <c r="G561" s="312"/>
      <c r="H561" s="312"/>
      <c r="I561" s="312"/>
      <c r="J561" s="312"/>
      <c r="K561" s="312"/>
      <c r="L561" s="312"/>
      <c r="M561" s="312"/>
      <c r="N561" s="312"/>
      <c r="O561" s="312"/>
      <c r="P561" s="312"/>
      <c r="Q561" s="312"/>
      <c r="R561" s="312"/>
      <c r="S561" s="312"/>
      <c r="T561" s="312"/>
      <c r="U561" s="312"/>
      <c r="V561" s="313"/>
      <c r="W561" s="587">
        <f>'A-CALC'!V532</f>
        <v>0</v>
      </c>
      <c r="X561" s="590">
        <f>'A-CALC'!W532</f>
        <v>0</v>
      </c>
      <c r="Y561" s="590">
        <f>'A-CALC'!X532</f>
        <v>0</v>
      </c>
      <c r="Z561" s="593">
        <f t="shared" ref="Z561" si="409">ROUND((40/$Y$7)*W561,0)</f>
        <v>0</v>
      </c>
      <c r="AA561" s="301"/>
      <c r="AB561" s="583">
        <v>35</v>
      </c>
      <c r="AC561" s="584">
        <f t="shared" si="399"/>
        <v>0</v>
      </c>
      <c r="AD561" s="311"/>
      <c r="AE561" s="312"/>
      <c r="AF561" s="312"/>
      <c r="AG561" s="312"/>
      <c r="AH561" s="312"/>
      <c r="AI561" s="312"/>
      <c r="AJ561" s="312"/>
      <c r="AK561" s="312"/>
      <c r="AL561" s="312"/>
      <c r="AM561" s="312"/>
      <c r="AN561" s="312"/>
      <c r="AO561" s="312"/>
      <c r="AP561" s="312"/>
      <c r="AQ561" s="312"/>
      <c r="AR561" s="312"/>
      <c r="AS561" s="312"/>
      <c r="AT561" s="312"/>
      <c r="AU561" s="312"/>
      <c r="AV561" s="312"/>
      <c r="AW561" s="313"/>
      <c r="AX561" s="587">
        <f>'A-CALC'!AU532</f>
        <v>0</v>
      </c>
      <c r="AY561" s="590">
        <f>'A-CALC'!AV532</f>
        <v>0</v>
      </c>
      <c r="AZ561" s="590">
        <f>'A-CALC'!AW532</f>
        <v>0</v>
      </c>
      <c r="BA561" s="593">
        <f t="shared" ref="BA561" si="410">ROUND((40/$Y$7)*AX561,0)</f>
        <v>0</v>
      </c>
    </row>
    <row r="562" spans="1:53" ht="9" customHeight="1">
      <c r="A562" s="583"/>
      <c r="B562" s="585"/>
      <c r="C562" s="314"/>
      <c r="D562" s="315"/>
      <c r="E562" s="315"/>
      <c r="F562" s="315"/>
      <c r="G562" s="315"/>
      <c r="H562" s="315"/>
      <c r="I562" s="315"/>
      <c r="J562" s="315"/>
      <c r="K562" s="315"/>
      <c r="L562" s="315"/>
      <c r="M562" s="315"/>
      <c r="N562" s="315"/>
      <c r="O562" s="315"/>
      <c r="P562" s="315"/>
      <c r="Q562" s="315"/>
      <c r="R562" s="315"/>
      <c r="S562" s="315"/>
      <c r="T562" s="315"/>
      <c r="U562" s="315"/>
      <c r="V562" s="316"/>
      <c r="W562" s="588"/>
      <c r="X562" s="591"/>
      <c r="Y562" s="591"/>
      <c r="Z562" s="594"/>
      <c r="AA562" s="301"/>
      <c r="AB562" s="583"/>
      <c r="AC562" s="585"/>
      <c r="AD562" s="314"/>
      <c r="AE562" s="315"/>
      <c r="AF562" s="315"/>
      <c r="AG562" s="315"/>
      <c r="AH562" s="315"/>
      <c r="AI562" s="315"/>
      <c r="AJ562" s="315"/>
      <c r="AK562" s="315"/>
      <c r="AL562" s="315"/>
      <c r="AM562" s="315"/>
      <c r="AN562" s="315"/>
      <c r="AO562" s="315"/>
      <c r="AP562" s="315"/>
      <c r="AQ562" s="315"/>
      <c r="AR562" s="315"/>
      <c r="AS562" s="315"/>
      <c r="AT562" s="315"/>
      <c r="AU562" s="315"/>
      <c r="AV562" s="315"/>
      <c r="AW562" s="316"/>
      <c r="AX562" s="588"/>
      <c r="AY562" s="591"/>
      <c r="AZ562" s="591"/>
      <c r="BA562" s="594"/>
    </row>
    <row r="563" spans="1:53" ht="9" customHeight="1">
      <c r="A563" s="583"/>
      <c r="B563" s="586"/>
      <c r="C563" s="317"/>
      <c r="D563" s="318"/>
      <c r="E563" s="318"/>
      <c r="F563" s="318"/>
      <c r="G563" s="318"/>
      <c r="H563" s="318"/>
      <c r="I563" s="318"/>
      <c r="J563" s="318"/>
      <c r="K563" s="318"/>
      <c r="L563" s="318"/>
      <c r="M563" s="318"/>
      <c r="N563" s="318"/>
      <c r="O563" s="318"/>
      <c r="P563" s="318"/>
      <c r="Q563" s="318"/>
      <c r="R563" s="318"/>
      <c r="S563" s="318"/>
      <c r="T563" s="318"/>
      <c r="U563" s="318"/>
      <c r="V563" s="319"/>
      <c r="W563" s="589"/>
      <c r="X563" s="592"/>
      <c r="Y563" s="592"/>
      <c r="Z563" s="608"/>
      <c r="AA563" s="301"/>
      <c r="AB563" s="583"/>
      <c r="AC563" s="586"/>
      <c r="AD563" s="317"/>
      <c r="AE563" s="318"/>
      <c r="AF563" s="318"/>
      <c r="AG563" s="318"/>
      <c r="AH563" s="318"/>
      <c r="AI563" s="318"/>
      <c r="AJ563" s="318"/>
      <c r="AK563" s="318"/>
      <c r="AL563" s="318"/>
      <c r="AM563" s="318"/>
      <c r="AN563" s="318"/>
      <c r="AO563" s="318"/>
      <c r="AP563" s="318"/>
      <c r="AQ563" s="318"/>
      <c r="AR563" s="318"/>
      <c r="AS563" s="318"/>
      <c r="AT563" s="318"/>
      <c r="AU563" s="318"/>
      <c r="AV563" s="318"/>
      <c r="AW563" s="319"/>
      <c r="AX563" s="589"/>
      <c r="AY563" s="592"/>
      <c r="AZ563" s="592"/>
      <c r="BA563" s="608"/>
    </row>
    <row r="564" spans="1:53"/>
    <row r="565" spans="1:53" ht="20.100000000000001" customHeight="1">
      <c r="A565" s="296" t="s">
        <v>286</v>
      </c>
      <c r="B565" s="581" t="s">
        <v>284</v>
      </c>
      <c r="C565" s="581"/>
      <c r="D565" s="581"/>
      <c r="E565" s="581"/>
      <c r="F565" s="581"/>
      <c r="G565" s="581"/>
      <c r="H565" s="581"/>
      <c r="I565" s="581"/>
      <c r="J565" s="581"/>
      <c r="K565" s="581"/>
      <c r="L565" s="581"/>
      <c r="M565" s="581"/>
      <c r="N565" s="581"/>
      <c r="O565" s="581"/>
      <c r="P565" s="581"/>
      <c r="Q565" s="581"/>
      <c r="R565" s="581"/>
      <c r="S565" s="581"/>
      <c r="T565" s="581"/>
      <c r="U565" s="581"/>
      <c r="V565" s="581"/>
      <c r="W565" s="581"/>
      <c r="X565" s="581"/>
      <c r="Y565" s="581"/>
      <c r="Z565" s="581"/>
      <c r="AA565" s="297"/>
      <c r="AB565" s="296" t="s">
        <v>286</v>
      </c>
      <c r="AC565" s="581" t="s">
        <v>284</v>
      </c>
      <c r="AD565" s="581"/>
      <c r="AE565" s="581"/>
      <c r="AF565" s="581"/>
      <c r="AG565" s="581"/>
      <c r="AH565" s="581"/>
      <c r="AI565" s="581"/>
      <c r="AJ565" s="581"/>
      <c r="AK565" s="581"/>
      <c r="AL565" s="581"/>
      <c r="AM565" s="581"/>
      <c r="AN565" s="581"/>
      <c r="AO565" s="581"/>
      <c r="AP565" s="581"/>
      <c r="AQ565" s="581"/>
      <c r="AR565" s="581"/>
      <c r="AS565" s="581"/>
      <c r="AT565" s="581"/>
      <c r="AU565" s="581"/>
      <c r="AV565" s="581"/>
      <c r="AW565" s="581"/>
      <c r="AX565" s="581"/>
      <c r="AY565" s="581"/>
      <c r="AZ565" s="581"/>
      <c r="BA565" s="581"/>
    </row>
    <row r="566" spans="1:53" ht="21.75" customHeight="1">
      <c r="A566" s="298"/>
      <c r="B566" s="612" t="s">
        <v>81</v>
      </c>
      <c r="C566" s="612"/>
      <c r="D566" s="612"/>
      <c r="E566" s="612"/>
      <c r="F566" s="612"/>
      <c r="G566" s="612"/>
      <c r="H566" s="612"/>
      <c r="I566" s="612"/>
      <c r="J566" s="612"/>
      <c r="K566" s="612"/>
      <c r="L566" s="612"/>
      <c r="M566" s="612"/>
      <c r="N566" s="612"/>
      <c r="O566" s="612"/>
      <c r="P566" s="612"/>
      <c r="Q566" s="612"/>
      <c r="R566" s="612"/>
      <c r="S566" s="612"/>
      <c r="T566" s="612"/>
      <c r="U566" s="612"/>
      <c r="V566" s="612"/>
      <c r="W566" s="612"/>
      <c r="X566" s="612"/>
      <c r="Y566" s="612"/>
      <c r="Z566" s="612"/>
      <c r="AA566" s="297"/>
      <c r="AB566" s="298"/>
      <c r="AC566" s="612" t="s">
        <v>81</v>
      </c>
      <c r="AD566" s="612"/>
      <c r="AE566" s="612"/>
      <c r="AF566" s="612"/>
      <c r="AG566" s="612"/>
      <c r="AH566" s="612"/>
      <c r="AI566" s="612"/>
      <c r="AJ566" s="612"/>
      <c r="AK566" s="612"/>
      <c r="AL566" s="612"/>
      <c r="AM566" s="612"/>
      <c r="AN566" s="612"/>
      <c r="AO566" s="612"/>
      <c r="AP566" s="612"/>
      <c r="AQ566" s="612"/>
      <c r="AR566" s="612"/>
      <c r="AS566" s="612"/>
      <c r="AT566" s="612"/>
      <c r="AU566" s="612"/>
      <c r="AV566" s="612"/>
      <c r="AW566" s="612"/>
      <c r="AX566" s="612"/>
      <c r="AY566" s="612"/>
      <c r="AZ566" s="612"/>
      <c r="BA566" s="612"/>
    </row>
    <row r="567" spans="1:53" ht="20.25" customHeight="1">
      <c r="A567" s="298"/>
      <c r="B567" s="299" t="str">
        <f>CONCATENATE("ધોરણ - ",SCHOOL!$D$3)</f>
        <v>ધોરણ - 1</v>
      </c>
      <c r="C567" s="577" t="s">
        <v>317</v>
      </c>
      <c r="D567" s="577"/>
      <c r="E567" s="577"/>
      <c r="F567" s="577"/>
      <c r="G567" s="577"/>
      <c r="H567" s="577"/>
      <c r="I567" s="577"/>
      <c r="J567" s="577"/>
      <c r="K567" s="577" t="s">
        <v>288</v>
      </c>
      <c r="L567" s="577"/>
      <c r="M567" s="577"/>
      <c r="N567" s="577"/>
      <c r="O567" s="577"/>
      <c r="P567" s="577"/>
      <c r="Q567" s="577"/>
      <c r="R567" s="577" t="s">
        <v>289</v>
      </c>
      <c r="S567" s="577"/>
      <c r="T567" s="577"/>
      <c r="U567" s="577"/>
      <c r="V567" s="577"/>
      <c r="W567" s="577"/>
      <c r="X567" s="577"/>
      <c r="Y567" s="577">
        <f>COUNTA(C570:V570)</f>
        <v>15</v>
      </c>
      <c r="Z567" s="577"/>
      <c r="AA567" s="300"/>
      <c r="AB567" s="298"/>
      <c r="AC567" s="299" t="str">
        <f>CONCATENATE("ધોરણ - ",SCHOOL!$D$3)</f>
        <v>ધોરણ - 1</v>
      </c>
      <c r="AD567" s="577" t="str">
        <f>C567</f>
        <v xml:space="preserve"> વિષય-અંગ્રેજી </v>
      </c>
      <c r="AE567" s="577"/>
      <c r="AF567" s="577"/>
      <c r="AG567" s="577"/>
      <c r="AH567" s="577"/>
      <c r="AI567" s="577"/>
      <c r="AJ567" s="577"/>
      <c r="AK567" s="577"/>
      <c r="AL567" s="577" t="s">
        <v>290</v>
      </c>
      <c r="AM567" s="577"/>
      <c r="AN567" s="577"/>
      <c r="AO567" s="577"/>
      <c r="AP567" s="577"/>
      <c r="AQ567" s="577"/>
      <c r="AR567" s="577"/>
      <c r="AS567" s="577" t="s">
        <v>289</v>
      </c>
      <c r="AT567" s="577"/>
      <c r="AU567" s="577"/>
      <c r="AV567" s="577"/>
      <c r="AW567" s="577"/>
      <c r="AX567" s="577"/>
      <c r="AY567" s="577"/>
      <c r="AZ567" s="577">
        <f>COUNTA(AD570:AW570)</f>
        <v>15</v>
      </c>
      <c r="BA567" s="577"/>
    </row>
    <row r="568" spans="1:53" ht="18.75" customHeight="1">
      <c r="A568" s="609" t="s">
        <v>291</v>
      </c>
      <c r="B568" s="595" t="s">
        <v>82</v>
      </c>
      <c r="C568" s="596" t="s">
        <v>292</v>
      </c>
      <c r="D568" s="597"/>
      <c r="E568" s="597"/>
      <c r="F568" s="597"/>
      <c r="G568" s="597"/>
      <c r="H568" s="597"/>
      <c r="I568" s="597"/>
      <c r="J568" s="597"/>
      <c r="K568" s="597"/>
      <c r="L568" s="597"/>
      <c r="M568" s="597"/>
      <c r="N568" s="597"/>
      <c r="O568" s="597"/>
      <c r="P568" s="597"/>
      <c r="Q568" s="597"/>
      <c r="R568" s="597"/>
      <c r="S568" s="597"/>
      <c r="T568" s="597"/>
      <c r="U568" s="597"/>
      <c r="V568" s="598"/>
      <c r="W568" s="599" t="s">
        <v>293</v>
      </c>
      <c r="X568" s="600"/>
      <c r="Y568" s="601"/>
      <c r="Z568" s="605" t="s">
        <v>294</v>
      </c>
      <c r="AA568" s="301"/>
      <c r="AB568" s="609" t="s">
        <v>291</v>
      </c>
      <c r="AC568" s="595" t="s">
        <v>82</v>
      </c>
      <c r="AD568" s="596" t="s">
        <v>292</v>
      </c>
      <c r="AE568" s="597"/>
      <c r="AF568" s="597"/>
      <c r="AG568" s="597"/>
      <c r="AH568" s="597"/>
      <c r="AI568" s="597"/>
      <c r="AJ568" s="597"/>
      <c r="AK568" s="597"/>
      <c r="AL568" s="597"/>
      <c r="AM568" s="597"/>
      <c r="AN568" s="597"/>
      <c r="AO568" s="597"/>
      <c r="AP568" s="597"/>
      <c r="AQ568" s="597"/>
      <c r="AR568" s="597"/>
      <c r="AS568" s="597"/>
      <c r="AT568" s="597"/>
      <c r="AU568" s="597"/>
      <c r="AV568" s="597"/>
      <c r="AW568" s="598"/>
      <c r="AX568" s="599" t="s">
        <v>293</v>
      </c>
      <c r="AY568" s="600"/>
      <c r="AZ568" s="601"/>
      <c r="BA568" s="605" t="s">
        <v>294</v>
      </c>
    </row>
    <row r="569" spans="1:53" ht="15" customHeight="1">
      <c r="A569" s="609"/>
      <c r="B569" s="595"/>
      <c r="C569" s="302">
        <v>1</v>
      </c>
      <c r="D569" s="303">
        <v>2</v>
      </c>
      <c r="E569" s="303">
        <v>3</v>
      </c>
      <c r="F569" s="303">
        <v>4</v>
      </c>
      <c r="G569" s="303">
        <v>5</v>
      </c>
      <c r="H569" s="303">
        <v>6</v>
      </c>
      <c r="I569" s="303">
        <v>7</v>
      </c>
      <c r="J569" s="303">
        <v>8</v>
      </c>
      <c r="K569" s="303">
        <v>9</v>
      </c>
      <c r="L569" s="303">
        <v>10</v>
      </c>
      <c r="M569" s="303">
        <v>11</v>
      </c>
      <c r="N569" s="303">
        <v>12</v>
      </c>
      <c r="O569" s="303">
        <v>13</v>
      </c>
      <c r="P569" s="303">
        <v>14</v>
      </c>
      <c r="Q569" s="303">
        <v>15</v>
      </c>
      <c r="R569" s="303">
        <v>16</v>
      </c>
      <c r="S569" s="303">
        <v>17</v>
      </c>
      <c r="T569" s="303">
        <v>18</v>
      </c>
      <c r="U569" s="303">
        <v>19</v>
      </c>
      <c r="V569" s="304">
        <v>20</v>
      </c>
      <c r="W569" s="602"/>
      <c r="X569" s="603"/>
      <c r="Y569" s="604"/>
      <c r="Z569" s="606"/>
      <c r="AA569" s="301"/>
      <c r="AB569" s="609"/>
      <c r="AC569" s="595"/>
      <c r="AD569" s="302">
        <v>1</v>
      </c>
      <c r="AE569" s="303">
        <v>2</v>
      </c>
      <c r="AF569" s="303">
        <v>3</v>
      </c>
      <c r="AG569" s="303">
        <v>4</v>
      </c>
      <c r="AH569" s="303">
        <v>5</v>
      </c>
      <c r="AI569" s="303">
        <v>6</v>
      </c>
      <c r="AJ569" s="303">
        <v>7</v>
      </c>
      <c r="AK569" s="303">
        <v>8</v>
      </c>
      <c r="AL569" s="303">
        <v>9</v>
      </c>
      <c r="AM569" s="303">
        <v>10</v>
      </c>
      <c r="AN569" s="303">
        <v>11</v>
      </c>
      <c r="AO569" s="303">
        <v>12</v>
      </c>
      <c r="AP569" s="303">
        <v>13</v>
      </c>
      <c r="AQ569" s="303">
        <v>14</v>
      </c>
      <c r="AR569" s="303">
        <v>15</v>
      </c>
      <c r="AS569" s="303">
        <v>16</v>
      </c>
      <c r="AT569" s="303">
        <v>17</v>
      </c>
      <c r="AU569" s="303">
        <v>18</v>
      </c>
      <c r="AV569" s="303">
        <v>19</v>
      </c>
      <c r="AW569" s="304">
        <v>20</v>
      </c>
      <c r="AX569" s="602"/>
      <c r="AY569" s="603"/>
      <c r="AZ569" s="604"/>
      <c r="BA569" s="606"/>
    </row>
    <row r="570" spans="1:53" ht="45" customHeight="1">
      <c r="A570" s="609"/>
      <c r="B570" s="595"/>
      <c r="C570" s="305" t="s">
        <v>295</v>
      </c>
      <c r="D570" s="306" t="s">
        <v>296</v>
      </c>
      <c r="E570" s="306" t="s">
        <v>297</v>
      </c>
      <c r="F570" s="306" t="s">
        <v>298</v>
      </c>
      <c r="G570" s="306" t="s">
        <v>299</v>
      </c>
      <c r="H570" s="306" t="s">
        <v>300</v>
      </c>
      <c r="I570" s="306" t="s">
        <v>301</v>
      </c>
      <c r="J570" s="306" t="s">
        <v>302</v>
      </c>
      <c r="K570" s="306" t="s">
        <v>303</v>
      </c>
      <c r="L570" s="306" t="s">
        <v>304</v>
      </c>
      <c r="M570" s="306" t="s">
        <v>305</v>
      </c>
      <c r="N570" s="306" t="s">
        <v>306</v>
      </c>
      <c r="O570" s="306" t="s">
        <v>307</v>
      </c>
      <c r="P570" s="306" t="s">
        <v>308</v>
      </c>
      <c r="Q570" s="306" t="s">
        <v>309</v>
      </c>
      <c r="R570" s="306"/>
      <c r="S570" s="306"/>
      <c r="T570" s="306"/>
      <c r="U570" s="306"/>
      <c r="V570" s="307"/>
      <c r="W570" s="308" t="s">
        <v>310</v>
      </c>
      <c r="X570" s="309" t="s">
        <v>311</v>
      </c>
      <c r="Y570" s="310" t="s">
        <v>312</v>
      </c>
      <c r="Z570" s="607"/>
      <c r="AA570" s="301"/>
      <c r="AB570" s="609"/>
      <c r="AC570" s="595"/>
      <c r="AD570" s="305" t="s">
        <v>295</v>
      </c>
      <c r="AE570" s="306" t="s">
        <v>296</v>
      </c>
      <c r="AF570" s="306" t="s">
        <v>297</v>
      </c>
      <c r="AG570" s="306" t="s">
        <v>298</v>
      </c>
      <c r="AH570" s="306" t="s">
        <v>299</v>
      </c>
      <c r="AI570" s="306" t="s">
        <v>300</v>
      </c>
      <c r="AJ570" s="306" t="s">
        <v>301</v>
      </c>
      <c r="AK570" s="306" t="s">
        <v>302</v>
      </c>
      <c r="AL570" s="306" t="s">
        <v>303</v>
      </c>
      <c r="AM570" s="306" t="s">
        <v>304</v>
      </c>
      <c r="AN570" s="306" t="s">
        <v>305</v>
      </c>
      <c r="AO570" s="306" t="s">
        <v>306</v>
      </c>
      <c r="AP570" s="306" t="s">
        <v>307</v>
      </c>
      <c r="AQ570" s="306" t="s">
        <v>308</v>
      </c>
      <c r="AR570" s="306" t="s">
        <v>309</v>
      </c>
      <c r="AS570" s="306"/>
      <c r="AT570" s="306"/>
      <c r="AU570" s="306"/>
      <c r="AV570" s="306"/>
      <c r="AW570" s="307"/>
      <c r="AX570" s="308" t="s">
        <v>310</v>
      </c>
      <c r="AY570" s="309" t="s">
        <v>311</v>
      </c>
      <c r="AZ570" s="310" t="s">
        <v>312</v>
      </c>
      <c r="BA570" s="607"/>
    </row>
    <row r="571" spans="1:53" ht="9" customHeight="1">
      <c r="A571" s="583">
        <v>1</v>
      </c>
      <c r="B571" s="584" t="str">
        <f>B459</f>
        <v>ગોહેલ રાજેશભાઇ ચીથરભાઇ</v>
      </c>
      <c r="C571" s="311"/>
      <c r="D571" s="312"/>
      <c r="E571" s="312"/>
      <c r="F571" s="312"/>
      <c r="G571" s="312"/>
      <c r="H571" s="312"/>
      <c r="I571" s="312"/>
      <c r="J571" s="312"/>
      <c r="K571" s="312"/>
      <c r="L571" s="312"/>
      <c r="M571" s="312"/>
      <c r="N571" s="312"/>
      <c r="O571" s="312"/>
      <c r="P571" s="312"/>
      <c r="Q571" s="312"/>
      <c r="R571" s="312"/>
      <c r="S571" s="312"/>
      <c r="T571" s="312"/>
      <c r="U571" s="312"/>
      <c r="V571" s="313"/>
      <c r="W571" s="587">
        <f>'A-CALC'!V537</f>
        <v>0</v>
      </c>
      <c r="X571" s="590">
        <f>'A-CALC'!W537</f>
        <v>0</v>
      </c>
      <c r="Y571" s="590">
        <f>'A-CALC'!X537</f>
        <v>0</v>
      </c>
      <c r="Z571" s="593">
        <f>ROUND((40/$Y$7)*W571,0)</f>
        <v>0</v>
      </c>
      <c r="AA571" s="301"/>
      <c r="AB571" s="583">
        <v>1</v>
      </c>
      <c r="AC571" s="584" t="str">
        <f>AC459</f>
        <v>ગોહેલ રાજેશભાઇ ચીથરભાઇ</v>
      </c>
      <c r="AD571" s="311"/>
      <c r="AE571" s="312"/>
      <c r="AF571" s="312"/>
      <c r="AG571" s="312"/>
      <c r="AH571" s="312"/>
      <c r="AI571" s="312"/>
      <c r="AJ571" s="312"/>
      <c r="AK571" s="312"/>
      <c r="AL571" s="312"/>
      <c r="AM571" s="312"/>
      <c r="AN571" s="312"/>
      <c r="AO571" s="312"/>
      <c r="AP571" s="312"/>
      <c r="AQ571" s="312"/>
      <c r="AR571" s="312"/>
      <c r="AS571" s="312"/>
      <c r="AT571" s="312"/>
      <c r="AU571" s="312"/>
      <c r="AV571" s="312"/>
      <c r="AW571" s="313"/>
      <c r="AX571" s="587">
        <f>'A-CALC'!AU537</f>
        <v>0</v>
      </c>
      <c r="AY571" s="590">
        <f>'A-CALC'!AV537</f>
        <v>0</v>
      </c>
      <c r="AZ571" s="590">
        <f>'A-CALC'!AW537</f>
        <v>0</v>
      </c>
      <c r="BA571" s="593">
        <f>ROUND((40/$Y$7)*AX571,0)</f>
        <v>0</v>
      </c>
    </row>
    <row r="572" spans="1:53" ht="9" customHeight="1">
      <c r="A572" s="583"/>
      <c r="B572" s="585"/>
      <c r="C572" s="314"/>
      <c r="D572" s="315"/>
      <c r="E572" s="315"/>
      <c r="F572" s="315"/>
      <c r="G572" s="315"/>
      <c r="H572" s="315"/>
      <c r="I572" s="315"/>
      <c r="J572" s="315"/>
      <c r="K572" s="315"/>
      <c r="L572" s="315"/>
      <c r="M572" s="315"/>
      <c r="N572" s="315"/>
      <c r="O572" s="315"/>
      <c r="P572" s="315"/>
      <c r="Q572" s="315"/>
      <c r="R572" s="315"/>
      <c r="S572" s="315"/>
      <c r="T572" s="315"/>
      <c r="U572" s="315"/>
      <c r="V572" s="316"/>
      <c r="W572" s="588"/>
      <c r="X572" s="591"/>
      <c r="Y572" s="591"/>
      <c r="Z572" s="594"/>
      <c r="AA572" s="301"/>
      <c r="AB572" s="583"/>
      <c r="AC572" s="585"/>
      <c r="AD572" s="314"/>
      <c r="AE572" s="315"/>
      <c r="AF572" s="315"/>
      <c r="AG572" s="315"/>
      <c r="AH572" s="315"/>
      <c r="AI572" s="315"/>
      <c r="AJ572" s="315"/>
      <c r="AK572" s="315"/>
      <c r="AL572" s="315"/>
      <c r="AM572" s="315"/>
      <c r="AN572" s="315"/>
      <c r="AO572" s="315"/>
      <c r="AP572" s="315"/>
      <c r="AQ572" s="315"/>
      <c r="AR572" s="315"/>
      <c r="AS572" s="315"/>
      <c r="AT572" s="315"/>
      <c r="AU572" s="315"/>
      <c r="AV572" s="315"/>
      <c r="AW572" s="316"/>
      <c r="AX572" s="588"/>
      <c r="AY572" s="591"/>
      <c r="AZ572" s="591"/>
      <c r="BA572" s="594"/>
    </row>
    <row r="573" spans="1:53" ht="9" customHeight="1">
      <c r="A573" s="583"/>
      <c r="B573" s="586"/>
      <c r="C573" s="317"/>
      <c r="D573" s="318"/>
      <c r="E573" s="318"/>
      <c r="F573" s="318"/>
      <c r="G573" s="318"/>
      <c r="H573" s="318"/>
      <c r="I573" s="318"/>
      <c r="J573" s="318"/>
      <c r="K573" s="318"/>
      <c r="L573" s="318"/>
      <c r="M573" s="318"/>
      <c r="N573" s="318"/>
      <c r="O573" s="318"/>
      <c r="P573" s="318"/>
      <c r="Q573" s="318"/>
      <c r="R573" s="318"/>
      <c r="S573" s="318"/>
      <c r="T573" s="318"/>
      <c r="U573" s="318"/>
      <c r="V573" s="319"/>
      <c r="W573" s="589"/>
      <c r="X573" s="592"/>
      <c r="Y573" s="592"/>
      <c r="Z573" s="594"/>
      <c r="AA573" s="301"/>
      <c r="AB573" s="583"/>
      <c r="AC573" s="586"/>
      <c r="AD573" s="317"/>
      <c r="AE573" s="318"/>
      <c r="AF573" s="318"/>
      <c r="AG573" s="318"/>
      <c r="AH573" s="318"/>
      <c r="AI573" s="318"/>
      <c r="AJ573" s="318"/>
      <c r="AK573" s="318"/>
      <c r="AL573" s="318"/>
      <c r="AM573" s="318"/>
      <c r="AN573" s="318"/>
      <c r="AO573" s="318"/>
      <c r="AP573" s="318"/>
      <c r="AQ573" s="318"/>
      <c r="AR573" s="318"/>
      <c r="AS573" s="318"/>
      <c r="AT573" s="318"/>
      <c r="AU573" s="318"/>
      <c r="AV573" s="318"/>
      <c r="AW573" s="319"/>
      <c r="AX573" s="589"/>
      <c r="AY573" s="592"/>
      <c r="AZ573" s="592"/>
      <c r="BA573" s="594"/>
    </row>
    <row r="574" spans="1:53" ht="9" customHeight="1">
      <c r="A574" s="583">
        <v>2</v>
      </c>
      <c r="B574" s="584" t="str">
        <f t="shared" ref="B574" si="411">B462</f>
        <v>ખિમસુરીયા સાહિલકુમાર અરજણભાઇ</v>
      </c>
      <c r="C574" s="311"/>
      <c r="D574" s="312"/>
      <c r="E574" s="312"/>
      <c r="F574" s="312"/>
      <c r="G574" s="312"/>
      <c r="H574" s="312"/>
      <c r="I574" s="312"/>
      <c r="J574" s="312"/>
      <c r="K574" s="312"/>
      <c r="L574" s="312"/>
      <c r="M574" s="312"/>
      <c r="N574" s="312"/>
      <c r="O574" s="312"/>
      <c r="P574" s="312"/>
      <c r="Q574" s="312"/>
      <c r="R574" s="312"/>
      <c r="S574" s="312"/>
      <c r="T574" s="312"/>
      <c r="U574" s="312"/>
      <c r="V574" s="313"/>
      <c r="W574" s="587">
        <f>'A-CALC'!V540</f>
        <v>0</v>
      </c>
      <c r="X574" s="590">
        <f>'A-CALC'!W540</f>
        <v>0</v>
      </c>
      <c r="Y574" s="590">
        <f>'A-CALC'!X540</f>
        <v>0</v>
      </c>
      <c r="Z574" s="593">
        <f t="shared" ref="Z574" si="412">ROUND((40/$Y$7)*W574,0)</f>
        <v>0</v>
      </c>
      <c r="AA574" s="301"/>
      <c r="AB574" s="583">
        <v>2</v>
      </c>
      <c r="AC574" s="584" t="str">
        <f t="shared" ref="AC574" si="413">AC462</f>
        <v>ખિમસુરીયા સાહિલકુમાર અરજણભાઇ</v>
      </c>
      <c r="AD574" s="311"/>
      <c r="AE574" s="312"/>
      <c r="AF574" s="312"/>
      <c r="AG574" s="312"/>
      <c r="AH574" s="312"/>
      <c r="AI574" s="312"/>
      <c r="AJ574" s="312"/>
      <c r="AK574" s="312"/>
      <c r="AL574" s="312"/>
      <c r="AM574" s="312"/>
      <c r="AN574" s="312"/>
      <c r="AO574" s="312"/>
      <c r="AP574" s="312"/>
      <c r="AQ574" s="312"/>
      <c r="AR574" s="312"/>
      <c r="AS574" s="312"/>
      <c r="AT574" s="312"/>
      <c r="AU574" s="312"/>
      <c r="AV574" s="312"/>
      <c r="AW574" s="313"/>
      <c r="AX574" s="587">
        <f>'A-CALC'!AU540</f>
        <v>0</v>
      </c>
      <c r="AY574" s="590">
        <f>'A-CALC'!AV540</f>
        <v>0</v>
      </c>
      <c r="AZ574" s="590">
        <f>'A-CALC'!AW540</f>
        <v>0</v>
      </c>
      <c r="BA574" s="593">
        <f t="shared" ref="BA574" si="414">ROUND((40/$Y$7)*AX574,0)</f>
        <v>0</v>
      </c>
    </row>
    <row r="575" spans="1:53" ht="9" customHeight="1">
      <c r="A575" s="583"/>
      <c r="B575" s="585"/>
      <c r="C575" s="314"/>
      <c r="D575" s="315"/>
      <c r="E575" s="315"/>
      <c r="F575" s="315"/>
      <c r="G575" s="315"/>
      <c r="H575" s="315"/>
      <c r="I575" s="315"/>
      <c r="J575" s="315"/>
      <c r="K575" s="315"/>
      <c r="L575" s="315"/>
      <c r="M575" s="315"/>
      <c r="N575" s="315"/>
      <c r="O575" s="315"/>
      <c r="P575" s="315"/>
      <c r="Q575" s="315"/>
      <c r="R575" s="315"/>
      <c r="S575" s="315"/>
      <c r="T575" s="315"/>
      <c r="U575" s="315"/>
      <c r="V575" s="316"/>
      <c r="W575" s="588"/>
      <c r="X575" s="591"/>
      <c r="Y575" s="591"/>
      <c r="Z575" s="594"/>
      <c r="AA575" s="301"/>
      <c r="AB575" s="583"/>
      <c r="AC575" s="585"/>
      <c r="AD575" s="314"/>
      <c r="AE575" s="315"/>
      <c r="AF575" s="315"/>
      <c r="AG575" s="315"/>
      <c r="AH575" s="315"/>
      <c r="AI575" s="315"/>
      <c r="AJ575" s="315"/>
      <c r="AK575" s="315"/>
      <c r="AL575" s="315"/>
      <c r="AM575" s="315"/>
      <c r="AN575" s="315"/>
      <c r="AO575" s="315"/>
      <c r="AP575" s="315"/>
      <c r="AQ575" s="315"/>
      <c r="AR575" s="315"/>
      <c r="AS575" s="315"/>
      <c r="AT575" s="315"/>
      <c r="AU575" s="315"/>
      <c r="AV575" s="315"/>
      <c r="AW575" s="316"/>
      <c r="AX575" s="588"/>
      <c r="AY575" s="591"/>
      <c r="AZ575" s="591"/>
      <c r="BA575" s="594"/>
    </row>
    <row r="576" spans="1:53" ht="9" customHeight="1">
      <c r="A576" s="583"/>
      <c r="B576" s="586"/>
      <c r="C576" s="317"/>
      <c r="D576" s="318"/>
      <c r="E576" s="318"/>
      <c r="F576" s="318"/>
      <c r="G576" s="318"/>
      <c r="H576" s="318"/>
      <c r="I576" s="318"/>
      <c r="J576" s="318"/>
      <c r="K576" s="318"/>
      <c r="L576" s="318"/>
      <c r="M576" s="318"/>
      <c r="N576" s="318"/>
      <c r="O576" s="318"/>
      <c r="P576" s="318"/>
      <c r="Q576" s="318"/>
      <c r="R576" s="318"/>
      <c r="S576" s="318"/>
      <c r="T576" s="318"/>
      <c r="U576" s="318"/>
      <c r="V576" s="319"/>
      <c r="W576" s="589"/>
      <c r="X576" s="592"/>
      <c r="Y576" s="592"/>
      <c r="Z576" s="594"/>
      <c r="AA576" s="301"/>
      <c r="AB576" s="583"/>
      <c r="AC576" s="586"/>
      <c r="AD576" s="317"/>
      <c r="AE576" s="318"/>
      <c r="AF576" s="318"/>
      <c r="AG576" s="318"/>
      <c r="AH576" s="318"/>
      <c r="AI576" s="318"/>
      <c r="AJ576" s="318"/>
      <c r="AK576" s="318"/>
      <c r="AL576" s="318"/>
      <c r="AM576" s="318"/>
      <c r="AN576" s="318"/>
      <c r="AO576" s="318"/>
      <c r="AP576" s="318"/>
      <c r="AQ576" s="318"/>
      <c r="AR576" s="318"/>
      <c r="AS576" s="318"/>
      <c r="AT576" s="318"/>
      <c r="AU576" s="318"/>
      <c r="AV576" s="318"/>
      <c r="AW576" s="319"/>
      <c r="AX576" s="589"/>
      <c r="AY576" s="592"/>
      <c r="AZ576" s="592"/>
      <c r="BA576" s="594"/>
    </row>
    <row r="577" spans="1:53" ht="9" customHeight="1">
      <c r="A577" s="583">
        <v>3</v>
      </c>
      <c r="B577" s="584" t="str">
        <f t="shared" ref="B577" si="415">B465</f>
        <v>ગરણિયા મયુરકુમાર અશોકભાઇ</v>
      </c>
      <c r="C577" s="311"/>
      <c r="D577" s="312"/>
      <c r="E577" s="312"/>
      <c r="F577" s="312"/>
      <c r="G577" s="312"/>
      <c r="H577" s="312"/>
      <c r="I577" s="312"/>
      <c r="J577" s="312"/>
      <c r="K577" s="312"/>
      <c r="L577" s="312"/>
      <c r="M577" s="312"/>
      <c r="N577" s="312"/>
      <c r="O577" s="312"/>
      <c r="P577" s="312"/>
      <c r="Q577" s="312"/>
      <c r="R577" s="312"/>
      <c r="S577" s="312"/>
      <c r="T577" s="312"/>
      <c r="U577" s="312"/>
      <c r="V577" s="313"/>
      <c r="W577" s="587">
        <f>'A-CALC'!V543</f>
        <v>0</v>
      </c>
      <c r="X577" s="590">
        <f>'A-CALC'!W543</f>
        <v>0</v>
      </c>
      <c r="Y577" s="590">
        <f>'A-CALC'!X543</f>
        <v>0</v>
      </c>
      <c r="Z577" s="593">
        <f t="shared" ref="Z577" si="416">ROUND((40/$Y$7)*W577,0)</f>
        <v>0</v>
      </c>
      <c r="AA577" s="301"/>
      <c r="AB577" s="583">
        <v>3</v>
      </c>
      <c r="AC577" s="584" t="str">
        <f t="shared" ref="AC577" si="417">AC465</f>
        <v>ગરણિયા મયુરકુમાર અશોકભાઇ</v>
      </c>
      <c r="AD577" s="311"/>
      <c r="AE577" s="312"/>
      <c r="AF577" s="312"/>
      <c r="AG577" s="312"/>
      <c r="AH577" s="312"/>
      <c r="AI577" s="312"/>
      <c r="AJ577" s="312"/>
      <c r="AK577" s="312"/>
      <c r="AL577" s="312"/>
      <c r="AM577" s="312"/>
      <c r="AN577" s="312"/>
      <c r="AO577" s="312"/>
      <c r="AP577" s="312"/>
      <c r="AQ577" s="312"/>
      <c r="AR577" s="312"/>
      <c r="AS577" s="312"/>
      <c r="AT577" s="312"/>
      <c r="AU577" s="312"/>
      <c r="AV577" s="312"/>
      <c r="AW577" s="313"/>
      <c r="AX577" s="587">
        <f>'A-CALC'!AU543</f>
        <v>0</v>
      </c>
      <c r="AY577" s="590">
        <f>'A-CALC'!AV543</f>
        <v>0</v>
      </c>
      <c r="AZ577" s="590">
        <f>'A-CALC'!AW543</f>
        <v>0</v>
      </c>
      <c r="BA577" s="593">
        <f t="shared" ref="BA577" si="418">ROUND((40/$Y$7)*AX577,0)</f>
        <v>0</v>
      </c>
    </row>
    <row r="578" spans="1:53" ht="9" customHeight="1">
      <c r="A578" s="583"/>
      <c r="B578" s="585"/>
      <c r="C578" s="314"/>
      <c r="D578" s="315"/>
      <c r="E578" s="315"/>
      <c r="F578" s="315"/>
      <c r="G578" s="315"/>
      <c r="H578" s="315"/>
      <c r="I578" s="315"/>
      <c r="J578" s="315"/>
      <c r="K578" s="315"/>
      <c r="L578" s="315"/>
      <c r="M578" s="315"/>
      <c r="N578" s="315"/>
      <c r="O578" s="315"/>
      <c r="P578" s="315"/>
      <c r="Q578" s="315"/>
      <c r="R578" s="315"/>
      <c r="S578" s="315"/>
      <c r="T578" s="315"/>
      <c r="U578" s="315"/>
      <c r="V578" s="316"/>
      <c r="W578" s="588"/>
      <c r="X578" s="591"/>
      <c r="Y578" s="591"/>
      <c r="Z578" s="594"/>
      <c r="AA578" s="301"/>
      <c r="AB578" s="583"/>
      <c r="AC578" s="585"/>
      <c r="AD578" s="314"/>
      <c r="AE578" s="315"/>
      <c r="AF578" s="315"/>
      <c r="AG578" s="315"/>
      <c r="AH578" s="315"/>
      <c r="AI578" s="315"/>
      <c r="AJ578" s="315"/>
      <c r="AK578" s="315"/>
      <c r="AL578" s="315"/>
      <c r="AM578" s="315"/>
      <c r="AN578" s="315"/>
      <c r="AO578" s="315"/>
      <c r="AP578" s="315"/>
      <c r="AQ578" s="315"/>
      <c r="AR578" s="315"/>
      <c r="AS578" s="315"/>
      <c r="AT578" s="315"/>
      <c r="AU578" s="315"/>
      <c r="AV578" s="315"/>
      <c r="AW578" s="316"/>
      <c r="AX578" s="588"/>
      <c r="AY578" s="591"/>
      <c r="AZ578" s="591"/>
      <c r="BA578" s="594"/>
    </row>
    <row r="579" spans="1:53" ht="9" customHeight="1">
      <c r="A579" s="583"/>
      <c r="B579" s="586"/>
      <c r="C579" s="317"/>
      <c r="D579" s="318"/>
      <c r="E579" s="318"/>
      <c r="F579" s="318"/>
      <c r="G579" s="318"/>
      <c r="H579" s="318"/>
      <c r="I579" s="318"/>
      <c r="J579" s="318"/>
      <c r="K579" s="318"/>
      <c r="L579" s="318"/>
      <c r="M579" s="318"/>
      <c r="N579" s="318"/>
      <c r="O579" s="318"/>
      <c r="P579" s="318"/>
      <c r="Q579" s="318"/>
      <c r="R579" s="318"/>
      <c r="S579" s="318"/>
      <c r="T579" s="318"/>
      <c r="U579" s="318"/>
      <c r="V579" s="319"/>
      <c r="W579" s="589"/>
      <c r="X579" s="592"/>
      <c r="Y579" s="592"/>
      <c r="Z579" s="594"/>
      <c r="AA579" s="301"/>
      <c r="AB579" s="583"/>
      <c r="AC579" s="586"/>
      <c r="AD579" s="317"/>
      <c r="AE579" s="318"/>
      <c r="AF579" s="318"/>
      <c r="AG579" s="318"/>
      <c r="AH579" s="318"/>
      <c r="AI579" s="318"/>
      <c r="AJ579" s="318"/>
      <c r="AK579" s="318"/>
      <c r="AL579" s="318"/>
      <c r="AM579" s="318"/>
      <c r="AN579" s="318"/>
      <c r="AO579" s="318"/>
      <c r="AP579" s="318"/>
      <c r="AQ579" s="318"/>
      <c r="AR579" s="318"/>
      <c r="AS579" s="318"/>
      <c r="AT579" s="318"/>
      <c r="AU579" s="318"/>
      <c r="AV579" s="318"/>
      <c r="AW579" s="319"/>
      <c r="AX579" s="589"/>
      <c r="AY579" s="592"/>
      <c r="AZ579" s="592"/>
      <c r="BA579" s="594"/>
    </row>
    <row r="580" spans="1:53" ht="9" customHeight="1">
      <c r="A580" s="583">
        <v>4</v>
      </c>
      <c r="B580" s="584" t="str">
        <f t="shared" ref="B580" si="419">B468</f>
        <v>ગરણિયા અલ્પેશકુમાર મેરામભાઇ</v>
      </c>
      <c r="C580" s="311"/>
      <c r="D580" s="312"/>
      <c r="E580" s="312"/>
      <c r="F580" s="312"/>
      <c r="G580" s="312"/>
      <c r="H580" s="312"/>
      <c r="I580" s="312"/>
      <c r="J580" s="312"/>
      <c r="K580" s="312"/>
      <c r="L580" s="312"/>
      <c r="M580" s="312"/>
      <c r="N580" s="312"/>
      <c r="O580" s="312"/>
      <c r="P580" s="312"/>
      <c r="Q580" s="312"/>
      <c r="R580" s="312"/>
      <c r="S580" s="312"/>
      <c r="T580" s="312"/>
      <c r="U580" s="312"/>
      <c r="V580" s="313"/>
      <c r="W580" s="587">
        <f>'A-CALC'!V546</f>
        <v>0</v>
      </c>
      <c r="X580" s="590">
        <f>'A-CALC'!W546</f>
        <v>0</v>
      </c>
      <c r="Y580" s="590">
        <f>'A-CALC'!X546</f>
        <v>0</v>
      </c>
      <c r="Z580" s="593">
        <f t="shared" ref="Z580" si="420">ROUND((40/$Y$7)*W580,0)</f>
        <v>0</v>
      </c>
      <c r="AA580" s="301"/>
      <c r="AB580" s="583">
        <v>4</v>
      </c>
      <c r="AC580" s="584" t="str">
        <f t="shared" ref="AC580" si="421">AC468</f>
        <v>ગરણિયા અલ્પેશકુમાર મેરામભાઇ</v>
      </c>
      <c r="AD580" s="311"/>
      <c r="AE580" s="312"/>
      <c r="AF580" s="312"/>
      <c r="AG580" s="312"/>
      <c r="AH580" s="312"/>
      <c r="AI580" s="312"/>
      <c r="AJ580" s="312"/>
      <c r="AK580" s="312"/>
      <c r="AL580" s="312"/>
      <c r="AM580" s="312"/>
      <c r="AN580" s="312"/>
      <c r="AO580" s="312"/>
      <c r="AP580" s="312"/>
      <c r="AQ580" s="312"/>
      <c r="AR580" s="312"/>
      <c r="AS580" s="312"/>
      <c r="AT580" s="312"/>
      <c r="AU580" s="312"/>
      <c r="AV580" s="312"/>
      <c r="AW580" s="313"/>
      <c r="AX580" s="587">
        <f>'A-CALC'!AU546</f>
        <v>0</v>
      </c>
      <c r="AY580" s="590">
        <f>'A-CALC'!AV546</f>
        <v>0</v>
      </c>
      <c r="AZ580" s="590">
        <f>'A-CALC'!AW546</f>
        <v>0</v>
      </c>
      <c r="BA580" s="593">
        <f t="shared" ref="BA580" si="422">ROUND((40/$Y$7)*AX580,0)</f>
        <v>0</v>
      </c>
    </row>
    <row r="581" spans="1:53" ht="9" customHeight="1">
      <c r="A581" s="583"/>
      <c r="B581" s="585"/>
      <c r="C581" s="314"/>
      <c r="D581" s="315"/>
      <c r="E581" s="315"/>
      <c r="F581" s="315"/>
      <c r="G581" s="315"/>
      <c r="H581" s="315"/>
      <c r="I581" s="315"/>
      <c r="J581" s="315"/>
      <c r="K581" s="315"/>
      <c r="L581" s="315"/>
      <c r="M581" s="315"/>
      <c r="N581" s="315"/>
      <c r="O581" s="315"/>
      <c r="P581" s="315"/>
      <c r="Q581" s="315"/>
      <c r="R581" s="315"/>
      <c r="S581" s="315"/>
      <c r="T581" s="315"/>
      <c r="U581" s="315"/>
      <c r="V581" s="316"/>
      <c r="W581" s="588"/>
      <c r="X581" s="591"/>
      <c r="Y581" s="591"/>
      <c r="Z581" s="594"/>
      <c r="AA581" s="301"/>
      <c r="AB581" s="583"/>
      <c r="AC581" s="585"/>
      <c r="AD581" s="314"/>
      <c r="AE581" s="315"/>
      <c r="AF581" s="315"/>
      <c r="AG581" s="315"/>
      <c r="AH581" s="315"/>
      <c r="AI581" s="315"/>
      <c r="AJ581" s="315"/>
      <c r="AK581" s="315"/>
      <c r="AL581" s="315"/>
      <c r="AM581" s="315"/>
      <c r="AN581" s="315"/>
      <c r="AO581" s="315"/>
      <c r="AP581" s="315"/>
      <c r="AQ581" s="315"/>
      <c r="AR581" s="315"/>
      <c r="AS581" s="315"/>
      <c r="AT581" s="315"/>
      <c r="AU581" s="315"/>
      <c r="AV581" s="315"/>
      <c r="AW581" s="316"/>
      <c r="AX581" s="588"/>
      <c r="AY581" s="591"/>
      <c r="AZ581" s="591"/>
      <c r="BA581" s="594"/>
    </row>
    <row r="582" spans="1:53" ht="9" customHeight="1">
      <c r="A582" s="583"/>
      <c r="B582" s="586"/>
      <c r="C582" s="317"/>
      <c r="D582" s="318"/>
      <c r="E582" s="318"/>
      <c r="F582" s="318"/>
      <c r="G582" s="318"/>
      <c r="H582" s="318"/>
      <c r="I582" s="318"/>
      <c r="J582" s="318"/>
      <c r="K582" s="318"/>
      <c r="L582" s="318"/>
      <c r="M582" s="318"/>
      <c r="N582" s="318"/>
      <c r="O582" s="318"/>
      <c r="P582" s="318"/>
      <c r="Q582" s="318"/>
      <c r="R582" s="318"/>
      <c r="S582" s="318"/>
      <c r="T582" s="318"/>
      <c r="U582" s="318"/>
      <c r="V582" s="319"/>
      <c r="W582" s="589"/>
      <c r="X582" s="592"/>
      <c r="Y582" s="592"/>
      <c r="Z582" s="594"/>
      <c r="AA582" s="301"/>
      <c r="AB582" s="583"/>
      <c r="AC582" s="586"/>
      <c r="AD582" s="317"/>
      <c r="AE582" s="318"/>
      <c r="AF582" s="318"/>
      <c r="AG582" s="318"/>
      <c r="AH582" s="318"/>
      <c r="AI582" s="318"/>
      <c r="AJ582" s="318"/>
      <c r="AK582" s="318"/>
      <c r="AL582" s="318"/>
      <c r="AM582" s="318"/>
      <c r="AN582" s="318"/>
      <c r="AO582" s="318"/>
      <c r="AP582" s="318"/>
      <c r="AQ582" s="318"/>
      <c r="AR582" s="318"/>
      <c r="AS582" s="318"/>
      <c r="AT582" s="318"/>
      <c r="AU582" s="318"/>
      <c r="AV582" s="318"/>
      <c r="AW582" s="319"/>
      <c r="AX582" s="589"/>
      <c r="AY582" s="592"/>
      <c r="AZ582" s="592"/>
      <c r="BA582" s="594"/>
    </row>
    <row r="583" spans="1:53" ht="9" customHeight="1">
      <c r="A583" s="583">
        <v>5</v>
      </c>
      <c r="B583" s="584" t="str">
        <f t="shared" ref="B583" si="423">B471</f>
        <v>ગરણિયા મિલન પોપટભાઇ</v>
      </c>
      <c r="C583" s="311"/>
      <c r="D583" s="312"/>
      <c r="E583" s="312"/>
      <c r="F583" s="312"/>
      <c r="G583" s="312"/>
      <c r="H583" s="312"/>
      <c r="I583" s="312"/>
      <c r="J583" s="312"/>
      <c r="K583" s="312"/>
      <c r="L583" s="312"/>
      <c r="M583" s="312"/>
      <c r="N583" s="312"/>
      <c r="O583" s="312"/>
      <c r="P583" s="312"/>
      <c r="Q583" s="312"/>
      <c r="R583" s="312"/>
      <c r="S583" s="312"/>
      <c r="T583" s="312"/>
      <c r="U583" s="312"/>
      <c r="V583" s="313"/>
      <c r="W583" s="587">
        <f>'A-CALC'!V549</f>
        <v>0</v>
      </c>
      <c r="X583" s="590">
        <f>'A-CALC'!W549</f>
        <v>0</v>
      </c>
      <c r="Y583" s="590">
        <f>'A-CALC'!X549</f>
        <v>0</v>
      </c>
      <c r="Z583" s="593">
        <f t="shared" ref="Z583" si="424">ROUND((40/$Y$7)*W583,0)</f>
        <v>0</v>
      </c>
      <c r="AA583" s="301"/>
      <c r="AB583" s="583">
        <v>5</v>
      </c>
      <c r="AC583" s="584" t="str">
        <f t="shared" ref="AC583" si="425">AC471</f>
        <v>ગરણિયા મિલન પોપટભાઇ</v>
      </c>
      <c r="AD583" s="311"/>
      <c r="AE583" s="312"/>
      <c r="AF583" s="312"/>
      <c r="AG583" s="312"/>
      <c r="AH583" s="312"/>
      <c r="AI583" s="312"/>
      <c r="AJ583" s="312"/>
      <c r="AK583" s="312"/>
      <c r="AL583" s="312"/>
      <c r="AM583" s="312"/>
      <c r="AN583" s="312"/>
      <c r="AO583" s="312"/>
      <c r="AP583" s="312"/>
      <c r="AQ583" s="312"/>
      <c r="AR583" s="312"/>
      <c r="AS583" s="312"/>
      <c r="AT583" s="312"/>
      <c r="AU583" s="312"/>
      <c r="AV583" s="312"/>
      <c r="AW583" s="313"/>
      <c r="AX583" s="587">
        <f>'A-CALC'!AU549</f>
        <v>0</v>
      </c>
      <c r="AY583" s="590">
        <f>'A-CALC'!AV549</f>
        <v>0</v>
      </c>
      <c r="AZ583" s="590">
        <f>'A-CALC'!AW549</f>
        <v>0</v>
      </c>
      <c r="BA583" s="593">
        <f t="shared" ref="BA583" si="426">ROUND((40/$Y$7)*AX583,0)</f>
        <v>0</v>
      </c>
    </row>
    <row r="584" spans="1:53" ht="9" customHeight="1">
      <c r="A584" s="583"/>
      <c r="B584" s="585"/>
      <c r="C584" s="314"/>
      <c r="D584" s="315"/>
      <c r="E584" s="315"/>
      <c r="F584" s="315"/>
      <c r="G584" s="315"/>
      <c r="H584" s="315"/>
      <c r="I584" s="315"/>
      <c r="J584" s="315"/>
      <c r="K584" s="315"/>
      <c r="L584" s="315"/>
      <c r="M584" s="315"/>
      <c r="N584" s="315"/>
      <c r="O584" s="315"/>
      <c r="P584" s="315"/>
      <c r="Q584" s="315"/>
      <c r="R584" s="315"/>
      <c r="S584" s="315"/>
      <c r="T584" s="315"/>
      <c r="U584" s="315"/>
      <c r="V584" s="316"/>
      <c r="W584" s="588"/>
      <c r="X584" s="591"/>
      <c r="Y584" s="591"/>
      <c r="Z584" s="594"/>
      <c r="AA584" s="301"/>
      <c r="AB584" s="583"/>
      <c r="AC584" s="585"/>
      <c r="AD584" s="314"/>
      <c r="AE584" s="315"/>
      <c r="AF584" s="315"/>
      <c r="AG584" s="315"/>
      <c r="AH584" s="315"/>
      <c r="AI584" s="315"/>
      <c r="AJ584" s="315"/>
      <c r="AK584" s="315"/>
      <c r="AL584" s="315"/>
      <c r="AM584" s="315"/>
      <c r="AN584" s="315"/>
      <c r="AO584" s="315"/>
      <c r="AP584" s="315"/>
      <c r="AQ584" s="315"/>
      <c r="AR584" s="315"/>
      <c r="AS584" s="315"/>
      <c r="AT584" s="315"/>
      <c r="AU584" s="315"/>
      <c r="AV584" s="315"/>
      <c r="AW584" s="316"/>
      <c r="AX584" s="588"/>
      <c r="AY584" s="591"/>
      <c r="AZ584" s="591"/>
      <c r="BA584" s="594"/>
    </row>
    <row r="585" spans="1:53" ht="9" customHeight="1">
      <c r="A585" s="583"/>
      <c r="B585" s="586"/>
      <c r="C585" s="317"/>
      <c r="D585" s="318"/>
      <c r="E585" s="318"/>
      <c r="F585" s="318"/>
      <c r="G585" s="318"/>
      <c r="H585" s="318"/>
      <c r="I585" s="318"/>
      <c r="J585" s="318"/>
      <c r="K585" s="318"/>
      <c r="L585" s="318"/>
      <c r="M585" s="318"/>
      <c r="N585" s="318"/>
      <c r="O585" s="318"/>
      <c r="P585" s="318"/>
      <c r="Q585" s="318"/>
      <c r="R585" s="318"/>
      <c r="S585" s="318"/>
      <c r="T585" s="318"/>
      <c r="U585" s="318"/>
      <c r="V585" s="319"/>
      <c r="W585" s="589"/>
      <c r="X585" s="592"/>
      <c r="Y585" s="592"/>
      <c r="Z585" s="594"/>
      <c r="AA585" s="301"/>
      <c r="AB585" s="583"/>
      <c r="AC585" s="586"/>
      <c r="AD585" s="317"/>
      <c r="AE585" s="318"/>
      <c r="AF585" s="318"/>
      <c r="AG585" s="318"/>
      <c r="AH585" s="318"/>
      <c r="AI585" s="318"/>
      <c r="AJ585" s="318"/>
      <c r="AK585" s="318"/>
      <c r="AL585" s="318"/>
      <c r="AM585" s="318"/>
      <c r="AN585" s="318"/>
      <c r="AO585" s="318"/>
      <c r="AP585" s="318"/>
      <c r="AQ585" s="318"/>
      <c r="AR585" s="318"/>
      <c r="AS585" s="318"/>
      <c r="AT585" s="318"/>
      <c r="AU585" s="318"/>
      <c r="AV585" s="318"/>
      <c r="AW585" s="319"/>
      <c r="AX585" s="589"/>
      <c r="AY585" s="592"/>
      <c r="AZ585" s="592"/>
      <c r="BA585" s="594"/>
    </row>
    <row r="586" spans="1:53" ht="9" customHeight="1">
      <c r="A586" s="583">
        <v>6</v>
      </c>
      <c r="B586" s="584" t="str">
        <f t="shared" ref="B586" si="427">B474</f>
        <v>ગરણિયા મોહિત રાવતભાઇ</v>
      </c>
      <c r="C586" s="311"/>
      <c r="D586" s="312"/>
      <c r="E586" s="312"/>
      <c r="F586" s="312"/>
      <c r="G586" s="312"/>
      <c r="H586" s="312"/>
      <c r="I586" s="312"/>
      <c r="J586" s="312"/>
      <c r="K586" s="312"/>
      <c r="L586" s="312"/>
      <c r="M586" s="312"/>
      <c r="N586" s="312"/>
      <c r="O586" s="312"/>
      <c r="P586" s="312"/>
      <c r="Q586" s="312"/>
      <c r="R586" s="312"/>
      <c r="S586" s="312"/>
      <c r="T586" s="312"/>
      <c r="U586" s="312"/>
      <c r="V586" s="313"/>
      <c r="W586" s="587">
        <f>'A-CALC'!V552</f>
        <v>0</v>
      </c>
      <c r="X586" s="590">
        <f>'A-CALC'!W552</f>
        <v>0</v>
      </c>
      <c r="Y586" s="590">
        <f>'A-CALC'!X552</f>
        <v>0</v>
      </c>
      <c r="Z586" s="593">
        <f t="shared" ref="Z586" si="428">ROUND((40/$Y$7)*W586,0)</f>
        <v>0</v>
      </c>
      <c r="AA586" s="301"/>
      <c r="AB586" s="583">
        <v>6</v>
      </c>
      <c r="AC586" s="584" t="str">
        <f t="shared" ref="AC586" si="429">AC474</f>
        <v>ગરણિયા મોહિત રાવતભાઇ</v>
      </c>
      <c r="AD586" s="311"/>
      <c r="AE586" s="312"/>
      <c r="AF586" s="312"/>
      <c r="AG586" s="312"/>
      <c r="AH586" s="312"/>
      <c r="AI586" s="312"/>
      <c r="AJ586" s="312"/>
      <c r="AK586" s="312"/>
      <c r="AL586" s="312"/>
      <c r="AM586" s="312"/>
      <c r="AN586" s="312"/>
      <c r="AO586" s="312"/>
      <c r="AP586" s="312"/>
      <c r="AQ586" s="312"/>
      <c r="AR586" s="312"/>
      <c r="AS586" s="312"/>
      <c r="AT586" s="312"/>
      <c r="AU586" s="312"/>
      <c r="AV586" s="312"/>
      <c r="AW586" s="313"/>
      <c r="AX586" s="587">
        <f>'A-CALC'!AU552</f>
        <v>0</v>
      </c>
      <c r="AY586" s="590">
        <f>'A-CALC'!AV552</f>
        <v>0</v>
      </c>
      <c r="AZ586" s="590">
        <f>'A-CALC'!AW552</f>
        <v>0</v>
      </c>
      <c r="BA586" s="593">
        <f t="shared" ref="BA586" si="430">ROUND((40/$Y$7)*AX586,0)</f>
        <v>0</v>
      </c>
    </row>
    <row r="587" spans="1:53" ht="9" customHeight="1">
      <c r="A587" s="583"/>
      <c r="B587" s="585"/>
      <c r="C587" s="314"/>
      <c r="D587" s="315"/>
      <c r="E587" s="315"/>
      <c r="F587" s="315"/>
      <c r="G587" s="315"/>
      <c r="H587" s="315"/>
      <c r="I587" s="315"/>
      <c r="J587" s="315"/>
      <c r="K587" s="315"/>
      <c r="L587" s="315"/>
      <c r="M587" s="315"/>
      <c r="N587" s="315"/>
      <c r="O587" s="315"/>
      <c r="P587" s="315"/>
      <c r="Q587" s="315"/>
      <c r="R587" s="315"/>
      <c r="S587" s="315"/>
      <c r="T587" s="315"/>
      <c r="U587" s="315"/>
      <c r="V587" s="316"/>
      <c r="W587" s="588"/>
      <c r="X587" s="591"/>
      <c r="Y587" s="591"/>
      <c r="Z587" s="594"/>
      <c r="AA587" s="301"/>
      <c r="AB587" s="583"/>
      <c r="AC587" s="585"/>
      <c r="AD587" s="314"/>
      <c r="AE587" s="315"/>
      <c r="AF587" s="315"/>
      <c r="AG587" s="315"/>
      <c r="AH587" s="315"/>
      <c r="AI587" s="315"/>
      <c r="AJ587" s="315"/>
      <c r="AK587" s="315"/>
      <c r="AL587" s="315"/>
      <c r="AM587" s="315"/>
      <c r="AN587" s="315"/>
      <c r="AO587" s="315"/>
      <c r="AP587" s="315"/>
      <c r="AQ587" s="315"/>
      <c r="AR587" s="315"/>
      <c r="AS587" s="315"/>
      <c r="AT587" s="315"/>
      <c r="AU587" s="315"/>
      <c r="AV587" s="315"/>
      <c r="AW587" s="316"/>
      <c r="AX587" s="588"/>
      <c r="AY587" s="591"/>
      <c r="AZ587" s="591"/>
      <c r="BA587" s="594"/>
    </row>
    <row r="588" spans="1:53" ht="9" customHeight="1">
      <c r="A588" s="583"/>
      <c r="B588" s="586"/>
      <c r="C588" s="317"/>
      <c r="D588" s="318"/>
      <c r="E588" s="318"/>
      <c r="F588" s="318"/>
      <c r="G588" s="318"/>
      <c r="H588" s="318"/>
      <c r="I588" s="318"/>
      <c r="J588" s="318"/>
      <c r="K588" s="318"/>
      <c r="L588" s="318"/>
      <c r="M588" s="318"/>
      <c r="N588" s="318"/>
      <c r="O588" s="318"/>
      <c r="P588" s="318"/>
      <c r="Q588" s="318"/>
      <c r="R588" s="318"/>
      <c r="S588" s="318"/>
      <c r="T588" s="318"/>
      <c r="U588" s="318"/>
      <c r="V588" s="319"/>
      <c r="W588" s="589"/>
      <c r="X588" s="592"/>
      <c r="Y588" s="592"/>
      <c r="Z588" s="594"/>
      <c r="AA588" s="301"/>
      <c r="AB588" s="583"/>
      <c r="AC588" s="586"/>
      <c r="AD588" s="317"/>
      <c r="AE588" s="318"/>
      <c r="AF588" s="318"/>
      <c r="AG588" s="318"/>
      <c r="AH588" s="318"/>
      <c r="AI588" s="318"/>
      <c r="AJ588" s="318"/>
      <c r="AK588" s="318"/>
      <c r="AL588" s="318"/>
      <c r="AM588" s="318"/>
      <c r="AN588" s="318"/>
      <c r="AO588" s="318"/>
      <c r="AP588" s="318"/>
      <c r="AQ588" s="318"/>
      <c r="AR588" s="318"/>
      <c r="AS588" s="318"/>
      <c r="AT588" s="318"/>
      <c r="AU588" s="318"/>
      <c r="AV588" s="318"/>
      <c r="AW588" s="319"/>
      <c r="AX588" s="589"/>
      <c r="AY588" s="592"/>
      <c r="AZ588" s="592"/>
      <c r="BA588" s="594"/>
    </row>
    <row r="589" spans="1:53" ht="9" customHeight="1">
      <c r="A589" s="583">
        <v>7</v>
      </c>
      <c r="B589" s="584" t="str">
        <f t="shared" ref="B589" si="431">B477</f>
        <v>ગરણિયા સુમિત પોપટભાઇ</v>
      </c>
      <c r="C589" s="311"/>
      <c r="D589" s="312"/>
      <c r="E589" s="312"/>
      <c r="F589" s="312"/>
      <c r="G589" s="312"/>
      <c r="H589" s="312"/>
      <c r="I589" s="312"/>
      <c r="J589" s="312"/>
      <c r="K589" s="312"/>
      <c r="L589" s="312"/>
      <c r="M589" s="312"/>
      <c r="N589" s="312"/>
      <c r="O589" s="312"/>
      <c r="P589" s="312"/>
      <c r="Q589" s="312"/>
      <c r="R589" s="312"/>
      <c r="S589" s="312"/>
      <c r="T589" s="312"/>
      <c r="U589" s="312"/>
      <c r="V589" s="313"/>
      <c r="W589" s="587">
        <f>'A-CALC'!V555</f>
        <v>0</v>
      </c>
      <c r="X589" s="590">
        <f>'A-CALC'!W555</f>
        <v>0</v>
      </c>
      <c r="Y589" s="590">
        <f>'A-CALC'!X555</f>
        <v>0</v>
      </c>
      <c r="Z589" s="593">
        <f t="shared" ref="Z589" si="432">ROUND((40/$Y$7)*W589,0)</f>
        <v>0</v>
      </c>
      <c r="AA589" s="301"/>
      <c r="AB589" s="583">
        <v>7</v>
      </c>
      <c r="AC589" s="584" t="str">
        <f t="shared" ref="AC589" si="433">AC477</f>
        <v>ગરણિયા સુમિત પોપટભાઇ</v>
      </c>
      <c r="AD589" s="311"/>
      <c r="AE589" s="312"/>
      <c r="AF589" s="312"/>
      <c r="AG589" s="312"/>
      <c r="AH589" s="312"/>
      <c r="AI589" s="312"/>
      <c r="AJ589" s="312"/>
      <c r="AK589" s="312"/>
      <c r="AL589" s="312"/>
      <c r="AM589" s="312"/>
      <c r="AN589" s="312"/>
      <c r="AO589" s="312"/>
      <c r="AP589" s="312"/>
      <c r="AQ589" s="312"/>
      <c r="AR589" s="312"/>
      <c r="AS589" s="312"/>
      <c r="AT589" s="312"/>
      <c r="AU589" s="312"/>
      <c r="AV589" s="312"/>
      <c r="AW589" s="313"/>
      <c r="AX589" s="587">
        <f>'A-CALC'!AU555</f>
        <v>0</v>
      </c>
      <c r="AY589" s="590">
        <f>'A-CALC'!AV555</f>
        <v>0</v>
      </c>
      <c r="AZ589" s="590">
        <f>'A-CALC'!AW555</f>
        <v>0</v>
      </c>
      <c r="BA589" s="593">
        <f t="shared" ref="BA589" si="434">ROUND((40/$Y$7)*AX589,0)</f>
        <v>0</v>
      </c>
    </row>
    <row r="590" spans="1:53" ht="9" customHeight="1">
      <c r="A590" s="583"/>
      <c r="B590" s="585"/>
      <c r="C590" s="314"/>
      <c r="D590" s="315"/>
      <c r="E590" s="315"/>
      <c r="F590" s="315"/>
      <c r="G590" s="315"/>
      <c r="H590" s="315"/>
      <c r="I590" s="315"/>
      <c r="J590" s="315"/>
      <c r="K590" s="315"/>
      <c r="L590" s="315"/>
      <c r="M590" s="315"/>
      <c r="N590" s="315"/>
      <c r="O590" s="315"/>
      <c r="P590" s="315"/>
      <c r="Q590" s="315"/>
      <c r="R590" s="315"/>
      <c r="S590" s="315"/>
      <c r="T590" s="315"/>
      <c r="U590" s="315"/>
      <c r="V590" s="316"/>
      <c r="W590" s="588"/>
      <c r="X590" s="591"/>
      <c r="Y590" s="591"/>
      <c r="Z590" s="594"/>
      <c r="AA590" s="301"/>
      <c r="AB590" s="583"/>
      <c r="AC590" s="585"/>
      <c r="AD590" s="314"/>
      <c r="AE590" s="315"/>
      <c r="AF590" s="315"/>
      <c r="AG590" s="315"/>
      <c r="AH590" s="315"/>
      <c r="AI590" s="315"/>
      <c r="AJ590" s="315"/>
      <c r="AK590" s="315"/>
      <c r="AL590" s="315"/>
      <c r="AM590" s="315"/>
      <c r="AN590" s="315"/>
      <c r="AO590" s="315"/>
      <c r="AP590" s="315"/>
      <c r="AQ590" s="315"/>
      <c r="AR590" s="315"/>
      <c r="AS590" s="315"/>
      <c r="AT590" s="315"/>
      <c r="AU590" s="315"/>
      <c r="AV590" s="315"/>
      <c r="AW590" s="316"/>
      <c r="AX590" s="588"/>
      <c r="AY590" s="591"/>
      <c r="AZ590" s="591"/>
      <c r="BA590" s="594"/>
    </row>
    <row r="591" spans="1:53" ht="9" customHeight="1">
      <c r="A591" s="583"/>
      <c r="B591" s="586"/>
      <c r="C591" s="317"/>
      <c r="D591" s="318"/>
      <c r="E591" s="318"/>
      <c r="F591" s="318"/>
      <c r="G591" s="318"/>
      <c r="H591" s="318"/>
      <c r="I591" s="318"/>
      <c r="J591" s="318"/>
      <c r="K591" s="318"/>
      <c r="L591" s="318"/>
      <c r="M591" s="318"/>
      <c r="N591" s="318"/>
      <c r="O591" s="318"/>
      <c r="P591" s="318"/>
      <c r="Q591" s="318"/>
      <c r="R591" s="318"/>
      <c r="S591" s="318"/>
      <c r="T591" s="318"/>
      <c r="U591" s="318"/>
      <c r="V591" s="319"/>
      <c r="W591" s="589"/>
      <c r="X591" s="592"/>
      <c r="Y591" s="592"/>
      <c r="Z591" s="594"/>
      <c r="AA591" s="301"/>
      <c r="AB591" s="583"/>
      <c r="AC591" s="586"/>
      <c r="AD591" s="317"/>
      <c r="AE591" s="318"/>
      <c r="AF591" s="318"/>
      <c r="AG591" s="318"/>
      <c r="AH591" s="318"/>
      <c r="AI591" s="318"/>
      <c r="AJ591" s="318"/>
      <c r="AK591" s="318"/>
      <c r="AL591" s="318"/>
      <c r="AM591" s="318"/>
      <c r="AN591" s="318"/>
      <c r="AO591" s="318"/>
      <c r="AP591" s="318"/>
      <c r="AQ591" s="318"/>
      <c r="AR591" s="318"/>
      <c r="AS591" s="318"/>
      <c r="AT591" s="318"/>
      <c r="AU591" s="318"/>
      <c r="AV591" s="318"/>
      <c r="AW591" s="319"/>
      <c r="AX591" s="589"/>
      <c r="AY591" s="592"/>
      <c r="AZ591" s="592"/>
      <c r="BA591" s="594"/>
    </row>
    <row r="592" spans="1:53" ht="9" customHeight="1">
      <c r="A592" s="583">
        <v>8</v>
      </c>
      <c r="B592" s="584" t="str">
        <f t="shared" ref="B592:B655" si="435">B480</f>
        <v>ગરણિયા રામકુભાઇ સાર્દૂળભાઇ</v>
      </c>
      <c r="C592" s="311"/>
      <c r="D592" s="312"/>
      <c r="E592" s="312"/>
      <c r="F592" s="312"/>
      <c r="G592" s="312"/>
      <c r="H592" s="312"/>
      <c r="I592" s="312"/>
      <c r="J592" s="312"/>
      <c r="K592" s="312"/>
      <c r="L592" s="312"/>
      <c r="M592" s="312"/>
      <c r="N592" s="312"/>
      <c r="O592" s="312"/>
      <c r="P592" s="312"/>
      <c r="Q592" s="312"/>
      <c r="R592" s="312"/>
      <c r="S592" s="312"/>
      <c r="T592" s="312"/>
      <c r="U592" s="312"/>
      <c r="V592" s="313"/>
      <c r="W592" s="587">
        <f>'A-CALC'!V558</f>
        <v>0</v>
      </c>
      <c r="X592" s="590">
        <f>'A-CALC'!W558</f>
        <v>0</v>
      </c>
      <c r="Y592" s="590">
        <f>'A-CALC'!X558</f>
        <v>0</v>
      </c>
      <c r="Z592" s="593">
        <f t="shared" ref="Z592" si="436">ROUND((40/$Y$7)*W592,0)</f>
        <v>0</v>
      </c>
      <c r="AA592" s="301"/>
      <c r="AB592" s="583">
        <v>8</v>
      </c>
      <c r="AC592" s="584" t="str">
        <f t="shared" ref="AC592:AC655" si="437">AC480</f>
        <v>ગરણિયા રામકુભાઇ સાર્દૂળભાઇ</v>
      </c>
      <c r="AD592" s="311"/>
      <c r="AE592" s="312"/>
      <c r="AF592" s="312"/>
      <c r="AG592" s="312"/>
      <c r="AH592" s="312"/>
      <c r="AI592" s="312"/>
      <c r="AJ592" s="312"/>
      <c r="AK592" s="312"/>
      <c r="AL592" s="312"/>
      <c r="AM592" s="312"/>
      <c r="AN592" s="312"/>
      <c r="AO592" s="312"/>
      <c r="AP592" s="312"/>
      <c r="AQ592" s="312"/>
      <c r="AR592" s="312"/>
      <c r="AS592" s="312"/>
      <c r="AT592" s="312"/>
      <c r="AU592" s="312"/>
      <c r="AV592" s="312"/>
      <c r="AW592" s="313"/>
      <c r="AX592" s="587">
        <f>'A-CALC'!AU558</f>
        <v>0</v>
      </c>
      <c r="AY592" s="590">
        <f>'A-CALC'!AV558</f>
        <v>0</v>
      </c>
      <c r="AZ592" s="590">
        <f>'A-CALC'!AW558</f>
        <v>0</v>
      </c>
      <c r="BA592" s="593">
        <f t="shared" ref="BA592" si="438">ROUND((40/$Y$7)*AX592,0)</f>
        <v>0</v>
      </c>
    </row>
    <row r="593" spans="1:53" ht="9" customHeight="1">
      <c r="A593" s="583"/>
      <c r="B593" s="585"/>
      <c r="C593" s="314"/>
      <c r="D593" s="315"/>
      <c r="E593" s="315"/>
      <c r="F593" s="315"/>
      <c r="G593" s="315"/>
      <c r="H593" s="315"/>
      <c r="I593" s="315"/>
      <c r="J593" s="315"/>
      <c r="K593" s="315"/>
      <c r="L593" s="315"/>
      <c r="M593" s="315"/>
      <c r="N593" s="315"/>
      <c r="O593" s="315"/>
      <c r="P593" s="315"/>
      <c r="Q593" s="315"/>
      <c r="R593" s="315"/>
      <c r="S593" s="315"/>
      <c r="T593" s="315"/>
      <c r="U593" s="315"/>
      <c r="V593" s="316"/>
      <c r="W593" s="588"/>
      <c r="X593" s="591"/>
      <c r="Y593" s="591"/>
      <c r="Z593" s="594"/>
      <c r="AA593" s="301"/>
      <c r="AB593" s="583"/>
      <c r="AC593" s="585"/>
      <c r="AD593" s="314"/>
      <c r="AE593" s="315"/>
      <c r="AF593" s="315"/>
      <c r="AG593" s="315"/>
      <c r="AH593" s="315"/>
      <c r="AI593" s="315"/>
      <c r="AJ593" s="315"/>
      <c r="AK593" s="315"/>
      <c r="AL593" s="315"/>
      <c r="AM593" s="315"/>
      <c r="AN593" s="315"/>
      <c r="AO593" s="315"/>
      <c r="AP593" s="315"/>
      <c r="AQ593" s="315"/>
      <c r="AR593" s="315"/>
      <c r="AS593" s="315"/>
      <c r="AT593" s="315"/>
      <c r="AU593" s="315"/>
      <c r="AV593" s="315"/>
      <c r="AW593" s="316"/>
      <c r="AX593" s="588"/>
      <c r="AY593" s="591"/>
      <c r="AZ593" s="591"/>
      <c r="BA593" s="594"/>
    </row>
    <row r="594" spans="1:53" ht="9" customHeight="1">
      <c r="A594" s="583"/>
      <c r="B594" s="586"/>
      <c r="C594" s="317"/>
      <c r="D594" s="318"/>
      <c r="E594" s="318"/>
      <c r="F594" s="318"/>
      <c r="G594" s="318"/>
      <c r="H594" s="318"/>
      <c r="I594" s="318"/>
      <c r="J594" s="318"/>
      <c r="K594" s="318"/>
      <c r="L594" s="318"/>
      <c r="M594" s="318"/>
      <c r="N594" s="318"/>
      <c r="O594" s="318"/>
      <c r="P594" s="318"/>
      <c r="Q594" s="318"/>
      <c r="R594" s="318"/>
      <c r="S594" s="318"/>
      <c r="T594" s="318"/>
      <c r="U594" s="318"/>
      <c r="V594" s="319"/>
      <c r="W594" s="589"/>
      <c r="X594" s="592"/>
      <c r="Y594" s="592"/>
      <c r="Z594" s="594"/>
      <c r="AA594" s="301"/>
      <c r="AB594" s="583"/>
      <c r="AC594" s="586"/>
      <c r="AD594" s="317"/>
      <c r="AE594" s="318"/>
      <c r="AF594" s="318"/>
      <c r="AG594" s="318"/>
      <c r="AH594" s="318"/>
      <c r="AI594" s="318"/>
      <c r="AJ594" s="318"/>
      <c r="AK594" s="318"/>
      <c r="AL594" s="318"/>
      <c r="AM594" s="318"/>
      <c r="AN594" s="318"/>
      <c r="AO594" s="318"/>
      <c r="AP594" s="318"/>
      <c r="AQ594" s="318"/>
      <c r="AR594" s="318"/>
      <c r="AS594" s="318"/>
      <c r="AT594" s="318"/>
      <c r="AU594" s="318"/>
      <c r="AV594" s="318"/>
      <c r="AW594" s="319"/>
      <c r="AX594" s="589"/>
      <c r="AY594" s="592"/>
      <c r="AZ594" s="592"/>
      <c r="BA594" s="594"/>
    </row>
    <row r="595" spans="1:53" ht="9" customHeight="1">
      <c r="A595" s="583">
        <v>9</v>
      </c>
      <c r="B595" s="584" t="str">
        <f t="shared" si="435"/>
        <v>ડેર હિતેષકુમાર પ્રતાપભાઇ</v>
      </c>
      <c r="C595" s="311"/>
      <c r="D595" s="312"/>
      <c r="E595" s="312"/>
      <c r="F595" s="312"/>
      <c r="G595" s="312"/>
      <c r="H595" s="312"/>
      <c r="I595" s="312"/>
      <c r="J595" s="312"/>
      <c r="K595" s="312"/>
      <c r="L595" s="312"/>
      <c r="M595" s="312"/>
      <c r="N595" s="312"/>
      <c r="O595" s="312"/>
      <c r="P595" s="312"/>
      <c r="Q595" s="312"/>
      <c r="R595" s="312"/>
      <c r="S595" s="312"/>
      <c r="T595" s="312"/>
      <c r="U595" s="312"/>
      <c r="V595" s="313"/>
      <c r="W595" s="587">
        <f>'A-CALC'!V561</f>
        <v>0</v>
      </c>
      <c r="X595" s="590">
        <f>'A-CALC'!W561</f>
        <v>0</v>
      </c>
      <c r="Y595" s="590">
        <f>'A-CALC'!X561</f>
        <v>0</v>
      </c>
      <c r="Z595" s="593">
        <f t="shared" ref="Z595" si="439">ROUND((40/$Y$7)*W595,0)</f>
        <v>0</v>
      </c>
      <c r="AA595" s="301"/>
      <c r="AB595" s="583">
        <v>9</v>
      </c>
      <c r="AC595" s="584" t="str">
        <f t="shared" si="437"/>
        <v>ડેર હિતેષકુમાર પ્રતાપભાઇ</v>
      </c>
      <c r="AD595" s="311"/>
      <c r="AE595" s="312"/>
      <c r="AF595" s="312"/>
      <c r="AG595" s="312"/>
      <c r="AH595" s="312"/>
      <c r="AI595" s="312"/>
      <c r="AJ595" s="312"/>
      <c r="AK595" s="312"/>
      <c r="AL595" s="312"/>
      <c r="AM595" s="312"/>
      <c r="AN595" s="312"/>
      <c r="AO595" s="312"/>
      <c r="AP595" s="312"/>
      <c r="AQ595" s="312"/>
      <c r="AR595" s="312"/>
      <c r="AS595" s="312"/>
      <c r="AT595" s="312"/>
      <c r="AU595" s="312"/>
      <c r="AV595" s="312"/>
      <c r="AW595" s="313"/>
      <c r="AX595" s="587">
        <f>'A-CALC'!AU561</f>
        <v>0</v>
      </c>
      <c r="AY595" s="590">
        <f>'A-CALC'!AV561</f>
        <v>0</v>
      </c>
      <c r="AZ595" s="590">
        <f>'A-CALC'!AW561</f>
        <v>0</v>
      </c>
      <c r="BA595" s="593">
        <f t="shared" ref="BA595" si="440">ROUND((40/$Y$7)*AX595,0)</f>
        <v>0</v>
      </c>
    </row>
    <row r="596" spans="1:53" ht="9" customHeight="1">
      <c r="A596" s="583"/>
      <c r="B596" s="585"/>
      <c r="C596" s="314"/>
      <c r="D596" s="315"/>
      <c r="E596" s="315"/>
      <c r="F596" s="315"/>
      <c r="G596" s="315"/>
      <c r="H596" s="315"/>
      <c r="I596" s="315"/>
      <c r="J596" s="315"/>
      <c r="K596" s="315"/>
      <c r="L596" s="315"/>
      <c r="M596" s="315"/>
      <c r="N596" s="315"/>
      <c r="O596" s="315"/>
      <c r="P596" s="315"/>
      <c r="Q596" s="315"/>
      <c r="R596" s="315"/>
      <c r="S596" s="315"/>
      <c r="T596" s="315"/>
      <c r="U596" s="315"/>
      <c r="V596" s="316"/>
      <c r="W596" s="588"/>
      <c r="X596" s="591"/>
      <c r="Y596" s="591"/>
      <c r="Z596" s="594"/>
      <c r="AA596" s="301"/>
      <c r="AB596" s="583"/>
      <c r="AC596" s="585"/>
      <c r="AD596" s="314"/>
      <c r="AE596" s="315"/>
      <c r="AF596" s="315"/>
      <c r="AG596" s="315"/>
      <c r="AH596" s="315"/>
      <c r="AI596" s="315"/>
      <c r="AJ596" s="315"/>
      <c r="AK596" s="315"/>
      <c r="AL596" s="315"/>
      <c r="AM596" s="315"/>
      <c r="AN596" s="315"/>
      <c r="AO596" s="315"/>
      <c r="AP596" s="315"/>
      <c r="AQ596" s="315"/>
      <c r="AR596" s="315"/>
      <c r="AS596" s="315"/>
      <c r="AT596" s="315"/>
      <c r="AU596" s="315"/>
      <c r="AV596" s="315"/>
      <c r="AW596" s="316"/>
      <c r="AX596" s="588"/>
      <c r="AY596" s="591"/>
      <c r="AZ596" s="591"/>
      <c r="BA596" s="594"/>
    </row>
    <row r="597" spans="1:53" ht="9" customHeight="1">
      <c r="A597" s="583"/>
      <c r="B597" s="586"/>
      <c r="C597" s="317"/>
      <c r="D597" s="318"/>
      <c r="E597" s="318"/>
      <c r="F597" s="318"/>
      <c r="G597" s="318"/>
      <c r="H597" s="318"/>
      <c r="I597" s="318"/>
      <c r="J597" s="318"/>
      <c r="K597" s="318"/>
      <c r="L597" s="318"/>
      <c r="M597" s="318"/>
      <c r="N597" s="318"/>
      <c r="O597" s="318"/>
      <c r="P597" s="318"/>
      <c r="Q597" s="318"/>
      <c r="R597" s="318"/>
      <c r="S597" s="318"/>
      <c r="T597" s="318"/>
      <c r="U597" s="318"/>
      <c r="V597" s="319"/>
      <c r="W597" s="589"/>
      <c r="X597" s="592"/>
      <c r="Y597" s="592"/>
      <c r="Z597" s="594"/>
      <c r="AA597" s="301"/>
      <c r="AB597" s="583"/>
      <c r="AC597" s="586"/>
      <c r="AD597" s="317"/>
      <c r="AE597" s="318"/>
      <c r="AF597" s="318"/>
      <c r="AG597" s="318"/>
      <c r="AH597" s="318"/>
      <c r="AI597" s="318"/>
      <c r="AJ597" s="318"/>
      <c r="AK597" s="318"/>
      <c r="AL597" s="318"/>
      <c r="AM597" s="318"/>
      <c r="AN597" s="318"/>
      <c r="AO597" s="318"/>
      <c r="AP597" s="318"/>
      <c r="AQ597" s="318"/>
      <c r="AR597" s="318"/>
      <c r="AS597" s="318"/>
      <c r="AT597" s="318"/>
      <c r="AU597" s="318"/>
      <c r="AV597" s="318"/>
      <c r="AW597" s="319"/>
      <c r="AX597" s="589"/>
      <c r="AY597" s="592"/>
      <c r="AZ597" s="592"/>
      <c r="BA597" s="594"/>
    </row>
    <row r="598" spans="1:53" ht="9" customHeight="1">
      <c r="A598" s="583">
        <v>10</v>
      </c>
      <c r="B598" s="584" t="str">
        <f t="shared" si="435"/>
        <v>વેકરીયા વિશાલકુમાર દિપકભાઇ</v>
      </c>
      <c r="C598" s="311"/>
      <c r="D598" s="312"/>
      <c r="E598" s="312"/>
      <c r="F598" s="312"/>
      <c r="G598" s="312"/>
      <c r="H598" s="312"/>
      <c r="I598" s="312"/>
      <c r="J598" s="312"/>
      <c r="K598" s="312"/>
      <c r="L598" s="312"/>
      <c r="M598" s="312"/>
      <c r="N598" s="312"/>
      <c r="O598" s="312"/>
      <c r="P598" s="312"/>
      <c r="Q598" s="312"/>
      <c r="R598" s="312"/>
      <c r="S598" s="312"/>
      <c r="T598" s="312"/>
      <c r="U598" s="312"/>
      <c r="V598" s="313"/>
      <c r="W598" s="587">
        <f>'A-CALC'!V564</f>
        <v>0</v>
      </c>
      <c r="X598" s="590">
        <f>'A-CALC'!W564</f>
        <v>0</v>
      </c>
      <c r="Y598" s="590">
        <f>'A-CALC'!X564</f>
        <v>0</v>
      </c>
      <c r="Z598" s="593">
        <f t="shared" ref="Z598" si="441">ROUND((40/$Y$7)*W598,0)</f>
        <v>0</v>
      </c>
      <c r="AA598" s="301"/>
      <c r="AB598" s="583">
        <v>10</v>
      </c>
      <c r="AC598" s="584" t="str">
        <f t="shared" si="437"/>
        <v>વેકરીયા વિશાલકુમાર દિપકભાઇ</v>
      </c>
      <c r="AD598" s="311"/>
      <c r="AE598" s="312"/>
      <c r="AF598" s="312"/>
      <c r="AG598" s="312"/>
      <c r="AH598" s="312"/>
      <c r="AI598" s="312"/>
      <c r="AJ598" s="312"/>
      <c r="AK598" s="312"/>
      <c r="AL598" s="312"/>
      <c r="AM598" s="312"/>
      <c r="AN598" s="312"/>
      <c r="AO598" s="312"/>
      <c r="AP598" s="312"/>
      <c r="AQ598" s="312"/>
      <c r="AR598" s="312"/>
      <c r="AS598" s="312"/>
      <c r="AT598" s="312"/>
      <c r="AU598" s="312"/>
      <c r="AV598" s="312"/>
      <c r="AW598" s="313"/>
      <c r="AX598" s="587">
        <f>'A-CALC'!AU564</f>
        <v>0</v>
      </c>
      <c r="AY598" s="590">
        <f>'A-CALC'!AV564</f>
        <v>0</v>
      </c>
      <c r="AZ598" s="590">
        <f>'A-CALC'!AW564</f>
        <v>0</v>
      </c>
      <c r="BA598" s="593">
        <f t="shared" ref="BA598" si="442">ROUND((40/$Y$7)*AX598,0)</f>
        <v>0</v>
      </c>
    </row>
    <row r="599" spans="1:53" ht="9" customHeight="1">
      <c r="A599" s="583"/>
      <c r="B599" s="585"/>
      <c r="C599" s="314"/>
      <c r="D599" s="315"/>
      <c r="E599" s="315"/>
      <c r="F599" s="315"/>
      <c r="G599" s="315"/>
      <c r="H599" s="315"/>
      <c r="I599" s="315"/>
      <c r="J599" s="315"/>
      <c r="K599" s="315"/>
      <c r="L599" s="315"/>
      <c r="M599" s="315"/>
      <c r="N599" s="315"/>
      <c r="O599" s="315"/>
      <c r="P599" s="315"/>
      <c r="Q599" s="315"/>
      <c r="R599" s="315"/>
      <c r="S599" s="315"/>
      <c r="T599" s="315"/>
      <c r="U599" s="315"/>
      <c r="V599" s="316"/>
      <c r="W599" s="588"/>
      <c r="X599" s="591"/>
      <c r="Y599" s="591"/>
      <c r="Z599" s="594"/>
      <c r="AA599" s="301"/>
      <c r="AB599" s="583"/>
      <c r="AC599" s="585"/>
      <c r="AD599" s="314"/>
      <c r="AE599" s="315"/>
      <c r="AF599" s="315"/>
      <c r="AG599" s="315"/>
      <c r="AH599" s="315"/>
      <c r="AI599" s="315"/>
      <c r="AJ599" s="315"/>
      <c r="AK599" s="315"/>
      <c r="AL599" s="315"/>
      <c r="AM599" s="315"/>
      <c r="AN599" s="315"/>
      <c r="AO599" s="315"/>
      <c r="AP599" s="315"/>
      <c r="AQ599" s="315"/>
      <c r="AR599" s="315"/>
      <c r="AS599" s="315"/>
      <c r="AT599" s="315"/>
      <c r="AU599" s="315"/>
      <c r="AV599" s="315"/>
      <c r="AW599" s="316"/>
      <c r="AX599" s="588"/>
      <c r="AY599" s="591"/>
      <c r="AZ599" s="591"/>
      <c r="BA599" s="594"/>
    </row>
    <row r="600" spans="1:53" ht="9" customHeight="1">
      <c r="A600" s="583"/>
      <c r="B600" s="586"/>
      <c r="C600" s="317"/>
      <c r="D600" s="318"/>
      <c r="E600" s="318"/>
      <c r="F600" s="318"/>
      <c r="G600" s="318"/>
      <c r="H600" s="318"/>
      <c r="I600" s="318"/>
      <c r="J600" s="318"/>
      <c r="K600" s="318"/>
      <c r="L600" s="318"/>
      <c r="M600" s="318"/>
      <c r="N600" s="318"/>
      <c r="O600" s="318"/>
      <c r="P600" s="318"/>
      <c r="Q600" s="318"/>
      <c r="R600" s="318"/>
      <c r="S600" s="318"/>
      <c r="T600" s="318"/>
      <c r="U600" s="318"/>
      <c r="V600" s="319"/>
      <c r="W600" s="589"/>
      <c r="X600" s="592"/>
      <c r="Y600" s="592"/>
      <c r="Z600" s="594"/>
      <c r="AA600" s="301"/>
      <c r="AB600" s="583"/>
      <c r="AC600" s="586"/>
      <c r="AD600" s="317"/>
      <c r="AE600" s="318"/>
      <c r="AF600" s="318"/>
      <c r="AG600" s="318"/>
      <c r="AH600" s="318"/>
      <c r="AI600" s="318"/>
      <c r="AJ600" s="318"/>
      <c r="AK600" s="318"/>
      <c r="AL600" s="318"/>
      <c r="AM600" s="318"/>
      <c r="AN600" s="318"/>
      <c r="AO600" s="318"/>
      <c r="AP600" s="318"/>
      <c r="AQ600" s="318"/>
      <c r="AR600" s="318"/>
      <c r="AS600" s="318"/>
      <c r="AT600" s="318"/>
      <c r="AU600" s="318"/>
      <c r="AV600" s="318"/>
      <c r="AW600" s="319"/>
      <c r="AX600" s="589"/>
      <c r="AY600" s="592"/>
      <c r="AZ600" s="592"/>
      <c r="BA600" s="594"/>
    </row>
    <row r="601" spans="1:53" ht="9" customHeight="1">
      <c r="A601" s="583">
        <v>11</v>
      </c>
      <c r="B601" s="584" t="str">
        <f t="shared" si="435"/>
        <v>માણસુરીયા મહેન્દ્રભાઇ ભૂપતભાઇ</v>
      </c>
      <c r="C601" s="311"/>
      <c r="D601" s="312"/>
      <c r="E601" s="312"/>
      <c r="F601" s="312"/>
      <c r="G601" s="312"/>
      <c r="H601" s="312"/>
      <c r="I601" s="312"/>
      <c r="J601" s="312"/>
      <c r="K601" s="312"/>
      <c r="L601" s="312"/>
      <c r="M601" s="312"/>
      <c r="N601" s="312"/>
      <c r="O601" s="312"/>
      <c r="P601" s="312"/>
      <c r="Q601" s="312"/>
      <c r="R601" s="312"/>
      <c r="S601" s="312"/>
      <c r="T601" s="312"/>
      <c r="U601" s="312"/>
      <c r="V601" s="313"/>
      <c r="W601" s="587">
        <f>'A-CALC'!V567</f>
        <v>0</v>
      </c>
      <c r="X601" s="590">
        <f>'A-CALC'!W567</f>
        <v>0</v>
      </c>
      <c r="Y601" s="590">
        <f>'A-CALC'!X567</f>
        <v>0</v>
      </c>
      <c r="Z601" s="593">
        <f t="shared" ref="Z601" si="443">ROUND((40/$Y$7)*W601,0)</f>
        <v>0</v>
      </c>
      <c r="AA601" s="301"/>
      <c r="AB601" s="583">
        <v>11</v>
      </c>
      <c r="AC601" s="584" t="str">
        <f t="shared" si="437"/>
        <v>માણસુરીયા મહેન્દ્રભાઇ ભૂપતભાઇ</v>
      </c>
      <c r="AD601" s="311"/>
      <c r="AE601" s="312"/>
      <c r="AF601" s="312"/>
      <c r="AG601" s="312"/>
      <c r="AH601" s="312"/>
      <c r="AI601" s="312"/>
      <c r="AJ601" s="312"/>
      <c r="AK601" s="312"/>
      <c r="AL601" s="312"/>
      <c r="AM601" s="312"/>
      <c r="AN601" s="312"/>
      <c r="AO601" s="312"/>
      <c r="AP601" s="312"/>
      <c r="AQ601" s="312"/>
      <c r="AR601" s="312"/>
      <c r="AS601" s="312"/>
      <c r="AT601" s="312"/>
      <c r="AU601" s="312"/>
      <c r="AV601" s="312"/>
      <c r="AW601" s="313"/>
      <c r="AX601" s="587">
        <f>'A-CALC'!AU567</f>
        <v>0</v>
      </c>
      <c r="AY601" s="590">
        <f>'A-CALC'!AV567</f>
        <v>0</v>
      </c>
      <c r="AZ601" s="590">
        <f>'A-CALC'!AW567</f>
        <v>0</v>
      </c>
      <c r="BA601" s="593">
        <f t="shared" ref="BA601" si="444">ROUND((40/$Y$7)*AX601,0)</f>
        <v>0</v>
      </c>
    </row>
    <row r="602" spans="1:53" ht="9" customHeight="1">
      <c r="A602" s="583"/>
      <c r="B602" s="585"/>
      <c r="C602" s="314"/>
      <c r="D602" s="315"/>
      <c r="E602" s="315"/>
      <c r="F602" s="315"/>
      <c r="G602" s="315"/>
      <c r="H602" s="315"/>
      <c r="I602" s="315"/>
      <c r="J602" s="315"/>
      <c r="K602" s="315"/>
      <c r="L602" s="315"/>
      <c r="M602" s="315"/>
      <c r="N602" s="315"/>
      <c r="O602" s="315"/>
      <c r="P602" s="315"/>
      <c r="Q602" s="315"/>
      <c r="R602" s="315"/>
      <c r="S602" s="315"/>
      <c r="T602" s="315"/>
      <c r="U602" s="315"/>
      <c r="V602" s="316"/>
      <c r="W602" s="588"/>
      <c r="X602" s="591"/>
      <c r="Y602" s="591"/>
      <c r="Z602" s="594"/>
      <c r="AA602" s="301"/>
      <c r="AB602" s="583"/>
      <c r="AC602" s="585"/>
      <c r="AD602" s="314"/>
      <c r="AE602" s="315"/>
      <c r="AF602" s="315"/>
      <c r="AG602" s="315"/>
      <c r="AH602" s="315"/>
      <c r="AI602" s="315"/>
      <c r="AJ602" s="315"/>
      <c r="AK602" s="315"/>
      <c r="AL602" s="315"/>
      <c r="AM602" s="315"/>
      <c r="AN602" s="315"/>
      <c r="AO602" s="315"/>
      <c r="AP602" s="315"/>
      <c r="AQ602" s="315"/>
      <c r="AR602" s="315"/>
      <c r="AS602" s="315"/>
      <c r="AT602" s="315"/>
      <c r="AU602" s="315"/>
      <c r="AV602" s="315"/>
      <c r="AW602" s="316"/>
      <c r="AX602" s="588"/>
      <c r="AY602" s="591"/>
      <c r="AZ602" s="591"/>
      <c r="BA602" s="594"/>
    </row>
    <row r="603" spans="1:53" ht="9" customHeight="1">
      <c r="A603" s="583"/>
      <c r="B603" s="586"/>
      <c r="C603" s="317"/>
      <c r="D603" s="318"/>
      <c r="E603" s="318"/>
      <c r="F603" s="318"/>
      <c r="G603" s="318"/>
      <c r="H603" s="318"/>
      <c r="I603" s="318"/>
      <c r="J603" s="318"/>
      <c r="K603" s="318"/>
      <c r="L603" s="318"/>
      <c r="M603" s="318"/>
      <c r="N603" s="318"/>
      <c r="O603" s="318"/>
      <c r="P603" s="318"/>
      <c r="Q603" s="318"/>
      <c r="R603" s="318"/>
      <c r="S603" s="318"/>
      <c r="T603" s="318"/>
      <c r="U603" s="318"/>
      <c r="V603" s="319"/>
      <c r="W603" s="589"/>
      <c r="X603" s="592"/>
      <c r="Y603" s="592"/>
      <c r="Z603" s="594"/>
      <c r="AA603" s="301"/>
      <c r="AB603" s="583"/>
      <c r="AC603" s="586"/>
      <c r="AD603" s="317"/>
      <c r="AE603" s="318"/>
      <c r="AF603" s="318"/>
      <c r="AG603" s="318"/>
      <c r="AH603" s="318"/>
      <c r="AI603" s="318"/>
      <c r="AJ603" s="318"/>
      <c r="AK603" s="318"/>
      <c r="AL603" s="318"/>
      <c r="AM603" s="318"/>
      <c r="AN603" s="318"/>
      <c r="AO603" s="318"/>
      <c r="AP603" s="318"/>
      <c r="AQ603" s="318"/>
      <c r="AR603" s="318"/>
      <c r="AS603" s="318"/>
      <c r="AT603" s="318"/>
      <c r="AU603" s="318"/>
      <c r="AV603" s="318"/>
      <c r="AW603" s="319"/>
      <c r="AX603" s="589"/>
      <c r="AY603" s="592"/>
      <c r="AZ603" s="592"/>
      <c r="BA603" s="594"/>
    </row>
    <row r="604" spans="1:53" ht="9" customHeight="1">
      <c r="A604" s="583">
        <v>12</v>
      </c>
      <c r="B604" s="584" t="str">
        <f t="shared" si="435"/>
        <v>પરમાર અજયકુમાર રમેશભાઇ</v>
      </c>
      <c r="C604" s="311"/>
      <c r="D604" s="312"/>
      <c r="E604" s="312"/>
      <c r="F604" s="312"/>
      <c r="G604" s="312"/>
      <c r="H604" s="312"/>
      <c r="I604" s="312"/>
      <c r="J604" s="312"/>
      <c r="K604" s="312"/>
      <c r="L604" s="312"/>
      <c r="M604" s="312"/>
      <c r="N604" s="312"/>
      <c r="O604" s="312"/>
      <c r="P604" s="312"/>
      <c r="Q604" s="312"/>
      <c r="R604" s="312"/>
      <c r="S604" s="312"/>
      <c r="T604" s="312"/>
      <c r="U604" s="312"/>
      <c r="V604" s="313"/>
      <c r="W604" s="587">
        <f>'A-CALC'!V570</f>
        <v>0</v>
      </c>
      <c r="X604" s="590">
        <f>'A-CALC'!W570</f>
        <v>0</v>
      </c>
      <c r="Y604" s="590">
        <f>'A-CALC'!X570</f>
        <v>0</v>
      </c>
      <c r="Z604" s="593">
        <f t="shared" ref="Z604" si="445">ROUND((40/$Y$7)*W604,0)</f>
        <v>0</v>
      </c>
      <c r="AA604" s="301"/>
      <c r="AB604" s="583">
        <v>12</v>
      </c>
      <c r="AC604" s="584" t="str">
        <f t="shared" si="437"/>
        <v>પરમાર અજયકુમાર રમેશભાઇ</v>
      </c>
      <c r="AD604" s="311"/>
      <c r="AE604" s="312"/>
      <c r="AF604" s="312"/>
      <c r="AG604" s="312"/>
      <c r="AH604" s="312"/>
      <c r="AI604" s="312"/>
      <c r="AJ604" s="312"/>
      <c r="AK604" s="312"/>
      <c r="AL604" s="312"/>
      <c r="AM604" s="312"/>
      <c r="AN604" s="312"/>
      <c r="AO604" s="312"/>
      <c r="AP604" s="312"/>
      <c r="AQ604" s="312"/>
      <c r="AR604" s="312"/>
      <c r="AS604" s="312"/>
      <c r="AT604" s="312"/>
      <c r="AU604" s="312"/>
      <c r="AV604" s="312"/>
      <c r="AW604" s="313"/>
      <c r="AX604" s="587">
        <f>'A-CALC'!AU570</f>
        <v>0</v>
      </c>
      <c r="AY604" s="590">
        <f>'A-CALC'!AV570</f>
        <v>0</v>
      </c>
      <c r="AZ604" s="590">
        <f>'A-CALC'!AW570</f>
        <v>0</v>
      </c>
      <c r="BA604" s="593">
        <f t="shared" ref="BA604" si="446">ROUND((40/$Y$7)*AX604,0)</f>
        <v>0</v>
      </c>
    </row>
    <row r="605" spans="1:53" ht="9" customHeight="1">
      <c r="A605" s="583"/>
      <c r="B605" s="585"/>
      <c r="C605" s="314"/>
      <c r="D605" s="315"/>
      <c r="E605" s="315"/>
      <c r="F605" s="315"/>
      <c r="G605" s="315"/>
      <c r="H605" s="315"/>
      <c r="I605" s="315"/>
      <c r="J605" s="315"/>
      <c r="K605" s="315"/>
      <c r="L605" s="315"/>
      <c r="M605" s="315"/>
      <c r="N605" s="315"/>
      <c r="O605" s="315"/>
      <c r="P605" s="315"/>
      <c r="Q605" s="315"/>
      <c r="R605" s="315"/>
      <c r="S605" s="315"/>
      <c r="T605" s="315"/>
      <c r="U605" s="315"/>
      <c r="V605" s="316"/>
      <c r="W605" s="588"/>
      <c r="X605" s="591"/>
      <c r="Y605" s="591"/>
      <c r="Z605" s="594"/>
      <c r="AA605" s="301"/>
      <c r="AB605" s="583"/>
      <c r="AC605" s="585"/>
      <c r="AD605" s="314"/>
      <c r="AE605" s="315"/>
      <c r="AF605" s="315"/>
      <c r="AG605" s="315"/>
      <c r="AH605" s="315"/>
      <c r="AI605" s="315"/>
      <c r="AJ605" s="315"/>
      <c r="AK605" s="315"/>
      <c r="AL605" s="315"/>
      <c r="AM605" s="315"/>
      <c r="AN605" s="315"/>
      <c r="AO605" s="315"/>
      <c r="AP605" s="315"/>
      <c r="AQ605" s="315"/>
      <c r="AR605" s="315"/>
      <c r="AS605" s="315"/>
      <c r="AT605" s="315"/>
      <c r="AU605" s="315"/>
      <c r="AV605" s="315"/>
      <c r="AW605" s="316"/>
      <c r="AX605" s="588"/>
      <c r="AY605" s="591"/>
      <c r="AZ605" s="591"/>
      <c r="BA605" s="594"/>
    </row>
    <row r="606" spans="1:53" ht="9" customHeight="1">
      <c r="A606" s="583"/>
      <c r="B606" s="586"/>
      <c r="C606" s="317"/>
      <c r="D606" s="318"/>
      <c r="E606" s="318"/>
      <c r="F606" s="318"/>
      <c r="G606" s="318"/>
      <c r="H606" s="318"/>
      <c r="I606" s="318"/>
      <c r="J606" s="318"/>
      <c r="K606" s="318"/>
      <c r="L606" s="318"/>
      <c r="M606" s="318"/>
      <c r="N606" s="318"/>
      <c r="O606" s="318"/>
      <c r="P606" s="318"/>
      <c r="Q606" s="318"/>
      <c r="R606" s="318"/>
      <c r="S606" s="318"/>
      <c r="T606" s="318"/>
      <c r="U606" s="318"/>
      <c r="V606" s="319"/>
      <c r="W606" s="589"/>
      <c r="X606" s="592"/>
      <c r="Y606" s="592"/>
      <c r="Z606" s="594"/>
      <c r="AA606" s="301"/>
      <c r="AB606" s="583"/>
      <c r="AC606" s="586"/>
      <c r="AD606" s="317"/>
      <c r="AE606" s="318"/>
      <c r="AF606" s="318"/>
      <c r="AG606" s="318"/>
      <c r="AH606" s="318"/>
      <c r="AI606" s="318"/>
      <c r="AJ606" s="318"/>
      <c r="AK606" s="318"/>
      <c r="AL606" s="318"/>
      <c r="AM606" s="318"/>
      <c r="AN606" s="318"/>
      <c r="AO606" s="318"/>
      <c r="AP606" s="318"/>
      <c r="AQ606" s="318"/>
      <c r="AR606" s="318"/>
      <c r="AS606" s="318"/>
      <c r="AT606" s="318"/>
      <c r="AU606" s="318"/>
      <c r="AV606" s="318"/>
      <c r="AW606" s="319"/>
      <c r="AX606" s="589"/>
      <c r="AY606" s="592"/>
      <c r="AZ606" s="592"/>
      <c r="BA606" s="594"/>
    </row>
    <row r="607" spans="1:53" ht="9" customHeight="1">
      <c r="A607" s="583">
        <v>13</v>
      </c>
      <c r="B607" s="584" t="str">
        <f t="shared" si="435"/>
        <v>કંડોળીયા અલ્પેશકુમાર ભરતભાઇ</v>
      </c>
      <c r="C607" s="311"/>
      <c r="D607" s="312"/>
      <c r="E607" s="312"/>
      <c r="F607" s="312"/>
      <c r="G607" s="312"/>
      <c r="H607" s="312"/>
      <c r="I607" s="312"/>
      <c r="J607" s="312"/>
      <c r="K607" s="312"/>
      <c r="L607" s="312"/>
      <c r="M607" s="312"/>
      <c r="N607" s="312"/>
      <c r="O607" s="312"/>
      <c r="P607" s="312"/>
      <c r="Q607" s="312"/>
      <c r="R607" s="312"/>
      <c r="S607" s="312"/>
      <c r="T607" s="312"/>
      <c r="U607" s="312"/>
      <c r="V607" s="313"/>
      <c r="W607" s="587">
        <f>'A-CALC'!V573</f>
        <v>0</v>
      </c>
      <c r="X607" s="590">
        <f>'A-CALC'!W573</f>
        <v>0</v>
      </c>
      <c r="Y607" s="590">
        <f>'A-CALC'!X573</f>
        <v>0</v>
      </c>
      <c r="Z607" s="593">
        <f>ROUND((40/$Y$7)*W607,0)</f>
        <v>0</v>
      </c>
      <c r="AA607" s="301"/>
      <c r="AB607" s="583">
        <v>13</v>
      </c>
      <c r="AC607" s="584" t="str">
        <f t="shared" si="437"/>
        <v>કંડોળીયા અલ્પેશકુમાર ભરતભાઇ</v>
      </c>
      <c r="AD607" s="311"/>
      <c r="AE607" s="312"/>
      <c r="AF607" s="312"/>
      <c r="AG607" s="312"/>
      <c r="AH607" s="312"/>
      <c r="AI607" s="312"/>
      <c r="AJ607" s="312"/>
      <c r="AK607" s="312"/>
      <c r="AL607" s="312"/>
      <c r="AM607" s="312"/>
      <c r="AN607" s="312"/>
      <c r="AO607" s="312"/>
      <c r="AP607" s="312"/>
      <c r="AQ607" s="312"/>
      <c r="AR607" s="312"/>
      <c r="AS607" s="312"/>
      <c r="AT607" s="312"/>
      <c r="AU607" s="312"/>
      <c r="AV607" s="312"/>
      <c r="AW607" s="313"/>
      <c r="AX607" s="587">
        <f>'A-CALC'!AU573</f>
        <v>0</v>
      </c>
      <c r="AY607" s="590">
        <f>'A-CALC'!AV573</f>
        <v>0</v>
      </c>
      <c r="AZ607" s="590">
        <f>'A-CALC'!AW573</f>
        <v>0</v>
      </c>
      <c r="BA607" s="593">
        <f>ROUND((40/$Y$7)*AX607,0)</f>
        <v>0</v>
      </c>
    </row>
    <row r="608" spans="1:53" ht="9" customHeight="1">
      <c r="A608" s="583"/>
      <c r="B608" s="585"/>
      <c r="C608" s="314"/>
      <c r="D608" s="315"/>
      <c r="E608" s="315"/>
      <c r="F608" s="315"/>
      <c r="G608" s="315"/>
      <c r="H608" s="315"/>
      <c r="I608" s="315"/>
      <c r="J608" s="315"/>
      <c r="K608" s="315"/>
      <c r="L608" s="315"/>
      <c r="M608" s="315"/>
      <c r="N608" s="315"/>
      <c r="O608" s="315"/>
      <c r="P608" s="315"/>
      <c r="Q608" s="315"/>
      <c r="R608" s="315"/>
      <c r="S608" s="315"/>
      <c r="T608" s="315"/>
      <c r="U608" s="315"/>
      <c r="V608" s="316"/>
      <c r="W608" s="588"/>
      <c r="X608" s="591"/>
      <c r="Y608" s="591"/>
      <c r="Z608" s="594"/>
      <c r="AA608" s="301"/>
      <c r="AB608" s="583"/>
      <c r="AC608" s="585"/>
      <c r="AD608" s="314"/>
      <c r="AE608" s="315"/>
      <c r="AF608" s="315"/>
      <c r="AG608" s="315"/>
      <c r="AH608" s="315"/>
      <c r="AI608" s="315"/>
      <c r="AJ608" s="315"/>
      <c r="AK608" s="315"/>
      <c r="AL608" s="315"/>
      <c r="AM608" s="315"/>
      <c r="AN608" s="315"/>
      <c r="AO608" s="315"/>
      <c r="AP608" s="315"/>
      <c r="AQ608" s="315"/>
      <c r="AR608" s="315"/>
      <c r="AS608" s="315"/>
      <c r="AT608" s="315"/>
      <c r="AU608" s="315"/>
      <c r="AV608" s="315"/>
      <c r="AW608" s="316"/>
      <c r="AX608" s="588"/>
      <c r="AY608" s="591"/>
      <c r="AZ608" s="591"/>
      <c r="BA608" s="594"/>
    </row>
    <row r="609" spans="1:53" ht="9" customHeight="1">
      <c r="A609" s="583"/>
      <c r="B609" s="586"/>
      <c r="C609" s="317"/>
      <c r="D609" s="318"/>
      <c r="E609" s="318"/>
      <c r="F609" s="318"/>
      <c r="G609" s="318"/>
      <c r="H609" s="318"/>
      <c r="I609" s="318"/>
      <c r="J609" s="318"/>
      <c r="K609" s="318"/>
      <c r="L609" s="318"/>
      <c r="M609" s="318"/>
      <c r="N609" s="318"/>
      <c r="O609" s="318"/>
      <c r="P609" s="318"/>
      <c r="Q609" s="318"/>
      <c r="R609" s="318"/>
      <c r="S609" s="318"/>
      <c r="T609" s="318"/>
      <c r="U609" s="318"/>
      <c r="V609" s="319"/>
      <c r="W609" s="589"/>
      <c r="X609" s="592"/>
      <c r="Y609" s="592"/>
      <c r="Z609" s="594"/>
      <c r="AA609" s="301"/>
      <c r="AB609" s="583"/>
      <c r="AC609" s="586"/>
      <c r="AD609" s="317"/>
      <c r="AE609" s="318"/>
      <c r="AF609" s="318"/>
      <c r="AG609" s="318"/>
      <c r="AH609" s="318"/>
      <c r="AI609" s="318"/>
      <c r="AJ609" s="318"/>
      <c r="AK609" s="318"/>
      <c r="AL609" s="318"/>
      <c r="AM609" s="318"/>
      <c r="AN609" s="318"/>
      <c r="AO609" s="318"/>
      <c r="AP609" s="318"/>
      <c r="AQ609" s="318"/>
      <c r="AR609" s="318"/>
      <c r="AS609" s="318"/>
      <c r="AT609" s="318"/>
      <c r="AU609" s="318"/>
      <c r="AV609" s="318"/>
      <c r="AW609" s="319"/>
      <c r="AX609" s="589"/>
      <c r="AY609" s="592"/>
      <c r="AZ609" s="592"/>
      <c r="BA609" s="594"/>
    </row>
    <row r="610" spans="1:53" ht="9" customHeight="1">
      <c r="A610" s="583">
        <v>14</v>
      </c>
      <c r="B610" s="584" t="str">
        <f t="shared" si="435"/>
        <v>મકવાણા તરંગકુમાર કિશોરભાઇ</v>
      </c>
      <c r="C610" s="311"/>
      <c r="D610" s="312"/>
      <c r="E610" s="312"/>
      <c r="F610" s="312"/>
      <c r="G610" s="312"/>
      <c r="H610" s="312"/>
      <c r="I610" s="312"/>
      <c r="J610" s="312"/>
      <c r="K610" s="312"/>
      <c r="L610" s="312"/>
      <c r="M610" s="312"/>
      <c r="N610" s="312"/>
      <c r="O610" s="312"/>
      <c r="P610" s="312"/>
      <c r="Q610" s="312"/>
      <c r="R610" s="312"/>
      <c r="S610" s="312"/>
      <c r="T610" s="312"/>
      <c r="U610" s="312"/>
      <c r="V610" s="313"/>
      <c r="W610" s="587">
        <f>'A-CALC'!V576</f>
        <v>0</v>
      </c>
      <c r="X610" s="590">
        <f>'A-CALC'!W576</f>
        <v>0</v>
      </c>
      <c r="Y610" s="590">
        <f>'A-CALC'!X576</f>
        <v>0</v>
      </c>
      <c r="Z610" s="593">
        <f t="shared" ref="Z610" si="447">ROUND((40/$Y$7)*W610,0)</f>
        <v>0</v>
      </c>
      <c r="AA610" s="301"/>
      <c r="AB610" s="583">
        <v>14</v>
      </c>
      <c r="AC610" s="584" t="str">
        <f t="shared" si="437"/>
        <v>મકવાણા તરંગકુમાર કિશોરભાઇ</v>
      </c>
      <c r="AD610" s="311"/>
      <c r="AE610" s="312"/>
      <c r="AF610" s="312"/>
      <c r="AG610" s="312"/>
      <c r="AH610" s="312"/>
      <c r="AI610" s="312"/>
      <c r="AJ610" s="312"/>
      <c r="AK610" s="312"/>
      <c r="AL610" s="312"/>
      <c r="AM610" s="312"/>
      <c r="AN610" s="312"/>
      <c r="AO610" s="312"/>
      <c r="AP610" s="312"/>
      <c r="AQ610" s="312"/>
      <c r="AR610" s="312"/>
      <c r="AS610" s="312"/>
      <c r="AT610" s="312"/>
      <c r="AU610" s="312"/>
      <c r="AV610" s="312"/>
      <c r="AW610" s="313"/>
      <c r="AX610" s="587">
        <f>'A-CALC'!AU576</f>
        <v>0</v>
      </c>
      <c r="AY610" s="590">
        <f>'A-CALC'!AV576</f>
        <v>0</v>
      </c>
      <c r="AZ610" s="590">
        <f>'A-CALC'!AW576</f>
        <v>0</v>
      </c>
      <c r="BA610" s="593">
        <f t="shared" ref="BA610" si="448">ROUND((40/$Y$7)*AX610,0)</f>
        <v>0</v>
      </c>
    </row>
    <row r="611" spans="1:53" ht="9" customHeight="1">
      <c r="A611" s="583"/>
      <c r="B611" s="585"/>
      <c r="C611" s="314"/>
      <c r="D611" s="315"/>
      <c r="E611" s="315"/>
      <c r="F611" s="315"/>
      <c r="G611" s="315"/>
      <c r="H611" s="315"/>
      <c r="I611" s="315"/>
      <c r="J611" s="315"/>
      <c r="K611" s="315"/>
      <c r="L611" s="315"/>
      <c r="M611" s="315"/>
      <c r="N611" s="315"/>
      <c r="O611" s="315"/>
      <c r="P611" s="315"/>
      <c r="Q611" s="315"/>
      <c r="R611" s="315"/>
      <c r="S611" s="315"/>
      <c r="T611" s="315"/>
      <c r="U611" s="315"/>
      <c r="V611" s="316"/>
      <c r="W611" s="588"/>
      <c r="X611" s="591"/>
      <c r="Y611" s="591"/>
      <c r="Z611" s="594"/>
      <c r="AA611" s="301"/>
      <c r="AB611" s="583"/>
      <c r="AC611" s="585"/>
      <c r="AD611" s="314"/>
      <c r="AE611" s="315"/>
      <c r="AF611" s="315"/>
      <c r="AG611" s="315"/>
      <c r="AH611" s="315"/>
      <c r="AI611" s="315"/>
      <c r="AJ611" s="315"/>
      <c r="AK611" s="315"/>
      <c r="AL611" s="315"/>
      <c r="AM611" s="315"/>
      <c r="AN611" s="315"/>
      <c r="AO611" s="315"/>
      <c r="AP611" s="315"/>
      <c r="AQ611" s="315"/>
      <c r="AR611" s="315"/>
      <c r="AS611" s="315"/>
      <c r="AT611" s="315"/>
      <c r="AU611" s="315"/>
      <c r="AV611" s="315"/>
      <c r="AW611" s="316"/>
      <c r="AX611" s="588"/>
      <c r="AY611" s="591"/>
      <c r="AZ611" s="591"/>
      <c r="BA611" s="594"/>
    </row>
    <row r="612" spans="1:53" ht="9" customHeight="1">
      <c r="A612" s="583"/>
      <c r="B612" s="586"/>
      <c r="C612" s="317"/>
      <c r="D612" s="318"/>
      <c r="E612" s="318"/>
      <c r="F612" s="318"/>
      <c r="G612" s="318"/>
      <c r="H612" s="318"/>
      <c r="I612" s="318"/>
      <c r="J612" s="318"/>
      <c r="K612" s="318"/>
      <c r="L612" s="318"/>
      <c r="M612" s="318"/>
      <c r="N612" s="318"/>
      <c r="O612" s="318"/>
      <c r="P612" s="318"/>
      <c r="Q612" s="318"/>
      <c r="R612" s="318"/>
      <c r="S612" s="318"/>
      <c r="T612" s="318"/>
      <c r="U612" s="318"/>
      <c r="V612" s="319"/>
      <c r="W612" s="589"/>
      <c r="X612" s="592"/>
      <c r="Y612" s="592"/>
      <c r="Z612" s="594"/>
      <c r="AA612" s="301"/>
      <c r="AB612" s="583"/>
      <c r="AC612" s="586"/>
      <c r="AD612" s="317"/>
      <c r="AE612" s="318"/>
      <c r="AF612" s="318"/>
      <c r="AG612" s="318"/>
      <c r="AH612" s="318"/>
      <c r="AI612" s="318"/>
      <c r="AJ612" s="318"/>
      <c r="AK612" s="318"/>
      <c r="AL612" s="318"/>
      <c r="AM612" s="318"/>
      <c r="AN612" s="318"/>
      <c r="AO612" s="318"/>
      <c r="AP612" s="318"/>
      <c r="AQ612" s="318"/>
      <c r="AR612" s="318"/>
      <c r="AS612" s="318"/>
      <c r="AT612" s="318"/>
      <c r="AU612" s="318"/>
      <c r="AV612" s="318"/>
      <c r="AW612" s="319"/>
      <c r="AX612" s="589"/>
      <c r="AY612" s="592"/>
      <c r="AZ612" s="592"/>
      <c r="BA612" s="594"/>
    </row>
    <row r="613" spans="1:53" ht="9" customHeight="1">
      <c r="A613" s="583">
        <v>15</v>
      </c>
      <c r="B613" s="584" t="str">
        <f t="shared" si="435"/>
        <v>ઢીમેચા સતીષ હનુભાઇ</v>
      </c>
      <c r="C613" s="311"/>
      <c r="D613" s="312"/>
      <c r="E613" s="312"/>
      <c r="F613" s="312"/>
      <c r="G613" s="312"/>
      <c r="H613" s="312"/>
      <c r="I613" s="312"/>
      <c r="J613" s="312"/>
      <c r="K613" s="312"/>
      <c r="L613" s="312"/>
      <c r="M613" s="312"/>
      <c r="N613" s="312"/>
      <c r="O613" s="312"/>
      <c r="P613" s="312"/>
      <c r="Q613" s="312"/>
      <c r="R613" s="312"/>
      <c r="S613" s="312" t="s">
        <v>312</v>
      </c>
      <c r="T613" s="312"/>
      <c r="U613" s="312" t="s">
        <v>312</v>
      </c>
      <c r="V613" s="313"/>
      <c r="W613" s="587">
        <f>'A-CALC'!V579</f>
        <v>2</v>
      </c>
      <c r="X613" s="590">
        <f>'A-CALC'!W579</f>
        <v>1</v>
      </c>
      <c r="Y613" s="590">
        <f>'A-CALC'!X579</f>
        <v>1</v>
      </c>
      <c r="Z613" s="593">
        <f t="shared" ref="Z613" si="449">ROUND((40/$Y$7)*W613,0)</f>
        <v>6</v>
      </c>
      <c r="AA613" s="301"/>
      <c r="AB613" s="583">
        <v>15</v>
      </c>
      <c r="AC613" s="584" t="str">
        <f t="shared" si="437"/>
        <v>ઢીમેચા સતીષ હનુભાઇ</v>
      </c>
      <c r="AD613" s="311"/>
      <c r="AE613" s="312"/>
      <c r="AF613" s="312"/>
      <c r="AG613" s="312"/>
      <c r="AH613" s="312"/>
      <c r="AI613" s="312"/>
      <c r="AJ613" s="312"/>
      <c r="AK613" s="312"/>
      <c r="AL613" s="312"/>
      <c r="AM613" s="312"/>
      <c r="AN613" s="312"/>
      <c r="AO613" s="312"/>
      <c r="AP613" s="312"/>
      <c r="AQ613" s="312"/>
      <c r="AR613" s="312"/>
      <c r="AS613" s="312"/>
      <c r="AT613" s="312"/>
      <c r="AU613" s="312"/>
      <c r="AV613" s="312"/>
      <c r="AW613" s="313"/>
      <c r="AX613" s="587">
        <f>'A-CALC'!AU579</f>
        <v>0</v>
      </c>
      <c r="AY613" s="590">
        <f>'A-CALC'!AV579</f>
        <v>0</v>
      </c>
      <c r="AZ613" s="590">
        <f>'A-CALC'!AW579</f>
        <v>0</v>
      </c>
      <c r="BA613" s="593">
        <f t="shared" ref="BA613" si="450">ROUND((40/$Y$7)*AX613,0)</f>
        <v>0</v>
      </c>
    </row>
    <row r="614" spans="1:53" ht="9" customHeight="1">
      <c r="A614" s="583"/>
      <c r="B614" s="585"/>
      <c r="C614" s="314"/>
      <c r="D614" s="315"/>
      <c r="E614" s="315"/>
      <c r="F614" s="315"/>
      <c r="G614" s="315"/>
      <c r="H614" s="315"/>
      <c r="I614" s="315"/>
      <c r="J614" s="315"/>
      <c r="K614" s="315"/>
      <c r="L614" s="315"/>
      <c r="M614" s="315"/>
      <c r="N614" s="315"/>
      <c r="O614" s="315"/>
      <c r="P614" s="315" t="s">
        <v>311</v>
      </c>
      <c r="Q614" s="315"/>
      <c r="R614" s="315"/>
      <c r="S614" s="315" t="s">
        <v>311</v>
      </c>
      <c r="T614" s="315"/>
      <c r="U614" s="315"/>
      <c r="V614" s="316"/>
      <c r="W614" s="588"/>
      <c r="X614" s="591"/>
      <c r="Y614" s="591"/>
      <c r="Z614" s="594"/>
      <c r="AA614" s="301"/>
      <c r="AB614" s="583"/>
      <c r="AC614" s="585"/>
      <c r="AD614" s="314"/>
      <c r="AE614" s="315"/>
      <c r="AF614" s="315"/>
      <c r="AG614" s="315"/>
      <c r="AH614" s="315"/>
      <c r="AI614" s="315"/>
      <c r="AJ614" s="315"/>
      <c r="AK614" s="315"/>
      <c r="AL614" s="315"/>
      <c r="AM614" s="315"/>
      <c r="AN614" s="315"/>
      <c r="AO614" s="315"/>
      <c r="AP614" s="315"/>
      <c r="AQ614" s="315"/>
      <c r="AR614" s="315"/>
      <c r="AS614" s="315"/>
      <c r="AT614" s="315"/>
      <c r="AU614" s="315"/>
      <c r="AV614" s="315"/>
      <c r="AW614" s="316"/>
      <c r="AX614" s="588"/>
      <c r="AY614" s="591"/>
      <c r="AZ614" s="591"/>
      <c r="BA614" s="594"/>
    </row>
    <row r="615" spans="1:53" ht="9" customHeight="1">
      <c r="A615" s="583"/>
      <c r="B615" s="586"/>
      <c r="C615" s="317"/>
      <c r="D615" s="318"/>
      <c r="E615" s="318"/>
      <c r="F615" s="318"/>
      <c r="G615" s="318"/>
      <c r="H615" s="318"/>
      <c r="I615" s="318"/>
      <c r="J615" s="318"/>
      <c r="K615" s="318"/>
      <c r="L615" s="318"/>
      <c r="M615" s="318"/>
      <c r="N615" s="318"/>
      <c r="O615" s="318"/>
      <c r="P615" s="318" t="s">
        <v>310</v>
      </c>
      <c r="Q615" s="318" t="s">
        <v>310</v>
      </c>
      <c r="R615" s="318"/>
      <c r="S615" s="318"/>
      <c r="T615" s="318"/>
      <c r="U615" s="318"/>
      <c r="V615" s="319"/>
      <c r="W615" s="589"/>
      <c r="X615" s="592"/>
      <c r="Y615" s="592"/>
      <c r="Z615" s="594"/>
      <c r="AA615" s="301"/>
      <c r="AB615" s="583"/>
      <c r="AC615" s="586"/>
      <c r="AD615" s="317"/>
      <c r="AE615" s="318"/>
      <c r="AF615" s="318"/>
      <c r="AG615" s="318"/>
      <c r="AH615" s="318"/>
      <c r="AI615" s="318"/>
      <c r="AJ615" s="318"/>
      <c r="AK615" s="318"/>
      <c r="AL615" s="318"/>
      <c r="AM615" s="318"/>
      <c r="AN615" s="318"/>
      <c r="AO615" s="318"/>
      <c r="AP615" s="318"/>
      <c r="AQ615" s="318"/>
      <c r="AR615" s="318"/>
      <c r="AS615" s="318"/>
      <c r="AT615" s="318"/>
      <c r="AU615" s="318"/>
      <c r="AV615" s="318"/>
      <c r="AW615" s="319"/>
      <c r="AX615" s="589"/>
      <c r="AY615" s="592"/>
      <c r="AZ615" s="592"/>
      <c r="BA615" s="594"/>
    </row>
    <row r="616" spans="1:53" ht="9" customHeight="1">
      <c r="A616" s="583">
        <v>16</v>
      </c>
      <c r="B616" s="584" t="str">
        <f t="shared" si="435"/>
        <v>ખુમાણ શિવરાજભાઇ બાબુભાઇ</v>
      </c>
      <c r="C616" s="311"/>
      <c r="D616" s="312"/>
      <c r="E616" s="312"/>
      <c r="F616" s="312"/>
      <c r="G616" s="312"/>
      <c r="H616" s="312"/>
      <c r="I616" s="312"/>
      <c r="J616" s="312"/>
      <c r="K616" s="312"/>
      <c r="L616" s="312"/>
      <c r="M616" s="312"/>
      <c r="N616" s="312"/>
      <c r="O616" s="312"/>
      <c r="P616" s="312"/>
      <c r="Q616" s="312"/>
      <c r="R616" s="312"/>
      <c r="S616" s="312"/>
      <c r="T616" s="312"/>
      <c r="U616" s="312"/>
      <c r="V616" s="313"/>
      <c r="W616" s="587">
        <f>'A-CALC'!V582</f>
        <v>0</v>
      </c>
      <c r="X616" s="590">
        <f>'A-CALC'!W582</f>
        <v>0</v>
      </c>
      <c r="Y616" s="590">
        <f>'A-CALC'!X582</f>
        <v>0</v>
      </c>
      <c r="Z616" s="593">
        <f t="shared" ref="Z616" si="451">ROUND((40/$Y$7)*W616,0)</f>
        <v>0</v>
      </c>
      <c r="AA616" s="301"/>
      <c r="AB616" s="583">
        <v>16</v>
      </c>
      <c r="AC616" s="584" t="str">
        <f t="shared" si="437"/>
        <v>ખુમાણ શિવરાજભાઇ બાબુભાઇ</v>
      </c>
      <c r="AD616" s="311"/>
      <c r="AE616" s="312"/>
      <c r="AF616" s="312"/>
      <c r="AG616" s="312"/>
      <c r="AH616" s="312"/>
      <c r="AI616" s="312"/>
      <c r="AJ616" s="312"/>
      <c r="AK616" s="312"/>
      <c r="AL616" s="312"/>
      <c r="AM616" s="312"/>
      <c r="AN616" s="312"/>
      <c r="AO616" s="312"/>
      <c r="AP616" s="312"/>
      <c r="AQ616" s="312"/>
      <c r="AR616" s="312"/>
      <c r="AS616" s="312"/>
      <c r="AT616" s="312"/>
      <c r="AU616" s="312"/>
      <c r="AV616" s="312"/>
      <c r="AW616" s="313"/>
      <c r="AX616" s="587">
        <f>'A-CALC'!AU582</f>
        <v>0</v>
      </c>
      <c r="AY616" s="590">
        <f>'A-CALC'!AV582</f>
        <v>0</v>
      </c>
      <c r="AZ616" s="590">
        <f>'A-CALC'!AW582</f>
        <v>0</v>
      </c>
      <c r="BA616" s="593">
        <f t="shared" ref="BA616" si="452">ROUND((40/$Y$7)*AX616,0)</f>
        <v>0</v>
      </c>
    </row>
    <row r="617" spans="1:53" ht="9" customHeight="1">
      <c r="A617" s="583"/>
      <c r="B617" s="585"/>
      <c r="C617" s="314"/>
      <c r="D617" s="315"/>
      <c r="E617" s="315"/>
      <c r="F617" s="315"/>
      <c r="G617" s="315"/>
      <c r="H617" s="315"/>
      <c r="I617" s="315"/>
      <c r="J617" s="315"/>
      <c r="K617" s="315"/>
      <c r="L617" s="315"/>
      <c r="M617" s="315"/>
      <c r="N617" s="315"/>
      <c r="O617" s="315"/>
      <c r="P617" s="315"/>
      <c r="Q617" s="315"/>
      <c r="R617" s="315"/>
      <c r="S617" s="315"/>
      <c r="T617" s="315"/>
      <c r="U617" s="315"/>
      <c r="V617" s="316"/>
      <c r="W617" s="588"/>
      <c r="X617" s="591"/>
      <c r="Y617" s="591"/>
      <c r="Z617" s="594"/>
      <c r="AA617" s="301"/>
      <c r="AB617" s="583"/>
      <c r="AC617" s="585"/>
      <c r="AD617" s="314"/>
      <c r="AE617" s="315"/>
      <c r="AF617" s="315"/>
      <c r="AG617" s="315"/>
      <c r="AH617" s="315"/>
      <c r="AI617" s="315"/>
      <c r="AJ617" s="315"/>
      <c r="AK617" s="315"/>
      <c r="AL617" s="315"/>
      <c r="AM617" s="315"/>
      <c r="AN617" s="315"/>
      <c r="AO617" s="315"/>
      <c r="AP617" s="315"/>
      <c r="AQ617" s="315"/>
      <c r="AR617" s="315"/>
      <c r="AS617" s="315"/>
      <c r="AT617" s="315"/>
      <c r="AU617" s="315"/>
      <c r="AV617" s="315"/>
      <c r="AW617" s="316"/>
      <c r="AX617" s="588"/>
      <c r="AY617" s="591"/>
      <c r="AZ617" s="591"/>
      <c r="BA617" s="594"/>
    </row>
    <row r="618" spans="1:53" ht="9" customHeight="1">
      <c r="A618" s="583"/>
      <c r="B618" s="586"/>
      <c r="C618" s="317"/>
      <c r="D618" s="318"/>
      <c r="E618" s="318"/>
      <c r="F618" s="318"/>
      <c r="G618" s="318"/>
      <c r="H618" s="318"/>
      <c r="I618" s="318"/>
      <c r="J618" s="318"/>
      <c r="K618" s="318"/>
      <c r="L618" s="318"/>
      <c r="M618" s="318"/>
      <c r="N618" s="318"/>
      <c r="O618" s="318"/>
      <c r="P618" s="318"/>
      <c r="Q618" s="318"/>
      <c r="R618" s="318"/>
      <c r="S618" s="318"/>
      <c r="T618" s="318"/>
      <c r="U618" s="318"/>
      <c r="V618" s="319"/>
      <c r="W618" s="589"/>
      <c r="X618" s="592"/>
      <c r="Y618" s="592"/>
      <c r="Z618" s="594"/>
      <c r="AA618" s="301"/>
      <c r="AB618" s="583"/>
      <c r="AC618" s="586"/>
      <c r="AD618" s="317"/>
      <c r="AE618" s="318"/>
      <c r="AF618" s="318"/>
      <c r="AG618" s="318"/>
      <c r="AH618" s="318"/>
      <c r="AI618" s="318"/>
      <c r="AJ618" s="318"/>
      <c r="AK618" s="318"/>
      <c r="AL618" s="318"/>
      <c r="AM618" s="318"/>
      <c r="AN618" s="318"/>
      <c r="AO618" s="318"/>
      <c r="AP618" s="318"/>
      <c r="AQ618" s="318"/>
      <c r="AR618" s="318"/>
      <c r="AS618" s="318"/>
      <c r="AT618" s="318"/>
      <c r="AU618" s="318"/>
      <c r="AV618" s="318"/>
      <c r="AW618" s="319"/>
      <c r="AX618" s="589"/>
      <c r="AY618" s="592"/>
      <c r="AZ618" s="592"/>
      <c r="BA618" s="594"/>
    </row>
    <row r="619" spans="1:53" ht="9" customHeight="1">
      <c r="A619" s="583">
        <v>17</v>
      </c>
      <c r="B619" s="584" t="str">
        <f t="shared" si="435"/>
        <v>માથાસુરીયા દિનેશભાઇ અમરાભાઇ</v>
      </c>
      <c r="C619" s="311"/>
      <c r="D619" s="312"/>
      <c r="E619" s="312"/>
      <c r="F619" s="312"/>
      <c r="G619" s="312"/>
      <c r="H619" s="312"/>
      <c r="I619" s="312"/>
      <c r="J619" s="312"/>
      <c r="K619" s="312"/>
      <c r="L619" s="312"/>
      <c r="M619" s="312"/>
      <c r="N619" s="312"/>
      <c r="O619" s="312"/>
      <c r="P619" s="312"/>
      <c r="Q619" s="312"/>
      <c r="R619" s="312"/>
      <c r="S619" s="312"/>
      <c r="T619" s="312"/>
      <c r="U619" s="312"/>
      <c r="V619" s="313"/>
      <c r="W619" s="587">
        <f>'A-CALC'!V585</f>
        <v>0</v>
      </c>
      <c r="X619" s="590">
        <f>'A-CALC'!W585</f>
        <v>0</v>
      </c>
      <c r="Y619" s="590">
        <f>'A-CALC'!X585</f>
        <v>0</v>
      </c>
      <c r="Z619" s="593">
        <f t="shared" ref="Z619" si="453">ROUND((40/$Y$7)*W619,0)</f>
        <v>0</v>
      </c>
      <c r="AA619" s="301"/>
      <c r="AB619" s="583">
        <v>17</v>
      </c>
      <c r="AC619" s="584" t="str">
        <f t="shared" si="437"/>
        <v>માથાસુરીયા દિનેશભાઇ અમરાભાઇ</v>
      </c>
      <c r="AD619" s="311"/>
      <c r="AE619" s="312"/>
      <c r="AF619" s="312"/>
      <c r="AG619" s="312"/>
      <c r="AH619" s="312"/>
      <c r="AI619" s="312"/>
      <c r="AJ619" s="312"/>
      <c r="AK619" s="312"/>
      <c r="AL619" s="312"/>
      <c r="AM619" s="312"/>
      <c r="AN619" s="312"/>
      <c r="AO619" s="312"/>
      <c r="AP619" s="312"/>
      <c r="AQ619" s="312"/>
      <c r="AR619" s="312"/>
      <c r="AS619" s="312"/>
      <c r="AT619" s="312"/>
      <c r="AU619" s="312"/>
      <c r="AV619" s="312"/>
      <c r="AW619" s="313"/>
      <c r="AX619" s="587">
        <f>'A-CALC'!AU585</f>
        <v>1</v>
      </c>
      <c r="AY619" s="590">
        <f>'A-CALC'!AV585</f>
        <v>0</v>
      </c>
      <c r="AZ619" s="590">
        <f>'A-CALC'!AW585</f>
        <v>0</v>
      </c>
      <c r="BA619" s="593">
        <f t="shared" ref="BA619" si="454">ROUND((40/$Y$7)*AX619,0)</f>
        <v>3</v>
      </c>
    </row>
    <row r="620" spans="1:53" ht="9" customHeight="1">
      <c r="A620" s="583"/>
      <c r="B620" s="585"/>
      <c r="C620" s="314"/>
      <c r="D620" s="315"/>
      <c r="E620" s="315"/>
      <c r="F620" s="315"/>
      <c r="G620" s="315"/>
      <c r="H620" s="315"/>
      <c r="I620" s="315"/>
      <c r="J620" s="315"/>
      <c r="K620" s="315"/>
      <c r="L620" s="315"/>
      <c r="M620" s="315"/>
      <c r="N620" s="315"/>
      <c r="O620" s="315"/>
      <c r="P620" s="315"/>
      <c r="Q620" s="315"/>
      <c r="R620" s="315"/>
      <c r="S620" s="315"/>
      <c r="T620" s="315"/>
      <c r="U620" s="315"/>
      <c r="V620" s="316"/>
      <c r="W620" s="588"/>
      <c r="X620" s="591"/>
      <c r="Y620" s="591"/>
      <c r="Z620" s="594"/>
      <c r="AA620" s="301"/>
      <c r="AB620" s="583"/>
      <c r="AC620" s="585"/>
      <c r="AD620" s="314"/>
      <c r="AE620" s="315"/>
      <c r="AF620" s="315"/>
      <c r="AG620" s="315"/>
      <c r="AH620" s="315" t="s">
        <v>311</v>
      </c>
      <c r="AI620" s="315"/>
      <c r="AJ620" s="315"/>
      <c r="AK620" s="315"/>
      <c r="AL620" s="315"/>
      <c r="AM620" s="315"/>
      <c r="AN620" s="315"/>
      <c r="AO620" s="315"/>
      <c r="AP620" s="315"/>
      <c r="AQ620" s="315"/>
      <c r="AR620" s="315"/>
      <c r="AS620" s="315"/>
      <c r="AT620" s="315"/>
      <c r="AU620" s="315"/>
      <c r="AV620" s="315"/>
      <c r="AW620" s="316"/>
      <c r="AX620" s="588"/>
      <c r="AY620" s="591"/>
      <c r="AZ620" s="591"/>
      <c r="BA620" s="594"/>
    </row>
    <row r="621" spans="1:53" ht="9" customHeight="1">
      <c r="A621" s="583"/>
      <c r="B621" s="586"/>
      <c r="C621" s="317"/>
      <c r="D621" s="318"/>
      <c r="E621" s="318"/>
      <c r="F621" s="318"/>
      <c r="G621" s="318"/>
      <c r="H621" s="318"/>
      <c r="I621" s="318"/>
      <c r="J621" s="318"/>
      <c r="K621" s="318"/>
      <c r="L621" s="318"/>
      <c r="M621" s="318"/>
      <c r="N621" s="318"/>
      <c r="O621" s="318"/>
      <c r="P621" s="318"/>
      <c r="Q621" s="318"/>
      <c r="R621" s="318"/>
      <c r="S621" s="318"/>
      <c r="T621" s="318"/>
      <c r="U621" s="318"/>
      <c r="V621" s="319"/>
      <c r="W621" s="589"/>
      <c r="X621" s="592"/>
      <c r="Y621" s="592"/>
      <c r="Z621" s="594"/>
      <c r="AA621" s="301"/>
      <c r="AB621" s="583"/>
      <c r="AC621" s="586"/>
      <c r="AD621" s="317"/>
      <c r="AE621" s="318"/>
      <c r="AF621" s="318"/>
      <c r="AG621" s="318"/>
      <c r="AH621" s="318" t="s">
        <v>310</v>
      </c>
      <c r="AI621" s="318"/>
      <c r="AJ621" s="318"/>
      <c r="AK621" s="318"/>
      <c r="AL621" s="318"/>
      <c r="AM621" s="318"/>
      <c r="AN621" s="318"/>
      <c r="AO621" s="318"/>
      <c r="AP621" s="318"/>
      <c r="AQ621" s="318"/>
      <c r="AR621" s="318"/>
      <c r="AS621" s="318"/>
      <c r="AT621" s="318"/>
      <c r="AU621" s="318"/>
      <c r="AV621" s="318"/>
      <c r="AW621" s="319"/>
      <c r="AX621" s="589"/>
      <c r="AY621" s="592"/>
      <c r="AZ621" s="592"/>
      <c r="BA621" s="594"/>
    </row>
    <row r="622" spans="1:53" ht="9" customHeight="1">
      <c r="A622" s="583">
        <v>18</v>
      </c>
      <c r="B622" s="584" t="str">
        <f t="shared" si="435"/>
        <v>વાઘેલા હરેશ જીલુભાઇ</v>
      </c>
      <c r="C622" s="311"/>
      <c r="D622" s="312"/>
      <c r="E622" s="312"/>
      <c r="F622" s="312"/>
      <c r="G622" s="312"/>
      <c r="H622" s="312"/>
      <c r="I622" s="312"/>
      <c r="J622" s="312"/>
      <c r="K622" s="312"/>
      <c r="L622" s="312"/>
      <c r="M622" s="312"/>
      <c r="N622" s="312"/>
      <c r="O622" s="312"/>
      <c r="P622" s="312"/>
      <c r="Q622" s="312"/>
      <c r="R622" s="312"/>
      <c r="S622" s="312"/>
      <c r="T622" s="312"/>
      <c r="U622" s="312"/>
      <c r="V622" s="313"/>
      <c r="W622" s="587">
        <f>'A-CALC'!V588</f>
        <v>0</v>
      </c>
      <c r="X622" s="590">
        <f>'A-CALC'!W588</f>
        <v>0</v>
      </c>
      <c r="Y622" s="590">
        <f>'A-CALC'!X588</f>
        <v>0</v>
      </c>
      <c r="Z622" s="593">
        <f t="shared" ref="Z622" si="455">ROUND((40/$Y$7)*W622,0)</f>
        <v>0</v>
      </c>
      <c r="AA622" s="301"/>
      <c r="AB622" s="583">
        <v>18</v>
      </c>
      <c r="AC622" s="584" t="str">
        <f t="shared" si="437"/>
        <v>વાઘેલા હરેશ જીલુભાઇ</v>
      </c>
      <c r="AD622" s="311"/>
      <c r="AE622" s="312"/>
      <c r="AF622" s="312"/>
      <c r="AG622" s="312"/>
      <c r="AH622" s="312"/>
      <c r="AI622" s="312"/>
      <c r="AJ622" s="312"/>
      <c r="AK622" s="312"/>
      <c r="AL622" s="312"/>
      <c r="AM622" s="312"/>
      <c r="AN622" s="312"/>
      <c r="AO622" s="312"/>
      <c r="AP622" s="312"/>
      <c r="AQ622" s="312"/>
      <c r="AR622" s="312"/>
      <c r="AS622" s="312"/>
      <c r="AT622" s="312"/>
      <c r="AU622" s="312"/>
      <c r="AV622" s="312"/>
      <c r="AW622" s="313"/>
      <c r="AX622" s="587">
        <f>'A-CALC'!AU588</f>
        <v>0</v>
      </c>
      <c r="AY622" s="590">
        <f>'A-CALC'!AV588</f>
        <v>0</v>
      </c>
      <c r="AZ622" s="590">
        <f>'A-CALC'!AW588</f>
        <v>0</v>
      </c>
      <c r="BA622" s="593">
        <f t="shared" ref="BA622" si="456">ROUND((40/$Y$7)*AX622,0)</f>
        <v>0</v>
      </c>
    </row>
    <row r="623" spans="1:53" ht="9" customHeight="1">
      <c r="A623" s="583"/>
      <c r="B623" s="585"/>
      <c r="C623" s="314"/>
      <c r="D623" s="315"/>
      <c r="E623" s="315"/>
      <c r="F623" s="315"/>
      <c r="G623" s="315"/>
      <c r="H623" s="315"/>
      <c r="I623" s="315"/>
      <c r="J623" s="315"/>
      <c r="K623" s="315"/>
      <c r="L623" s="315"/>
      <c r="M623" s="315"/>
      <c r="N623" s="315"/>
      <c r="O623" s="315"/>
      <c r="P623" s="315"/>
      <c r="Q623" s="315"/>
      <c r="R623" s="315"/>
      <c r="S623" s="315"/>
      <c r="T623" s="315"/>
      <c r="U623" s="315"/>
      <c r="V623" s="316"/>
      <c r="W623" s="588"/>
      <c r="X623" s="591"/>
      <c r="Y623" s="591"/>
      <c r="Z623" s="594"/>
      <c r="AA623" s="301"/>
      <c r="AB623" s="583"/>
      <c r="AC623" s="585"/>
      <c r="AD623" s="314"/>
      <c r="AE623" s="315"/>
      <c r="AF623" s="315"/>
      <c r="AG623" s="315"/>
      <c r="AH623" s="315"/>
      <c r="AI623" s="315"/>
      <c r="AJ623" s="315"/>
      <c r="AK623" s="315"/>
      <c r="AL623" s="315"/>
      <c r="AM623" s="315"/>
      <c r="AN623" s="315"/>
      <c r="AO623" s="315"/>
      <c r="AP623" s="315"/>
      <c r="AQ623" s="315"/>
      <c r="AR623" s="315"/>
      <c r="AS623" s="315"/>
      <c r="AT623" s="315"/>
      <c r="AU623" s="315"/>
      <c r="AV623" s="315"/>
      <c r="AW623" s="316"/>
      <c r="AX623" s="588"/>
      <c r="AY623" s="591"/>
      <c r="AZ623" s="591"/>
      <c r="BA623" s="594"/>
    </row>
    <row r="624" spans="1:53" ht="9" customHeight="1">
      <c r="A624" s="583"/>
      <c r="B624" s="586"/>
      <c r="C624" s="317"/>
      <c r="D624" s="318"/>
      <c r="E624" s="318"/>
      <c r="F624" s="318"/>
      <c r="G624" s="318"/>
      <c r="H624" s="318"/>
      <c r="I624" s="318"/>
      <c r="J624" s="318"/>
      <c r="K624" s="318"/>
      <c r="L624" s="318"/>
      <c r="M624" s="318"/>
      <c r="N624" s="318"/>
      <c r="O624" s="318"/>
      <c r="P624" s="318"/>
      <c r="Q624" s="318"/>
      <c r="R624" s="318"/>
      <c r="S624" s="318"/>
      <c r="T624" s="318"/>
      <c r="U624" s="318"/>
      <c r="V624" s="319"/>
      <c r="W624" s="589"/>
      <c r="X624" s="592"/>
      <c r="Y624" s="592"/>
      <c r="Z624" s="594"/>
      <c r="AA624" s="301"/>
      <c r="AB624" s="583"/>
      <c r="AC624" s="586"/>
      <c r="AD624" s="317"/>
      <c r="AE624" s="318"/>
      <c r="AF624" s="318"/>
      <c r="AG624" s="318"/>
      <c r="AH624" s="318"/>
      <c r="AI624" s="318"/>
      <c r="AJ624" s="318"/>
      <c r="AK624" s="318"/>
      <c r="AL624" s="318"/>
      <c r="AM624" s="318"/>
      <c r="AN624" s="318"/>
      <c r="AO624" s="318"/>
      <c r="AP624" s="318"/>
      <c r="AQ624" s="318"/>
      <c r="AR624" s="318"/>
      <c r="AS624" s="318"/>
      <c r="AT624" s="318"/>
      <c r="AU624" s="318"/>
      <c r="AV624" s="318"/>
      <c r="AW624" s="319"/>
      <c r="AX624" s="589"/>
      <c r="AY624" s="592"/>
      <c r="AZ624" s="592"/>
      <c r="BA624" s="594"/>
    </row>
    <row r="625" spans="1:53" ht="9" customHeight="1">
      <c r="A625" s="583">
        <v>19</v>
      </c>
      <c r="B625" s="584" t="str">
        <f t="shared" si="435"/>
        <v>પરમાર દિલીપકુમાર મધુભાઇ</v>
      </c>
      <c r="C625" s="311"/>
      <c r="D625" s="312"/>
      <c r="E625" s="312"/>
      <c r="F625" s="312"/>
      <c r="G625" s="312"/>
      <c r="H625" s="312"/>
      <c r="I625" s="312"/>
      <c r="J625" s="312"/>
      <c r="K625" s="312"/>
      <c r="L625" s="312"/>
      <c r="M625" s="312"/>
      <c r="N625" s="312"/>
      <c r="O625" s="312"/>
      <c r="P625" s="312"/>
      <c r="Q625" s="312"/>
      <c r="R625" s="312"/>
      <c r="S625" s="312"/>
      <c r="T625" s="312"/>
      <c r="U625" s="312"/>
      <c r="V625" s="313"/>
      <c r="W625" s="587">
        <f>'A-CALC'!V591</f>
        <v>0</v>
      </c>
      <c r="X625" s="590">
        <f>'A-CALC'!W591</f>
        <v>0</v>
      </c>
      <c r="Y625" s="590">
        <f>'A-CALC'!X591</f>
        <v>0</v>
      </c>
      <c r="Z625" s="593">
        <f t="shared" ref="Z625" si="457">ROUND((40/$Y$7)*W625,0)</f>
        <v>0</v>
      </c>
      <c r="AA625" s="301"/>
      <c r="AB625" s="583">
        <v>19</v>
      </c>
      <c r="AC625" s="584" t="str">
        <f t="shared" si="437"/>
        <v>પરમાર દિલીપકુમાર મધુભાઇ</v>
      </c>
      <c r="AD625" s="311"/>
      <c r="AE625" s="312"/>
      <c r="AF625" s="312"/>
      <c r="AG625" s="312"/>
      <c r="AH625" s="312"/>
      <c r="AI625" s="312"/>
      <c r="AJ625" s="312"/>
      <c r="AK625" s="312"/>
      <c r="AL625" s="312"/>
      <c r="AM625" s="312"/>
      <c r="AN625" s="312"/>
      <c r="AO625" s="312"/>
      <c r="AP625" s="312"/>
      <c r="AQ625" s="312"/>
      <c r="AR625" s="312"/>
      <c r="AS625" s="312"/>
      <c r="AT625" s="312"/>
      <c r="AU625" s="312"/>
      <c r="AV625" s="312"/>
      <c r="AW625" s="313"/>
      <c r="AX625" s="587">
        <f>'A-CALC'!AU591</f>
        <v>0</v>
      </c>
      <c r="AY625" s="590">
        <f>'A-CALC'!AV591</f>
        <v>0</v>
      </c>
      <c r="AZ625" s="590">
        <f>'A-CALC'!AW591</f>
        <v>0</v>
      </c>
      <c r="BA625" s="593">
        <f t="shared" ref="BA625" si="458">ROUND((40/$Y$7)*AX625,0)</f>
        <v>0</v>
      </c>
    </row>
    <row r="626" spans="1:53" ht="9" customHeight="1">
      <c r="A626" s="583"/>
      <c r="B626" s="585"/>
      <c r="C626" s="314"/>
      <c r="D626" s="315"/>
      <c r="E626" s="315"/>
      <c r="F626" s="315"/>
      <c r="G626" s="315"/>
      <c r="H626" s="315"/>
      <c r="I626" s="315"/>
      <c r="J626" s="315"/>
      <c r="K626" s="315"/>
      <c r="L626" s="315"/>
      <c r="M626" s="315"/>
      <c r="N626" s="315"/>
      <c r="O626" s="315"/>
      <c r="P626" s="315"/>
      <c r="Q626" s="315"/>
      <c r="R626" s="315"/>
      <c r="S626" s="315"/>
      <c r="T626" s="315"/>
      <c r="U626" s="315"/>
      <c r="V626" s="316"/>
      <c r="W626" s="588"/>
      <c r="X626" s="591"/>
      <c r="Y626" s="591"/>
      <c r="Z626" s="594"/>
      <c r="AA626" s="301"/>
      <c r="AB626" s="583"/>
      <c r="AC626" s="585"/>
      <c r="AD626" s="314"/>
      <c r="AE626" s="315"/>
      <c r="AF626" s="315"/>
      <c r="AG626" s="315"/>
      <c r="AH626" s="315"/>
      <c r="AI626" s="315"/>
      <c r="AJ626" s="315"/>
      <c r="AK626" s="315"/>
      <c r="AL626" s="315"/>
      <c r="AM626" s="315"/>
      <c r="AN626" s="315"/>
      <c r="AO626" s="315"/>
      <c r="AP626" s="315"/>
      <c r="AQ626" s="315"/>
      <c r="AR626" s="315"/>
      <c r="AS626" s="315"/>
      <c r="AT626" s="315"/>
      <c r="AU626" s="315"/>
      <c r="AV626" s="315"/>
      <c r="AW626" s="316"/>
      <c r="AX626" s="588"/>
      <c r="AY626" s="591"/>
      <c r="AZ626" s="591"/>
      <c r="BA626" s="594"/>
    </row>
    <row r="627" spans="1:53" ht="9" customHeight="1">
      <c r="A627" s="583"/>
      <c r="B627" s="586"/>
      <c r="C627" s="317"/>
      <c r="D627" s="318"/>
      <c r="E627" s="318"/>
      <c r="F627" s="318"/>
      <c r="G627" s="318"/>
      <c r="H627" s="318"/>
      <c r="I627" s="318"/>
      <c r="J627" s="318"/>
      <c r="K627" s="318"/>
      <c r="L627" s="318"/>
      <c r="M627" s="318"/>
      <c r="N627" s="318"/>
      <c r="O627" s="318"/>
      <c r="P627" s="318"/>
      <c r="Q627" s="318"/>
      <c r="R627" s="318"/>
      <c r="S627" s="318"/>
      <c r="T627" s="318"/>
      <c r="U627" s="318"/>
      <c r="V627" s="319"/>
      <c r="W627" s="589"/>
      <c r="X627" s="592"/>
      <c r="Y627" s="592"/>
      <c r="Z627" s="594"/>
      <c r="AA627" s="301"/>
      <c r="AB627" s="583"/>
      <c r="AC627" s="586"/>
      <c r="AD627" s="317"/>
      <c r="AE627" s="318"/>
      <c r="AF627" s="318"/>
      <c r="AG627" s="318"/>
      <c r="AH627" s="318"/>
      <c r="AI627" s="318"/>
      <c r="AJ627" s="318"/>
      <c r="AK627" s="318"/>
      <c r="AL627" s="318"/>
      <c r="AM627" s="318"/>
      <c r="AN627" s="318"/>
      <c r="AO627" s="318"/>
      <c r="AP627" s="318"/>
      <c r="AQ627" s="318"/>
      <c r="AR627" s="318"/>
      <c r="AS627" s="318"/>
      <c r="AT627" s="318"/>
      <c r="AU627" s="318"/>
      <c r="AV627" s="318"/>
      <c r="AW627" s="319"/>
      <c r="AX627" s="589"/>
      <c r="AY627" s="592"/>
      <c r="AZ627" s="592"/>
      <c r="BA627" s="594"/>
    </row>
    <row r="628" spans="1:53" ht="9" customHeight="1">
      <c r="A628" s="583">
        <v>20</v>
      </c>
      <c r="B628" s="584" t="str">
        <f t="shared" si="435"/>
        <v>વિરપરા કૃણાલ હરેશભાઇ</v>
      </c>
      <c r="C628" s="311"/>
      <c r="D628" s="312"/>
      <c r="E628" s="312"/>
      <c r="F628" s="312"/>
      <c r="G628" s="312"/>
      <c r="H628" s="312"/>
      <c r="I628" s="312"/>
      <c r="J628" s="312"/>
      <c r="K628" s="312"/>
      <c r="L628" s="312"/>
      <c r="M628" s="312"/>
      <c r="N628" s="312"/>
      <c r="O628" s="312"/>
      <c r="P628" s="312"/>
      <c r="Q628" s="312"/>
      <c r="R628" s="312"/>
      <c r="S628" s="312"/>
      <c r="T628" s="312"/>
      <c r="U628" s="312"/>
      <c r="V628" s="313"/>
      <c r="W628" s="587">
        <f>'A-CALC'!V594</f>
        <v>0</v>
      </c>
      <c r="X628" s="590">
        <f>'A-CALC'!W594</f>
        <v>0</v>
      </c>
      <c r="Y628" s="590">
        <f>'A-CALC'!X594</f>
        <v>0</v>
      </c>
      <c r="Z628" s="593">
        <f t="shared" ref="Z628" si="459">ROUND((40/$Y$7)*W628,0)</f>
        <v>0</v>
      </c>
      <c r="AA628" s="301"/>
      <c r="AB628" s="583">
        <v>20</v>
      </c>
      <c r="AC628" s="584" t="str">
        <f t="shared" si="437"/>
        <v>વિરપરા કૃણાલ હરેશભાઇ</v>
      </c>
      <c r="AD628" s="311"/>
      <c r="AE628" s="312"/>
      <c r="AF628" s="312"/>
      <c r="AG628" s="312"/>
      <c r="AH628" s="312"/>
      <c r="AI628" s="312"/>
      <c r="AJ628" s="312"/>
      <c r="AK628" s="312"/>
      <c r="AL628" s="312"/>
      <c r="AM628" s="312"/>
      <c r="AN628" s="312"/>
      <c r="AO628" s="312"/>
      <c r="AP628" s="312"/>
      <c r="AQ628" s="312"/>
      <c r="AR628" s="312"/>
      <c r="AS628" s="312"/>
      <c r="AT628" s="312"/>
      <c r="AU628" s="312"/>
      <c r="AV628" s="312"/>
      <c r="AW628" s="313"/>
      <c r="AX628" s="587">
        <f>'A-CALC'!AU594</f>
        <v>0</v>
      </c>
      <c r="AY628" s="590">
        <f>'A-CALC'!AV594</f>
        <v>0</v>
      </c>
      <c r="AZ628" s="590">
        <f>'A-CALC'!AW594</f>
        <v>0</v>
      </c>
      <c r="BA628" s="593">
        <f t="shared" ref="BA628" si="460">ROUND((40/$Y$7)*AX628,0)</f>
        <v>0</v>
      </c>
    </row>
    <row r="629" spans="1:53" ht="9" customHeight="1">
      <c r="A629" s="583"/>
      <c r="B629" s="585"/>
      <c r="C629" s="314"/>
      <c r="D629" s="315"/>
      <c r="E629" s="315"/>
      <c r="F629" s="315"/>
      <c r="G629" s="315"/>
      <c r="H629" s="315"/>
      <c r="I629" s="315"/>
      <c r="J629" s="315"/>
      <c r="K629" s="315"/>
      <c r="L629" s="315"/>
      <c r="M629" s="315"/>
      <c r="N629" s="315"/>
      <c r="O629" s="315"/>
      <c r="P629" s="315"/>
      <c r="Q629" s="315"/>
      <c r="R629" s="315"/>
      <c r="S629" s="315"/>
      <c r="T629" s="315"/>
      <c r="U629" s="315"/>
      <c r="V629" s="316"/>
      <c r="W629" s="588"/>
      <c r="X629" s="591"/>
      <c r="Y629" s="591"/>
      <c r="Z629" s="594"/>
      <c r="AA629" s="301"/>
      <c r="AB629" s="583"/>
      <c r="AC629" s="585"/>
      <c r="AD629" s="314"/>
      <c r="AE629" s="315"/>
      <c r="AF629" s="315"/>
      <c r="AG629" s="315"/>
      <c r="AH629" s="315"/>
      <c r="AI629" s="315"/>
      <c r="AJ629" s="315"/>
      <c r="AK629" s="315"/>
      <c r="AL629" s="315"/>
      <c r="AM629" s="315"/>
      <c r="AN629" s="315"/>
      <c r="AO629" s="315"/>
      <c r="AP629" s="315"/>
      <c r="AQ629" s="315"/>
      <c r="AR629" s="315"/>
      <c r="AS629" s="315"/>
      <c r="AT629" s="315"/>
      <c r="AU629" s="315"/>
      <c r="AV629" s="315"/>
      <c r="AW629" s="316"/>
      <c r="AX629" s="588"/>
      <c r="AY629" s="591"/>
      <c r="AZ629" s="591"/>
      <c r="BA629" s="594"/>
    </row>
    <row r="630" spans="1:53" ht="9" customHeight="1">
      <c r="A630" s="583"/>
      <c r="B630" s="586"/>
      <c r="C630" s="317"/>
      <c r="D630" s="318"/>
      <c r="E630" s="318"/>
      <c r="F630" s="318"/>
      <c r="G630" s="318"/>
      <c r="H630" s="318"/>
      <c r="I630" s="318"/>
      <c r="J630" s="318"/>
      <c r="K630" s="318"/>
      <c r="L630" s="318"/>
      <c r="M630" s="318"/>
      <c r="N630" s="318"/>
      <c r="O630" s="318"/>
      <c r="P630" s="318"/>
      <c r="Q630" s="318"/>
      <c r="R630" s="318"/>
      <c r="S630" s="318"/>
      <c r="T630" s="318"/>
      <c r="U630" s="318"/>
      <c r="V630" s="319"/>
      <c r="W630" s="589"/>
      <c r="X630" s="592"/>
      <c r="Y630" s="592"/>
      <c r="Z630" s="594"/>
      <c r="AA630" s="301"/>
      <c r="AB630" s="583"/>
      <c r="AC630" s="586"/>
      <c r="AD630" s="317"/>
      <c r="AE630" s="318"/>
      <c r="AF630" s="318"/>
      <c r="AG630" s="318"/>
      <c r="AH630" s="318"/>
      <c r="AI630" s="318"/>
      <c r="AJ630" s="318"/>
      <c r="AK630" s="318"/>
      <c r="AL630" s="318"/>
      <c r="AM630" s="318"/>
      <c r="AN630" s="318"/>
      <c r="AO630" s="318"/>
      <c r="AP630" s="318"/>
      <c r="AQ630" s="318"/>
      <c r="AR630" s="318"/>
      <c r="AS630" s="318"/>
      <c r="AT630" s="318"/>
      <c r="AU630" s="318"/>
      <c r="AV630" s="318"/>
      <c r="AW630" s="319"/>
      <c r="AX630" s="589"/>
      <c r="AY630" s="592"/>
      <c r="AZ630" s="592"/>
      <c r="BA630" s="594"/>
    </row>
    <row r="631" spans="1:53" ht="9" customHeight="1">
      <c r="A631" s="583">
        <v>21</v>
      </c>
      <c r="B631" s="584" t="str">
        <f t="shared" si="435"/>
        <v>મકરૂબિયા જીજ્ઞેશભાઇ અશોકભાઇ</v>
      </c>
      <c r="C631" s="311"/>
      <c r="D631" s="312"/>
      <c r="E631" s="312"/>
      <c r="F631" s="312"/>
      <c r="G631" s="312"/>
      <c r="H631" s="312"/>
      <c r="I631" s="312"/>
      <c r="J631" s="312"/>
      <c r="K631" s="312"/>
      <c r="L631" s="312"/>
      <c r="M631" s="312"/>
      <c r="N631" s="312"/>
      <c r="O631" s="312"/>
      <c r="P631" s="312"/>
      <c r="Q631" s="312"/>
      <c r="R631" s="312"/>
      <c r="S631" s="312"/>
      <c r="T631" s="312"/>
      <c r="U631" s="312"/>
      <c r="V631" s="313"/>
      <c r="W631" s="587">
        <f>'A-CALC'!V597</f>
        <v>0</v>
      </c>
      <c r="X631" s="590">
        <f>'A-CALC'!W597</f>
        <v>0</v>
      </c>
      <c r="Y631" s="590">
        <f>'A-CALC'!X597</f>
        <v>0</v>
      </c>
      <c r="Z631" s="593">
        <f t="shared" ref="Z631" si="461">ROUND((40/$Y$7)*W631,0)</f>
        <v>0</v>
      </c>
      <c r="AA631" s="301"/>
      <c r="AB631" s="583">
        <v>21</v>
      </c>
      <c r="AC631" s="584" t="str">
        <f t="shared" si="437"/>
        <v>મકરૂબિયા જીજ્ઞેશભાઇ અશોકભાઇ</v>
      </c>
      <c r="AD631" s="311"/>
      <c r="AE631" s="312"/>
      <c r="AF631" s="312"/>
      <c r="AG631" s="312"/>
      <c r="AH631" s="312"/>
      <c r="AI631" s="312"/>
      <c r="AJ631" s="312"/>
      <c r="AK631" s="312"/>
      <c r="AL631" s="312"/>
      <c r="AM631" s="312"/>
      <c r="AN631" s="312"/>
      <c r="AO631" s="312"/>
      <c r="AP631" s="312"/>
      <c r="AQ631" s="312"/>
      <c r="AR631" s="312"/>
      <c r="AS631" s="312"/>
      <c r="AT631" s="312"/>
      <c r="AU631" s="312"/>
      <c r="AV631" s="312"/>
      <c r="AW631" s="313"/>
      <c r="AX631" s="587">
        <f>'A-CALC'!AU597</f>
        <v>0</v>
      </c>
      <c r="AY631" s="590">
        <f>'A-CALC'!AV597</f>
        <v>0</v>
      </c>
      <c r="AZ631" s="590">
        <f>'A-CALC'!AW597</f>
        <v>0</v>
      </c>
      <c r="BA631" s="593">
        <f t="shared" ref="BA631" si="462">ROUND((40/$Y$7)*AX631,0)</f>
        <v>0</v>
      </c>
    </row>
    <row r="632" spans="1:53" ht="9" customHeight="1">
      <c r="A632" s="583"/>
      <c r="B632" s="585"/>
      <c r="C632" s="314"/>
      <c r="D632" s="315"/>
      <c r="E632" s="315"/>
      <c r="F632" s="315"/>
      <c r="G632" s="315"/>
      <c r="H632" s="315"/>
      <c r="I632" s="315"/>
      <c r="J632" s="315"/>
      <c r="K632" s="315"/>
      <c r="L632" s="315"/>
      <c r="M632" s="315"/>
      <c r="N632" s="315"/>
      <c r="O632" s="315"/>
      <c r="P632" s="315"/>
      <c r="Q632" s="315"/>
      <c r="R632" s="315"/>
      <c r="S632" s="315"/>
      <c r="T632" s="315"/>
      <c r="U632" s="315"/>
      <c r="V632" s="316"/>
      <c r="W632" s="588"/>
      <c r="X632" s="591"/>
      <c r="Y632" s="591"/>
      <c r="Z632" s="594"/>
      <c r="AA632" s="301"/>
      <c r="AB632" s="583"/>
      <c r="AC632" s="585"/>
      <c r="AD632" s="314"/>
      <c r="AE632" s="315"/>
      <c r="AF632" s="315"/>
      <c r="AG632" s="315"/>
      <c r="AH632" s="315"/>
      <c r="AI632" s="315"/>
      <c r="AJ632" s="315"/>
      <c r="AK632" s="315"/>
      <c r="AL632" s="315"/>
      <c r="AM632" s="315"/>
      <c r="AN632" s="315"/>
      <c r="AO632" s="315"/>
      <c r="AP632" s="315"/>
      <c r="AQ632" s="315"/>
      <c r="AR632" s="315"/>
      <c r="AS632" s="315"/>
      <c r="AT632" s="315"/>
      <c r="AU632" s="315"/>
      <c r="AV632" s="315"/>
      <c r="AW632" s="316"/>
      <c r="AX632" s="588"/>
      <c r="AY632" s="591"/>
      <c r="AZ632" s="591"/>
      <c r="BA632" s="594"/>
    </row>
    <row r="633" spans="1:53" ht="9" customHeight="1">
      <c r="A633" s="583"/>
      <c r="B633" s="586"/>
      <c r="C633" s="317"/>
      <c r="D633" s="318"/>
      <c r="E633" s="318"/>
      <c r="F633" s="318"/>
      <c r="G633" s="318"/>
      <c r="H633" s="318"/>
      <c r="I633" s="318"/>
      <c r="J633" s="318"/>
      <c r="K633" s="318"/>
      <c r="L633" s="318"/>
      <c r="M633" s="318"/>
      <c r="N633" s="318"/>
      <c r="O633" s="318"/>
      <c r="P633" s="318"/>
      <c r="Q633" s="318"/>
      <c r="R633" s="318"/>
      <c r="S633" s="318"/>
      <c r="T633" s="318"/>
      <c r="U633" s="318"/>
      <c r="V633" s="319"/>
      <c r="W633" s="589"/>
      <c r="X633" s="592"/>
      <c r="Y633" s="592"/>
      <c r="Z633" s="594"/>
      <c r="AA633" s="301"/>
      <c r="AB633" s="583"/>
      <c r="AC633" s="586"/>
      <c r="AD633" s="317"/>
      <c r="AE633" s="318"/>
      <c r="AF633" s="318"/>
      <c r="AG633" s="318"/>
      <c r="AH633" s="318"/>
      <c r="AI633" s="318"/>
      <c r="AJ633" s="318"/>
      <c r="AK633" s="318"/>
      <c r="AL633" s="318"/>
      <c r="AM633" s="318"/>
      <c r="AN633" s="318"/>
      <c r="AO633" s="318"/>
      <c r="AP633" s="318"/>
      <c r="AQ633" s="318"/>
      <c r="AR633" s="318"/>
      <c r="AS633" s="318"/>
      <c r="AT633" s="318"/>
      <c r="AU633" s="318"/>
      <c r="AV633" s="318"/>
      <c r="AW633" s="319"/>
      <c r="AX633" s="589"/>
      <c r="AY633" s="592"/>
      <c r="AZ633" s="592"/>
      <c r="BA633" s="594"/>
    </row>
    <row r="634" spans="1:53" ht="9" customHeight="1">
      <c r="A634" s="583">
        <v>22</v>
      </c>
      <c r="B634" s="584" t="str">
        <f t="shared" si="435"/>
        <v>ખિમસુરીયા જ્યોત્સના મુકેશભાઇ</v>
      </c>
      <c r="C634" s="311"/>
      <c r="D634" s="312"/>
      <c r="E634" s="312"/>
      <c r="F634" s="312"/>
      <c r="G634" s="312"/>
      <c r="H634" s="312"/>
      <c r="I634" s="312"/>
      <c r="J634" s="312"/>
      <c r="K634" s="312"/>
      <c r="L634" s="312"/>
      <c r="M634" s="312"/>
      <c r="N634" s="312"/>
      <c r="O634" s="312"/>
      <c r="P634" s="312"/>
      <c r="Q634" s="312"/>
      <c r="R634" s="312"/>
      <c r="S634" s="312"/>
      <c r="T634" s="312"/>
      <c r="U634" s="312"/>
      <c r="V634" s="313"/>
      <c r="W634" s="587">
        <f>'A-CALC'!V600</f>
        <v>0</v>
      </c>
      <c r="X634" s="590">
        <f>'A-CALC'!W600</f>
        <v>0</v>
      </c>
      <c r="Y634" s="590">
        <f>'A-CALC'!X600</f>
        <v>0</v>
      </c>
      <c r="Z634" s="593">
        <f t="shared" ref="Z634" si="463">ROUND((40/$Y$7)*W634,0)</f>
        <v>0</v>
      </c>
      <c r="AA634" s="301"/>
      <c r="AB634" s="583">
        <v>22</v>
      </c>
      <c r="AC634" s="584" t="str">
        <f t="shared" si="437"/>
        <v>ખિમસુરીયા જ્યોત્સના મુકેશભાઇ</v>
      </c>
      <c r="AD634" s="311"/>
      <c r="AE634" s="312"/>
      <c r="AF634" s="312"/>
      <c r="AG634" s="312"/>
      <c r="AH634" s="312"/>
      <c r="AI634" s="312"/>
      <c r="AJ634" s="312"/>
      <c r="AK634" s="312"/>
      <c r="AL634" s="312"/>
      <c r="AM634" s="312"/>
      <c r="AN634" s="312"/>
      <c r="AO634" s="312"/>
      <c r="AP634" s="312"/>
      <c r="AQ634" s="312"/>
      <c r="AR634" s="312"/>
      <c r="AS634" s="312"/>
      <c r="AT634" s="312"/>
      <c r="AU634" s="312"/>
      <c r="AV634" s="312"/>
      <c r="AW634" s="313"/>
      <c r="AX634" s="587">
        <f>'A-CALC'!AU600</f>
        <v>0</v>
      </c>
      <c r="AY634" s="590">
        <f>'A-CALC'!AV600</f>
        <v>0</v>
      </c>
      <c r="AZ634" s="590">
        <f>'A-CALC'!AW600</f>
        <v>0</v>
      </c>
      <c r="BA634" s="593">
        <f t="shared" ref="BA634" si="464">ROUND((40/$Y$7)*AX634,0)</f>
        <v>0</v>
      </c>
    </row>
    <row r="635" spans="1:53" ht="9" customHeight="1">
      <c r="A635" s="583"/>
      <c r="B635" s="585"/>
      <c r="C635" s="314"/>
      <c r="D635" s="315"/>
      <c r="E635" s="315"/>
      <c r="F635" s="315"/>
      <c r="G635" s="315"/>
      <c r="H635" s="315"/>
      <c r="I635" s="315"/>
      <c r="J635" s="315"/>
      <c r="K635" s="315"/>
      <c r="L635" s="315"/>
      <c r="M635" s="315"/>
      <c r="N635" s="315"/>
      <c r="O635" s="315"/>
      <c r="P635" s="315"/>
      <c r="Q635" s="315"/>
      <c r="R635" s="315"/>
      <c r="S635" s="315"/>
      <c r="T635" s="315"/>
      <c r="U635" s="315"/>
      <c r="V635" s="316"/>
      <c r="W635" s="588"/>
      <c r="X635" s="591"/>
      <c r="Y635" s="591"/>
      <c r="Z635" s="594"/>
      <c r="AA635" s="301"/>
      <c r="AB635" s="583"/>
      <c r="AC635" s="585"/>
      <c r="AD635" s="314"/>
      <c r="AE635" s="315"/>
      <c r="AF635" s="315"/>
      <c r="AG635" s="315"/>
      <c r="AH635" s="315"/>
      <c r="AI635" s="315"/>
      <c r="AJ635" s="315"/>
      <c r="AK635" s="315"/>
      <c r="AL635" s="315"/>
      <c r="AM635" s="315"/>
      <c r="AN635" s="315"/>
      <c r="AO635" s="315"/>
      <c r="AP635" s="315"/>
      <c r="AQ635" s="315"/>
      <c r="AR635" s="315"/>
      <c r="AS635" s="315"/>
      <c r="AT635" s="315"/>
      <c r="AU635" s="315"/>
      <c r="AV635" s="315"/>
      <c r="AW635" s="316"/>
      <c r="AX635" s="588"/>
      <c r="AY635" s="591"/>
      <c r="AZ635" s="591"/>
      <c r="BA635" s="594"/>
    </row>
    <row r="636" spans="1:53" ht="9" customHeight="1">
      <c r="A636" s="583"/>
      <c r="B636" s="586"/>
      <c r="C636" s="317"/>
      <c r="D636" s="318"/>
      <c r="E636" s="318"/>
      <c r="F636" s="318"/>
      <c r="G636" s="318"/>
      <c r="H636" s="318"/>
      <c r="I636" s="318"/>
      <c r="J636" s="318"/>
      <c r="K636" s="318"/>
      <c r="L636" s="318"/>
      <c r="M636" s="318"/>
      <c r="N636" s="318"/>
      <c r="O636" s="318"/>
      <c r="P636" s="318"/>
      <c r="Q636" s="318"/>
      <c r="R636" s="318"/>
      <c r="S636" s="318"/>
      <c r="T636" s="318"/>
      <c r="U636" s="318"/>
      <c r="V636" s="319"/>
      <c r="W636" s="589"/>
      <c r="X636" s="592"/>
      <c r="Y636" s="592"/>
      <c r="Z636" s="594"/>
      <c r="AA636" s="301"/>
      <c r="AB636" s="583"/>
      <c r="AC636" s="586"/>
      <c r="AD636" s="317"/>
      <c r="AE636" s="318"/>
      <c r="AF636" s="318"/>
      <c r="AG636" s="318"/>
      <c r="AH636" s="318"/>
      <c r="AI636" s="318"/>
      <c r="AJ636" s="318"/>
      <c r="AK636" s="318"/>
      <c r="AL636" s="318"/>
      <c r="AM636" s="318"/>
      <c r="AN636" s="318"/>
      <c r="AO636" s="318"/>
      <c r="AP636" s="318"/>
      <c r="AQ636" s="318"/>
      <c r="AR636" s="318"/>
      <c r="AS636" s="318"/>
      <c r="AT636" s="318"/>
      <c r="AU636" s="318"/>
      <c r="AV636" s="318"/>
      <c r="AW636" s="319"/>
      <c r="AX636" s="589"/>
      <c r="AY636" s="592"/>
      <c r="AZ636" s="592"/>
      <c r="BA636" s="594"/>
    </row>
    <row r="637" spans="1:53" ht="9" customHeight="1">
      <c r="A637" s="583">
        <v>23</v>
      </c>
      <c r="B637" s="584" t="str">
        <f t="shared" si="435"/>
        <v>ગરણિયા રાજલબેન સામતભાઇ</v>
      </c>
      <c r="C637" s="311"/>
      <c r="D637" s="312"/>
      <c r="E637" s="312"/>
      <c r="F637" s="312"/>
      <c r="G637" s="312"/>
      <c r="H637" s="312"/>
      <c r="I637" s="312"/>
      <c r="J637" s="312"/>
      <c r="K637" s="312"/>
      <c r="L637" s="312"/>
      <c r="M637" s="312"/>
      <c r="N637" s="312"/>
      <c r="O637" s="312"/>
      <c r="P637" s="312"/>
      <c r="Q637" s="312"/>
      <c r="R637" s="312"/>
      <c r="S637" s="312"/>
      <c r="T637" s="312"/>
      <c r="U637" s="312"/>
      <c r="V637" s="313"/>
      <c r="W637" s="587">
        <f>'A-CALC'!V603</f>
        <v>0</v>
      </c>
      <c r="X637" s="590">
        <f>'A-CALC'!W603</f>
        <v>0</v>
      </c>
      <c r="Y637" s="590">
        <f>'A-CALC'!X603</f>
        <v>0</v>
      </c>
      <c r="Z637" s="593">
        <f t="shared" ref="Z637" si="465">ROUND((40/$Y$7)*W637,0)</f>
        <v>0</v>
      </c>
      <c r="AA637" s="301"/>
      <c r="AB637" s="583">
        <v>23</v>
      </c>
      <c r="AC637" s="584" t="str">
        <f t="shared" si="437"/>
        <v>ગરણિયા રાજલબેન સામતભાઇ</v>
      </c>
      <c r="AD637" s="311"/>
      <c r="AE637" s="312"/>
      <c r="AF637" s="312"/>
      <c r="AG637" s="312"/>
      <c r="AH637" s="312"/>
      <c r="AI637" s="312"/>
      <c r="AJ637" s="312"/>
      <c r="AK637" s="312"/>
      <c r="AL637" s="312"/>
      <c r="AM637" s="312"/>
      <c r="AN637" s="312"/>
      <c r="AO637" s="312"/>
      <c r="AP637" s="312"/>
      <c r="AQ637" s="312"/>
      <c r="AR637" s="312"/>
      <c r="AS637" s="312"/>
      <c r="AT637" s="312"/>
      <c r="AU637" s="312"/>
      <c r="AV637" s="312"/>
      <c r="AW637" s="313"/>
      <c r="AX637" s="587">
        <f>'A-CALC'!AU603</f>
        <v>0</v>
      </c>
      <c r="AY637" s="590">
        <f>'A-CALC'!AV603</f>
        <v>0</v>
      </c>
      <c r="AZ637" s="590">
        <f>'A-CALC'!AW603</f>
        <v>0</v>
      </c>
      <c r="BA637" s="593">
        <f t="shared" ref="BA637" si="466">ROUND((40/$Y$7)*AX637,0)</f>
        <v>0</v>
      </c>
    </row>
    <row r="638" spans="1:53" ht="9" customHeight="1">
      <c r="A638" s="583"/>
      <c r="B638" s="585"/>
      <c r="C638" s="314"/>
      <c r="D638" s="315"/>
      <c r="E638" s="315"/>
      <c r="F638" s="315"/>
      <c r="G638" s="315"/>
      <c r="H638" s="315"/>
      <c r="I638" s="315"/>
      <c r="J638" s="315"/>
      <c r="K638" s="315"/>
      <c r="L638" s="315"/>
      <c r="M638" s="315"/>
      <c r="N638" s="315"/>
      <c r="O638" s="315"/>
      <c r="P638" s="315"/>
      <c r="Q638" s="315"/>
      <c r="R638" s="315"/>
      <c r="S638" s="315"/>
      <c r="T638" s="315"/>
      <c r="U638" s="315"/>
      <c r="V638" s="316"/>
      <c r="W638" s="588"/>
      <c r="X638" s="591"/>
      <c r="Y638" s="591"/>
      <c r="Z638" s="594"/>
      <c r="AA638" s="301"/>
      <c r="AB638" s="583"/>
      <c r="AC638" s="585"/>
      <c r="AD638" s="314"/>
      <c r="AE638" s="315"/>
      <c r="AF638" s="315"/>
      <c r="AG638" s="315"/>
      <c r="AH638" s="315"/>
      <c r="AI638" s="315"/>
      <c r="AJ638" s="315"/>
      <c r="AK638" s="315"/>
      <c r="AL638" s="315"/>
      <c r="AM638" s="315"/>
      <c r="AN638" s="315"/>
      <c r="AO638" s="315"/>
      <c r="AP638" s="315"/>
      <c r="AQ638" s="315"/>
      <c r="AR638" s="315"/>
      <c r="AS638" s="315"/>
      <c r="AT638" s="315"/>
      <c r="AU638" s="315"/>
      <c r="AV638" s="315"/>
      <c r="AW638" s="316"/>
      <c r="AX638" s="588"/>
      <c r="AY638" s="591"/>
      <c r="AZ638" s="591"/>
      <c r="BA638" s="594"/>
    </row>
    <row r="639" spans="1:53" ht="9" customHeight="1">
      <c r="A639" s="583"/>
      <c r="B639" s="586"/>
      <c r="C639" s="317"/>
      <c r="D639" s="318"/>
      <c r="E639" s="318"/>
      <c r="F639" s="318"/>
      <c r="G639" s="318"/>
      <c r="H639" s="318"/>
      <c r="I639" s="318"/>
      <c r="J639" s="318"/>
      <c r="K639" s="318"/>
      <c r="L639" s="318"/>
      <c r="M639" s="318"/>
      <c r="N639" s="318"/>
      <c r="O639" s="318"/>
      <c r="P639" s="318"/>
      <c r="Q639" s="318"/>
      <c r="R639" s="318"/>
      <c r="S639" s="318"/>
      <c r="T639" s="318"/>
      <c r="U639" s="318"/>
      <c r="V639" s="319"/>
      <c r="W639" s="589"/>
      <c r="X639" s="592"/>
      <c r="Y639" s="592"/>
      <c r="Z639" s="594"/>
      <c r="AA639" s="301"/>
      <c r="AB639" s="583"/>
      <c r="AC639" s="586"/>
      <c r="AD639" s="317"/>
      <c r="AE639" s="318"/>
      <c r="AF639" s="318"/>
      <c r="AG639" s="318"/>
      <c r="AH639" s="318"/>
      <c r="AI639" s="318"/>
      <c r="AJ639" s="318"/>
      <c r="AK639" s="318"/>
      <c r="AL639" s="318"/>
      <c r="AM639" s="318"/>
      <c r="AN639" s="318"/>
      <c r="AO639" s="318"/>
      <c r="AP639" s="318"/>
      <c r="AQ639" s="318"/>
      <c r="AR639" s="318"/>
      <c r="AS639" s="318"/>
      <c r="AT639" s="318"/>
      <c r="AU639" s="318"/>
      <c r="AV639" s="318"/>
      <c r="AW639" s="319"/>
      <c r="AX639" s="589"/>
      <c r="AY639" s="592"/>
      <c r="AZ639" s="592"/>
      <c r="BA639" s="594"/>
    </row>
    <row r="640" spans="1:53" ht="9" customHeight="1">
      <c r="A640" s="583">
        <v>24</v>
      </c>
      <c r="B640" s="584" t="str">
        <f t="shared" si="435"/>
        <v>ગરણિયા નિરાલીબેન પ્રદીપભાઇ</v>
      </c>
      <c r="C640" s="311"/>
      <c r="D640" s="312"/>
      <c r="E640" s="312"/>
      <c r="F640" s="312"/>
      <c r="G640" s="312"/>
      <c r="H640" s="312"/>
      <c r="I640" s="312"/>
      <c r="J640" s="312"/>
      <c r="K640" s="312"/>
      <c r="L640" s="312"/>
      <c r="M640" s="312"/>
      <c r="N640" s="312"/>
      <c r="O640" s="312"/>
      <c r="P640" s="312"/>
      <c r="Q640" s="312"/>
      <c r="R640" s="312"/>
      <c r="S640" s="312"/>
      <c r="T640" s="312"/>
      <c r="U640" s="312"/>
      <c r="V640" s="313"/>
      <c r="W640" s="587">
        <f>'A-CALC'!V606</f>
        <v>0</v>
      </c>
      <c r="X640" s="590">
        <f>'A-CALC'!W606</f>
        <v>0</v>
      </c>
      <c r="Y640" s="590">
        <f>'A-CALC'!X606</f>
        <v>0</v>
      </c>
      <c r="Z640" s="593">
        <f t="shared" ref="Z640" si="467">ROUND((40/$Y$7)*W640,0)</f>
        <v>0</v>
      </c>
      <c r="AA640" s="301"/>
      <c r="AB640" s="583">
        <v>24</v>
      </c>
      <c r="AC640" s="584" t="str">
        <f t="shared" si="437"/>
        <v>ગરણિયા નિરાલીબેન પ્રદીપભાઇ</v>
      </c>
      <c r="AD640" s="311"/>
      <c r="AE640" s="312"/>
      <c r="AF640" s="312"/>
      <c r="AG640" s="312"/>
      <c r="AH640" s="312"/>
      <c r="AI640" s="312"/>
      <c r="AJ640" s="312"/>
      <c r="AK640" s="312"/>
      <c r="AL640" s="312"/>
      <c r="AM640" s="312"/>
      <c r="AN640" s="312"/>
      <c r="AO640" s="312"/>
      <c r="AP640" s="312"/>
      <c r="AQ640" s="312"/>
      <c r="AR640" s="312"/>
      <c r="AS640" s="312"/>
      <c r="AT640" s="312"/>
      <c r="AU640" s="312"/>
      <c r="AV640" s="312"/>
      <c r="AW640" s="313"/>
      <c r="AX640" s="587">
        <f>'A-CALC'!AU606</f>
        <v>0</v>
      </c>
      <c r="AY640" s="590">
        <f>'A-CALC'!AV606</f>
        <v>0</v>
      </c>
      <c r="AZ640" s="590">
        <f>'A-CALC'!AW606</f>
        <v>0</v>
      </c>
      <c r="BA640" s="593">
        <f t="shared" ref="BA640" si="468">ROUND((40/$Y$7)*AX640,0)</f>
        <v>0</v>
      </c>
    </row>
    <row r="641" spans="1:53" ht="9" customHeight="1">
      <c r="A641" s="583"/>
      <c r="B641" s="585"/>
      <c r="C641" s="314"/>
      <c r="D641" s="315"/>
      <c r="E641" s="315"/>
      <c r="F641" s="315"/>
      <c r="G641" s="315"/>
      <c r="H641" s="315"/>
      <c r="I641" s="315"/>
      <c r="J641" s="315"/>
      <c r="K641" s="315"/>
      <c r="L641" s="315"/>
      <c r="M641" s="315"/>
      <c r="N641" s="315"/>
      <c r="O641" s="315"/>
      <c r="P641" s="315"/>
      <c r="Q641" s="315"/>
      <c r="R641" s="315"/>
      <c r="S641" s="315"/>
      <c r="T641" s="315"/>
      <c r="U641" s="315"/>
      <c r="V641" s="316"/>
      <c r="W641" s="588"/>
      <c r="X641" s="591"/>
      <c r="Y641" s="591"/>
      <c r="Z641" s="594"/>
      <c r="AA641" s="301"/>
      <c r="AB641" s="583"/>
      <c r="AC641" s="585"/>
      <c r="AD641" s="314"/>
      <c r="AE641" s="315"/>
      <c r="AF641" s="315"/>
      <c r="AG641" s="315"/>
      <c r="AH641" s="315"/>
      <c r="AI641" s="315"/>
      <c r="AJ641" s="315"/>
      <c r="AK641" s="315"/>
      <c r="AL641" s="315"/>
      <c r="AM641" s="315"/>
      <c r="AN641" s="315"/>
      <c r="AO641" s="315"/>
      <c r="AP641" s="315"/>
      <c r="AQ641" s="315"/>
      <c r="AR641" s="315"/>
      <c r="AS641" s="315"/>
      <c r="AT641" s="315"/>
      <c r="AU641" s="315"/>
      <c r="AV641" s="315"/>
      <c r="AW641" s="316"/>
      <c r="AX641" s="588"/>
      <c r="AY641" s="591"/>
      <c r="AZ641" s="591"/>
      <c r="BA641" s="594"/>
    </row>
    <row r="642" spans="1:53" ht="9" customHeight="1">
      <c r="A642" s="583"/>
      <c r="B642" s="586"/>
      <c r="C642" s="317"/>
      <c r="D642" s="318"/>
      <c r="E642" s="318"/>
      <c r="F642" s="318"/>
      <c r="G642" s="318"/>
      <c r="H642" s="318"/>
      <c r="I642" s="318"/>
      <c r="J642" s="318"/>
      <c r="K642" s="318"/>
      <c r="L642" s="318"/>
      <c r="M642" s="318"/>
      <c r="N642" s="318"/>
      <c r="O642" s="318"/>
      <c r="P642" s="318"/>
      <c r="Q642" s="318"/>
      <c r="R642" s="318"/>
      <c r="S642" s="318"/>
      <c r="T642" s="318"/>
      <c r="U642" s="318"/>
      <c r="V642" s="319"/>
      <c r="W642" s="589"/>
      <c r="X642" s="592"/>
      <c r="Y642" s="592"/>
      <c r="Z642" s="594"/>
      <c r="AA642" s="301"/>
      <c r="AB642" s="583"/>
      <c r="AC642" s="586"/>
      <c r="AD642" s="317"/>
      <c r="AE642" s="318"/>
      <c r="AF642" s="318"/>
      <c r="AG642" s="318"/>
      <c r="AH642" s="318"/>
      <c r="AI642" s="318"/>
      <c r="AJ642" s="318"/>
      <c r="AK642" s="318"/>
      <c r="AL642" s="318"/>
      <c r="AM642" s="318"/>
      <c r="AN642" s="318"/>
      <c r="AO642" s="318"/>
      <c r="AP642" s="318"/>
      <c r="AQ642" s="318"/>
      <c r="AR642" s="318"/>
      <c r="AS642" s="318"/>
      <c r="AT642" s="318"/>
      <c r="AU642" s="318"/>
      <c r="AV642" s="318"/>
      <c r="AW642" s="319"/>
      <c r="AX642" s="589"/>
      <c r="AY642" s="592"/>
      <c r="AZ642" s="592"/>
      <c r="BA642" s="594"/>
    </row>
    <row r="643" spans="1:53" ht="9" customHeight="1">
      <c r="A643" s="583">
        <v>25</v>
      </c>
      <c r="B643" s="584" t="str">
        <f t="shared" si="435"/>
        <v>ગરણિયા રાધાબેન લક્ષ્મણભાઇ</v>
      </c>
      <c r="C643" s="311"/>
      <c r="D643" s="312"/>
      <c r="E643" s="312"/>
      <c r="F643" s="312"/>
      <c r="G643" s="312"/>
      <c r="H643" s="312"/>
      <c r="I643" s="312"/>
      <c r="J643" s="312"/>
      <c r="K643" s="312"/>
      <c r="L643" s="312"/>
      <c r="M643" s="312"/>
      <c r="N643" s="312"/>
      <c r="O643" s="312"/>
      <c r="P643" s="312"/>
      <c r="Q643" s="312"/>
      <c r="R643" s="312"/>
      <c r="S643" s="312"/>
      <c r="T643" s="312"/>
      <c r="U643" s="312"/>
      <c r="V643" s="313"/>
      <c r="W643" s="587">
        <f>'A-CALC'!V609</f>
        <v>0</v>
      </c>
      <c r="X643" s="590">
        <f>'A-CALC'!W609</f>
        <v>0</v>
      </c>
      <c r="Y643" s="590">
        <f>'A-CALC'!X609</f>
        <v>0</v>
      </c>
      <c r="Z643" s="593">
        <f t="shared" ref="Z643" si="469">ROUND((40/$Y$7)*W643,0)</f>
        <v>0</v>
      </c>
      <c r="AA643" s="301"/>
      <c r="AB643" s="583">
        <v>25</v>
      </c>
      <c r="AC643" s="584" t="str">
        <f t="shared" si="437"/>
        <v>ગરણિયા રાધાબેન લક્ષ્મણભાઇ</v>
      </c>
      <c r="AD643" s="311"/>
      <c r="AE643" s="312"/>
      <c r="AF643" s="312"/>
      <c r="AG643" s="312"/>
      <c r="AH643" s="312"/>
      <c r="AI643" s="312"/>
      <c r="AJ643" s="312"/>
      <c r="AK643" s="312"/>
      <c r="AL643" s="312"/>
      <c r="AM643" s="312"/>
      <c r="AN643" s="312"/>
      <c r="AO643" s="312"/>
      <c r="AP643" s="312"/>
      <c r="AQ643" s="312"/>
      <c r="AR643" s="312"/>
      <c r="AS643" s="312"/>
      <c r="AT643" s="312"/>
      <c r="AU643" s="312"/>
      <c r="AV643" s="312"/>
      <c r="AW643" s="313"/>
      <c r="AX643" s="587">
        <f>'A-CALC'!AU609</f>
        <v>0</v>
      </c>
      <c r="AY643" s="590">
        <f>'A-CALC'!AV609</f>
        <v>0</v>
      </c>
      <c r="AZ643" s="590">
        <f>'A-CALC'!AW609</f>
        <v>0</v>
      </c>
      <c r="BA643" s="593">
        <f t="shared" ref="BA643" si="470">ROUND((40/$Y$7)*AX643,0)</f>
        <v>0</v>
      </c>
    </row>
    <row r="644" spans="1:53" ht="9" customHeight="1">
      <c r="A644" s="583"/>
      <c r="B644" s="585"/>
      <c r="C644" s="314"/>
      <c r="D644" s="315"/>
      <c r="E644" s="315"/>
      <c r="F644" s="315"/>
      <c r="G644" s="315"/>
      <c r="H644" s="315"/>
      <c r="I644" s="315"/>
      <c r="J644" s="315"/>
      <c r="K644" s="315"/>
      <c r="L644" s="315"/>
      <c r="M644" s="315"/>
      <c r="N644" s="315"/>
      <c r="O644" s="315"/>
      <c r="P644" s="315"/>
      <c r="Q644" s="315"/>
      <c r="R644" s="315"/>
      <c r="S644" s="315"/>
      <c r="T644" s="315"/>
      <c r="U644" s="315"/>
      <c r="V644" s="316"/>
      <c r="W644" s="588"/>
      <c r="X644" s="591"/>
      <c r="Y644" s="591"/>
      <c r="Z644" s="594"/>
      <c r="AA644" s="301"/>
      <c r="AB644" s="583"/>
      <c r="AC644" s="585"/>
      <c r="AD644" s="314"/>
      <c r="AE644" s="315"/>
      <c r="AF644" s="315"/>
      <c r="AG644" s="315"/>
      <c r="AH644" s="315"/>
      <c r="AI644" s="315"/>
      <c r="AJ644" s="315"/>
      <c r="AK644" s="315"/>
      <c r="AL644" s="315"/>
      <c r="AM644" s="315"/>
      <c r="AN644" s="315"/>
      <c r="AO644" s="315"/>
      <c r="AP644" s="315"/>
      <c r="AQ644" s="315"/>
      <c r="AR644" s="315"/>
      <c r="AS644" s="315"/>
      <c r="AT644" s="315"/>
      <c r="AU644" s="315"/>
      <c r="AV644" s="315"/>
      <c r="AW644" s="316"/>
      <c r="AX644" s="588"/>
      <c r="AY644" s="591"/>
      <c r="AZ644" s="591"/>
      <c r="BA644" s="594"/>
    </row>
    <row r="645" spans="1:53" ht="9" customHeight="1">
      <c r="A645" s="583"/>
      <c r="B645" s="586"/>
      <c r="C645" s="317"/>
      <c r="D645" s="318"/>
      <c r="E645" s="318"/>
      <c r="F645" s="318"/>
      <c r="G645" s="318"/>
      <c r="H645" s="318"/>
      <c r="I645" s="318"/>
      <c r="J645" s="318"/>
      <c r="K645" s="318"/>
      <c r="L645" s="318"/>
      <c r="M645" s="318"/>
      <c r="N645" s="318"/>
      <c r="O645" s="318"/>
      <c r="P645" s="318"/>
      <c r="Q645" s="318"/>
      <c r="R645" s="318"/>
      <c r="S645" s="318"/>
      <c r="T645" s="318"/>
      <c r="U645" s="318"/>
      <c r="V645" s="319"/>
      <c r="W645" s="589"/>
      <c r="X645" s="592"/>
      <c r="Y645" s="592"/>
      <c r="Z645" s="594"/>
      <c r="AA645" s="301"/>
      <c r="AB645" s="583"/>
      <c r="AC645" s="586"/>
      <c r="AD645" s="317"/>
      <c r="AE645" s="318"/>
      <c r="AF645" s="318"/>
      <c r="AG645" s="318"/>
      <c r="AH645" s="318"/>
      <c r="AI645" s="318"/>
      <c r="AJ645" s="318"/>
      <c r="AK645" s="318"/>
      <c r="AL645" s="318"/>
      <c r="AM645" s="318"/>
      <c r="AN645" s="318"/>
      <c r="AO645" s="318"/>
      <c r="AP645" s="318"/>
      <c r="AQ645" s="318"/>
      <c r="AR645" s="318"/>
      <c r="AS645" s="318"/>
      <c r="AT645" s="318"/>
      <c r="AU645" s="318"/>
      <c r="AV645" s="318"/>
      <c r="AW645" s="319"/>
      <c r="AX645" s="589"/>
      <c r="AY645" s="592"/>
      <c r="AZ645" s="592"/>
      <c r="BA645" s="594"/>
    </row>
    <row r="646" spans="1:53" ht="9" customHeight="1">
      <c r="A646" s="583">
        <v>26</v>
      </c>
      <c r="B646" s="584" t="str">
        <f t="shared" si="435"/>
        <v>ગૌસ્વામિ મયુરીબેન રમેશગીરી</v>
      </c>
      <c r="C646" s="311"/>
      <c r="D646" s="312"/>
      <c r="E646" s="312"/>
      <c r="F646" s="312"/>
      <c r="G646" s="312"/>
      <c r="H646" s="312"/>
      <c r="I646" s="312"/>
      <c r="J646" s="312"/>
      <c r="K646" s="312"/>
      <c r="L646" s="312"/>
      <c r="M646" s="312"/>
      <c r="N646" s="312"/>
      <c r="O646" s="312"/>
      <c r="P646" s="312"/>
      <c r="Q646" s="312"/>
      <c r="R646" s="312"/>
      <c r="S646" s="312"/>
      <c r="T646" s="312"/>
      <c r="U646" s="312"/>
      <c r="V646" s="313"/>
      <c r="W646" s="587">
        <f>'A-CALC'!V612</f>
        <v>0</v>
      </c>
      <c r="X646" s="590">
        <f>'A-CALC'!W612</f>
        <v>0</v>
      </c>
      <c r="Y646" s="590">
        <f>'A-CALC'!X612</f>
        <v>0</v>
      </c>
      <c r="Z646" s="593">
        <f t="shared" ref="Z646" si="471">ROUND((40/$Y$7)*W646,0)</f>
        <v>0</v>
      </c>
      <c r="AA646" s="301"/>
      <c r="AB646" s="583">
        <v>26</v>
      </c>
      <c r="AC646" s="584" t="str">
        <f t="shared" si="437"/>
        <v>ગૌસ્વામિ મયુરીબેન રમેશગીરી</v>
      </c>
      <c r="AD646" s="311"/>
      <c r="AE646" s="312"/>
      <c r="AF646" s="312"/>
      <c r="AG646" s="312"/>
      <c r="AH646" s="312"/>
      <c r="AI646" s="312"/>
      <c r="AJ646" s="312"/>
      <c r="AK646" s="312"/>
      <c r="AL646" s="312"/>
      <c r="AM646" s="312"/>
      <c r="AN646" s="312"/>
      <c r="AO646" s="312"/>
      <c r="AP646" s="312"/>
      <c r="AQ646" s="312"/>
      <c r="AR646" s="312"/>
      <c r="AS646" s="312"/>
      <c r="AT646" s="312"/>
      <c r="AU646" s="312"/>
      <c r="AV646" s="312"/>
      <c r="AW646" s="313"/>
      <c r="AX646" s="587">
        <f>'A-CALC'!AU612</f>
        <v>0</v>
      </c>
      <c r="AY646" s="590">
        <f>'A-CALC'!AV612</f>
        <v>0</v>
      </c>
      <c r="AZ646" s="590">
        <f>'A-CALC'!AW612</f>
        <v>0</v>
      </c>
      <c r="BA646" s="593">
        <f t="shared" ref="BA646" si="472">ROUND((40/$Y$7)*AX646,0)</f>
        <v>0</v>
      </c>
    </row>
    <row r="647" spans="1:53" ht="9" customHeight="1">
      <c r="A647" s="583"/>
      <c r="B647" s="585"/>
      <c r="C647" s="314"/>
      <c r="D647" s="315"/>
      <c r="E647" s="315"/>
      <c r="F647" s="315"/>
      <c r="G647" s="315"/>
      <c r="H647" s="315"/>
      <c r="I647" s="315"/>
      <c r="J647" s="315"/>
      <c r="K647" s="315"/>
      <c r="L647" s="315"/>
      <c r="M647" s="315"/>
      <c r="N647" s="315"/>
      <c r="O647" s="315"/>
      <c r="P647" s="315"/>
      <c r="Q647" s="315"/>
      <c r="R647" s="315"/>
      <c r="S647" s="315"/>
      <c r="T647" s="315"/>
      <c r="U647" s="315"/>
      <c r="V647" s="316"/>
      <c r="W647" s="588"/>
      <c r="X647" s="591"/>
      <c r="Y647" s="591"/>
      <c r="Z647" s="594"/>
      <c r="AA647" s="301"/>
      <c r="AB647" s="583"/>
      <c r="AC647" s="585"/>
      <c r="AD647" s="314"/>
      <c r="AE647" s="315"/>
      <c r="AF647" s="315"/>
      <c r="AG647" s="315"/>
      <c r="AH647" s="315"/>
      <c r="AI647" s="315"/>
      <c r="AJ647" s="315"/>
      <c r="AK647" s="315"/>
      <c r="AL647" s="315"/>
      <c r="AM647" s="315"/>
      <c r="AN647" s="315"/>
      <c r="AO647" s="315"/>
      <c r="AP647" s="315"/>
      <c r="AQ647" s="315"/>
      <c r="AR647" s="315"/>
      <c r="AS647" s="315"/>
      <c r="AT647" s="315"/>
      <c r="AU647" s="315"/>
      <c r="AV647" s="315"/>
      <c r="AW647" s="316"/>
      <c r="AX647" s="588"/>
      <c r="AY647" s="591"/>
      <c r="AZ647" s="591"/>
      <c r="BA647" s="594"/>
    </row>
    <row r="648" spans="1:53" ht="9" customHeight="1">
      <c r="A648" s="583"/>
      <c r="B648" s="586"/>
      <c r="C648" s="317"/>
      <c r="D648" s="318"/>
      <c r="E648" s="318"/>
      <c r="F648" s="318"/>
      <c r="G648" s="318"/>
      <c r="H648" s="318"/>
      <c r="I648" s="318"/>
      <c r="J648" s="318"/>
      <c r="K648" s="318"/>
      <c r="L648" s="318"/>
      <c r="M648" s="318"/>
      <c r="N648" s="318"/>
      <c r="O648" s="318"/>
      <c r="P648" s="318"/>
      <c r="Q648" s="318"/>
      <c r="R648" s="318"/>
      <c r="S648" s="318"/>
      <c r="T648" s="318"/>
      <c r="U648" s="318"/>
      <c r="V648" s="319"/>
      <c r="W648" s="589"/>
      <c r="X648" s="592"/>
      <c r="Y648" s="592"/>
      <c r="Z648" s="594"/>
      <c r="AA648" s="301"/>
      <c r="AB648" s="583"/>
      <c r="AC648" s="586"/>
      <c r="AD648" s="317"/>
      <c r="AE648" s="318"/>
      <c r="AF648" s="318"/>
      <c r="AG648" s="318"/>
      <c r="AH648" s="318"/>
      <c r="AI648" s="318"/>
      <c r="AJ648" s="318"/>
      <c r="AK648" s="318"/>
      <c r="AL648" s="318"/>
      <c r="AM648" s="318"/>
      <c r="AN648" s="318"/>
      <c r="AO648" s="318"/>
      <c r="AP648" s="318"/>
      <c r="AQ648" s="318"/>
      <c r="AR648" s="318"/>
      <c r="AS648" s="318"/>
      <c r="AT648" s="318"/>
      <c r="AU648" s="318"/>
      <c r="AV648" s="318"/>
      <c r="AW648" s="319"/>
      <c r="AX648" s="589"/>
      <c r="AY648" s="592"/>
      <c r="AZ648" s="592"/>
      <c r="BA648" s="594"/>
    </row>
    <row r="649" spans="1:53" ht="9" customHeight="1">
      <c r="A649" s="583">
        <v>27</v>
      </c>
      <c r="B649" s="584" t="str">
        <f t="shared" si="435"/>
        <v>બતાડા જાનકી વાલાભાઇ</v>
      </c>
      <c r="C649" s="311"/>
      <c r="D649" s="312"/>
      <c r="E649" s="312"/>
      <c r="F649" s="312"/>
      <c r="G649" s="312"/>
      <c r="H649" s="312"/>
      <c r="I649" s="312"/>
      <c r="J649" s="312"/>
      <c r="K649" s="312"/>
      <c r="L649" s="312"/>
      <c r="M649" s="312"/>
      <c r="N649" s="312"/>
      <c r="O649" s="312"/>
      <c r="P649" s="312"/>
      <c r="Q649" s="312"/>
      <c r="R649" s="312"/>
      <c r="S649" s="312"/>
      <c r="T649" s="312"/>
      <c r="U649" s="312"/>
      <c r="V649" s="313"/>
      <c r="W649" s="587">
        <f>'A-CALC'!V615</f>
        <v>0</v>
      </c>
      <c r="X649" s="590">
        <f>'A-CALC'!W615</f>
        <v>0</v>
      </c>
      <c r="Y649" s="590">
        <f>'A-CALC'!X615</f>
        <v>0</v>
      </c>
      <c r="Z649" s="593">
        <f t="shared" ref="Z649" si="473">ROUND((40/$Y$7)*W649,0)</f>
        <v>0</v>
      </c>
      <c r="AA649" s="301"/>
      <c r="AB649" s="583">
        <v>27</v>
      </c>
      <c r="AC649" s="584" t="str">
        <f t="shared" si="437"/>
        <v>બતાડા જાનકી વાલાભાઇ</v>
      </c>
      <c r="AD649" s="311"/>
      <c r="AE649" s="312"/>
      <c r="AF649" s="312"/>
      <c r="AG649" s="312"/>
      <c r="AH649" s="312"/>
      <c r="AI649" s="312"/>
      <c r="AJ649" s="312"/>
      <c r="AK649" s="312"/>
      <c r="AL649" s="312"/>
      <c r="AM649" s="312"/>
      <c r="AN649" s="312"/>
      <c r="AO649" s="312"/>
      <c r="AP649" s="312"/>
      <c r="AQ649" s="312"/>
      <c r="AR649" s="312"/>
      <c r="AS649" s="312"/>
      <c r="AT649" s="312"/>
      <c r="AU649" s="312"/>
      <c r="AV649" s="312"/>
      <c r="AW649" s="313"/>
      <c r="AX649" s="587">
        <f>'A-CALC'!AU615</f>
        <v>0</v>
      </c>
      <c r="AY649" s="590">
        <f>'A-CALC'!AV615</f>
        <v>0</v>
      </c>
      <c r="AZ649" s="590">
        <f>'A-CALC'!AW615</f>
        <v>0</v>
      </c>
      <c r="BA649" s="593">
        <f t="shared" ref="BA649" si="474">ROUND((40/$Y$7)*AX649,0)</f>
        <v>0</v>
      </c>
    </row>
    <row r="650" spans="1:53" ht="9" customHeight="1">
      <c r="A650" s="583"/>
      <c r="B650" s="585"/>
      <c r="C650" s="314"/>
      <c r="D650" s="315"/>
      <c r="E650" s="315"/>
      <c r="F650" s="315"/>
      <c r="G650" s="315"/>
      <c r="H650" s="315"/>
      <c r="I650" s="315"/>
      <c r="J650" s="315"/>
      <c r="K650" s="315"/>
      <c r="L650" s="315"/>
      <c r="M650" s="315"/>
      <c r="N650" s="315"/>
      <c r="O650" s="315"/>
      <c r="P650" s="315"/>
      <c r="Q650" s="315"/>
      <c r="R650" s="315"/>
      <c r="S650" s="315"/>
      <c r="T650" s="315"/>
      <c r="U650" s="315"/>
      <c r="V650" s="316"/>
      <c r="W650" s="588"/>
      <c r="X650" s="591"/>
      <c r="Y650" s="591"/>
      <c r="Z650" s="594"/>
      <c r="AA650" s="301"/>
      <c r="AB650" s="583"/>
      <c r="AC650" s="585"/>
      <c r="AD650" s="314"/>
      <c r="AE650" s="315"/>
      <c r="AF650" s="315"/>
      <c r="AG650" s="315"/>
      <c r="AH650" s="315"/>
      <c r="AI650" s="315"/>
      <c r="AJ650" s="315"/>
      <c r="AK650" s="315"/>
      <c r="AL650" s="315"/>
      <c r="AM650" s="315"/>
      <c r="AN650" s="315"/>
      <c r="AO650" s="315"/>
      <c r="AP650" s="315"/>
      <c r="AQ650" s="315"/>
      <c r="AR650" s="315"/>
      <c r="AS650" s="315"/>
      <c r="AT650" s="315"/>
      <c r="AU650" s="315"/>
      <c r="AV650" s="315"/>
      <c r="AW650" s="316"/>
      <c r="AX650" s="588"/>
      <c r="AY650" s="591"/>
      <c r="AZ650" s="591"/>
      <c r="BA650" s="594"/>
    </row>
    <row r="651" spans="1:53" ht="9" customHeight="1">
      <c r="A651" s="583"/>
      <c r="B651" s="586"/>
      <c r="C651" s="317"/>
      <c r="D651" s="318"/>
      <c r="E651" s="318"/>
      <c r="F651" s="318"/>
      <c r="G651" s="318"/>
      <c r="H651" s="318"/>
      <c r="I651" s="318"/>
      <c r="J651" s="318"/>
      <c r="K651" s="318"/>
      <c r="L651" s="318"/>
      <c r="M651" s="318"/>
      <c r="N651" s="318"/>
      <c r="O651" s="318"/>
      <c r="P651" s="318"/>
      <c r="Q651" s="318"/>
      <c r="R651" s="318"/>
      <c r="S651" s="318"/>
      <c r="T651" s="318"/>
      <c r="U651" s="318"/>
      <c r="V651" s="319"/>
      <c r="W651" s="589"/>
      <c r="X651" s="592"/>
      <c r="Y651" s="592"/>
      <c r="Z651" s="594"/>
      <c r="AA651" s="301"/>
      <c r="AB651" s="583"/>
      <c r="AC651" s="586"/>
      <c r="AD651" s="317"/>
      <c r="AE651" s="318"/>
      <c r="AF651" s="318"/>
      <c r="AG651" s="318"/>
      <c r="AH651" s="318"/>
      <c r="AI651" s="318"/>
      <c r="AJ651" s="318"/>
      <c r="AK651" s="318"/>
      <c r="AL651" s="318"/>
      <c r="AM651" s="318"/>
      <c r="AN651" s="318"/>
      <c r="AO651" s="318"/>
      <c r="AP651" s="318"/>
      <c r="AQ651" s="318"/>
      <c r="AR651" s="318"/>
      <c r="AS651" s="318"/>
      <c r="AT651" s="318"/>
      <c r="AU651" s="318"/>
      <c r="AV651" s="318"/>
      <c r="AW651" s="319"/>
      <c r="AX651" s="589"/>
      <c r="AY651" s="592"/>
      <c r="AZ651" s="592"/>
      <c r="BA651" s="594"/>
    </row>
    <row r="652" spans="1:53" ht="9" customHeight="1">
      <c r="A652" s="583">
        <v>28</v>
      </c>
      <c r="B652" s="584" t="str">
        <f t="shared" si="435"/>
        <v>બતાડા ક્રિષ્નાબેન દેવશીભાઇ</v>
      </c>
      <c r="C652" s="311"/>
      <c r="D652" s="312"/>
      <c r="E652" s="312"/>
      <c r="F652" s="312"/>
      <c r="G652" s="312"/>
      <c r="H652" s="312"/>
      <c r="I652" s="312"/>
      <c r="J652" s="312"/>
      <c r="K652" s="312"/>
      <c r="L652" s="312"/>
      <c r="M652" s="312"/>
      <c r="N652" s="312"/>
      <c r="O652" s="312"/>
      <c r="P652" s="312"/>
      <c r="Q652" s="312"/>
      <c r="R652" s="312"/>
      <c r="S652" s="312"/>
      <c r="T652" s="312"/>
      <c r="U652" s="312"/>
      <c r="V652" s="313"/>
      <c r="W652" s="587">
        <f>'A-CALC'!V618</f>
        <v>0</v>
      </c>
      <c r="X652" s="590">
        <f>'A-CALC'!W618</f>
        <v>0</v>
      </c>
      <c r="Y652" s="590">
        <f>'A-CALC'!X618</f>
        <v>0</v>
      </c>
      <c r="Z652" s="593">
        <f t="shared" ref="Z652" si="475">ROUND((40/$Y$7)*W652,0)</f>
        <v>0</v>
      </c>
      <c r="AA652" s="301"/>
      <c r="AB652" s="583">
        <v>28</v>
      </c>
      <c r="AC652" s="584" t="str">
        <f t="shared" si="437"/>
        <v>બતાડા ક્રિષ્નાબેન દેવશીભાઇ</v>
      </c>
      <c r="AD652" s="311"/>
      <c r="AE652" s="312"/>
      <c r="AF652" s="312"/>
      <c r="AG652" s="312"/>
      <c r="AH652" s="312"/>
      <c r="AI652" s="312"/>
      <c r="AJ652" s="312"/>
      <c r="AK652" s="312"/>
      <c r="AL652" s="312"/>
      <c r="AM652" s="312"/>
      <c r="AN652" s="312"/>
      <c r="AO652" s="312"/>
      <c r="AP652" s="312"/>
      <c r="AQ652" s="312"/>
      <c r="AR652" s="312"/>
      <c r="AS652" s="312"/>
      <c r="AT652" s="312"/>
      <c r="AU652" s="312"/>
      <c r="AV652" s="312"/>
      <c r="AW652" s="313"/>
      <c r="AX652" s="587">
        <f>'A-CALC'!AU618</f>
        <v>0</v>
      </c>
      <c r="AY652" s="590">
        <f>'A-CALC'!AV618</f>
        <v>0</v>
      </c>
      <c r="AZ652" s="590">
        <f>'A-CALC'!AW618</f>
        <v>0</v>
      </c>
      <c r="BA652" s="593">
        <f t="shared" ref="BA652" si="476">ROUND((40/$Y$7)*AX652,0)</f>
        <v>0</v>
      </c>
    </row>
    <row r="653" spans="1:53" ht="9" customHeight="1">
      <c r="A653" s="583"/>
      <c r="B653" s="585"/>
      <c r="C653" s="314"/>
      <c r="D653" s="315"/>
      <c r="E653" s="315"/>
      <c r="F653" s="315"/>
      <c r="G653" s="315"/>
      <c r="H653" s="315"/>
      <c r="I653" s="315"/>
      <c r="J653" s="315"/>
      <c r="K653" s="315"/>
      <c r="L653" s="315"/>
      <c r="M653" s="315"/>
      <c r="N653" s="315"/>
      <c r="O653" s="315"/>
      <c r="P653" s="315"/>
      <c r="Q653" s="315"/>
      <c r="R653" s="315"/>
      <c r="S653" s="315"/>
      <c r="T653" s="315"/>
      <c r="U653" s="315"/>
      <c r="V653" s="316"/>
      <c r="W653" s="588"/>
      <c r="X653" s="591"/>
      <c r="Y653" s="591"/>
      <c r="Z653" s="594"/>
      <c r="AA653" s="301"/>
      <c r="AB653" s="583"/>
      <c r="AC653" s="585"/>
      <c r="AD653" s="314"/>
      <c r="AE653" s="315"/>
      <c r="AF653" s="315"/>
      <c r="AG653" s="315"/>
      <c r="AH653" s="315"/>
      <c r="AI653" s="315"/>
      <c r="AJ653" s="315"/>
      <c r="AK653" s="315"/>
      <c r="AL653" s="315"/>
      <c r="AM653" s="315"/>
      <c r="AN653" s="315"/>
      <c r="AO653" s="315"/>
      <c r="AP653" s="315"/>
      <c r="AQ653" s="315"/>
      <c r="AR653" s="315"/>
      <c r="AS653" s="315"/>
      <c r="AT653" s="315"/>
      <c r="AU653" s="315"/>
      <c r="AV653" s="315"/>
      <c r="AW653" s="316"/>
      <c r="AX653" s="588"/>
      <c r="AY653" s="591"/>
      <c r="AZ653" s="591"/>
      <c r="BA653" s="594"/>
    </row>
    <row r="654" spans="1:53" ht="9" customHeight="1">
      <c r="A654" s="583"/>
      <c r="B654" s="586"/>
      <c r="C654" s="317"/>
      <c r="D654" s="318"/>
      <c r="E654" s="318"/>
      <c r="F654" s="318"/>
      <c r="G654" s="318"/>
      <c r="H654" s="318"/>
      <c r="I654" s="318"/>
      <c r="J654" s="318"/>
      <c r="K654" s="318"/>
      <c r="L654" s="318"/>
      <c r="M654" s="318"/>
      <c r="N654" s="318"/>
      <c r="O654" s="318"/>
      <c r="P654" s="318"/>
      <c r="Q654" s="318"/>
      <c r="R654" s="318"/>
      <c r="S654" s="318"/>
      <c r="T654" s="318"/>
      <c r="U654" s="318"/>
      <c r="V654" s="319"/>
      <c r="W654" s="589"/>
      <c r="X654" s="592"/>
      <c r="Y654" s="592"/>
      <c r="Z654" s="594"/>
      <c r="AA654" s="301"/>
      <c r="AB654" s="583"/>
      <c r="AC654" s="586"/>
      <c r="AD654" s="317"/>
      <c r="AE654" s="318"/>
      <c r="AF654" s="318"/>
      <c r="AG654" s="318"/>
      <c r="AH654" s="318"/>
      <c r="AI654" s="318"/>
      <c r="AJ654" s="318"/>
      <c r="AK654" s="318"/>
      <c r="AL654" s="318"/>
      <c r="AM654" s="318"/>
      <c r="AN654" s="318"/>
      <c r="AO654" s="318"/>
      <c r="AP654" s="318"/>
      <c r="AQ654" s="318"/>
      <c r="AR654" s="318"/>
      <c r="AS654" s="318"/>
      <c r="AT654" s="318"/>
      <c r="AU654" s="318"/>
      <c r="AV654" s="318"/>
      <c r="AW654" s="319"/>
      <c r="AX654" s="589"/>
      <c r="AY654" s="592"/>
      <c r="AZ654" s="592"/>
      <c r="BA654" s="594"/>
    </row>
    <row r="655" spans="1:53" ht="9" customHeight="1">
      <c r="A655" s="583">
        <v>29</v>
      </c>
      <c r="B655" s="584" t="str">
        <f t="shared" si="435"/>
        <v>પરમાર અનિષા રમેશભાઇ</v>
      </c>
      <c r="C655" s="311"/>
      <c r="D655" s="312"/>
      <c r="E655" s="312"/>
      <c r="F655" s="312"/>
      <c r="G655" s="312"/>
      <c r="H655" s="312"/>
      <c r="I655" s="312"/>
      <c r="J655" s="312"/>
      <c r="K655" s="312"/>
      <c r="L655" s="312"/>
      <c r="M655" s="312"/>
      <c r="N655" s="312"/>
      <c r="O655" s="312"/>
      <c r="P655" s="312"/>
      <c r="Q655" s="312"/>
      <c r="R655" s="312"/>
      <c r="S655" s="312"/>
      <c r="T655" s="312"/>
      <c r="U655" s="312"/>
      <c r="V655" s="313"/>
      <c r="W655" s="587">
        <f>'A-CALC'!V621</f>
        <v>0</v>
      </c>
      <c r="X655" s="590">
        <f>'A-CALC'!W621</f>
        <v>0</v>
      </c>
      <c r="Y655" s="590">
        <f>'A-CALC'!X621</f>
        <v>0</v>
      </c>
      <c r="Z655" s="593">
        <f t="shared" ref="Z655" si="477">ROUND((40/$Y$7)*W655,0)</f>
        <v>0</v>
      </c>
      <c r="AA655" s="301"/>
      <c r="AB655" s="583">
        <v>29</v>
      </c>
      <c r="AC655" s="584" t="str">
        <f t="shared" si="437"/>
        <v>પરમાર અનિષા રમેશભાઇ</v>
      </c>
      <c r="AD655" s="311"/>
      <c r="AE655" s="312"/>
      <c r="AF655" s="312"/>
      <c r="AG655" s="312"/>
      <c r="AH655" s="312"/>
      <c r="AI655" s="312"/>
      <c r="AJ655" s="312"/>
      <c r="AK655" s="312"/>
      <c r="AL655" s="312"/>
      <c r="AM655" s="312"/>
      <c r="AN655" s="312"/>
      <c r="AO655" s="312"/>
      <c r="AP655" s="312"/>
      <c r="AQ655" s="312"/>
      <c r="AR655" s="312"/>
      <c r="AS655" s="312"/>
      <c r="AT655" s="312"/>
      <c r="AU655" s="312"/>
      <c r="AV655" s="312"/>
      <c r="AW655" s="313"/>
      <c r="AX655" s="587">
        <f>'A-CALC'!AU621</f>
        <v>0</v>
      </c>
      <c r="AY655" s="590">
        <f>'A-CALC'!AV621</f>
        <v>0</v>
      </c>
      <c r="AZ655" s="590">
        <f>'A-CALC'!AW621</f>
        <v>0</v>
      </c>
      <c r="BA655" s="593">
        <f t="shared" ref="BA655" si="478">ROUND((40/$Y$7)*AX655,0)</f>
        <v>0</v>
      </c>
    </row>
    <row r="656" spans="1:53" ht="9" customHeight="1">
      <c r="A656" s="583"/>
      <c r="B656" s="585"/>
      <c r="C656" s="314"/>
      <c r="D656" s="315"/>
      <c r="E656" s="315"/>
      <c r="F656" s="315"/>
      <c r="G656" s="315"/>
      <c r="H656" s="315"/>
      <c r="I656" s="315"/>
      <c r="J656" s="315"/>
      <c r="K656" s="315"/>
      <c r="L656" s="315"/>
      <c r="M656" s="315"/>
      <c r="N656" s="315"/>
      <c r="O656" s="315"/>
      <c r="P656" s="315"/>
      <c r="Q656" s="315"/>
      <c r="R656" s="315"/>
      <c r="S656" s="315"/>
      <c r="T656" s="315"/>
      <c r="U656" s="315"/>
      <c r="V656" s="316"/>
      <c r="W656" s="588"/>
      <c r="X656" s="591"/>
      <c r="Y656" s="591"/>
      <c r="Z656" s="594"/>
      <c r="AA656" s="301"/>
      <c r="AB656" s="583"/>
      <c r="AC656" s="585"/>
      <c r="AD656" s="314"/>
      <c r="AE656" s="315"/>
      <c r="AF656" s="315"/>
      <c r="AG656" s="315"/>
      <c r="AH656" s="315"/>
      <c r="AI656" s="315"/>
      <c r="AJ656" s="315"/>
      <c r="AK656" s="315"/>
      <c r="AL656" s="315"/>
      <c r="AM656" s="315"/>
      <c r="AN656" s="315"/>
      <c r="AO656" s="315"/>
      <c r="AP656" s="315"/>
      <c r="AQ656" s="315"/>
      <c r="AR656" s="315"/>
      <c r="AS656" s="315"/>
      <c r="AT656" s="315"/>
      <c r="AU656" s="315"/>
      <c r="AV656" s="315"/>
      <c r="AW656" s="316"/>
      <c r="AX656" s="588"/>
      <c r="AY656" s="591"/>
      <c r="AZ656" s="591"/>
      <c r="BA656" s="594"/>
    </row>
    <row r="657" spans="1:53" ht="9" customHeight="1">
      <c r="A657" s="583"/>
      <c r="B657" s="586"/>
      <c r="C657" s="317"/>
      <c r="D657" s="318"/>
      <c r="E657" s="318"/>
      <c r="F657" s="318"/>
      <c r="G657" s="318"/>
      <c r="H657" s="318"/>
      <c r="I657" s="318"/>
      <c r="J657" s="318"/>
      <c r="K657" s="318"/>
      <c r="L657" s="318"/>
      <c r="M657" s="318"/>
      <c r="N657" s="318"/>
      <c r="O657" s="318"/>
      <c r="P657" s="318"/>
      <c r="Q657" s="318"/>
      <c r="R657" s="318"/>
      <c r="S657" s="318"/>
      <c r="T657" s="318"/>
      <c r="U657" s="318"/>
      <c r="V657" s="319"/>
      <c r="W657" s="589"/>
      <c r="X657" s="592"/>
      <c r="Y657" s="592"/>
      <c r="Z657" s="594"/>
      <c r="AA657" s="301"/>
      <c r="AB657" s="583"/>
      <c r="AC657" s="586"/>
      <c r="AD657" s="317"/>
      <c r="AE657" s="318"/>
      <c r="AF657" s="318"/>
      <c r="AG657" s="318"/>
      <c r="AH657" s="318"/>
      <c r="AI657" s="318"/>
      <c r="AJ657" s="318"/>
      <c r="AK657" s="318"/>
      <c r="AL657" s="318"/>
      <c r="AM657" s="318"/>
      <c r="AN657" s="318"/>
      <c r="AO657" s="318"/>
      <c r="AP657" s="318"/>
      <c r="AQ657" s="318"/>
      <c r="AR657" s="318"/>
      <c r="AS657" s="318"/>
      <c r="AT657" s="318"/>
      <c r="AU657" s="318"/>
      <c r="AV657" s="318"/>
      <c r="AW657" s="319"/>
      <c r="AX657" s="589"/>
      <c r="AY657" s="592"/>
      <c r="AZ657" s="592"/>
      <c r="BA657" s="594"/>
    </row>
    <row r="658" spans="1:53" ht="9" customHeight="1">
      <c r="A658" s="583">
        <v>30</v>
      </c>
      <c r="B658" s="584" t="str">
        <f t="shared" ref="B658:B673" si="479">B546</f>
        <v>મકરૂબિયા નમ્રતા વશરામભાઇ</v>
      </c>
      <c r="C658" s="311"/>
      <c r="D658" s="312"/>
      <c r="E658" s="312"/>
      <c r="F658" s="312"/>
      <c r="G658" s="312"/>
      <c r="H658" s="312"/>
      <c r="I658" s="312"/>
      <c r="J658" s="312"/>
      <c r="K658" s="312"/>
      <c r="L658" s="312"/>
      <c r="M658" s="312"/>
      <c r="N658" s="312"/>
      <c r="O658" s="312"/>
      <c r="P658" s="312"/>
      <c r="Q658" s="312"/>
      <c r="R658" s="312"/>
      <c r="S658" s="312"/>
      <c r="T658" s="312"/>
      <c r="U658" s="312"/>
      <c r="V658" s="313"/>
      <c r="W658" s="587">
        <f>'A-CALC'!V624</f>
        <v>0</v>
      </c>
      <c r="X658" s="590">
        <f>'A-CALC'!W624</f>
        <v>0</v>
      </c>
      <c r="Y658" s="590">
        <f>'A-CALC'!X624</f>
        <v>0</v>
      </c>
      <c r="Z658" s="593">
        <f t="shared" ref="Z658" si="480">ROUND((40/$Y$7)*W658,0)</f>
        <v>0</v>
      </c>
      <c r="AA658" s="301"/>
      <c r="AB658" s="583">
        <v>30</v>
      </c>
      <c r="AC658" s="584" t="str">
        <f t="shared" ref="AC658:AC673" si="481">AC546</f>
        <v>મકરૂબિયા નમ્રતા વશરામભાઇ</v>
      </c>
      <c r="AD658" s="311"/>
      <c r="AE658" s="312"/>
      <c r="AF658" s="312"/>
      <c r="AG658" s="312"/>
      <c r="AH658" s="312"/>
      <c r="AI658" s="312"/>
      <c r="AJ658" s="312"/>
      <c r="AK658" s="312"/>
      <c r="AL658" s="312"/>
      <c r="AM658" s="312"/>
      <c r="AN658" s="312"/>
      <c r="AO658" s="312"/>
      <c r="AP658" s="312"/>
      <c r="AQ658" s="312"/>
      <c r="AR658" s="312"/>
      <c r="AS658" s="312"/>
      <c r="AT658" s="312"/>
      <c r="AU658" s="312"/>
      <c r="AV658" s="312"/>
      <c r="AW658" s="313"/>
      <c r="AX658" s="587">
        <f>'A-CALC'!AU624</f>
        <v>0</v>
      </c>
      <c r="AY658" s="590">
        <f>'A-CALC'!AV624</f>
        <v>0</v>
      </c>
      <c r="AZ658" s="590">
        <f>'A-CALC'!AW624</f>
        <v>0</v>
      </c>
      <c r="BA658" s="593">
        <f t="shared" ref="BA658" si="482">ROUND((40/$Y$7)*AX658,0)</f>
        <v>0</v>
      </c>
    </row>
    <row r="659" spans="1:53" ht="9" customHeight="1">
      <c r="A659" s="583"/>
      <c r="B659" s="585"/>
      <c r="C659" s="314"/>
      <c r="D659" s="315"/>
      <c r="E659" s="315"/>
      <c r="F659" s="315"/>
      <c r="G659" s="315"/>
      <c r="H659" s="315"/>
      <c r="I659" s="315"/>
      <c r="J659" s="315"/>
      <c r="K659" s="315"/>
      <c r="L659" s="315"/>
      <c r="M659" s="315"/>
      <c r="N659" s="315"/>
      <c r="O659" s="315"/>
      <c r="P659" s="315"/>
      <c r="Q659" s="315"/>
      <c r="R659" s="315"/>
      <c r="S659" s="315"/>
      <c r="T659" s="315"/>
      <c r="U659" s="315"/>
      <c r="V659" s="316"/>
      <c r="W659" s="588"/>
      <c r="X659" s="591"/>
      <c r="Y659" s="591"/>
      <c r="Z659" s="594"/>
      <c r="AA659" s="301"/>
      <c r="AB659" s="583"/>
      <c r="AC659" s="585"/>
      <c r="AD659" s="314"/>
      <c r="AE659" s="315"/>
      <c r="AF659" s="315"/>
      <c r="AG659" s="315"/>
      <c r="AH659" s="315"/>
      <c r="AI659" s="315"/>
      <c r="AJ659" s="315"/>
      <c r="AK659" s="315"/>
      <c r="AL659" s="315"/>
      <c r="AM659" s="315"/>
      <c r="AN659" s="315"/>
      <c r="AO659" s="315"/>
      <c r="AP659" s="315"/>
      <c r="AQ659" s="315"/>
      <c r="AR659" s="315"/>
      <c r="AS659" s="315"/>
      <c r="AT659" s="315"/>
      <c r="AU659" s="315"/>
      <c r="AV659" s="315"/>
      <c r="AW659" s="316"/>
      <c r="AX659" s="588"/>
      <c r="AY659" s="591"/>
      <c r="AZ659" s="591"/>
      <c r="BA659" s="594"/>
    </row>
    <row r="660" spans="1:53" ht="9" customHeight="1">
      <c r="A660" s="583"/>
      <c r="B660" s="586"/>
      <c r="C660" s="317"/>
      <c r="D660" s="318"/>
      <c r="E660" s="318"/>
      <c r="F660" s="318"/>
      <c r="G660" s="318"/>
      <c r="H660" s="318"/>
      <c r="I660" s="318"/>
      <c r="J660" s="318"/>
      <c r="K660" s="318"/>
      <c r="L660" s="318"/>
      <c r="M660" s="318"/>
      <c r="N660" s="318"/>
      <c r="O660" s="318"/>
      <c r="P660" s="318"/>
      <c r="Q660" s="318"/>
      <c r="R660" s="318"/>
      <c r="S660" s="318"/>
      <c r="T660" s="318"/>
      <c r="U660" s="318"/>
      <c r="V660" s="319"/>
      <c r="W660" s="589"/>
      <c r="X660" s="592"/>
      <c r="Y660" s="592"/>
      <c r="Z660" s="594"/>
      <c r="AA660" s="301"/>
      <c r="AB660" s="583"/>
      <c r="AC660" s="586"/>
      <c r="AD660" s="317"/>
      <c r="AE660" s="318"/>
      <c r="AF660" s="318"/>
      <c r="AG660" s="318"/>
      <c r="AH660" s="318"/>
      <c r="AI660" s="318"/>
      <c r="AJ660" s="318"/>
      <c r="AK660" s="318"/>
      <c r="AL660" s="318"/>
      <c r="AM660" s="318"/>
      <c r="AN660" s="318"/>
      <c r="AO660" s="318"/>
      <c r="AP660" s="318"/>
      <c r="AQ660" s="318"/>
      <c r="AR660" s="318"/>
      <c r="AS660" s="318"/>
      <c r="AT660" s="318"/>
      <c r="AU660" s="318"/>
      <c r="AV660" s="318"/>
      <c r="AW660" s="319"/>
      <c r="AX660" s="589"/>
      <c r="AY660" s="592"/>
      <c r="AZ660" s="592"/>
      <c r="BA660" s="594"/>
    </row>
    <row r="661" spans="1:53" ht="9" customHeight="1">
      <c r="A661" s="583">
        <v>31</v>
      </c>
      <c r="B661" s="584">
        <f t="shared" si="479"/>
        <v>0</v>
      </c>
      <c r="C661" s="311"/>
      <c r="D661" s="312"/>
      <c r="E661" s="312"/>
      <c r="F661" s="312"/>
      <c r="G661" s="312"/>
      <c r="H661" s="312"/>
      <c r="I661" s="312"/>
      <c r="J661" s="312"/>
      <c r="K661" s="312"/>
      <c r="L661" s="312"/>
      <c r="M661" s="312"/>
      <c r="N661" s="312"/>
      <c r="O661" s="312"/>
      <c r="P661" s="312"/>
      <c r="Q661" s="312"/>
      <c r="R661" s="312"/>
      <c r="S661" s="312"/>
      <c r="T661" s="312"/>
      <c r="U661" s="312"/>
      <c r="V661" s="313"/>
      <c r="W661" s="587">
        <f>'A-CALC'!V627</f>
        <v>0</v>
      </c>
      <c r="X661" s="590">
        <f>'A-CALC'!W627</f>
        <v>0</v>
      </c>
      <c r="Y661" s="590">
        <f>'A-CALC'!X627</f>
        <v>0</v>
      </c>
      <c r="Z661" s="593">
        <f t="shared" ref="Z661" si="483">ROUND((40/$Y$7)*W661,0)</f>
        <v>0</v>
      </c>
      <c r="AA661" s="301"/>
      <c r="AB661" s="583">
        <v>31</v>
      </c>
      <c r="AC661" s="584">
        <f t="shared" si="481"/>
        <v>0</v>
      </c>
      <c r="AD661" s="311"/>
      <c r="AE661" s="312"/>
      <c r="AF661" s="312"/>
      <c r="AG661" s="312"/>
      <c r="AH661" s="312"/>
      <c r="AI661" s="312"/>
      <c r="AJ661" s="312"/>
      <c r="AK661" s="312"/>
      <c r="AL661" s="312"/>
      <c r="AM661" s="312"/>
      <c r="AN661" s="312"/>
      <c r="AO661" s="312"/>
      <c r="AP661" s="312"/>
      <c r="AQ661" s="312"/>
      <c r="AR661" s="312"/>
      <c r="AS661" s="312"/>
      <c r="AT661" s="312"/>
      <c r="AU661" s="312"/>
      <c r="AV661" s="312"/>
      <c r="AW661" s="313"/>
      <c r="AX661" s="587">
        <f>'A-CALC'!AU627</f>
        <v>0</v>
      </c>
      <c r="AY661" s="590">
        <f>'A-CALC'!AV627</f>
        <v>0</v>
      </c>
      <c r="AZ661" s="590">
        <f>'A-CALC'!AW627</f>
        <v>0</v>
      </c>
      <c r="BA661" s="593">
        <f t="shared" ref="BA661" si="484">ROUND((40/$Y$7)*AX661,0)</f>
        <v>0</v>
      </c>
    </row>
    <row r="662" spans="1:53" ht="9" customHeight="1">
      <c r="A662" s="583"/>
      <c r="B662" s="585"/>
      <c r="C662" s="314"/>
      <c r="D662" s="315"/>
      <c r="E662" s="315"/>
      <c r="F662" s="315"/>
      <c r="G662" s="315"/>
      <c r="H662" s="315"/>
      <c r="I662" s="315"/>
      <c r="J662" s="315"/>
      <c r="K662" s="315"/>
      <c r="L662" s="315"/>
      <c r="M662" s="315"/>
      <c r="N662" s="315"/>
      <c r="O662" s="315"/>
      <c r="P662" s="315"/>
      <c r="Q662" s="315"/>
      <c r="R662" s="315"/>
      <c r="S662" s="315"/>
      <c r="T662" s="315"/>
      <c r="U662" s="315"/>
      <c r="V662" s="316"/>
      <c r="W662" s="588"/>
      <c r="X662" s="591"/>
      <c r="Y662" s="591"/>
      <c r="Z662" s="594"/>
      <c r="AA662" s="301"/>
      <c r="AB662" s="583"/>
      <c r="AC662" s="585"/>
      <c r="AD662" s="314"/>
      <c r="AE662" s="315"/>
      <c r="AF662" s="315"/>
      <c r="AG662" s="315"/>
      <c r="AH662" s="315"/>
      <c r="AI662" s="315"/>
      <c r="AJ662" s="315"/>
      <c r="AK662" s="315"/>
      <c r="AL662" s="315"/>
      <c r="AM662" s="315"/>
      <c r="AN662" s="315"/>
      <c r="AO662" s="315"/>
      <c r="AP662" s="315"/>
      <c r="AQ662" s="315"/>
      <c r="AR662" s="315"/>
      <c r="AS662" s="315"/>
      <c r="AT662" s="315"/>
      <c r="AU662" s="315"/>
      <c r="AV662" s="315"/>
      <c r="AW662" s="316"/>
      <c r="AX662" s="588"/>
      <c r="AY662" s="591"/>
      <c r="AZ662" s="591"/>
      <c r="BA662" s="594"/>
    </row>
    <row r="663" spans="1:53" ht="9" customHeight="1">
      <c r="A663" s="583"/>
      <c r="B663" s="586"/>
      <c r="C663" s="317"/>
      <c r="D663" s="318"/>
      <c r="E663" s="318"/>
      <c r="F663" s="318"/>
      <c r="G663" s="318"/>
      <c r="H663" s="318"/>
      <c r="I663" s="318"/>
      <c r="J663" s="318"/>
      <c r="K663" s="318"/>
      <c r="L663" s="318"/>
      <c r="M663" s="318"/>
      <c r="N663" s="318"/>
      <c r="O663" s="318"/>
      <c r="P663" s="318"/>
      <c r="Q663" s="318"/>
      <c r="R663" s="318"/>
      <c r="S663" s="318"/>
      <c r="T663" s="318"/>
      <c r="U663" s="318"/>
      <c r="V663" s="319"/>
      <c r="W663" s="589"/>
      <c r="X663" s="592"/>
      <c r="Y663" s="592"/>
      <c r="Z663" s="594"/>
      <c r="AA663" s="301"/>
      <c r="AB663" s="583"/>
      <c r="AC663" s="586"/>
      <c r="AD663" s="317"/>
      <c r="AE663" s="318"/>
      <c r="AF663" s="318"/>
      <c r="AG663" s="318"/>
      <c r="AH663" s="318"/>
      <c r="AI663" s="318"/>
      <c r="AJ663" s="318"/>
      <c r="AK663" s="318"/>
      <c r="AL663" s="318"/>
      <c r="AM663" s="318"/>
      <c r="AN663" s="318"/>
      <c r="AO663" s="318"/>
      <c r="AP663" s="318"/>
      <c r="AQ663" s="318"/>
      <c r="AR663" s="318"/>
      <c r="AS663" s="318"/>
      <c r="AT663" s="318"/>
      <c r="AU663" s="318"/>
      <c r="AV663" s="318"/>
      <c r="AW663" s="319"/>
      <c r="AX663" s="589"/>
      <c r="AY663" s="592"/>
      <c r="AZ663" s="592"/>
      <c r="BA663" s="594"/>
    </row>
    <row r="664" spans="1:53" ht="9" customHeight="1">
      <c r="A664" s="583">
        <v>32</v>
      </c>
      <c r="B664" s="584">
        <f t="shared" si="479"/>
        <v>0</v>
      </c>
      <c r="C664" s="311"/>
      <c r="D664" s="312"/>
      <c r="E664" s="312"/>
      <c r="F664" s="312"/>
      <c r="G664" s="312"/>
      <c r="H664" s="312"/>
      <c r="I664" s="312"/>
      <c r="J664" s="312"/>
      <c r="K664" s="312"/>
      <c r="L664" s="312"/>
      <c r="M664" s="312"/>
      <c r="N664" s="312"/>
      <c r="O664" s="312"/>
      <c r="P664" s="312"/>
      <c r="Q664" s="312"/>
      <c r="R664" s="312"/>
      <c r="S664" s="312"/>
      <c r="T664" s="312"/>
      <c r="U664" s="312"/>
      <c r="V664" s="313"/>
      <c r="W664" s="587">
        <f>'A-CALC'!V630</f>
        <v>0</v>
      </c>
      <c r="X664" s="590">
        <f>'A-CALC'!W630</f>
        <v>0</v>
      </c>
      <c r="Y664" s="590">
        <f>'A-CALC'!X630</f>
        <v>0</v>
      </c>
      <c r="Z664" s="593">
        <f t="shared" ref="Z664" si="485">ROUND((40/$Y$7)*W664,0)</f>
        <v>0</v>
      </c>
      <c r="AA664" s="301"/>
      <c r="AB664" s="583">
        <v>32</v>
      </c>
      <c r="AC664" s="584">
        <f t="shared" si="481"/>
        <v>0</v>
      </c>
      <c r="AD664" s="311"/>
      <c r="AE664" s="312"/>
      <c r="AF664" s="312"/>
      <c r="AG664" s="312"/>
      <c r="AH664" s="312"/>
      <c r="AI664" s="312"/>
      <c r="AJ664" s="312"/>
      <c r="AK664" s="312"/>
      <c r="AL664" s="312"/>
      <c r="AM664" s="312"/>
      <c r="AN664" s="312"/>
      <c r="AO664" s="312"/>
      <c r="AP664" s="312"/>
      <c r="AQ664" s="312"/>
      <c r="AR664" s="312"/>
      <c r="AS664" s="312"/>
      <c r="AT664" s="312"/>
      <c r="AU664" s="312"/>
      <c r="AV664" s="312"/>
      <c r="AW664" s="313"/>
      <c r="AX664" s="587">
        <f>'A-CALC'!AU630</f>
        <v>0</v>
      </c>
      <c r="AY664" s="590">
        <f>'A-CALC'!AV630</f>
        <v>0</v>
      </c>
      <c r="AZ664" s="590">
        <f>'A-CALC'!AW630</f>
        <v>0</v>
      </c>
      <c r="BA664" s="593">
        <f t="shared" ref="BA664" si="486">ROUND((40/$Y$7)*AX664,0)</f>
        <v>0</v>
      </c>
    </row>
    <row r="665" spans="1:53" ht="9" customHeight="1">
      <c r="A665" s="583"/>
      <c r="B665" s="585"/>
      <c r="C665" s="314"/>
      <c r="D665" s="315"/>
      <c r="E665" s="315"/>
      <c r="F665" s="315"/>
      <c r="G665" s="315"/>
      <c r="H665" s="315"/>
      <c r="I665" s="315"/>
      <c r="J665" s="315"/>
      <c r="K665" s="315"/>
      <c r="L665" s="315"/>
      <c r="M665" s="315"/>
      <c r="N665" s="315"/>
      <c r="O665" s="315"/>
      <c r="P665" s="315"/>
      <c r="Q665" s="315"/>
      <c r="R665" s="315"/>
      <c r="S665" s="315"/>
      <c r="T665" s="315"/>
      <c r="U665" s="315"/>
      <c r="V665" s="316"/>
      <c r="W665" s="588"/>
      <c r="X665" s="591"/>
      <c r="Y665" s="591"/>
      <c r="Z665" s="594"/>
      <c r="AA665" s="301"/>
      <c r="AB665" s="583"/>
      <c r="AC665" s="585"/>
      <c r="AD665" s="314"/>
      <c r="AE665" s="315"/>
      <c r="AF665" s="315"/>
      <c r="AG665" s="315"/>
      <c r="AH665" s="315"/>
      <c r="AI665" s="315"/>
      <c r="AJ665" s="315"/>
      <c r="AK665" s="315"/>
      <c r="AL665" s="315"/>
      <c r="AM665" s="315"/>
      <c r="AN665" s="315"/>
      <c r="AO665" s="315"/>
      <c r="AP665" s="315"/>
      <c r="AQ665" s="315"/>
      <c r="AR665" s="315"/>
      <c r="AS665" s="315"/>
      <c r="AT665" s="315"/>
      <c r="AU665" s="315"/>
      <c r="AV665" s="315"/>
      <c r="AW665" s="316"/>
      <c r="AX665" s="588"/>
      <c r="AY665" s="591"/>
      <c r="AZ665" s="591"/>
      <c r="BA665" s="594"/>
    </row>
    <row r="666" spans="1:53" ht="9" customHeight="1">
      <c r="A666" s="583"/>
      <c r="B666" s="586"/>
      <c r="C666" s="317"/>
      <c r="D666" s="318"/>
      <c r="E666" s="318"/>
      <c r="F666" s="318"/>
      <c r="G666" s="318"/>
      <c r="H666" s="318"/>
      <c r="I666" s="318"/>
      <c r="J666" s="318"/>
      <c r="K666" s="318"/>
      <c r="L666" s="318"/>
      <c r="M666" s="318"/>
      <c r="N666" s="318"/>
      <c r="O666" s="318"/>
      <c r="P666" s="318"/>
      <c r="Q666" s="318"/>
      <c r="R666" s="318"/>
      <c r="S666" s="318"/>
      <c r="T666" s="318"/>
      <c r="U666" s="318"/>
      <c r="V666" s="319"/>
      <c r="W666" s="589"/>
      <c r="X666" s="592"/>
      <c r="Y666" s="592"/>
      <c r="Z666" s="594"/>
      <c r="AA666" s="301"/>
      <c r="AB666" s="583"/>
      <c r="AC666" s="586"/>
      <c r="AD666" s="317"/>
      <c r="AE666" s="318"/>
      <c r="AF666" s="318"/>
      <c r="AG666" s="318"/>
      <c r="AH666" s="318"/>
      <c r="AI666" s="318"/>
      <c r="AJ666" s="318"/>
      <c r="AK666" s="318"/>
      <c r="AL666" s="318"/>
      <c r="AM666" s="318"/>
      <c r="AN666" s="318"/>
      <c r="AO666" s="318"/>
      <c r="AP666" s="318"/>
      <c r="AQ666" s="318"/>
      <c r="AR666" s="318"/>
      <c r="AS666" s="318"/>
      <c r="AT666" s="318"/>
      <c r="AU666" s="318"/>
      <c r="AV666" s="318"/>
      <c r="AW666" s="319"/>
      <c r="AX666" s="589"/>
      <c r="AY666" s="592"/>
      <c r="AZ666" s="592"/>
      <c r="BA666" s="594"/>
    </row>
    <row r="667" spans="1:53" ht="9" customHeight="1">
      <c r="A667" s="583">
        <v>33</v>
      </c>
      <c r="B667" s="584">
        <f t="shared" si="479"/>
        <v>0</v>
      </c>
      <c r="C667" s="311"/>
      <c r="D667" s="312"/>
      <c r="E667" s="312"/>
      <c r="F667" s="312"/>
      <c r="G667" s="312"/>
      <c r="H667" s="312"/>
      <c r="I667" s="312"/>
      <c r="J667" s="312"/>
      <c r="K667" s="312"/>
      <c r="L667" s="312"/>
      <c r="M667" s="312"/>
      <c r="N667" s="312"/>
      <c r="O667" s="312"/>
      <c r="P667" s="312"/>
      <c r="Q667" s="312"/>
      <c r="R667" s="312"/>
      <c r="S667" s="312"/>
      <c r="T667" s="312"/>
      <c r="U667" s="312"/>
      <c r="V667" s="313"/>
      <c r="W667" s="587">
        <f>'A-CALC'!V633</f>
        <v>0</v>
      </c>
      <c r="X667" s="590">
        <f>'A-CALC'!W633</f>
        <v>0</v>
      </c>
      <c r="Y667" s="590">
        <f>'A-CALC'!X633</f>
        <v>0</v>
      </c>
      <c r="Z667" s="593">
        <f t="shared" ref="Z667" si="487">ROUND((40/$Y$7)*W667,0)</f>
        <v>0</v>
      </c>
      <c r="AA667" s="301"/>
      <c r="AB667" s="583">
        <v>33</v>
      </c>
      <c r="AC667" s="584">
        <f t="shared" si="481"/>
        <v>0</v>
      </c>
      <c r="AD667" s="311"/>
      <c r="AE667" s="312"/>
      <c r="AF667" s="312"/>
      <c r="AG667" s="312"/>
      <c r="AH667" s="312"/>
      <c r="AI667" s="312"/>
      <c r="AJ667" s="312"/>
      <c r="AK667" s="312"/>
      <c r="AL667" s="312"/>
      <c r="AM667" s="312"/>
      <c r="AN667" s="312"/>
      <c r="AO667" s="312"/>
      <c r="AP667" s="312"/>
      <c r="AQ667" s="312"/>
      <c r="AR667" s="312"/>
      <c r="AS667" s="312"/>
      <c r="AT667" s="312"/>
      <c r="AU667" s="312"/>
      <c r="AV667" s="312"/>
      <c r="AW667" s="313"/>
      <c r="AX667" s="587">
        <f>'A-CALC'!AU633</f>
        <v>0</v>
      </c>
      <c r="AY667" s="590">
        <f>'A-CALC'!AV633</f>
        <v>0</v>
      </c>
      <c r="AZ667" s="590">
        <f>'A-CALC'!AW633</f>
        <v>0</v>
      </c>
      <c r="BA667" s="593">
        <f t="shared" ref="BA667" si="488">ROUND((40/$Y$7)*AX667,0)</f>
        <v>0</v>
      </c>
    </row>
    <row r="668" spans="1:53" ht="9" customHeight="1">
      <c r="A668" s="583"/>
      <c r="B668" s="585"/>
      <c r="C668" s="314"/>
      <c r="D668" s="315"/>
      <c r="E668" s="315"/>
      <c r="F668" s="315"/>
      <c r="G668" s="315"/>
      <c r="H668" s="315"/>
      <c r="I668" s="315"/>
      <c r="J668" s="315"/>
      <c r="K668" s="315"/>
      <c r="L668" s="315"/>
      <c r="M668" s="315"/>
      <c r="N668" s="315"/>
      <c r="O668" s="315"/>
      <c r="P668" s="315"/>
      <c r="Q668" s="315"/>
      <c r="R668" s="315"/>
      <c r="S668" s="315"/>
      <c r="T668" s="315"/>
      <c r="U668" s="315"/>
      <c r="V668" s="316"/>
      <c r="W668" s="588"/>
      <c r="X668" s="591"/>
      <c r="Y668" s="591"/>
      <c r="Z668" s="594"/>
      <c r="AA668" s="301"/>
      <c r="AB668" s="583"/>
      <c r="AC668" s="585"/>
      <c r="AD668" s="314"/>
      <c r="AE668" s="315"/>
      <c r="AF668" s="315"/>
      <c r="AG668" s="315"/>
      <c r="AH668" s="315"/>
      <c r="AI668" s="315"/>
      <c r="AJ668" s="315"/>
      <c r="AK668" s="315"/>
      <c r="AL668" s="315"/>
      <c r="AM668" s="315"/>
      <c r="AN668" s="315"/>
      <c r="AO668" s="315"/>
      <c r="AP668" s="315"/>
      <c r="AQ668" s="315"/>
      <c r="AR668" s="315"/>
      <c r="AS668" s="315"/>
      <c r="AT668" s="315"/>
      <c r="AU668" s="315"/>
      <c r="AV668" s="315"/>
      <c r="AW668" s="316"/>
      <c r="AX668" s="588"/>
      <c r="AY668" s="591"/>
      <c r="AZ668" s="591"/>
      <c r="BA668" s="594"/>
    </row>
    <row r="669" spans="1:53" ht="9" customHeight="1">
      <c r="A669" s="583"/>
      <c r="B669" s="586"/>
      <c r="C669" s="317"/>
      <c r="D669" s="318"/>
      <c r="E669" s="318"/>
      <c r="F669" s="318"/>
      <c r="G669" s="318"/>
      <c r="H669" s="318"/>
      <c r="I669" s="318"/>
      <c r="J669" s="318"/>
      <c r="K669" s="318"/>
      <c r="L669" s="318"/>
      <c r="M669" s="318"/>
      <c r="N669" s="318"/>
      <c r="O669" s="318"/>
      <c r="P669" s="318"/>
      <c r="Q669" s="318"/>
      <c r="R669" s="318"/>
      <c r="S669" s="318"/>
      <c r="T669" s="318"/>
      <c r="U669" s="318"/>
      <c r="V669" s="319"/>
      <c r="W669" s="589"/>
      <c r="X669" s="592"/>
      <c r="Y669" s="592"/>
      <c r="Z669" s="594"/>
      <c r="AA669" s="301"/>
      <c r="AB669" s="583"/>
      <c r="AC669" s="586"/>
      <c r="AD669" s="317"/>
      <c r="AE669" s="318"/>
      <c r="AF669" s="318"/>
      <c r="AG669" s="318"/>
      <c r="AH669" s="318"/>
      <c r="AI669" s="318"/>
      <c r="AJ669" s="318"/>
      <c r="AK669" s="318"/>
      <c r="AL669" s="318"/>
      <c r="AM669" s="318"/>
      <c r="AN669" s="318"/>
      <c r="AO669" s="318"/>
      <c r="AP669" s="318"/>
      <c r="AQ669" s="318"/>
      <c r="AR669" s="318"/>
      <c r="AS669" s="318"/>
      <c r="AT669" s="318"/>
      <c r="AU669" s="318"/>
      <c r="AV669" s="318"/>
      <c r="AW669" s="319"/>
      <c r="AX669" s="589"/>
      <c r="AY669" s="592"/>
      <c r="AZ669" s="592"/>
      <c r="BA669" s="594"/>
    </row>
    <row r="670" spans="1:53" ht="9" customHeight="1">
      <c r="A670" s="583">
        <v>34</v>
      </c>
      <c r="B670" s="584">
        <f t="shared" si="479"/>
        <v>0</v>
      </c>
      <c r="C670" s="311"/>
      <c r="D670" s="312"/>
      <c r="E670" s="312"/>
      <c r="F670" s="312"/>
      <c r="G670" s="312"/>
      <c r="H670" s="312"/>
      <c r="I670" s="312"/>
      <c r="J670" s="312"/>
      <c r="K670" s="312"/>
      <c r="L670" s="312"/>
      <c r="M670" s="312"/>
      <c r="N670" s="312"/>
      <c r="O670" s="312"/>
      <c r="P670" s="312"/>
      <c r="Q670" s="312"/>
      <c r="R670" s="312"/>
      <c r="S670" s="312"/>
      <c r="T670" s="312"/>
      <c r="U670" s="312"/>
      <c r="V670" s="313"/>
      <c r="W670" s="587">
        <f>'A-CALC'!V636</f>
        <v>0</v>
      </c>
      <c r="X670" s="590">
        <f>'A-CALC'!W636</f>
        <v>0</v>
      </c>
      <c r="Y670" s="590">
        <f>'A-CALC'!X636</f>
        <v>0</v>
      </c>
      <c r="Z670" s="593">
        <f t="shared" ref="Z670" si="489">ROUND((40/$Y$7)*W670,0)</f>
        <v>0</v>
      </c>
      <c r="AA670" s="301"/>
      <c r="AB670" s="583">
        <v>34</v>
      </c>
      <c r="AC670" s="584">
        <f t="shared" si="481"/>
        <v>0</v>
      </c>
      <c r="AD670" s="311"/>
      <c r="AE670" s="312"/>
      <c r="AF670" s="312"/>
      <c r="AG670" s="312"/>
      <c r="AH670" s="312"/>
      <c r="AI670" s="312"/>
      <c r="AJ670" s="312"/>
      <c r="AK670" s="312"/>
      <c r="AL670" s="312"/>
      <c r="AM670" s="312"/>
      <c r="AN670" s="312"/>
      <c r="AO670" s="312"/>
      <c r="AP670" s="312"/>
      <c r="AQ670" s="312"/>
      <c r="AR670" s="312"/>
      <c r="AS670" s="312"/>
      <c r="AT670" s="312"/>
      <c r="AU670" s="312"/>
      <c r="AV670" s="312"/>
      <c r="AW670" s="313"/>
      <c r="AX670" s="587">
        <f>'A-CALC'!AU636</f>
        <v>0</v>
      </c>
      <c r="AY670" s="590">
        <f>'A-CALC'!AV636</f>
        <v>0</v>
      </c>
      <c r="AZ670" s="590">
        <f>'A-CALC'!AW636</f>
        <v>0</v>
      </c>
      <c r="BA670" s="593">
        <f t="shared" ref="BA670" si="490">ROUND((40/$Y$7)*AX670,0)</f>
        <v>0</v>
      </c>
    </row>
    <row r="671" spans="1:53" ht="9" customHeight="1">
      <c r="A671" s="583"/>
      <c r="B671" s="585"/>
      <c r="C671" s="314"/>
      <c r="D671" s="315"/>
      <c r="E671" s="315"/>
      <c r="F671" s="315"/>
      <c r="G671" s="315"/>
      <c r="H671" s="315"/>
      <c r="I671" s="315"/>
      <c r="J671" s="315"/>
      <c r="K671" s="315"/>
      <c r="L671" s="315"/>
      <c r="M671" s="315"/>
      <c r="N671" s="315"/>
      <c r="O671" s="315"/>
      <c r="P671" s="315"/>
      <c r="Q671" s="315"/>
      <c r="R671" s="315"/>
      <c r="S671" s="315"/>
      <c r="T671" s="315"/>
      <c r="U671" s="315"/>
      <c r="V671" s="316"/>
      <c r="W671" s="588"/>
      <c r="X671" s="591"/>
      <c r="Y671" s="591"/>
      <c r="Z671" s="594"/>
      <c r="AA671" s="301"/>
      <c r="AB671" s="583"/>
      <c r="AC671" s="585"/>
      <c r="AD671" s="314"/>
      <c r="AE671" s="315"/>
      <c r="AF671" s="315"/>
      <c r="AG671" s="315"/>
      <c r="AH671" s="315"/>
      <c r="AI671" s="315"/>
      <c r="AJ671" s="315"/>
      <c r="AK671" s="315"/>
      <c r="AL671" s="315"/>
      <c r="AM671" s="315"/>
      <c r="AN671" s="315"/>
      <c r="AO671" s="315"/>
      <c r="AP671" s="315"/>
      <c r="AQ671" s="315"/>
      <c r="AR671" s="315"/>
      <c r="AS671" s="315"/>
      <c r="AT671" s="315"/>
      <c r="AU671" s="315"/>
      <c r="AV671" s="315"/>
      <c r="AW671" s="316"/>
      <c r="AX671" s="588"/>
      <c r="AY671" s="591"/>
      <c r="AZ671" s="591"/>
      <c r="BA671" s="594"/>
    </row>
    <row r="672" spans="1:53" ht="9" customHeight="1">
      <c r="A672" s="583"/>
      <c r="B672" s="586"/>
      <c r="C672" s="317"/>
      <c r="D672" s="318"/>
      <c r="E672" s="318"/>
      <c r="F672" s="318"/>
      <c r="G672" s="318"/>
      <c r="H672" s="318"/>
      <c r="I672" s="318"/>
      <c r="J672" s="318"/>
      <c r="K672" s="318"/>
      <c r="L672" s="318"/>
      <c r="M672" s="318"/>
      <c r="N672" s="318"/>
      <c r="O672" s="318"/>
      <c r="P672" s="318"/>
      <c r="Q672" s="318"/>
      <c r="R672" s="318"/>
      <c r="S672" s="318"/>
      <c r="T672" s="318"/>
      <c r="U672" s="318"/>
      <c r="V672" s="319"/>
      <c r="W672" s="589"/>
      <c r="X672" s="592"/>
      <c r="Y672" s="592"/>
      <c r="Z672" s="594"/>
      <c r="AA672" s="301"/>
      <c r="AB672" s="583"/>
      <c r="AC672" s="586"/>
      <c r="AD672" s="317"/>
      <c r="AE672" s="318"/>
      <c r="AF672" s="318"/>
      <c r="AG672" s="318"/>
      <c r="AH672" s="318"/>
      <c r="AI672" s="318"/>
      <c r="AJ672" s="318"/>
      <c r="AK672" s="318"/>
      <c r="AL672" s="318"/>
      <c r="AM672" s="318"/>
      <c r="AN672" s="318"/>
      <c r="AO672" s="318"/>
      <c r="AP672" s="318"/>
      <c r="AQ672" s="318"/>
      <c r="AR672" s="318"/>
      <c r="AS672" s="318"/>
      <c r="AT672" s="318"/>
      <c r="AU672" s="318"/>
      <c r="AV672" s="318"/>
      <c r="AW672" s="319"/>
      <c r="AX672" s="589"/>
      <c r="AY672" s="592"/>
      <c r="AZ672" s="592"/>
      <c r="BA672" s="594"/>
    </row>
    <row r="673" spans="1:53" ht="9" customHeight="1">
      <c r="A673" s="583">
        <v>35</v>
      </c>
      <c r="B673" s="584">
        <f t="shared" si="479"/>
        <v>0</v>
      </c>
      <c r="C673" s="311"/>
      <c r="D673" s="312"/>
      <c r="E673" s="312"/>
      <c r="F673" s="312"/>
      <c r="G673" s="312"/>
      <c r="H673" s="312"/>
      <c r="I673" s="312"/>
      <c r="J673" s="312"/>
      <c r="K673" s="312"/>
      <c r="L673" s="312"/>
      <c r="M673" s="312"/>
      <c r="N673" s="312"/>
      <c r="O673" s="312"/>
      <c r="P673" s="312"/>
      <c r="Q673" s="312"/>
      <c r="R673" s="312"/>
      <c r="S673" s="312"/>
      <c r="T673" s="312"/>
      <c r="U673" s="312"/>
      <c r="V673" s="313"/>
      <c r="W673" s="587">
        <f>'A-CALC'!V639</f>
        <v>0</v>
      </c>
      <c r="X673" s="590">
        <f>'A-CALC'!W639</f>
        <v>0</v>
      </c>
      <c r="Y673" s="590">
        <f>'A-CALC'!X639</f>
        <v>0</v>
      </c>
      <c r="Z673" s="593">
        <f t="shared" ref="Z673" si="491">ROUND((40/$Y$7)*W673,0)</f>
        <v>0</v>
      </c>
      <c r="AA673" s="301"/>
      <c r="AB673" s="583">
        <v>35</v>
      </c>
      <c r="AC673" s="584">
        <f t="shared" si="481"/>
        <v>0</v>
      </c>
      <c r="AD673" s="311"/>
      <c r="AE673" s="312"/>
      <c r="AF673" s="312"/>
      <c r="AG673" s="312"/>
      <c r="AH673" s="312"/>
      <c r="AI673" s="312"/>
      <c r="AJ673" s="312"/>
      <c r="AK673" s="312"/>
      <c r="AL673" s="312"/>
      <c r="AM673" s="312"/>
      <c r="AN673" s="312"/>
      <c r="AO673" s="312"/>
      <c r="AP673" s="312"/>
      <c r="AQ673" s="312"/>
      <c r="AR673" s="312"/>
      <c r="AS673" s="312"/>
      <c r="AT673" s="312"/>
      <c r="AU673" s="312"/>
      <c r="AV673" s="312"/>
      <c r="AW673" s="313"/>
      <c r="AX673" s="587">
        <f>'A-CALC'!AU639</f>
        <v>0</v>
      </c>
      <c r="AY673" s="590">
        <f>'A-CALC'!AV639</f>
        <v>0</v>
      </c>
      <c r="AZ673" s="590">
        <f>'A-CALC'!AW639</f>
        <v>0</v>
      </c>
      <c r="BA673" s="593">
        <f t="shared" ref="BA673" si="492">ROUND((40/$Y$7)*AX673,0)</f>
        <v>0</v>
      </c>
    </row>
    <row r="674" spans="1:53" ht="9" customHeight="1">
      <c r="A674" s="583"/>
      <c r="B674" s="585"/>
      <c r="C674" s="314"/>
      <c r="D674" s="315"/>
      <c r="E674" s="315"/>
      <c r="F674" s="315"/>
      <c r="G674" s="315"/>
      <c r="H674" s="315"/>
      <c r="I674" s="315"/>
      <c r="J674" s="315"/>
      <c r="K674" s="315"/>
      <c r="L674" s="315"/>
      <c r="M674" s="315"/>
      <c r="N674" s="315"/>
      <c r="O674" s="315"/>
      <c r="P674" s="315"/>
      <c r="Q674" s="315"/>
      <c r="R674" s="315"/>
      <c r="S674" s="315"/>
      <c r="T674" s="315"/>
      <c r="U674" s="315"/>
      <c r="V674" s="316"/>
      <c r="W674" s="588"/>
      <c r="X674" s="591"/>
      <c r="Y674" s="591"/>
      <c r="Z674" s="594"/>
      <c r="AA674" s="301"/>
      <c r="AB674" s="583"/>
      <c r="AC674" s="585"/>
      <c r="AD674" s="314"/>
      <c r="AE674" s="315"/>
      <c r="AF674" s="315"/>
      <c r="AG674" s="315"/>
      <c r="AH674" s="315"/>
      <c r="AI674" s="315"/>
      <c r="AJ674" s="315"/>
      <c r="AK674" s="315"/>
      <c r="AL674" s="315"/>
      <c r="AM674" s="315"/>
      <c r="AN674" s="315"/>
      <c r="AO674" s="315"/>
      <c r="AP674" s="315"/>
      <c r="AQ674" s="315"/>
      <c r="AR674" s="315"/>
      <c r="AS674" s="315"/>
      <c r="AT674" s="315"/>
      <c r="AU674" s="315"/>
      <c r="AV674" s="315"/>
      <c r="AW674" s="316"/>
      <c r="AX674" s="588"/>
      <c r="AY674" s="591"/>
      <c r="AZ674" s="591"/>
      <c r="BA674" s="594"/>
    </row>
    <row r="675" spans="1:53" ht="9" customHeight="1">
      <c r="A675" s="583"/>
      <c r="B675" s="586"/>
      <c r="C675" s="317"/>
      <c r="D675" s="318"/>
      <c r="E675" s="318"/>
      <c r="F675" s="318"/>
      <c r="G675" s="318"/>
      <c r="H675" s="318"/>
      <c r="I675" s="318"/>
      <c r="J675" s="318"/>
      <c r="K675" s="318"/>
      <c r="L675" s="318"/>
      <c r="M675" s="318"/>
      <c r="N675" s="318"/>
      <c r="O675" s="318"/>
      <c r="P675" s="318"/>
      <c r="Q675" s="318"/>
      <c r="R675" s="318"/>
      <c r="S675" s="318"/>
      <c r="T675" s="318"/>
      <c r="U675" s="318"/>
      <c r="V675" s="319"/>
      <c r="W675" s="589"/>
      <c r="X675" s="592"/>
      <c r="Y675" s="592"/>
      <c r="Z675" s="608"/>
      <c r="AA675" s="301"/>
      <c r="AB675" s="583"/>
      <c r="AC675" s="586"/>
      <c r="AD675" s="317"/>
      <c r="AE675" s="318"/>
      <c r="AF675" s="318"/>
      <c r="AG675" s="318"/>
      <c r="AH675" s="318"/>
      <c r="AI675" s="318"/>
      <c r="AJ675" s="318"/>
      <c r="AK675" s="318"/>
      <c r="AL675" s="318"/>
      <c r="AM675" s="318"/>
      <c r="AN675" s="318"/>
      <c r="AO675" s="318"/>
      <c r="AP675" s="318"/>
      <c r="AQ675" s="318"/>
      <c r="AR675" s="318"/>
      <c r="AS675" s="318"/>
      <c r="AT675" s="318"/>
      <c r="AU675" s="318"/>
      <c r="AV675" s="318"/>
      <c r="AW675" s="319"/>
      <c r="AX675" s="589"/>
      <c r="AY675" s="592"/>
      <c r="AZ675" s="592"/>
      <c r="BA675" s="608"/>
    </row>
    <row r="676" spans="1:53"/>
    <row r="677" spans="1:53" ht="20.100000000000001" customHeight="1">
      <c r="A677" s="296" t="s">
        <v>286</v>
      </c>
      <c r="B677" s="581" t="s">
        <v>284</v>
      </c>
      <c r="C677" s="581"/>
      <c r="D677" s="581"/>
      <c r="E677" s="581"/>
      <c r="F677" s="581"/>
      <c r="G677" s="581"/>
      <c r="H677" s="581"/>
      <c r="I677" s="581"/>
      <c r="J677" s="581"/>
      <c r="K677" s="581"/>
      <c r="L677" s="581"/>
      <c r="M677" s="581"/>
      <c r="N677" s="581"/>
      <c r="O677" s="581"/>
      <c r="P677" s="581"/>
      <c r="Q677" s="581"/>
      <c r="R677" s="581"/>
      <c r="S677" s="581"/>
      <c r="T677" s="581"/>
      <c r="U677" s="581"/>
      <c r="V677" s="581"/>
      <c r="W677" s="581"/>
      <c r="X677" s="581"/>
      <c r="Y677" s="581"/>
      <c r="Z677" s="581"/>
      <c r="AA677" s="297"/>
      <c r="AB677" s="296" t="s">
        <v>286</v>
      </c>
      <c r="AC677" s="581" t="s">
        <v>284</v>
      </c>
      <c r="AD677" s="581"/>
      <c r="AE677" s="581"/>
      <c r="AF677" s="581"/>
      <c r="AG677" s="581"/>
      <c r="AH677" s="581"/>
      <c r="AI677" s="581"/>
      <c r="AJ677" s="581"/>
      <c r="AK677" s="581"/>
      <c r="AL677" s="581"/>
      <c r="AM677" s="581"/>
      <c r="AN677" s="581"/>
      <c r="AO677" s="581"/>
      <c r="AP677" s="581"/>
      <c r="AQ677" s="581"/>
      <c r="AR677" s="581"/>
      <c r="AS677" s="581"/>
      <c r="AT677" s="581"/>
      <c r="AU677" s="581"/>
      <c r="AV677" s="581"/>
      <c r="AW677" s="581"/>
      <c r="AX677" s="581"/>
      <c r="AY677" s="581"/>
      <c r="AZ677" s="581"/>
      <c r="BA677" s="581"/>
    </row>
    <row r="678" spans="1:53" ht="21.75" customHeight="1">
      <c r="A678" s="298"/>
      <c r="B678" s="612" t="s">
        <v>81</v>
      </c>
      <c r="C678" s="612"/>
      <c r="D678" s="612"/>
      <c r="E678" s="612"/>
      <c r="F678" s="612"/>
      <c r="G678" s="612"/>
      <c r="H678" s="612"/>
      <c r="I678" s="612"/>
      <c r="J678" s="612"/>
      <c r="K678" s="612"/>
      <c r="L678" s="612"/>
      <c r="M678" s="612"/>
      <c r="N678" s="612"/>
      <c r="O678" s="612"/>
      <c r="P678" s="612"/>
      <c r="Q678" s="612"/>
      <c r="R678" s="612"/>
      <c r="S678" s="612"/>
      <c r="T678" s="612"/>
      <c r="U678" s="612"/>
      <c r="V678" s="612"/>
      <c r="W678" s="612"/>
      <c r="X678" s="612"/>
      <c r="Y678" s="612"/>
      <c r="Z678" s="612"/>
      <c r="AA678" s="297"/>
      <c r="AB678" s="298"/>
      <c r="AC678" s="612" t="s">
        <v>81</v>
      </c>
      <c r="AD678" s="612"/>
      <c r="AE678" s="612"/>
      <c r="AF678" s="612"/>
      <c r="AG678" s="612"/>
      <c r="AH678" s="612"/>
      <c r="AI678" s="612"/>
      <c r="AJ678" s="612"/>
      <c r="AK678" s="612"/>
      <c r="AL678" s="612"/>
      <c r="AM678" s="612"/>
      <c r="AN678" s="612"/>
      <c r="AO678" s="612"/>
      <c r="AP678" s="612"/>
      <c r="AQ678" s="612"/>
      <c r="AR678" s="612"/>
      <c r="AS678" s="612"/>
      <c r="AT678" s="612"/>
      <c r="AU678" s="612"/>
      <c r="AV678" s="612"/>
      <c r="AW678" s="612"/>
      <c r="AX678" s="612"/>
      <c r="AY678" s="612"/>
      <c r="AZ678" s="612"/>
      <c r="BA678" s="612"/>
    </row>
    <row r="679" spans="1:53" ht="20.25" customHeight="1">
      <c r="A679" s="298"/>
      <c r="B679" s="299" t="str">
        <f>CONCATENATE("ધોરણ - ",SCHOOL!$D$3)</f>
        <v>ધોરણ - 1</v>
      </c>
      <c r="C679" s="577" t="s">
        <v>349</v>
      </c>
      <c r="D679" s="577"/>
      <c r="E679" s="577"/>
      <c r="F679" s="577"/>
      <c r="G679" s="577"/>
      <c r="H679" s="577"/>
      <c r="I679" s="577"/>
      <c r="J679" s="577"/>
      <c r="K679" s="577" t="s">
        <v>288</v>
      </c>
      <c r="L679" s="577"/>
      <c r="M679" s="577"/>
      <c r="N679" s="577"/>
      <c r="O679" s="577"/>
      <c r="P679" s="577"/>
      <c r="Q679" s="577"/>
      <c r="R679" s="577" t="s">
        <v>289</v>
      </c>
      <c r="S679" s="577"/>
      <c r="T679" s="577"/>
      <c r="U679" s="577"/>
      <c r="V679" s="577"/>
      <c r="W679" s="577"/>
      <c r="X679" s="577"/>
      <c r="Y679" s="577">
        <f>COUNTA(C682:V682)</f>
        <v>15</v>
      </c>
      <c r="Z679" s="577"/>
      <c r="AA679" s="300"/>
      <c r="AB679" s="298"/>
      <c r="AC679" s="299" t="str">
        <f>CONCATENATE("ધોરણ - ",SCHOOL!$D$3)</f>
        <v>ધોરણ - 1</v>
      </c>
      <c r="AD679" s="577" t="str">
        <f>C679</f>
        <v xml:space="preserve"> વિષય-સ્વાસ્થ્ય અને શા.શિ.</v>
      </c>
      <c r="AE679" s="577"/>
      <c r="AF679" s="577"/>
      <c r="AG679" s="577"/>
      <c r="AH679" s="577"/>
      <c r="AI679" s="577"/>
      <c r="AJ679" s="577"/>
      <c r="AK679" s="577"/>
      <c r="AL679" s="577" t="s">
        <v>290</v>
      </c>
      <c r="AM679" s="577"/>
      <c r="AN679" s="577"/>
      <c r="AO679" s="577"/>
      <c r="AP679" s="577"/>
      <c r="AQ679" s="577"/>
      <c r="AR679" s="577"/>
      <c r="AS679" s="577" t="s">
        <v>289</v>
      </c>
      <c r="AT679" s="577"/>
      <c r="AU679" s="577"/>
      <c r="AV679" s="577"/>
      <c r="AW679" s="577"/>
      <c r="AX679" s="577"/>
      <c r="AY679" s="577"/>
      <c r="AZ679" s="577">
        <f>COUNTA(AD682:AW682)</f>
        <v>15</v>
      </c>
      <c r="BA679" s="577"/>
    </row>
    <row r="680" spans="1:53" ht="18.75" customHeight="1">
      <c r="A680" s="609" t="s">
        <v>291</v>
      </c>
      <c r="B680" s="595" t="s">
        <v>82</v>
      </c>
      <c r="C680" s="596" t="s">
        <v>292</v>
      </c>
      <c r="D680" s="597"/>
      <c r="E680" s="597"/>
      <c r="F680" s="597"/>
      <c r="G680" s="597"/>
      <c r="H680" s="597"/>
      <c r="I680" s="597"/>
      <c r="J680" s="597"/>
      <c r="K680" s="597"/>
      <c r="L680" s="597"/>
      <c r="M680" s="597"/>
      <c r="N680" s="597"/>
      <c r="O680" s="597"/>
      <c r="P680" s="597"/>
      <c r="Q680" s="597"/>
      <c r="R680" s="597"/>
      <c r="S680" s="597"/>
      <c r="T680" s="597"/>
      <c r="U680" s="597"/>
      <c r="V680" s="598"/>
      <c r="W680" s="599" t="s">
        <v>293</v>
      </c>
      <c r="X680" s="600"/>
      <c r="Y680" s="601"/>
      <c r="Z680" s="605" t="s">
        <v>294</v>
      </c>
      <c r="AA680" s="301"/>
      <c r="AB680" s="609" t="s">
        <v>291</v>
      </c>
      <c r="AC680" s="595" t="s">
        <v>82</v>
      </c>
      <c r="AD680" s="596" t="s">
        <v>292</v>
      </c>
      <c r="AE680" s="597"/>
      <c r="AF680" s="597"/>
      <c r="AG680" s="597"/>
      <c r="AH680" s="597"/>
      <c r="AI680" s="597"/>
      <c r="AJ680" s="597"/>
      <c r="AK680" s="597"/>
      <c r="AL680" s="597"/>
      <c r="AM680" s="597"/>
      <c r="AN680" s="597"/>
      <c r="AO680" s="597"/>
      <c r="AP680" s="597"/>
      <c r="AQ680" s="597"/>
      <c r="AR680" s="597"/>
      <c r="AS680" s="597"/>
      <c r="AT680" s="597"/>
      <c r="AU680" s="597"/>
      <c r="AV680" s="597"/>
      <c r="AW680" s="598"/>
      <c r="AX680" s="599" t="s">
        <v>293</v>
      </c>
      <c r="AY680" s="600"/>
      <c r="AZ680" s="601"/>
      <c r="BA680" s="605" t="s">
        <v>294</v>
      </c>
    </row>
    <row r="681" spans="1:53" ht="15" customHeight="1">
      <c r="A681" s="609"/>
      <c r="B681" s="595"/>
      <c r="C681" s="302">
        <v>1</v>
      </c>
      <c r="D681" s="303">
        <v>2</v>
      </c>
      <c r="E681" s="303">
        <v>3</v>
      </c>
      <c r="F681" s="303">
        <v>4</v>
      </c>
      <c r="G681" s="303">
        <v>5</v>
      </c>
      <c r="H681" s="303">
        <v>6</v>
      </c>
      <c r="I681" s="303">
        <v>7</v>
      </c>
      <c r="J681" s="303">
        <v>8</v>
      </c>
      <c r="K681" s="303">
        <v>9</v>
      </c>
      <c r="L681" s="303">
        <v>10</v>
      </c>
      <c r="M681" s="303">
        <v>11</v>
      </c>
      <c r="N681" s="303">
        <v>12</v>
      </c>
      <c r="O681" s="303">
        <v>13</v>
      </c>
      <c r="P681" s="303">
        <v>14</v>
      </c>
      <c r="Q681" s="303">
        <v>15</v>
      </c>
      <c r="R681" s="303">
        <v>16</v>
      </c>
      <c r="S681" s="303">
        <v>17</v>
      </c>
      <c r="T681" s="303">
        <v>18</v>
      </c>
      <c r="U681" s="303">
        <v>19</v>
      </c>
      <c r="V681" s="304">
        <v>20</v>
      </c>
      <c r="W681" s="602"/>
      <c r="X681" s="603"/>
      <c r="Y681" s="604"/>
      <c r="Z681" s="606"/>
      <c r="AA681" s="301"/>
      <c r="AB681" s="609"/>
      <c r="AC681" s="595"/>
      <c r="AD681" s="302">
        <v>1</v>
      </c>
      <c r="AE681" s="303">
        <v>2</v>
      </c>
      <c r="AF681" s="303">
        <v>3</v>
      </c>
      <c r="AG681" s="303">
        <v>4</v>
      </c>
      <c r="AH681" s="303">
        <v>5</v>
      </c>
      <c r="AI681" s="303">
        <v>6</v>
      </c>
      <c r="AJ681" s="303">
        <v>7</v>
      </c>
      <c r="AK681" s="303">
        <v>8</v>
      </c>
      <c r="AL681" s="303">
        <v>9</v>
      </c>
      <c r="AM681" s="303">
        <v>10</v>
      </c>
      <c r="AN681" s="303">
        <v>11</v>
      </c>
      <c r="AO681" s="303">
        <v>12</v>
      </c>
      <c r="AP681" s="303">
        <v>13</v>
      </c>
      <c r="AQ681" s="303">
        <v>14</v>
      </c>
      <c r="AR681" s="303">
        <v>15</v>
      </c>
      <c r="AS681" s="303">
        <v>16</v>
      </c>
      <c r="AT681" s="303">
        <v>17</v>
      </c>
      <c r="AU681" s="303">
        <v>18</v>
      </c>
      <c r="AV681" s="303">
        <v>19</v>
      </c>
      <c r="AW681" s="304">
        <v>20</v>
      </c>
      <c r="AX681" s="602"/>
      <c r="AY681" s="603"/>
      <c r="AZ681" s="604"/>
      <c r="BA681" s="606"/>
    </row>
    <row r="682" spans="1:53" ht="45" customHeight="1">
      <c r="A682" s="609"/>
      <c r="B682" s="595"/>
      <c r="C682" s="305" t="s">
        <v>295</v>
      </c>
      <c r="D682" s="306" t="s">
        <v>296</v>
      </c>
      <c r="E682" s="306" t="s">
        <v>297</v>
      </c>
      <c r="F682" s="306" t="s">
        <v>298</v>
      </c>
      <c r="G682" s="306" t="s">
        <v>299</v>
      </c>
      <c r="H682" s="306" t="s">
        <v>300</v>
      </c>
      <c r="I682" s="306" t="s">
        <v>301</v>
      </c>
      <c r="J682" s="306" t="s">
        <v>302</v>
      </c>
      <c r="K682" s="306" t="s">
        <v>303</v>
      </c>
      <c r="L682" s="306" t="s">
        <v>304</v>
      </c>
      <c r="M682" s="306" t="s">
        <v>305</v>
      </c>
      <c r="N682" s="306" t="s">
        <v>306</v>
      </c>
      <c r="O682" s="306" t="s">
        <v>307</v>
      </c>
      <c r="P682" s="306" t="s">
        <v>308</v>
      </c>
      <c r="Q682" s="306" t="s">
        <v>309</v>
      </c>
      <c r="R682" s="306"/>
      <c r="S682" s="306"/>
      <c r="T682" s="306"/>
      <c r="U682" s="306"/>
      <c r="V682" s="307"/>
      <c r="W682" s="308" t="s">
        <v>310</v>
      </c>
      <c r="X682" s="309" t="s">
        <v>311</v>
      </c>
      <c r="Y682" s="310" t="s">
        <v>312</v>
      </c>
      <c r="Z682" s="607"/>
      <c r="AA682" s="301"/>
      <c r="AB682" s="609"/>
      <c r="AC682" s="595"/>
      <c r="AD682" s="305" t="s">
        <v>295</v>
      </c>
      <c r="AE682" s="306" t="s">
        <v>296</v>
      </c>
      <c r="AF682" s="306" t="s">
        <v>297</v>
      </c>
      <c r="AG682" s="306" t="s">
        <v>298</v>
      </c>
      <c r="AH682" s="306" t="s">
        <v>299</v>
      </c>
      <c r="AI682" s="306" t="s">
        <v>300</v>
      </c>
      <c r="AJ682" s="306" t="s">
        <v>301</v>
      </c>
      <c r="AK682" s="306" t="s">
        <v>302</v>
      </c>
      <c r="AL682" s="306" t="s">
        <v>303</v>
      </c>
      <c r="AM682" s="306" t="s">
        <v>304</v>
      </c>
      <c r="AN682" s="306" t="s">
        <v>305</v>
      </c>
      <c r="AO682" s="306" t="s">
        <v>306</v>
      </c>
      <c r="AP682" s="306" t="s">
        <v>307</v>
      </c>
      <c r="AQ682" s="306" t="s">
        <v>308</v>
      </c>
      <c r="AR682" s="306" t="s">
        <v>309</v>
      </c>
      <c r="AS682" s="306"/>
      <c r="AT682" s="306"/>
      <c r="AU682" s="306"/>
      <c r="AV682" s="306"/>
      <c r="AW682" s="307"/>
      <c r="AX682" s="308" t="s">
        <v>310</v>
      </c>
      <c r="AY682" s="309" t="s">
        <v>311</v>
      </c>
      <c r="AZ682" s="310" t="s">
        <v>312</v>
      </c>
      <c r="BA682" s="607"/>
    </row>
    <row r="683" spans="1:53" ht="9" customHeight="1">
      <c r="A683" s="583">
        <v>1</v>
      </c>
      <c r="B683" s="584" t="str">
        <f>B571</f>
        <v>ગોહેલ રાજેશભાઇ ચીથરભાઇ</v>
      </c>
      <c r="C683" s="311"/>
      <c r="D683" s="312"/>
      <c r="E683" s="312"/>
      <c r="F683" s="312"/>
      <c r="G683" s="312"/>
      <c r="H683" s="312"/>
      <c r="I683" s="312"/>
      <c r="J683" s="312"/>
      <c r="K683" s="312"/>
      <c r="L683" s="312"/>
      <c r="M683" s="312"/>
      <c r="N683" s="312"/>
      <c r="O683" s="312"/>
      <c r="P683" s="312"/>
      <c r="Q683" s="312"/>
      <c r="R683" s="312"/>
      <c r="S683" s="312"/>
      <c r="T683" s="312"/>
      <c r="U683" s="312"/>
      <c r="V683" s="313"/>
      <c r="W683" s="587">
        <f>'A-CALC'!V644</f>
        <v>0</v>
      </c>
      <c r="X683" s="590">
        <f>'A-CALC'!W644</f>
        <v>0</v>
      </c>
      <c r="Y683" s="590">
        <f>'A-CALC'!X644</f>
        <v>0</v>
      </c>
      <c r="Z683" s="593">
        <f>ROUND((40/$Y$7)*W683,0)</f>
        <v>0</v>
      </c>
      <c r="AA683" s="301"/>
      <c r="AB683" s="583">
        <v>1</v>
      </c>
      <c r="AC683" s="584" t="str">
        <f>AC571</f>
        <v>ગોહેલ રાજેશભાઇ ચીથરભાઇ</v>
      </c>
      <c r="AD683" s="311"/>
      <c r="AE683" s="312"/>
      <c r="AF683" s="312"/>
      <c r="AG683" s="312"/>
      <c r="AH683" s="312"/>
      <c r="AI683" s="312"/>
      <c r="AJ683" s="312"/>
      <c r="AK683" s="312"/>
      <c r="AL683" s="312"/>
      <c r="AM683" s="312"/>
      <c r="AN683" s="312"/>
      <c r="AO683" s="312"/>
      <c r="AP683" s="312"/>
      <c r="AQ683" s="312"/>
      <c r="AR683" s="312"/>
      <c r="AS683" s="312"/>
      <c r="AT683" s="312"/>
      <c r="AU683" s="312"/>
      <c r="AV683" s="312"/>
      <c r="AW683" s="313"/>
      <c r="AX683" s="587">
        <f>'A-CALC'!AU644</f>
        <v>0</v>
      </c>
      <c r="AY683" s="590">
        <f>'A-CALC'!AV644</f>
        <v>0</v>
      </c>
      <c r="AZ683" s="590">
        <f>'A-CALC'!AW644</f>
        <v>0</v>
      </c>
      <c r="BA683" s="593">
        <f>ROUND((40/$Y$7)*AX683,0)</f>
        <v>0</v>
      </c>
    </row>
    <row r="684" spans="1:53" ht="9" customHeight="1">
      <c r="A684" s="583"/>
      <c r="B684" s="585"/>
      <c r="C684" s="314"/>
      <c r="D684" s="315"/>
      <c r="E684" s="315"/>
      <c r="F684" s="315"/>
      <c r="G684" s="315"/>
      <c r="H684" s="315"/>
      <c r="I684" s="315"/>
      <c r="J684" s="315"/>
      <c r="K684" s="315"/>
      <c r="L684" s="315"/>
      <c r="M684" s="315"/>
      <c r="N684" s="315"/>
      <c r="O684" s="315"/>
      <c r="P684" s="315"/>
      <c r="Q684" s="315"/>
      <c r="R684" s="315"/>
      <c r="S684" s="315"/>
      <c r="T684" s="315"/>
      <c r="U684" s="315"/>
      <c r="V684" s="316"/>
      <c r="W684" s="588"/>
      <c r="X684" s="591"/>
      <c r="Y684" s="591"/>
      <c r="Z684" s="594"/>
      <c r="AA684" s="301"/>
      <c r="AB684" s="583"/>
      <c r="AC684" s="585"/>
      <c r="AD684" s="314"/>
      <c r="AE684" s="315"/>
      <c r="AF684" s="315"/>
      <c r="AG684" s="315"/>
      <c r="AH684" s="315"/>
      <c r="AI684" s="315"/>
      <c r="AJ684" s="315"/>
      <c r="AK684" s="315"/>
      <c r="AL684" s="315"/>
      <c r="AM684" s="315"/>
      <c r="AN684" s="315"/>
      <c r="AO684" s="315"/>
      <c r="AP684" s="315"/>
      <c r="AQ684" s="315"/>
      <c r="AR684" s="315"/>
      <c r="AS684" s="315"/>
      <c r="AT684" s="315"/>
      <c r="AU684" s="315"/>
      <c r="AV684" s="315"/>
      <c r="AW684" s="316"/>
      <c r="AX684" s="588"/>
      <c r="AY684" s="591"/>
      <c r="AZ684" s="591"/>
      <c r="BA684" s="594"/>
    </row>
    <row r="685" spans="1:53" ht="9" customHeight="1">
      <c r="A685" s="583"/>
      <c r="B685" s="586"/>
      <c r="C685" s="317"/>
      <c r="D685" s="318"/>
      <c r="E685" s="318"/>
      <c r="F685" s="318"/>
      <c r="G685" s="318"/>
      <c r="H685" s="318"/>
      <c r="I685" s="318"/>
      <c r="J685" s="318"/>
      <c r="K685" s="318"/>
      <c r="L685" s="318"/>
      <c r="M685" s="318"/>
      <c r="N685" s="318"/>
      <c r="O685" s="318"/>
      <c r="P685" s="318"/>
      <c r="Q685" s="318"/>
      <c r="R685" s="318"/>
      <c r="S685" s="318"/>
      <c r="T685" s="318"/>
      <c r="U685" s="318"/>
      <c r="V685" s="319"/>
      <c r="W685" s="589"/>
      <c r="X685" s="592"/>
      <c r="Y685" s="592"/>
      <c r="Z685" s="594"/>
      <c r="AA685" s="301"/>
      <c r="AB685" s="583"/>
      <c r="AC685" s="586"/>
      <c r="AD685" s="317"/>
      <c r="AE685" s="318"/>
      <c r="AF685" s="318"/>
      <c r="AG685" s="318"/>
      <c r="AH685" s="318"/>
      <c r="AI685" s="318"/>
      <c r="AJ685" s="318"/>
      <c r="AK685" s="318"/>
      <c r="AL685" s="318"/>
      <c r="AM685" s="318"/>
      <c r="AN685" s="318"/>
      <c r="AO685" s="318"/>
      <c r="AP685" s="318"/>
      <c r="AQ685" s="318"/>
      <c r="AR685" s="318"/>
      <c r="AS685" s="318"/>
      <c r="AT685" s="318"/>
      <c r="AU685" s="318"/>
      <c r="AV685" s="318"/>
      <c r="AW685" s="319"/>
      <c r="AX685" s="589"/>
      <c r="AY685" s="592"/>
      <c r="AZ685" s="592"/>
      <c r="BA685" s="594"/>
    </row>
    <row r="686" spans="1:53" ht="9" customHeight="1">
      <c r="A686" s="583">
        <v>2</v>
      </c>
      <c r="B686" s="584" t="str">
        <f t="shared" ref="B686" si="493">B574</f>
        <v>ખિમસુરીયા સાહિલકુમાર અરજણભાઇ</v>
      </c>
      <c r="C686" s="311"/>
      <c r="D686" s="312"/>
      <c r="E686" s="312"/>
      <c r="F686" s="312"/>
      <c r="G686" s="312"/>
      <c r="H686" s="312"/>
      <c r="I686" s="312"/>
      <c r="J686" s="312"/>
      <c r="K686" s="312"/>
      <c r="L686" s="312"/>
      <c r="M686" s="312"/>
      <c r="N686" s="312"/>
      <c r="O686" s="312"/>
      <c r="P686" s="312"/>
      <c r="Q686" s="312"/>
      <c r="R686" s="312"/>
      <c r="S686" s="312"/>
      <c r="T686" s="312"/>
      <c r="U686" s="312"/>
      <c r="V686" s="313"/>
      <c r="W686" s="587">
        <f>'A-CALC'!V647</f>
        <v>0</v>
      </c>
      <c r="X686" s="590">
        <f>'A-CALC'!W647</f>
        <v>0</v>
      </c>
      <c r="Y686" s="590">
        <f>'A-CALC'!X647</f>
        <v>0</v>
      </c>
      <c r="Z686" s="593">
        <f t="shared" ref="Z686" si="494">ROUND((40/$Y$7)*W686,0)</f>
        <v>0</v>
      </c>
      <c r="AA686" s="301"/>
      <c r="AB686" s="583">
        <v>2</v>
      </c>
      <c r="AC686" s="584" t="str">
        <f t="shared" ref="AC686" si="495">AC574</f>
        <v>ખિમસુરીયા સાહિલકુમાર અરજણભાઇ</v>
      </c>
      <c r="AD686" s="311"/>
      <c r="AE686" s="312"/>
      <c r="AF686" s="312"/>
      <c r="AG686" s="312"/>
      <c r="AH686" s="312"/>
      <c r="AI686" s="312"/>
      <c r="AJ686" s="312"/>
      <c r="AK686" s="312"/>
      <c r="AL686" s="312"/>
      <c r="AM686" s="312"/>
      <c r="AN686" s="312"/>
      <c r="AO686" s="312"/>
      <c r="AP686" s="312"/>
      <c r="AQ686" s="312"/>
      <c r="AR686" s="312"/>
      <c r="AS686" s="312"/>
      <c r="AT686" s="312"/>
      <c r="AU686" s="312"/>
      <c r="AV686" s="312"/>
      <c r="AW686" s="313"/>
      <c r="AX686" s="587">
        <f>'A-CALC'!AU647</f>
        <v>0</v>
      </c>
      <c r="AY686" s="590">
        <f>'A-CALC'!AV647</f>
        <v>0</v>
      </c>
      <c r="AZ686" s="590">
        <f>'A-CALC'!AW647</f>
        <v>0</v>
      </c>
      <c r="BA686" s="593">
        <f t="shared" ref="BA686" si="496">ROUND((40/$Y$7)*AX686,0)</f>
        <v>0</v>
      </c>
    </row>
    <row r="687" spans="1:53" ht="9" customHeight="1">
      <c r="A687" s="583"/>
      <c r="B687" s="585"/>
      <c r="C687" s="314"/>
      <c r="D687" s="315"/>
      <c r="E687" s="315"/>
      <c r="F687" s="315"/>
      <c r="G687" s="315"/>
      <c r="H687" s="315"/>
      <c r="I687" s="315"/>
      <c r="J687" s="315"/>
      <c r="K687" s="315"/>
      <c r="L687" s="315"/>
      <c r="M687" s="315"/>
      <c r="N687" s="315"/>
      <c r="O687" s="315"/>
      <c r="P687" s="315"/>
      <c r="Q687" s="315"/>
      <c r="R687" s="315"/>
      <c r="S687" s="315"/>
      <c r="T687" s="315"/>
      <c r="U687" s="315"/>
      <c r="V687" s="316"/>
      <c r="W687" s="588"/>
      <c r="X687" s="591"/>
      <c r="Y687" s="591"/>
      <c r="Z687" s="594"/>
      <c r="AA687" s="301"/>
      <c r="AB687" s="583"/>
      <c r="AC687" s="585"/>
      <c r="AD687" s="314"/>
      <c r="AE687" s="315"/>
      <c r="AF687" s="315"/>
      <c r="AG687" s="315"/>
      <c r="AH687" s="315"/>
      <c r="AI687" s="315"/>
      <c r="AJ687" s="315"/>
      <c r="AK687" s="315"/>
      <c r="AL687" s="315"/>
      <c r="AM687" s="315"/>
      <c r="AN687" s="315"/>
      <c r="AO687" s="315"/>
      <c r="AP687" s="315"/>
      <c r="AQ687" s="315"/>
      <c r="AR687" s="315"/>
      <c r="AS687" s="315"/>
      <c r="AT687" s="315"/>
      <c r="AU687" s="315"/>
      <c r="AV687" s="315"/>
      <c r="AW687" s="316"/>
      <c r="AX687" s="588"/>
      <c r="AY687" s="591"/>
      <c r="AZ687" s="591"/>
      <c r="BA687" s="594"/>
    </row>
    <row r="688" spans="1:53" ht="9" customHeight="1">
      <c r="A688" s="583"/>
      <c r="B688" s="586"/>
      <c r="C688" s="317"/>
      <c r="D688" s="318"/>
      <c r="E688" s="318"/>
      <c r="F688" s="318"/>
      <c r="G688" s="318"/>
      <c r="H688" s="318"/>
      <c r="I688" s="318"/>
      <c r="J688" s="318"/>
      <c r="K688" s="318"/>
      <c r="L688" s="318"/>
      <c r="M688" s="318"/>
      <c r="N688" s="318"/>
      <c r="O688" s="318"/>
      <c r="P688" s="318"/>
      <c r="Q688" s="318"/>
      <c r="R688" s="318"/>
      <c r="S688" s="318"/>
      <c r="T688" s="318"/>
      <c r="U688" s="318"/>
      <c r="V688" s="319"/>
      <c r="W688" s="589"/>
      <c r="X688" s="592"/>
      <c r="Y688" s="592"/>
      <c r="Z688" s="594"/>
      <c r="AA688" s="301"/>
      <c r="AB688" s="583"/>
      <c r="AC688" s="586"/>
      <c r="AD688" s="317"/>
      <c r="AE688" s="318"/>
      <c r="AF688" s="318"/>
      <c r="AG688" s="318"/>
      <c r="AH688" s="318"/>
      <c r="AI688" s="318"/>
      <c r="AJ688" s="318"/>
      <c r="AK688" s="318"/>
      <c r="AL688" s="318"/>
      <c r="AM688" s="318"/>
      <c r="AN688" s="318"/>
      <c r="AO688" s="318"/>
      <c r="AP688" s="318"/>
      <c r="AQ688" s="318"/>
      <c r="AR688" s="318"/>
      <c r="AS688" s="318"/>
      <c r="AT688" s="318"/>
      <c r="AU688" s="318"/>
      <c r="AV688" s="318"/>
      <c r="AW688" s="319"/>
      <c r="AX688" s="589"/>
      <c r="AY688" s="592"/>
      <c r="AZ688" s="592"/>
      <c r="BA688" s="594"/>
    </row>
    <row r="689" spans="1:53" ht="9" customHeight="1">
      <c r="A689" s="583">
        <v>3</v>
      </c>
      <c r="B689" s="584" t="str">
        <f t="shared" ref="B689" si="497">B577</f>
        <v>ગરણિયા મયુરકુમાર અશોકભાઇ</v>
      </c>
      <c r="C689" s="311"/>
      <c r="D689" s="312"/>
      <c r="E689" s="312"/>
      <c r="F689" s="312"/>
      <c r="G689" s="312"/>
      <c r="H689" s="312"/>
      <c r="I689" s="312"/>
      <c r="J689" s="312"/>
      <c r="K689" s="312"/>
      <c r="L689" s="312"/>
      <c r="M689" s="312"/>
      <c r="N689" s="312"/>
      <c r="O689" s="312"/>
      <c r="P689" s="312"/>
      <c r="Q689" s="312"/>
      <c r="R689" s="312"/>
      <c r="S689" s="312"/>
      <c r="T689" s="312"/>
      <c r="U689" s="312"/>
      <c r="V689" s="313"/>
      <c r="W689" s="587">
        <f>'A-CALC'!V650</f>
        <v>0</v>
      </c>
      <c r="X689" s="590">
        <f>'A-CALC'!W650</f>
        <v>0</v>
      </c>
      <c r="Y689" s="590">
        <f>'A-CALC'!X650</f>
        <v>0</v>
      </c>
      <c r="Z689" s="593">
        <f t="shared" ref="Z689" si="498">ROUND((40/$Y$7)*W689,0)</f>
        <v>0</v>
      </c>
      <c r="AA689" s="301"/>
      <c r="AB689" s="583">
        <v>3</v>
      </c>
      <c r="AC689" s="584" t="str">
        <f t="shared" ref="AC689" si="499">AC577</f>
        <v>ગરણિયા મયુરકુમાર અશોકભાઇ</v>
      </c>
      <c r="AD689" s="311"/>
      <c r="AE689" s="312"/>
      <c r="AF689" s="312"/>
      <c r="AG689" s="312"/>
      <c r="AH689" s="312"/>
      <c r="AI689" s="312"/>
      <c r="AJ689" s="312"/>
      <c r="AK689" s="312"/>
      <c r="AL689" s="312"/>
      <c r="AM689" s="312"/>
      <c r="AN689" s="312"/>
      <c r="AO689" s="312"/>
      <c r="AP689" s="312"/>
      <c r="AQ689" s="312"/>
      <c r="AR689" s="312"/>
      <c r="AS689" s="312"/>
      <c r="AT689" s="312"/>
      <c r="AU689" s="312"/>
      <c r="AV689" s="312"/>
      <c r="AW689" s="313"/>
      <c r="AX689" s="587">
        <f>'A-CALC'!AU650</f>
        <v>0</v>
      </c>
      <c r="AY689" s="590">
        <f>'A-CALC'!AV650</f>
        <v>0</v>
      </c>
      <c r="AZ689" s="590">
        <f>'A-CALC'!AW650</f>
        <v>0</v>
      </c>
      <c r="BA689" s="593">
        <f t="shared" ref="BA689" si="500">ROUND((40/$Y$7)*AX689,0)</f>
        <v>0</v>
      </c>
    </row>
    <row r="690" spans="1:53" ht="9" customHeight="1">
      <c r="A690" s="583"/>
      <c r="B690" s="585"/>
      <c r="C690" s="314"/>
      <c r="D690" s="315"/>
      <c r="E690" s="315"/>
      <c r="F690" s="315"/>
      <c r="G690" s="315"/>
      <c r="H690" s="315"/>
      <c r="I690" s="315"/>
      <c r="J690" s="315"/>
      <c r="K690" s="315"/>
      <c r="L690" s="315"/>
      <c r="M690" s="315"/>
      <c r="N690" s="315"/>
      <c r="O690" s="315"/>
      <c r="P690" s="315"/>
      <c r="Q690" s="315"/>
      <c r="R690" s="315"/>
      <c r="S690" s="315"/>
      <c r="T690" s="315"/>
      <c r="U690" s="315"/>
      <c r="V690" s="316"/>
      <c r="W690" s="588"/>
      <c r="X690" s="591"/>
      <c r="Y690" s="591"/>
      <c r="Z690" s="594"/>
      <c r="AA690" s="301"/>
      <c r="AB690" s="583"/>
      <c r="AC690" s="585"/>
      <c r="AD690" s="314"/>
      <c r="AE690" s="315"/>
      <c r="AF690" s="315"/>
      <c r="AG690" s="315"/>
      <c r="AH690" s="315"/>
      <c r="AI690" s="315"/>
      <c r="AJ690" s="315"/>
      <c r="AK690" s="315"/>
      <c r="AL690" s="315"/>
      <c r="AM690" s="315"/>
      <c r="AN690" s="315"/>
      <c r="AO690" s="315"/>
      <c r="AP690" s="315"/>
      <c r="AQ690" s="315"/>
      <c r="AR690" s="315"/>
      <c r="AS690" s="315"/>
      <c r="AT690" s="315"/>
      <c r="AU690" s="315"/>
      <c r="AV690" s="315"/>
      <c r="AW690" s="316"/>
      <c r="AX690" s="588"/>
      <c r="AY690" s="591"/>
      <c r="AZ690" s="591"/>
      <c r="BA690" s="594"/>
    </row>
    <row r="691" spans="1:53" ht="9" customHeight="1">
      <c r="A691" s="583"/>
      <c r="B691" s="586"/>
      <c r="C691" s="317"/>
      <c r="D691" s="318"/>
      <c r="E691" s="318"/>
      <c r="F691" s="318"/>
      <c r="G691" s="318"/>
      <c r="H691" s="318"/>
      <c r="I691" s="318"/>
      <c r="J691" s="318"/>
      <c r="K691" s="318"/>
      <c r="L691" s="318"/>
      <c r="M691" s="318"/>
      <c r="N691" s="318"/>
      <c r="O691" s="318"/>
      <c r="P691" s="318"/>
      <c r="Q691" s="318"/>
      <c r="R691" s="318"/>
      <c r="S691" s="318"/>
      <c r="T691" s="318"/>
      <c r="U691" s="318"/>
      <c r="V691" s="319"/>
      <c r="W691" s="589"/>
      <c r="X691" s="592"/>
      <c r="Y691" s="592"/>
      <c r="Z691" s="594"/>
      <c r="AA691" s="301"/>
      <c r="AB691" s="583"/>
      <c r="AC691" s="586"/>
      <c r="AD691" s="317"/>
      <c r="AE691" s="318"/>
      <c r="AF691" s="318"/>
      <c r="AG691" s="318"/>
      <c r="AH691" s="318"/>
      <c r="AI691" s="318"/>
      <c r="AJ691" s="318"/>
      <c r="AK691" s="318"/>
      <c r="AL691" s="318"/>
      <c r="AM691" s="318"/>
      <c r="AN691" s="318"/>
      <c r="AO691" s="318"/>
      <c r="AP691" s="318"/>
      <c r="AQ691" s="318"/>
      <c r="AR691" s="318"/>
      <c r="AS691" s="318"/>
      <c r="AT691" s="318"/>
      <c r="AU691" s="318"/>
      <c r="AV691" s="318"/>
      <c r="AW691" s="319"/>
      <c r="AX691" s="589"/>
      <c r="AY691" s="592"/>
      <c r="AZ691" s="592"/>
      <c r="BA691" s="594"/>
    </row>
    <row r="692" spans="1:53" ht="9" customHeight="1">
      <c r="A692" s="583">
        <v>4</v>
      </c>
      <c r="B692" s="584" t="str">
        <f t="shared" ref="B692" si="501">B580</f>
        <v>ગરણિયા અલ્પેશકુમાર મેરામભાઇ</v>
      </c>
      <c r="C692" s="311"/>
      <c r="D692" s="312"/>
      <c r="E692" s="312"/>
      <c r="F692" s="312"/>
      <c r="G692" s="312"/>
      <c r="H692" s="312"/>
      <c r="I692" s="312"/>
      <c r="J692" s="312"/>
      <c r="K692" s="312"/>
      <c r="L692" s="312"/>
      <c r="M692" s="312"/>
      <c r="N692" s="312"/>
      <c r="O692" s="312"/>
      <c r="P692" s="312"/>
      <c r="Q692" s="312"/>
      <c r="R692" s="312"/>
      <c r="S692" s="312"/>
      <c r="T692" s="312"/>
      <c r="U692" s="312"/>
      <c r="V692" s="313"/>
      <c r="W692" s="587">
        <f>'A-CALC'!V653</f>
        <v>0</v>
      </c>
      <c r="X692" s="590">
        <f>'A-CALC'!W653</f>
        <v>0</v>
      </c>
      <c r="Y692" s="590">
        <f>'A-CALC'!X653</f>
        <v>0</v>
      </c>
      <c r="Z692" s="593">
        <f t="shared" ref="Z692" si="502">ROUND((40/$Y$7)*W692,0)</f>
        <v>0</v>
      </c>
      <c r="AA692" s="301"/>
      <c r="AB692" s="583">
        <v>4</v>
      </c>
      <c r="AC692" s="584" t="str">
        <f t="shared" ref="AC692" si="503">AC580</f>
        <v>ગરણિયા અલ્પેશકુમાર મેરામભાઇ</v>
      </c>
      <c r="AD692" s="311"/>
      <c r="AE692" s="312"/>
      <c r="AF692" s="312"/>
      <c r="AG692" s="312"/>
      <c r="AH692" s="312"/>
      <c r="AI692" s="312"/>
      <c r="AJ692" s="312"/>
      <c r="AK692" s="312"/>
      <c r="AL692" s="312"/>
      <c r="AM692" s="312"/>
      <c r="AN692" s="312"/>
      <c r="AO692" s="312"/>
      <c r="AP692" s="312"/>
      <c r="AQ692" s="312"/>
      <c r="AR692" s="312"/>
      <c r="AS692" s="312"/>
      <c r="AT692" s="312"/>
      <c r="AU692" s="312"/>
      <c r="AV692" s="312"/>
      <c r="AW692" s="313"/>
      <c r="AX692" s="587">
        <f>'A-CALC'!AU653</f>
        <v>0</v>
      </c>
      <c r="AY692" s="590">
        <f>'A-CALC'!AV653</f>
        <v>0</v>
      </c>
      <c r="AZ692" s="590">
        <f>'A-CALC'!AW653</f>
        <v>0</v>
      </c>
      <c r="BA692" s="593">
        <f t="shared" ref="BA692" si="504">ROUND((40/$Y$7)*AX692,0)</f>
        <v>0</v>
      </c>
    </row>
    <row r="693" spans="1:53" ht="9" customHeight="1">
      <c r="A693" s="583"/>
      <c r="B693" s="585"/>
      <c r="C693" s="314"/>
      <c r="D693" s="315"/>
      <c r="E693" s="315"/>
      <c r="F693" s="315"/>
      <c r="G693" s="315"/>
      <c r="H693" s="315"/>
      <c r="I693" s="315"/>
      <c r="J693" s="315"/>
      <c r="K693" s="315"/>
      <c r="L693" s="315"/>
      <c r="M693" s="315"/>
      <c r="N693" s="315"/>
      <c r="O693" s="315"/>
      <c r="P693" s="315"/>
      <c r="Q693" s="315"/>
      <c r="R693" s="315"/>
      <c r="S693" s="315"/>
      <c r="T693" s="315"/>
      <c r="U693" s="315"/>
      <c r="V693" s="316"/>
      <c r="W693" s="588"/>
      <c r="X693" s="591"/>
      <c r="Y693" s="591"/>
      <c r="Z693" s="594"/>
      <c r="AA693" s="301"/>
      <c r="AB693" s="583"/>
      <c r="AC693" s="585"/>
      <c r="AD693" s="314"/>
      <c r="AE693" s="315"/>
      <c r="AF693" s="315"/>
      <c r="AG693" s="315"/>
      <c r="AH693" s="315"/>
      <c r="AI693" s="315"/>
      <c r="AJ693" s="315"/>
      <c r="AK693" s="315"/>
      <c r="AL693" s="315"/>
      <c r="AM693" s="315"/>
      <c r="AN693" s="315"/>
      <c r="AO693" s="315"/>
      <c r="AP693" s="315"/>
      <c r="AQ693" s="315"/>
      <c r="AR693" s="315"/>
      <c r="AS693" s="315"/>
      <c r="AT693" s="315"/>
      <c r="AU693" s="315"/>
      <c r="AV693" s="315"/>
      <c r="AW693" s="316"/>
      <c r="AX693" s="588"/>
      <c r="AY693" s="591"/>
      <c r="AZ693" s="591"/>
      <c r="BA693" s="594"/>
    </row>
    <row r="694" spans="1:53" ht="9" customHeight="1">
      <c r="A694" s="583"/>
      <c r="B694" s="586"/>
      <c r="C694" s="317"/>
      <c r="D694" s="318"/>
      <c r="E694" s="318"/>
      <c r="F694" s="318"/>
      <c r="G694" s="318"/>
      <c r="H694" s="318"/>
      <c r="I694" s="318"/>
      <c r="J694" s="318"/>
      <c r="K694" s="318"/>
      <c r="L694" s="318"/>
      <c r="M694" s="318"/>
      <c r="N694" s="318"/>
      <c r="O694" s="318"/>
      <c r="P694" s="318"/>
      <c r="Q694" s="318"/>
      <c r="R694" s="318"/>
      <c r="S694" s="318"/>
      <c r="T694" s="318"/>
      <c r="U694" s="318"/>
      <c r="V694" s="319"/>
      <c r="W694" s="589"/>
      <c r="X694" s="592"/>
      <c r="Y694" s="592"/>
      <c r="Z694" s="594"/>
      <c r="AA694" s="301"/>
      <c r="AB694" s="583"/>
      <c r="AC694" s="586"/>
      <c r="AD694" s="317"/>
      <c r="AE694" s="318"/>
      <c r="AF694" s="318"/>
      <c r="AG694" s="318"/>
      <c r="AH694" s="318"/>
      <c r="AI694" s="318"/>
      <c r="AJ694" s="318"/>
      <c r="AK694" s="318"/>
      <c r="AL694" s="318"/>
      <c r="AM694" s="318"/>
      <c r="AN694" s="318"/>
      <c r="AO694" s="318"/>
      <c r="AP694" s="318"/>
      <c r="AQ694" s="318"/>
      <c r="AR694" s="318"/>
      <c r="AS694" s="318"/>
      <c r="AT694" s="318"/>
      <c r="AU694" s="318"/>
      <c r="AV694" s="318"/>
      <c r="AW694" s="319"/>
      <c r="AX694" s="589"/>
      <c r="AY694" s="592"/>
      <c r="AZ694" s="592"/>
      <c r="BA694" s="594"/>
    </row>
    <row r="695" spans="1:53" ht="9" customHeight="1">
      <c r="A695" s="583">
        <v>5</v>
      </c>
      <c r="B695" s="584" t="str">
        <f t="shared" ref="B695" si="505">B583</f>
        <v>ગરણિયા મિલન પોપટભાઇ</v>
      </c>
      <c r="C695" s="311"/>
      <c r="D695" s="312"/>
      <c r="E695" s="312"/>
      <c r="F695" s="312"/>
      <c r="G695" s="312"/>
      <c r="H695" s="312"/>
      <c r="I695" s="312"/>
      <c r="J695" s="312"/>
      <c r="K695" s="312"/>
      <c r="L695" s="312"/>
      <c r="M695" s="312"/>
      <c r="N695" s="312"/>
      <c r="O695" s="312"/>
      <c r="P695" s="312"/>
      <c r="Q695" s="312"/>
      <c r="R695" s="312"/>
      <c r="S695" s="312"/>
      <c r="T695" s="312"/>
      <c r="U695" s="312"/>
      <c r="V695" s="313"/>
      <c r="W695" s="587">
        <f>'A-CALC'!V656</f>
        <v>0</v>
      </c>
      <c r="X695" s="590">
        <f>'A-CALC'!W656</f>
        <v>0</v>
      </c>
      <c r="Y695" s="590">
        <f>'A-CALC'!X656</f>
        <v>0</v>
      </c>
      <c r="Z695" s="593">
        <f t="shared" ref="Z695" si="506">ROUND((40/$Y$7)*W695,0)</f>
        <v>0</v>
      </c>
      <c r="AA695" s="301"/>
      <c r="AB695" s="583">
        <v>5</v>
      </c>
      <c r="AC695" s="584" t="str">
        <f t="shared" ref="AC695" si="507">AC583</f>
        <v>ગરણિયા મિલન પોપટભાઇ</v>
      </c>
      <c r="AD695" s="311"/>
      <c r="AE695" s="312"/>
      <c r="AF695" s="312"/>
      <c r="AG695" s="312"/>
      <c r="AH695" s="312"/>
      <c r="AI695" s="312"/>
      <c r="AJ695" s="312"/>
      <c r="AK695" s="312"/>
      <c r="AL695" s="312"/>
      <c r="AM695" s="312"/>
      <c r="AN695" s="312"/>
      <c r="AO695" s="312"/>
      <c r="AP695" s="312"/>
      <c r="AQ695" s="312"/>
      <c r="AR695" s="312"/>
      <c r="AS695" s="312"/>
      <c r="AT695" s="312"/>
      <c r="AU695" s="312"/>
      <c r="AV695" s="312"/>
      <c r="AW695" s="313"/>
      <c r="AX695" s="587">
        <f>'A-CALC'!AU656</f>
        <v>0</v>
      </c>
      <c r="AY695" s="590">
        <f>'A-CALC'!AV656</f>
        <v>0</v>
      </c>
      <c r="AZ695" s="590">
        <f>'A-CALC'!AW656</f>
        <v>0</v>
      </c>
      <c r="BA695" s="593">
        <f t="shared" ref="BA695" si="508">ROUND((40/$Y$7)*AX695,0)</f>
        <v>0</v>
      </c>
    </row>
    <row r="696" spans="1:53" ht="9" customHeight="1">
      <c r="A696" s="583"/>
      <c r="B696" s="585"/>
      <c r="C696" s="314"/>
      <c r="D696" s="315"/>
      <c r="E696" s="315"/>
      <c r="F696" s="315"/>
      <c r="G696" s="315"/>
      <c r="H696" s="315"/>
      <c r="I696" s="315"/>
      <c r="J696" s="315"/>
      <c r="K696" s="315"/>
      <c r="L696" s="315"/>
      <c r="M696" s="315"/>
      <c r="N696" s="315"/>
      <c r="O696" s="315"/>
      <c r="P696" s="315"/>
      <c r="Q696" s="315"/>
      <c r="R696" s="315"/>
      <c r="S696" s="315"/>
      <c r="T696" s="315"/>
      <c r="U696" s="315"/>
      <c r="V696" s="316"/>
      <c r="W696" s="588"/>
      <c r="X696" s="591"/>
      <c r="Y696" s="591"/>
      <c r="Z696" s="594"/>
      <c r="AA696" s="301"/>
      <c r="AB696" s="583"/>
      <c r="AC696" s="585"/>
      <c r="AD696" s="314"/>
      <c r="AE696" s="315"/>
      <c r="AF696" s="315"/>
      <c r="AG696" s="315"/>
      <c r="AH696" s="315"/>
      <c r="AI696" s="315"/>
      <c r="AJ696" s="315"/>
      <c r="AK696" s="315"/>
      <c r="AL696" s="315"/>
      <c r="AM696" s="315"/>
      <c r="AN696" s="315"/>
      <c r="AO696" s="315"/>
      <c r="AP696" s="315"/>
      <c r="AQ696" s="315"/>
      <c r="AR696" s="315"/>
      <c r="AS696" s="315"/>
      <c r="AT696" s="315"/>
      <c r="AU696" s="315"/>
      <c r="AV696" s="315"/>
      <c r="AW696" s="316"/>
      <c r="AX696" s="588"/>
      <c r="AY696" s="591"/>
      <c r="AZ696" s="591"/>
      <c r="BA696" s="594"/>
    </row>
    <row r="697" spans="1:53" ht="9" customHeight="1">
      <c r="A697" s="583"/>
      <c r="B697" s="586"/>
      <c r="C697" s="317"/>
      <c r="D697" s="318"/>
      <c r="E697" s="318"/>
      <c r="F697" s="318"/>
      <c r="G697" s="318"/>
      <c r="H697" s="318"/>
      <c r="I697" s="318"/>
      <c r="J697" s="318"/>
      <c r="K697" s="318"/>
      <c r="L697" s="318"/>
      <c r="M697" s="318"/>
      <c r="N697" s="318"/>
      <c r="O697" s="318"/>
      <c r="P697" s="318"/>
      <c r="Q697" s="318"/>
      <c r="R697" s="318"/>
      <c r="S697" s="318"/>
      <c r="T697" s="318"/>
      <c r="U697" s="318"/>
      <c r="V697" s="319"/>
      <c r="W697" s="589"/>
      <c r="X697" s="592"/>
      <c r="Y697" s="592"/>
      <c r="Z697" s="594"/>
      <c r="AA697" s="301"/>
      <c r="AB697" s="583"/>
      <c r="AC697" s="586"/>
      <c r="AD697" s="317"/>
      <c r="AE697" s="318"/>
      <c r="AF697" s="318"/>
      <c r="AG697" s="318"/>
      <c r="AH697" s="318"/>
      <c r="AI697" s="318"/>
      <c r="AJ697" s="318"/>
      <c r="AK697" s="318"/>
      <c r="AL697" s="318"/>
      <c r="AM697" s="318"/>
      <c r="AN697" s="318"/>
      <c r="AO697" s="318"/>
      <c r="AP697" s="318"/>
      <c r="AQ697" s="318"/>
      <c r="AR697" s="318"/>
      <c r="AS697" s="318"/>
      <c r="AT697" s="318"/>
      <c r="AU697" s="318"/>
      <c r="AV697" s="318"/>
      <c r="AW697" s="319"/>
      <c r="AX697" s="589"/>
      <c r="AY697" s="592"/>
      <c r="AZ697" s="592"/>
      <c r="BA697" s="594"/>
    </row>
    <row r="698" spans="1:53" ht="9" customHeight="1">
      <c r="A698" s="583">
        <v>6</v>
      </c>
      <c r="B698" s="584" t="str">
        <f t="shared" ref="B698" si="509">B586</f>
        <v>ગરણિયા મોહિત રાવતભાઇ</v>
      </c>
      <c r="C698" s="311"/>
      <c r="D698" s="312"/>
      <c r="E698" s="312"/>
      <c r="F698" s="312"/>
      <c r="G698" s="312"/>
      <c r="H698" s="312"/>
      <c r="I698" s="312"/>
      <c r="J698" s="312"/>
      <c r="K698" s="312"/>
      <c r="L698" s="312"/>
      <c r="M698" s="312"/>
      <c r="N698" s="312"/>
      <c r="O698" s="312"/>
      <c r="P698" s="312"/>
      <c r="Q698" s="312"/>
      <c r="R698" s="312"/>
      <c r="S698" s="312"/>
      <c r="T698" s="312"/>
      <c r="U698" s="312"/>
      <c r="V698" s="313"/>
      <c r="W698" s="587">
        <f>'A-CALC'!V659</f>
        <v>0</v>
      </c>
      <c r="X698" s="590">
        <f>'A-CALC'!W659</f>
        <v>0</v>
      </c>
      <c r="Y698" s="590">
        <f>'A-CALC'!X659</f>
        <v>0</v>
      </c>
      <c r="Z698" s="593">
        <f t="shared" ref="Z698" si="510">ROUND((40/$Y$7)*W698,0)</f>
        <v>0</v>
      </c>
      <c r="AA698" s="301"/>
      <c r="AB698" s="583">
        <v>6</v>
      </c>
      <c r="AC698" s="584" t="str">
        <f t="shared" ref="AC698" si="511">AC586</f>
        <v>ગરણિયા મોહિત રાવતભાઇ</v>
      </c>
      <c r="AD698" s="311"/>
      <c r="AE698" s="312"/>
      <c r="AF698" s="312"/>
      <c r="AG698" s="312"/>
      <c r="AH698" s="312"/>
      <c r="AI698" s="312"/>
      <c r="AJ698" s="312"/>
      <c r="AK698" s="312"/>
      <c r="AL698" s="312"/>
      <c r="AM698" s="312"/>
      <c r="AN698" s="312"/>
      <c r="AO698" s="312"/>
      <c r="AP698" s="312"/>
      <c r="AQ698" s="312"/>
      <c r="AR698" s="312"/>
      <c r="AS698" s="312"/>
      <c r="AT698" s="312"/>
      <c r="AU698" s="312"/>
      <c r="AV698" s="312"/>
      <c r="AW698" s="313"/>
      <c r="AX698" s="587">
        <f>'A-CALC'!AU659</f>
        <v>0</v>
      </c>
      <c r="AY698" s="590">
        <f>'A-CALC'!AV659</f>
        <v>0</v>
      </c>
      <c r="AZ698" s="590">
        <f>'A-CALC'!AW659</f>
        <v>0</v>
      </c>
      <c r="BA698" s="593">
        <f t="shared" ref="BA698" si="512">ROUND((40/$Y$7)*AX698,0)</f>
        <v>0</v>
      </c>
    </row>
    <row r="699" spans="1:53" ht="9" customHeight="1">
      <c r="A699" s="583"/>
      <c r="B699" s="585"/>
      <c r="C699" s="314"/>
      <c r="D699" s="315"/>
      <c r="E699" s="315"/>
      <c r="F699" s="315"/>
      <c r="G699" s="315"/>
      <c r="H699" s="315"/>
      <c r="I699" s="315"/>
      <c r="J699" s="315"/>
      <c r="K699" s="315"/>
      <c r="L699" s="315"/>
      <c r="M699" s="315"/>
      <c r="N699" s="315"/>
      <c r="O699" s="315"/>
      <c r="P699" s="315"/>
      <c r="Q699" s="315"/>
      <c r="R699" s="315"/>
      <c r="S699" s="315"/>
      <c r="T699" s="315"/>
      <c r="U699" s="315"/>
      <c r="V699" s="316"/>
      <c r="W699" s="588"/>
      <c r="X699" s="591"/>
      <c r="Y699" s="591"/>
      <c r="Z699" s="594"/>
      <c r="AA699" s="301"/>
      <c r="AB699" s="583"/>
      <c r="AC699" s="585"/>
      <c r="AD699" s="314"/>
      <c r="AE699" s="315"/>
      <c r="AF699" s="315"/>
      <c r="AG699" s="315"/>
      <c r="AH699" s="315"/>
      <c r="AI699" s="315"/>
      <c r="AJ699" s="315"/>
      <c r="AK699" s="315"/>
      <c r="AL699" s="315"/>
      <c r="AM699" s="315"/>
      <c r="AN699" s="315"/>
      <c r="AO699" s="315"/>
      <c r="AP699" s="315"/>
      <c r="AQ699" s="315"/>
      <c r="AR699" s="315"/>
      <c r="AS699" s="315"/>
      <c r="AT699" s="315"/>
      <c r="AU699" s="315"/>
      <c r="AV699" s="315"/>
      <c r="AW699" s="316"/>
      <c r="AX699" s="588"/>
      <c r="AY699" s="591"/>
      <c r="AZ699" s="591"/>
      <c r="BA699" s="594"/>
    </row>
    <row r="700" spans="1:53" ht="9" customHeight="1">
      <c r="A700" s="583"/>
      <c r="B700" s="586"/>
      <c r="C700" s="317"/>
      <c r="D700" s="318"/>
      <c r="E700" s="318"/>
      <c r="F700" s="318"/>
      <c r="G700" s="318"/>
      <c r="H700" s="318"/>
      <c r="I700" s="318"/>
      <c r="J700" s="318"/>
      <c r="K700" s="318"/>
      <c r="L700" s="318"/>
      <c r="M700" s="318"/>
      <c r="N700" s="318"/>
      <c r="O700" s="318"/>
      <c r="P700" s="318"/>
      <c r="Q700" s="318"/>
      <c r="R700" s="318"/>
      <c r="S700" s="318"/>
      <c r="T700" s="318"/>
      <c r="U700" s="318"/>
      <c r="V700" s="319"/>
      <c r="W700" s="589"/>
      <c r="X700" s="592"/>
      <c r="Y700" s="592"/>
      <c r="Z700" s="594"/>
      <c r="AA700" s="301"/>
      <c r="AB700" s="583"/>
      <c r="AC700" s="586"/>
      <c r="AD700" s="317"/>
      <c r="AE700" s="318"/>
      <c r="AF700" s="318"/>
      <c r="AG700" s="318"/>
      <c r="AH700" s="318"/>
      <c r="AI700" s="318"/>
      <c r="AJ700" s="318"/>
      <c r="AK700" s="318"/>
      <c r="AL700" s="318"/>
      <c r="AM700" s="318"/>
      <c r="AN700" s="318"/>
      <c r="AO700" s="318"/>
      <c r="AP700" s="318"/>
      <c r="AQ700" s="318"/>
      <c r="AR700" s="318"/>
      <c r="AS700" s="318"/>
      <c r="AT700" s="318"/>
      <c r="AU700" s="318"/>
      <c r="AV700" s="318"/>
      <c r="AW700" s="319"/>
      <c r="AX700" s="589"/>
      <c r="AY700" s="592"/>
      <c r="AZ700" s="592"/>
      <c r="BA700" s="594"/>
    </row>
    <row r="701" spans="1:53" ht="9" customHeight="1">
      <c r="A701" s="583">
        <v>7</v>
      </c>
      <c r="B701" s="584" t="str">
        <f t="shared" ref="B701" si="513">B589</f>
        <v>ગરણિયા સુમિત પોપટભાઇ</v>
      </c>
      <c r="C701" s="311"/>
      <c r="D701" s="312"/>
      <c r="E701" s="312"/>
      <c r="F701" s="312"/>
      <c r="G701" s="312"/>
      <c r="H701" s="312"/>
      <c r="I701" s="312"/>
      <c r="J701" s="312"/>
      <c r="K701" s="312"/>
      <c r="L701" s="312"/>
      <c r="M701" s="312"/>
      <c r="N701" s="312"/>
      <c r="O701" s="312"/>
      <c r="P701" s="312"/>
      <c r="Q701" s="312"/>
      <c r="R701" s="312"/>
      <c r="S701" s="312"/>
      <c r="T701" s="312"/>
      <c r="U701" s="312"/>
      <c r="V701" s="313"/>
      <c r="W701" s="587">
        <f>'A-CALC'!V662</f>
        <v>0</v>
      </c>
      <c r="X701" s="590">
        <f>'A-CALC'!W662</f>
        <v>0</v>
      </c>
      <c r="Y701" s="590">
        <f>'A-CALC'!X662</f>
        <v>0</v>
      </c>
      <c r="Z701" s="593">
        <f t="shared" ref="Z701" si="514">ROUND((40/$Y$7)*W701,0)</f>
        <v>0</v>
      </c>
      <c r="AA701" s="301"/>
      <c r="AB701" s="583">
        <v>7</v>
      </c>
      <c r="AC701" s="584" t="str">
        <f t="shared" ref="AC701" si="515">AC589</f>
        <v>ગરણિયા સુમિત પોપટભાઇ</v>
      </c>
      <c r="AD701" s="311"/>
      <c r="AE701" s="312"/>
      <c r="AF701" s="312"/>
      <c r="AG701" s="312"/>
      <c r="AH701" s="312"/>
      <c r="AI701" s="312"/>
      <c r="AJ701" s="312"/>
      <c r="AK701" s="312"/>
      <c r="AL701" s="312"/>
      <c r="AM701" s="312"/>
      <c r="AN701" s="312"/>
      <c r="AO701" s="312"/>
      <c r="AP701" s="312"/>
      <c r="AQ701" s="312"/>
      <c r="AR701" s="312"/>
      <c r="AS701" s="312"/>
      <c r="AT701" s="312"/>
      <c r="AU701" s="312"/>
      <c r="AV701" s="312"/>
      <c r="AW701" s="313"/>
      <c r="AX701" s="587">
        <f>'A-CALC'!AU662</f>
        <v>0</v>
      </c>
      <c r="AY701" s="590">
        <f>'A-CALC'!AV662</f>
        <v>0</v>
      </c>
      <c r="AZ701" s="590">
        <f>'A-CALC'!AW662</f>
        <v>0</v>
      </c>
      <c r="BA701" s="593">
        <f t="shared" ref="BA701" si="516">ROUND((40/$Y$7)*AX701,0)</f>
        <v>0</v>
      </c>
    </row>
    <row r="702" spans="1:53" ht="9" customHeight="1">
      <c r="A702" s="583"/>
      <c r="B702" s="585"/>
      <c r="C702" s="314"/>
      <c r="D702" s="315"/>
      <c r="E702" s="315"/>
      <c r="F702" s="315"/>
      <c r="G702" s="315"/>
      <c r="H702" s="315"/>
      <c r="I702" s="315"/>
      <c r="J702" s="315"/>
      <c r="K702" s="315"/>
      <c r="L702" s="315"/>
      <c r="M702" s="315"/>
      <c r="N702" s="315"/>
      <c r="O702" s="315"/>
      <c r="P702" s="315"/>
      <c r="Q702" s="315"/>
      <c r="R702" s="315"/>
      <c r="S702" s="315"/>
      <c r="T702" s="315"/>
      <c r="U702" s="315"/>
      <c r="V702" s="316"/>
      <c r="W702" s="588"/>
      <c r="X702" s="591"/>
      <c r="Y702" s="591"/>
      <c r="Z702" s="594"/>
      <c r="AA702" s="301"/>
      <c r="AB702" s="583"/>
      <c r="AC702" s="585"/>
      <c r="AD702" s="314"/>
      <c r="AE702" s="315"/>
      <c r="AF702" s="315"/>
      <c r="AG702" s="315"/>
      <c r="AH702" s="315"/>
      <c r="AI702" s="315"/>
      <c r="AJ702" s="315"/>
      <c r="AK702" s="315"/>
      <c r="AL702" s="315"/>
      <c r="AM702" s="315"/>
      <c r="AN702" s="315"/>
      <c r="AO702" s="315"/>
      <c r="AP702" s="315"/>
      <c r="AQ702" s="315"/>
      <c r="AR702" s="315"/>
      <c r="AS702" s="315"/>
      <c r="AT702" s="315"/>
      <c r="AU702" s="315"/>
      <c r="AV702" s="315"/>
      <c r="AW702" s="316"/>
      <c r="AX702" s="588"/>
      <c r="AY702" s="591"/>
      <c r="AZ702" s="591"/>
      <c r="BA702" s="594"/>
    </row>
    <row r="703" spans="1:53" ht="9" customHeight="1">
      <c r="A703" s="583"/>
      <c r="B703" s="586"/>
      <c r="C703" s="317"/>
      <c r="D703" s="318"/>
      <c r="E703" s="318"/>
      <c r="F703" s="318"/>
      <c r="G703" s="318"/>
      <c r="H703" s="318"/>
      <c r="I703" s="318"/>
      <c r="J703" s="318"/>
      <c r="K703" s="318"/>
      <c r="L703" s="318"/>
      <c r="M703" s="318"/>
      <c r="N703" s="318"/>
      <c r="O703" s="318"/>
      <c r="P703" s="318"/>
      <c r="Q703" s="318"/>
      <c r="R703" s="318"/>
      <c r="S703" s="318"/>
      <c r="T703" s="318"/>
      <c r="U703" s="318"/>
      <c r="V703" s="319"/>
      <c r="W703" s="589"/>
      <c r="X703" s="592"/>
      <c r="Y703" s="592"/>
      <c r="Z703" s="594"/>
      <c r="AA703" s="301"/>
      <c r="AB703" s="583"/>
      <c r="AC703" s="586"/>
      <c r="AD703" s="317"/>
      <c r="AE703" s="318"/>
      <c r="AF703" s="318"/>
      <c r="AG703" s="318"/>
      <c r="AH703" s="318"/>
      <c r="AI703" s="318"/>
      <c r="AJ703" s="318"/>
      <c r="AK703" s="318"/>
      <c r="AL703" s="318"/>
      <c r="AM703" s="318"/>
      <c r="AN703" s="318"/>
      <c r="AO703" s="318"/>
      <c r="AP703" s="318"/>
      <c r="AQ703" s="318"/>
      <c r="AR703" s="318"/>
      <c r="AS703" s="318"/>
      <c r="AT703" s="318"/>
      <c r="AU703" s="318"/>
      <c r="AV703" s="318"/>
      <c r="AW703" s="319"/>
      <c r="AX703" s="589"/>
      <c r="AY703" s="592"/>
      <c r="AZ703" s="592"/>
      <c r="BA703" s="594"/>
    </row>
    <row r="704" spans="1:53" ht="9" customHeight="1">
      <c r="A704" s="583">
        <v>8</v>
      </c>
      <c r="B704" s="584" t="str">
        <f t="shared" ref="B704:B767" si="517">B592</f>
        <v>ગરણિયા રામકુભાઇ સાર્દૂળભાઇ</v>
      </c>
      <c r="C704" s="311"/>
      <c r="D704" s="312"/>
      <c r="E704" s="312"/>
      <c r="F704" s="312"/>
      <c r="G704" s="312"/>
      <c r="H704" s="312"/>
      <c r="I704" s="312"/>
      <c r="J704" s="312"/>
      <c r="K704" s="312"/>
      <c r="L704" s="312"/>
      <c r="M704" s="312"/>
      <c r="N704" s="312"/>
      <c r="O704" s="312"/>
      <c r="P704" s="312"/>
      <c r="Q704" s="312"/>
      <c r="R704" s="312"/>
      <c r="S704" s="312"/>
      <c r="T704" s="312"/>
      <c r="U704" s="312"/>
      <c r="V704" s="313"/>
      <c r="W704" s="587">
        <f>'A-CALC'!V665</f>
        <v>0</v>
      </c>
      <c r="X704" s="590">
        <f>'A-CALC'!W665</f>
        <v>0</v>
      </c>
      <c r="Y704" s="590">
        <f>'A-CALC'!X665</f>
        <v>0</v>
      </c>
      <c r="Z704" s="593">
        <f t="shared" ref="Z704" si="518">ROUND((40/$Y$7)*W704,0)</f>
        <v>0</v>
      </c>
      <c r="AA704" s="301"/>
      <c r="AB704" s="583">
        <v>8</v>
      </c>
      <c r="AC704" s="584" t="str">
        <f t="shared" ref="AC704:AC767" si="519">AC592</f>
        <v>ગરણિયા રામકુભાઇ સાર્દૂળભાઇ</v>
      </c>
      <c r="AD704" s="311"/>
      <c r="AE704" s="312"/>
      <c r="AF704" s="312"/>
      <c r="AG704" s="312"/>
      <c r="AH704" s="312"/>
      <c r="AI704" s="312"/>
      <c r="AJ704" s="312"/>
      <c r="AK704" s="312"/>
      <c r="AL704" s="312"/>
      <c r="AM704" s="312"/>
      <c r="AN704" s="312"/>
      <c r="AO704" s="312"/>
      <c r="AP704" s="312"/>
      <c r="AQ704" s="312"/>
      <c r="AR704" s="312"/>
      <c r="AS704" s="312"/>
      <c r="AT704" s="312"/>
      <c r="AU704" s="312"/>
      <c r="AV704" s="312"/>
      <c r="AW704" s="313"/>
      <c r="AX704" s="587">
        <f>'A-CALC'!AU665</f>
        <v>0</v>
      </c>
      <c r="AY704" s="590">
        <f>'A-CALC'!AV665</f>
        <v>0</v>
      </c>
      <c r="AZ704" s="590">
        <f>'A-CALC'!AW665</f>
        <v>0</v>
      </c>
      <c r="BA704" s="593">
        <f t="shared" ref="BA704" si="520">ROUND((40/$Y$7)*AX704,0)</f>
        <v>0</v>
      </c>
    </row>
    <row r="705" spans="1:53" ht="9" customHeight="1">
      <c r="A705" s="583"/>
      <c r="B705" s="585"/>
      <c r="C705" s="314"/>
      <c r="D705" s="315"/>
      <c r="E705" s="315"/>
      <c r="F705" s="315"/>
      <c r="G705" s="315"/>
      <c r="H705" s="315"/>
      <c r="I705" s="315"/>
      <c r="J705" s="315"/>
      <c r="K705" s="315"/>
      <c r="L705" s="315"/>
      <c r="M705" s="315"/>
      <c r="N705" s="315"/>
      <c r="O705" s="315"/>
      <c r="P705" s="315"/>
      <c r="Q705" s="315"/>
      <c r="R705" s="315"/>
      <c r="S705" s="315"/>
      <c r="T705" s="315"/>
      <c r="U705" s="315"/>
      <c r="V705" s="316"/>
      <c r="W705" s="588"/>
      <c r="X705" s="591"/>
      <c r="Y705" s="591"/>
      <c r="Z705" s="594"/>
      <c r="AA705" s="301"/>
      <c r="AB705" s="583"/>
      <c r="AC705" s="585"/>
      <c r="AD705" s="314"/>
      <c r="AE705" s="315"/>
      <c r="AF705" s="315"/>
      <c r="AG705" s="315"/>
      <c r="AH705" s="315"/>
      <c r="AI705" s="315"/>
      <c r="AJ705" s="315"/>
      <c r="AK705" s="315"/>
      <c r="AL705" s="315"/>
      <c r="AM705" s="315"/>
      <c r="AN705" s="315"/>
      <c r="AO705" s="315"/>
      <c r="AP705" s="315"/>
      <c r="AQ705" s="315"/>
      <c r="AR705" s="315"/>
      <c r="AS705" s="315"/>
      <c r="AT705" s="315"/>
      <c r="AU705" s="315"/>
      <c r="AV705" s="315"/>
      <c r="AW705" s="316"/>
      <c r="AX705" s="588"/>
      <c r="AY705" s="591"/>
      <c r="AZ705" s="591"/>
      <c r="BA705" s="594"/>
    </row>
    <row r="706" spans="1:53" ht="9" customHeight="1">
      <c r="A706" s="583"/>
      <c r="B706" s="586"/>
      <c r="C706" s="317"/>
      <c r="D706" s="318"/>
      <c r="E706" s="318"/>
      <c r="F706" s="318"/>
      <c r="G706" s="318"/>
      <c r="H706" s="318"/>
      <c r="I706" s="318"/>
      <c r="J706" s="318"/>
      <c r="K706" s="318"/>
      <c r="L706" s="318"/>
      <c r="M706" s="318"/>
      <c r="N706" s="318"/>
      <c r="O706" s="318"/>
      <c r="P706" s="318"/>
      <c r="Q706" s="318"/>
      <c r="R706" s="318"/>
      <c r="S706" s="318"/>
      <c r="T706" s="318"/>
      <c r="U706" s="318"/>
      <c r="V706" s="319"/>
      <c r="W706" s="589"/>
      <c r="X706" s="592"/>
      <c r="Y706" s="592"/>
      <c r="Z706" s="594"/>
      <c r="AA706" s="301"/>
      <c r="AB706" s="583"/>
      <c r="AC706" s="586"/>
      <c r="AD706" s="317"/>
      <c r="AE706" s="318"/>
      <c r="AF706" s="318"/>
      <c r="AG706" s="318"/>
      <c r="AH706" s="318"/>
      <c r="AI706" s="318"/>
      <c r="AJ706" s="318"/>
      <c r="AK706" s="318"/>
      <c r="AL706" s="318"/>
      <c r="AM706" s="318"/>
      <c r="AN706" s="318"/>
      <c r="AO706" s="318"/>
      <c r="AP706" s="318"/>
      <c r="AQ706" s="318"/>
      <c r="AR706" s="318"/>
      <c r="AS706" s="318"/>
      <c r="AT706" s="318"/>
      <c r="AU706" s="318"/>
      <c r="AV706" s="318"/>
      <c r="AW706" s="319"/>
      <c r="AX706" s="589"/>
      <c r="AY706" s="592"/>
      <c r="AZ706" s="592"/>
      <c r="BA706" s="594"/>
    </row>
    <row r="707" spans="1:53" ht="9" customHeight="1">
      <c r="A707" s="583">
        <v>9</v>
      </c>
      <c r="B707" s="584" t="str">
        <f t="shared" si="517"/>
        <v>ડેર હિતેષકુમાર પ્રતાપભાઇ</v>
      </c>
      <c r="C707" s="311"/>
      <c r="D707" s="312"/>
      <c r="E707" s="312"/>
      <c r="F707" s="312"/>
      <c r="G707" s="312"/>
      <c r="H707" s="312"/>
      <c r="I707" s="312"/>
      <c r="J707" s="312"/>
      <c r="K707" s="312"/>
      <c r="L707" s="312"/>
      <c r="M707" s="312"/>
      <c r="N707" s="312"/>
      <c r="O707" s="312"/>
      <c r="P707" s="312"/>
      <c r="Q707" s="312"/>
      <c r="R707" s="312"/>
      <c r="S707" s="312"/>
      <c r="T707" s="312"/>
      <c r="U707" s="312"/>
      <c r="V707" s="313"/>
      <c r="W707" s="587">
        <f>'A-CALC'!V668</f>
        <v>0</v>
      </c>
      <c r="X707" s="590">
        <f>'A-CALC'!W668</f>
        <v>0</v>
      </c>
      <c r="Y707" s="590">
        <f>'A-CALC'!X668</f>
        <v>0</v>
      </c>
      <c r="Z707" s="593">
        <f t="shared" ref="Z707" si="521">ROUND((40/$Y$7)*W707,0)</f>
        <v>0</v>
      </c>
      <c r="AA707" s="301"/>
      <c r="AB707" s="583">
        <v>9</v>
      </c>
      <c r="AC707" s="584" t="str">
        <f t="shared" si="519"/>
        <v>ડેર હિતેષકુમાર પ્રતાપભાઇ</v>
      </c>
      <c r="AD707" s="311"/>
      <c r="AE707" s="312"/>
      <c r="AF707" s="312"/>
      <c r="AG707" s="312"/>
      <c r="AH707" s="312"/>
      <c r="AI707" s="312"/>
      <c r="AJ707" s="312"/>
      <c r="AK707" s="312"/>
      <c r="AL707" s="312"/>
      <c r="AM707" s="312"/>
      <c r="AN707" s="312"/>
      <c r="AO707" s="312"/>
      <c r="AP707" s="312"/>
      <c r="AQ707" s="312"/>
      <c r="AR707" s="312"/>
      <c r="AS707" s="312"/>
      <c r="AT707" s="312"/>
      <c r="AU707" s="312"/>
      <c r="AV707" s="312"/>
      <c r="AW707" s="313"/>
      <c r="AX707" s="587">
        <f>'A-CALC'!AU668</f>
        <v>0</v>
      </c>
      <c r="AY707" s="590">
        <f>'A-CALC'!AV668</f>
        <v>0</v>
      </c>
      <c r="AZ707" s="590">
        <f>'A-CALC'!AW668</f>
        <v>0</v>
      </c>
      <c r="BA707" s="593">
        <f t="shared" ref="BA707" si="522">ROUND((40/$Y$7)*AX707,0)</f>
        <v>0</v>
      </c>
    </row>
    <row r="708" spans="1:53" ht="9" customHeight="1">
      <c r="A708" s="583"/>
      <c r="B708" s="585"/>
      <c r="C708" s="314"/>
      <c r="D708" s="315"/>
      <c r="E708" s="315"/>
      <c r="F708" s="315"/>
      <c r="G708" s="315"/>
      <c r="H708" s="315"/>
      <c r="I708" s="315"/>
      <c r="J708" s="315"/>
      <c r="K708" s="315"/>
      <c r="L708" s="315"/>
      <c r="M708" s="315"/>
      <c r="N708" s="315"/>
      <c r="O708" s="315"/>
      <c r="P708" s="315"/>
      <c r="Q708" s="315"/>
      <c r="R708" s="315"/>
      <c r="S708" s="315"/>
      <c r="T708" s="315"/>
      <c r="U708" s="315"/>
      <c r="V708" s="316"/>
      <c r="W708" s="588"/>
      <c r="X708" s="591"/>
      <c r="Y708" s="591"/>
      <c r="Z708" s="594"/>
      <c r="AA708" s="301"/>
      <c r="AB708" s="583"/>
      <c r="AC708" s="585"/>
      <c r="AD708" s="314"/>
      <c r="AE708" s="315"/>
      <c r="AF708" s="315"/>
      <c r="AG708" s="315"/>
      <c r="AH708" s="315"/>
      <c r="AI708" s="315"/>
      <c r="AJ708" s="315"/>
      <c r="AK708" s="315"/>
      <c r="AL708" s="315"/>
      <c r="AM708" s="315"/>
      <c r="AN708" s="315"/>
      <c r="AO708" s="315"/>
      <c r="AP708" s="315"/>
      <c r="AQ708" s="315"/>
      <c r="AR708" s="315"/>
      <c r="AS708" s="315"/>
      <c r="AT708" s="315"/>
      <c r="AU708" s="315"/>
      <c r="AV708" s="315"/>
      <c r="AW708" s="316"/>
      <c r="AX708" s="588"/>
      <c r="AY708" s="591"/>
      <c r="AZ708" s="591"/>
      <c r="BA708" s="594"/>
    </row>
    <row r="709" spans="1:53" ht="9" customHeight="1">
      <c r="A709" s="583"/>
      <c r="B709" s="586"/>
      <c r="C709" s="317"/>
      <c r="D709" s="318"/>
      <c r="E709" s="318"/>
      <c r="F709" s="318"/>
      <c r="G709" s="318"/>
      <c r="H709" s="318"/>
      <c r="I709" s="318"/>
      <c r="J709" s="318"/>
      <c r="K709" s="318"/>
      <c r="L709" s="318"/>
      <c r="M709" s="318"/>
      <c r="N709" s="318"/>
      <c r="O709" s="318"/>
      <c r="P709" s="318"/>
      <c r="Q709" s="318"/>
      <c r="R709" s="318"/>
      <c r="S709" s="318"/>
      <c r="T709" s="318"/>
      <c r="U709" s="318"/>
      <c r="V709" s="319"/>
      <c r="W709" s="589"/>
      <c r="X709" s="592"/>
      <c r="Y709" s="592"/>
      <c r="Z709" s="594"/>
      <c r="AA709" s="301"/>
      <c r="AB709" s="583"/>
      <c r="AC709" s="586"/>
      <c r="AD709" s="317"/>
      <c r="AE709" s="318"/>
      <c r="AF709" s="318"/>
      <c r="AG709" s="318"/>
      <c r="AH709" s="318"/>
      <c r="AI709" s="318"/>
      <c r="AJ709" s="318"/>
      <c r="AK709" s="318"/>
      <c r="AL709" s="318"/>
      <c r="AM709" s="318"/>
      <c r="AN709" s="318"/>
      <c r="AO709" s="318"/>
      <c r="AP709" s="318"/>
      <c r="AQ709" s="318"/>
      <c r="AR709" s="318"/>
      <c r="AS709" s="318"/>
      <c r="AT709" s="318"/>
      <c r="AU709" s="318"/>
      <c r="AV709" s="318"/>
      <c r="AW709" s="319"/>
      <c r="AX709" s="589"/>
      <c r="AY709" s="592"/>
      <c r="AZ709" s="592"/>
      <c r="BA709" s="594"/>
    </row>
    <row r="710" spans="1:53" ht="9" customHeight="1">
      <c r="A710" s="583">
        <v>10</v>
      </c>
      <c r="B710" s="584" t="str">
        <f t="shared" si="517"/>
        <v>વેકરીયા વિશાલકુમાર દિપકભાઇ</v>
      </c>
      <c r="C710" s="311"/>
      <c r="D710" s="312"/>
      <c r="E710" s="312"/>
      <c r="F710" s="312"/>
      <c r="G710" s="312"/>
      <c r="H710" s="312"/>
      <c r="I710" s="312"/>
      <c r="J710" s="312"/>
      <c r="K710" s="312"/>
      <c r="L710" s="312"/>
      <c r="M710" s="312"/>
      <c r="N710" s="312"/>
      <c r="O710" s="312"/>
      <c r="P710" s="312"/>
      <c r="Q710" s="312"/>
      <c r="R710" s="312"/>
      <c r="S710" s="312"/>
      <c r="T710" s="312"/>
      <c r="U710" s="312"/>
      <c r="V710" s="313"/>
      <c r="W710" s="587">
        <f>'A-CALC'!V671</f>
        <v>0</v>
      </c>
      <c r="X710" s="590">
        <f>'A-CALC'!W671</f>
        <v>0</v>
      </c>
      <c r="Y710" s="590">
        <f>'A-CALC'!X671</f>
        <v>0</v>
      </c>
      <c r="Z710" s="593">
        <f t="shared" ref="Z710" si="523">ROUND((40/$Y$7)*W710,0)</f>
        <v>0</v>
      </c>
      <c r="AA710" s="301"/>
      <c r="AB710" s="583">
        <v>10</v>
      </c>
      <c r="AC710" s="584" t="str">
        <f t="shared" si="519"/>
        <v>વેકરીયા વિશાલકુમાર દિપકભાઇ</v>
      </c>
      <c r="AD710" s="311"/>
      <c r="AE710" s="312"/>
      <c r="AF710" s="312"/>
      <c r="AG710" s="312"/>
      <c r="AH710" s="312"/>
      <c r="AI710" s="312"/>
      <c r="AJ710" s="312"/>
      <c r="AK710" s="312"/>
      <c r="AL710" s="312"/>
      <c r="AM710" s="312"/>
      <c r="AN710" s="312"/>
      <c r="AO710" s="312"/>
      <c r="AP710" s="312"/>
      <c r="AQ710" s="312"/>
      <c r="AR710" s="312"/>
      <c r="AS710" s="312"/>
      <c r="AT710" s="312"/>
      <c r="AU710" s="312"/>
      <c r="AV710" s="312"/>
      <c r="AW710" s="313"/>
      <c r="AX710" s="587">
        <f>'A-CALC'!AU671</f>
        <v>0</v>
      </c>
      <c r="AY710" s="590">
        <f>'A-CALC'!AV671</f>
        <v>0</v>
      </c>
      <c r="AZ710" s="590">
        <f>'A-CALC'!AW671</f>
        <v>0</v>
      </c>
      <c r="BA710" s="593">
        <f t="shared" ref="BA710" si="524">ROUND((40/$Y$7)*AX710,0)</f>
        <v>0</v>
      </c>
    </row>
    <row r="711" spans="1:53" ht="9" customHeight="1">
      <c r="A711" s="583"/>
      <c r="B711" s="585"/>
      <c r="C711" s="314"/>
      <c r="D711" s="315"/>
      <c r="E711" s="315"/>
      <c r="F711" s="315"/>
      <c r="G711" s="315"/>
      <c r="H711" s="315"/>
      <c r="I711" s="315"/>
      <c r="J711" s="315"/>
      <c r="K711" s="315"/>
      <c r="L711" s="315"/>
      <c r="M711" s="315"/>
      <c r="N711" s="315"/>
      <c r="O711" s="315"/>
      <c r="P711" s="315"/>
      <c r="Q711" s="315"/>
      <c r="R711" s="315"/>
      <c r="S711" s="315"/>
      <c r="T711" s="315"/>
      <c r="U711" s="315"/>
      <c r="V711" s="316"/>
      <c r="W711" s="588"/>
      <c r="X711" s="591"/>
      <c r="Y711" s="591"/>
      <c r="Z711" s="594"/>
      <c r="AA711" s="301"/>
      <c r="AB711" s="583"/>
      <c r="AC711" s="585"/>
      <c r="AD711" s="314"/>
      <c r="AE711" s="315"/>
      <c r="AF711" s="315"/>
      <c r="AG711" s="315"/>
      <c r="AH711" s="315"/>
      <c r="AI711" s="315"/>
      <c r="AJ711" s="315"/>
      <c r="AK711" s="315"/>
      <c r="AL711" s="315"/>
      <c r="AM711" s="315"/>
      <c r="AN711" s="315"/>
      <c r="AO711" s="315"/>
      <c r="AP711" s="315"/>
      <c r="AQ711" s="315"/>
      <c r="AR711" s="315"/>
      <c r="AS711" s="315"/>
      <c r="AT711" s="315"/>
      <c r="AU711" s="315"/>
      <c r="AV711" s="315"/>
      <c r="AW711" s="316"/>
      <c r="AX711" s="588"/>
      <c r="AY711" s="591"/>
      <c r="AZ711" s="591"/>
      <c r="BA711" s="594"/>
    </row>
    <row r="712" spans="1:53" ht="9" customHeight="1">
      <c r="A712" s="583"/>
      <c r="B712" s="586"/>
      <c r="C712" s="317"/>
      <c r="D712" s="318"/>
      <c r="E712" s="318"/>
      <c r="F712" s="318"/>
      <c r="G712" s="318"/>
      <c r="H712" s="318"/>
      <c r="I712" s="318"/>
      <c r="J712" s="318"/>
      <c r="K712" s="318"/>
      <c r="L712" s="318"/>
      <c r="M712" s="318"/>
      <c r="N712" s="318"/>
      <c r="O712" s="318"/>
      <c r="P712" s="318"/>
      <c r="Q712" s="318"/>
      <c r="R712" s="318"/>
      <c r="S712" s="318"/>
      <c r="T712" s="318"/>
      <c r="U712" s="318"/>
      <c r="V712" s="319"/>
      <c r="W712" s="589"/>
      <c r="X712" s="592"/>
      <c r="Y712" s="592"/>
      <c r="Z712" s="594"/>
      <c r="AA712" s="301"/>
      <c r="AB712" s="583"/>
      <c r="AC712" s="586"/>
      <c r="AD712" s="317"/>
      <c r="AE712" s="318"/>
      <c r="AF712" s="318"/>
      <c r="AG712" s="318"/>
      <c r="AH712" s="318"/>
      <c r="AI712" s="318"/>
      <c r="AJ712" s="318"/>
      <c r="AK712" s="318"/>
      <c r="AL712" s="318"/>
      <c r="AM712" s="318"/>
      <c r="AN712" s="318"/>
      <c r="AO712" s="318"/>
      <c r="AP712" s="318"/>
      <c r="AQ712" s="318"/>
      <c r="AR712" s="318"/>
      <c r="AS712" s="318"/>
      <c r="AT712" s="318"/>
      <c r="AU712" s="318"/>
      <c r="AV712" s="318"/>
      <c r="AW712" s="319"/>
      <c r="AX712" s="589"/>
      <c r="AY712" s="592"/>
      <c r="AZ712" s="592"/>
      <c r="BA712" s="594"/>
    </row>
    <row r="713" spans="1:53" ht="9" customHeight="1">
      <c r="A713" s="583">
        <v>11</v>
      </c>
      <c r="B713" s="584" t="str">
        <f t="shared" si="517"/>
        <v>માણસુરીયા મહેન્દ્રભાઇ ભૂપતભાઇ</v>
      </c>
      <c r="C713" s="311"/>
      <c r="D713" s="312"/>
      <c r="E713" s="312"/>
      <c r="F713" s="312"/>
      <c r="G713" s="312"/>
      <c r="H713" s="312"/>
      <c r="I713" s="312"/>
      <c r="J713" s="312"/>
      <c r="K713" s="312"/>
      <c r="L713" s="312"/>
      <c r="M713" s="312"/>
      <c r="N713" s="312"/>
      <c r="O713" s="312"/>
      <c r="P713" s="312"/>
      <c r="Q713" s="312"/>
      <c r="R713" s="312"/>
      <c r="S713" s="312"/>
      <c r="T713" s="312"/>
      <c r="U713" s="312"/>
      <c r="V713" s="313"/>
      <c r="W713" s="587">
        <f>'A-CALC'!V674</f>
        <v>0</v>
      </c>
      <c r="X713" s="590">
        <f>'A-CALC'!W674</f>
        <v>0</v>
      </c>
      <c r="Y713" s="590">
        <f>'A-CALC'!X674</f>
        <v>0</v>
      </c>
      <c r="Z713" s="593">
        <f t="shared" ref="Z713" si="525">ROUND((40/$Y$7)*W713,0)</f>
        <v>0</v>
      </c>
      <c r="AA713" s="301"/>
      <c r="AB713" s="583">
        <v>11</v>
      </c>
      <c r="AC713" s="584" t="str">
        <f t="shared" si="519"/>
        <v>માણસુરીયા મહેન્દ્રભાઇ ભૂપતભાઇ</v>
      </c>
      <c r="AD713" s="311"/>
      <c r="AE713" s="312"/>
      <c r="AF713" s="312"/>
      <c r="AG713" s="312"/>
      <c r="AH713" s="312"/>
      <c r="AI713" s="312"/>
      <c r="AJ713" s="312"/>
      <c r="AK713" s="312"/>
      <c r="AL713" s="312"/>
      <c r="AM713" s="312"/>
      <c r="AN713" s="312"/>
      <c r="AO713" s="312"/>
      <c r="AP713" s="312"/>
      <c r="AQ713" s="312"/>
      <c r="AR713" s="312"/>
      <c r="AS713" s="312"/>
      <c r="AT713" s="312"/>
      <c r="AU713" s="312"/>
      <c r="AV713" s="312"/>
      <c r="AW713" s="313"/>
      <c r="AX713" s="587">
        <f>'A-CALC'!AU674</f>
        <v>0</v>
      </c>
      <c r="AY713" s="590">
        <f>'A-CALC'!AV674</f>
        <v>0</v>
      </c>
      <c r="AZ713" s="590">
        <f>'A-CALC'!AW674</f>
        <v>0</v>
      </c>
      <c r="BA713" s="593">
        <f t="shared" ref="BA713" si="526">ROUND((40/$Y$7)*AX713,0)</f>
        <v>0</v>
      </c>
    </row>
    <row r="714" spans="1:53" ht="9" customHeight="1">
      <c r="A714" s="583"/>
      <c r="B714" s="585"/>
      <c r="C714" s="314"/>
      <c r="D714" s="315"/>
      <c r="E714" s="315"/>
      <c r="F714" s="315"/>
      <c r="G714" s="315"/>
      <c r="H714" s="315"/>
      <c r="I714" s="315"/>
      <c r="J714" s="315"/>
      <c r="K714" s="315"/>
      <c r="L714" s="315"/>
      <c r="M714" s="315"/>
      <c r="N714" s="315"/>
      <c r="O714" s="315"/>
      <c r="P714" s="315"/>
      <c r="Q714" s="315"/>
      <c r="R714" s="315"/>
      <c r="S714" s="315"/>
      <c r="T714" s="315"/>
      <c r="U714" s="315"/>
      <c r="V714" s="316"/>
      <c r="W714" s="588"/>
      <c r="X714" s="591"/>
      <c r="Y714" s="591"/>
      <c r="Z714" s="594"/>
      <c r="AA714" s="301"/>
      <c r="AB714" s="583"/>
      <c r="AC714" s="585"/>
      <c r="AD714" s="314"/>
      <c r="AE714" s="315"/>
      <c r="AF714" s="315"/>
      <c r="AG714" s="315"/>
      <c r="AH714" s="315"/>
      <c r="AI714" s="315"/>
      <c r="AJ714" s="315"/>
      <c r="AK714" s="315"/>
      <c r="AL714" s="315"/>
      <c r="AM714" s="315"/>
      <c r="AN714" s="315"/>
      <c r="AO714" s="315"/>
      <c r="AP714" s="315"/>
      <c r="AQ714" s="315"/>
      <c r="AR714" s="315"/>
      <c r="AS714" s="315"/>
      <c r="AT714" s="315"/>
      <c r="AU714" s="315"/>
      <c r="AV714" s="315"/>
      <c r="AW714" s="316"/>
      <c r="AX714" s="588"/>
      <c r="AY714" s="591"/>
      <c r="AZ714" s="591"/>
      <c r="BA714" s="594"/>
    </row>
    <row r="715" spans="1:53" ht="9" customHeight="1">
      <c r="A715" s="583"/>
      <c r="B715" s="586"/>
      <c r="C715" s="317"/>
      <c r="D715" s="318"/>
      <c r="E715" s="318"/>
      <c r="F715" s="318"/>
      <c r="G715" s="318"/>
      <c r="H715" s="318"/>
      <c r="I715" s="318"/>
      <c r="J715" s="318"/>
      <c r="K715" s="318"/>
      <c r="L715" s="318"/>
      <c r="M715" s="318"/>
      <c r="N715" s="318"/>
      <c r="O715" s="318"/>
      <c r="P715" s="318"/>
      <c r="Q715" s="318"/>
      <c r="R715" s="318"/>
      <c r="S715" s="318"/>
      <c r="T715" s="318"/>
      <c r="U715" s="318"/>
      <c r="V715" s="319"/>
      <c r="W715" s="589"/>
      <c r="X715" s="592"/>
      <c r="Y715" s="592"/>
      <c r="Z715" s="594"/>
      <c r="AA715" s="301"/>
      <c r="AB715" s="583"/>
      <c r="AC715" s="586"/>
      <c r="AD715" s="317"/>
      <c r="AE715" s="318"/>
      <c r="AF715" s="318"/>
      <c r="AG715" s="318"/>
      <c r="AH715" s="318"/>
      <c r="AI715" s="318"/>
      <c r="AJ715" s="318"/>
      <c r="AK715" s="318"/>
      <c r="AL715" s="318"/>
      <c r="AM715" s="318"/>
      <c r="AN715" s="318"/>
      <c r="AO715" s="318"/>
      <c r="AP715" s="318"/>
      <c r="AQ715" s="318"/>
      <c r="AR715" s="318"/>
      <c r="AS715" s="318"/>
      <c r="AT715" s="318"/>
      <c r="AU715" s="318"/>
      <c r="AV715" s="318"/>
      <c r="AW715" s="319"/>
      <c r="AX715" s="589"/>
      <c r="AY715" s="592"/>
      <c r="AZ715" s="592"/>
      <c r="BA715" s="594"/>
    </row>
    <row r="716" spans="1:53" ht="9" customHeight="1">
      <c r="A716" s="583">
        <v>12</v>
      </c>
      <c r="B716" s="584" t="str">
        <f t="shared" si="517"/>
        <v>પરમાર અજયકુમાર રમેશભાઇ</v>
      </c>
      <c r="C716" s="311"/>
      <c r="D716" s="312"/>
      <c r="E716" s="312"/>
      <c r="F716" s="312"/>
      <c r="G716" s="312"/>
      <c r="H716" s="312"/>
      <c r="I716" s="312"/>
      <c r="J716" s="312"/>
      <c r="K716" s="312"/>
      <c r="L716" s="312"/>
      <c r="M716" s="312"/>
      <c r="N716" s="312"/>
      <c r="O716" s="312"/>
      <c r="P716" s="312"/>
      <c r="Q716" s="312"/>
      <c r="R716" s="312"/>
      <c r="S716" s="312"/>
      <c r="T716" s="312"/>
      <c r="U716" s="312"/>
      <c r="V716" s="313"/>
      <c r="W716" s="587">
        <f>'A-CALC'!V677</f>
        <v>0</v>
      </c>
      <c r="X716" s="590">
        <f>'A-CALC'!W677</f>
        <v>0</v>
      </c>
      <c r="Y716" s="590">
        <f>'A-CALC'!X677</f>
        <v>0</v>
      </c>
      <c r="Z716" s="593">
        <f t="shared" ref="Z716" si="527">ROUND((40/$Y$7)*W716,0)</f>
        <v>0</v>
      </c>
      <c r="AA716" s="301"/>
      <c r="AB716" s="583">
        <v>12</v>
      </c>
      <c r="AC716" s="584" t="str">
        <f t="shared" si="519"/>
        <v>પરમાર અજયકુમાર રમેશભાઇ</v>
      </c>
      <c r="AD716" s="311"/>
      <c r="AE716" s="312"/>
      <c r="AF716" s="312"/>
      <c r="AG716" s="312"/>
      <c r="AH716" s="312"/>
      <c r="AI716" s="312"/>
      <c r="AJ716" s="312"/>
      <c r="AK716" s="312"/>
      <c r="AL716" s="312"/>
      <c r="AM716" s="312"/>
      <c r="AN716" s="312"/>
      <c r="AO716" s="312"/>
      <c r="AP716" s="312"/>
      <c r="AQ716" s="312"/>
      <c r="AR716" s="312"/>
      <c r="AS716" s="312"/>
      <c r="AT716" s="312"/>
      <c r="AU716" s="312"/>
      <c r="AV716" s="312"/>
      <c r="AW716" s="313"/>
      <c r="AX716" s="587">
        <f>'A-CALC'!AU677</f>
        <v>0</v>
      </c>
      <c r="AY716" s="590">
        <f>'A-CALC'!AV677</f>
        <v>0</v>
      </c>
      <c r="AZ716" s="590">
        <f>'A-CALC'!AW677</f>
        <v>0</v>
      </c>
      <c r="BA716" s="593">
        <f t="shared" ref="BA716" si="528">ROUND((40/$Y$7)*AX716,0)</f>
        <v>0</v>
      </c>
    </row>
    <row r="717" spans="1:53" ht="9" customHeight="1">
      <c r="A717" s="583"/>
      <c r="B717" s="585"/>
      <c r="C717" s="314"/>
      <c r="D717" s="315"/>
      <c r="E717" s="315"/>
      <c r="F717" s="315"/>
      <c r="G717" s="315"/>
      <c r="H717" s="315"/>
      <c r="I717" s="315"/>
      <c r="J717" s="315"/>
      <c r="K717" s="315"/>
      <c r="L717" s="315"/>
      <c r="M717" s="315"/>
      <c r="N717" s="315"/>
      <c r="O717" s="315"/>
      <c r="P717" s="315"/>
      <c r="Q717" s="315"/>
      <c r="R717" s="315"/>
      <c r="S717" s="315"/>
      <c r="T717" s="315"/>
      <c r="U717" s="315"/>
      <c r="V717" s="316"/>
      <c r="W717" s="588"/>
      <c r="X717" s="591"/>
      <c r="Y717" s="591"/>
      <c r="Z717" s="594"/>
      <c r="AA717" s="301"/>
      <c r="AB717" s="583"/>
      <c r="AC717" s="585"/>
      <c r="AD717" s="314"/>
      <c r="AE717" s="315"/>
      <c r="AF717" s="315"/>
      <c r="AG717" s="315"/>
      <c r="AH717" s="315"/>
      <c r="AI717" s="315"/>
      <c r="AJ717" s="315"/>
      <c r="AK717" s="315"/>
      <c r="AL717" s="315"/>
      <c r="AM717" s="315"/>
      <c r="AN717" s="315"/>
      <c r="AO717" s="315"/>
      <c r="AP717" s="315"/>
      <c r="AQ717" s="315"/>
      <c r="AR717" s="315"/>
      <c r="AS717" s="315"/>
      <c r="AT717" s="315"/>
      <c r="AU717" s="315"/>
      <c r="AV717" s="315"/>
      <c r="AW717" s="316"/>
      <c r="AX717" s="588"/>
      <c r="AY717" s="591"/>
      <c r="AZ717" s="591"/>
      <c r="BA717" s="594"/>
    </row>
    <row r="718" spans="1:53" ht="9" customHeight="1">
      <c r="A718" s="583"/>
      <c r="B718" s="586"/>
      <c r="C718" s="317"/>
      <c r="D718" s="318"/>
      <c r="E718" s="318"/>
      <c r="F718" s="318"/>
      <c r="G718" s="318"/>
      <c r="H718" s="318"/>
      <c r="I718" s="318"/>
      <c r="J718" s="318"/>
      <c r="K718" s="318"/>
      <c r="L718" s="318"/>
      <c r="M718" s="318"/>
      <c r="N718" s="318"/>
      <c r="O718" s="318"/>
      <c r="P718" s="318"/>
      <c r="Q718" s="318"/>
      <c r="R718" s="318"/>
      <c r="S718" s="318"/>
      <c r="T718" s="318"/>
      <c r="U718" s="318"/>
      <c r="V718" s="319"/>
      <c r="W718" s="589"/>
      <c r="X718" s="592"/>
      <c r="Y718" s="592"/>
      <c r="Z718" s="594"/>
      <c r="AA718" s="301"/>
      <c r="AB718" s="583"/>
      <c r="AC718" s="586"/>
      <c r="AD718" s="317"/>
      <c r="AE718" s="318"/>
      <c r="AF718" s="318"/>
      <c r="AG718" s="318"/>
      <c r="AH718" s="318"/>
      <c r="AI718" s="318"/>
      <c r="AJ718" s="318"/>
      <c r="AK718" s="318"/>
      <c r="AL718" s="318"/>
      <c r="AM718" s="318"/>
      <c r="AN718" s="318"/>
      <c r="AO718" s="318"/>
      <c r="AP718" s="318"/>
      <c r="AQ718" s="318"/>
      <c r="AR718" s="318"/>
      <c r="AS718" s="318"/>
      <c r="AT718" s="318"/>
      <c r="AU718" s="318"/>
      <c r="AV718" s="318"/>
      <c r="AW718" s="319"/>
      <c r="AX718" s="589"/>
      <c r="AY718" s="592"/>
      <c r="AZ718" s="592"/>
      <c r="BA718" s="594"/>
    </row>
    <row r="719" spans="1:53" ht="9" customHeight="1">
      <c r="A719" s="583">
        <v>13</v>
      </c>
      <c r="B719" s="584" t="str">
        <f t="shared" si="517"/>
        <v>કંડોળીયા અલ્પેશકુમાર ભરતભાઇ</v>
      </c>
      <c r="C719" s="311"/>
      <c r="D719" s="312"/>
      <c r="E719" s="312"/>
      <c r="F719" s="312"/>
      <c r="G719" s="312"/>
      <c r="H719" s="312"/>
      <c r="I719" s="312"/>
      <c r="J719" s="312"/>
      <c r="K719" s="312"/>
      <c r="L719" s="312"/>
      <c r="M719" s="312"/>
      <c r="N719" s="312"/>
      <c r="O719" s="312"/>
      <c r="P719" s="312"/>
      <c r="Q719" s="312"/>
      <c r="R719" s="312"/>
      <c r="S719" s="312"/>
      <c r="T719" s="312"/>
      <c r="U719" s="312"/>
      <c r="V719" s="313"/>
      <c r="W719" s="587">
        <f>'A-CALC'!V680</f>
        <v>0</v>
      </c>
      <c r="X719" s="590">
        <f>'A-CALC'!W680</f>
        <v>0</v>
      </c>
      <c r="Y719" s="590">
        <f>'A-CALC'!X680</f>
        <v>0</v>
      </c>
      <c r="Z719" s="593">
        <f>ROUND((40/$Y$7)*W719,0)</f>
        <v>0</v>
      </c>
      <c r="AA719" s="301"/>
      <c r="AB719" s="583">
        <v>13</v>
      </c>
      <c r="AC719" s="584" t="str">
        <f t="shared" si="519"/>
        <v>કંડોળીયા અલ્પેશકુમાર ભરતભાઇ</v>
      </c>
      <c r="AD719" s="311"/>
      <c r="AE719" s="312"/>
      <c r="AF719" s="312"/>
      <c r="AG719" s="312"/>
      <c r="AH719" s="312"/>
      <c r="AI719" s="312"/>
      <c r="AJ719" s="312"/>
      <c r="AK719" s="312"/>
      <c r="AL719" s="312"/>
      <c r="AM719" s="312"/>
      <c r="AN719" s="312"/>
      <c r="AO719" s="312"/>
      <c r="AP719" s="312"/>
      <c r="AQ719" s="312"/>
      <c r="AR719" s="312"/>
      <c r="AS719" s="312"/>
      <c r="AT719" s="312"/>
      <c r="AU719" s="312"/>
      <c r="AV719" s="312"/>
      <c r="AW719" s="313"/>
      <c r="AX719" s="587">
        <f>'A-CALC'!AU680</f>
        <v>0</v>
      </c>
      <c r="AY719" s="590">
        <f>'A-CALC'!AV680</f>
        <v>0</v>
      </c>
      <c r="AZ719" s="590">
        <f>'A-CALC'!AW680</f>
        <v>0</v>
      </c>
      <c r="BA719" s="593">
        <f>ROUND((40/$Y$7)*AX719,0)</f>
        <v>0</v>
      </c>
    </row>
    <row r="720" spans="1:53" ht="9" customHeight="1">
      <c r="A720" s="583"/>
      <c r="B720" s="585"/>
      <c r="C720" s="314"/>
      <c r="D720" s="315"/>
      <c r="E720" s="315"/>
      <c r="F720" s="315"/>
      <c r="G720" s="315"/>
      <c r="H720" s="315"/>
      <c r="I720" s="315"/>
      <c r="J720" s="315"/>
      <c r="K720" s="315"/>
      <c r="L720" s="315"/>
      <c r="M720" s="315"/>
      <c r="N720" s="315"/>
      <c r="O720" s="315"/>
      <c r="P720" s="315"/>
      <c r="Q720" s="315"/>
      <c r="R720" s="315"/>
      <c r="S720" s="315"/>
      <c r="T720" s="315"/>
      <c r="U720" s="315"/>
      <c r="V720" s="316"/>
      <c r="W720" s="588"/>
      <c r="X720" s="591"/>
      <c r="Y720" s="591"/>
      <c r="Z720" s="594"/>
      <c r="AA720" s="301"/>
      <c r="AB720" s="583"/>
      <c r="AC720" s="585"/>
      <c r="AD720" s="314"/>
      <c r="AE720" s="315"/>
      <c r="AF720" s="315"/>
      <c r="AG720" s="315"/>
      <c r="AH720" s="315"/>
      <c r="AI720" s="315"/>
      <c r="AJ720" s="315"/>
      <c r="AK720" s="315"/>
      <c r="AL720" s="315"/>
      <c r="AM720" s="315"/>
      <c r="AN720" s="315"/>
      <c r="AO720" s="315"/>
      <c r="AP720" s="315"/>
      <c r="AQ720" s="315"/>
      <c r="AR720" s="315"/>
      <c r="AS720" s="315"/>
      <c r="AT720" s="315"/>
      <c r="AU720" s="315"/>
      <c r="AV720" s="315"/>
      <c r="AW720" s="316"/>
      <c r="AX720" s="588"/>
      <c r="AY720" s="591"/>
      <c r="AZ720" s="591"/>
      <c r="BA720" s="594"/>
    </row>
    <row r="721" spans="1:53" ht="9" customHeight="1">
      <c r="A721" s="583"/>
      <c r="B721" s="586"/>
      <c r="C721" s="317"/>
      <c r="D721" s="318"/>
      <c r="E721" s="318"/>
      <c r="F721" s="318"/>
      <c r="G721" s="318"/>
      <c r="H721" s="318"/>
      <c r="I721" s="318"/>
      <c r="J721" s="318"/>
      <c r="K721" s="318"/>
      <c r="L721" s="318"/>
      <c r="M721" s="318"/>
      <c r="N721" s="318"/>
      <c r="O721" s="318"/>
      <c r="P721" s="318"/>
      <c r="Q721" s="318"/>
      <c r="R721" s="318"/>
      <c r="S721" s="318"/>
      <c r="T721" s="318"/>
      <c r="U721" s="318"/>
      <c r="V721" s="319"/>
      <c r="W721" s="589"/>
      <c r="X721" s="592"/>
      <c r="Y721" s="592"/>
      <c r="Z721" s="594"/>
      <c r="AA721" s="301"/>
      <c r="AB721" s="583"/>
      <c r="AC721" s="586"/>
      <c r="AD721" s="317"/>
      <c r="AE721" s="318"/>
      <c r="AF721" s="318"/>
      <c r="AG721" s="318"/>
      <c r="AH721" s="318"/>
      <c r="AI721" s="318"/>
      <c r="AJ721" s="318"/>
      <c r="AK721" s="318"/>
      <c r="AL721" s="318"/>
      <c r="AM721" s="318"/>
      <c r="AN721" s="318"/>
      <c r="AO721" s="318"/>
      <c r="AP721" s="318"/>
      <c r="AQ721" s="318"/>
      <c r="AR721" s="318"/>
      <c r="AS721" s="318"/>
      <c r="AT721" s="318"/>
      <c r="AU721" s="318"/>
      <c r="AV721" s="318"/>
      <c r="AW721" s="319"/>
      <c r="AX721" s="589"/>
      <c r="AY721" s="592"/>
      <c r="AZ721" s="592"/>
      <c r="BA721" s="594"/>
    </row>
    <row r="722" spans="1:53" ht="9" customHeight="1">
      <c r="A722" s="583">
        <v>14</v>
      </c>
      <c r="B722" s="584" t="str">
        <f t="shared" si="517"/>
        <v>મકવાણા તરંગકુમાર કિશોરભાઇ</v>
      </c>
      <c r="C722" s="311"/>
      <c r="D722" s="312"/>
      <c r="E722" s="312"/>
      <c r="F722" s="312"/>
      <c r="G722" s="312"/>
      <c r="H722" s="312"/>
      <c r="I722" s="312"/>
      <c r="J722" s="312"/>
      <c r="K722" s="312"/>
      <c r="L722" s="312"/>
      <c r="M722" s="312"/>
      <c r="N722" s="312"/>
      <c r="O722" s="312"/>
      <c r="P722" s="312"/>
      <c r="Q722" s="312"/>
      <c r="R722" s="312"/>
      <c r="S722" s="312"/>
      <c r="T722" s="312"/>
      <c r="U722" s="312"/>
      <c r="V722" s="313"/>
      <c r="W722" s="587">
        <f>'A-CALC'!V683</f>
        <v>0</v>
      </c>
      <c r="X722" s="590">
        <f>'A-CALC'!W683</f>
        <v>0</v>
      </c>
      <c r="Y722" s="590">
        <f>'A-CALC'!X683</f>
        <v>0</v>
      </c>
      <c r="Z722" s="593">
        <f t="shared" ref="Z722" si="529">ROUND((40/$Y$7)*W722,0)</f>
        <v>0</v>
      </c>
      <c r="AA722" s="301"/>
      <c r="AB722" s="583">
        <v>14</v>
      </c>
      <c r="AC722" s="584" t="str">
        <f t="shared" si="519"/>
        <v>મકવાણા તરંગકુમાર કિશોરભાઇ</v>
      </c>
      <c r="AD722" s="311"/>
      <c r="AE722" s="312"/>
      <c r="AF722" s="312"/>
      <c r="AG722" s="312"/>
      <c r="AH722" s="312"/>
      <c r="AI722" s="312"/>
      <c r="AJ722" s="312"/>
      <c r="AK722" s="312"/>
      <c r="AL722" s="312"/>
      <c r="AM722" s="312"/>
      <c r="AN722" s="312"/>
      <c r="AO722" s="312"/>
      <c r="AP722" s="312"/>
      <c r="AQ722" s="312"/>
      <c r="AR722" s="312"/>
      <c r="AS722" s="312"/>
      <c r="AT722" s="312"/>
      <c r="AU722" s="312"/>
      <c r="AV722" s="312"/>
      <c r="AW722" s="313"/>
      <c r="AX722" s="587">
        <f>'A-CALC'!AU683</f>
        <v>0</v>
      </c>
      <c r="AY722" s="590">
        <f>'A-CALC'!AV683</f>
        <v>0</v>
      </c>
      <c r="AZ722" s="590">
        <f>'A-CALC'!AW683</f>
        <v>0</v>
      </c>
      <c r="BA722" s="593">
        <f t="shared" ref="BA722" si="530">ROUND((40/$Y$7)*AX722,0)</f>
        <v>0</v>
      </c>
    </row>
    <row r="723" spans="1:53" ht="9" customHeight="1">
      <c r="A723" s="583"/>
      <c r="B723" s="585"/>
      <c r="C723" s="314"/>
      <c r="D723" s="315"/>
      <c r="E723" s="315"/>
      <c r="F723" s="315"/>
      <c r="G723" s="315"/>
      <c r="H723" s="315"/>
      <c r="I723" s="315"/>
      <c r="J723" s="315"/>
      <c r="K723" s="315"/>
      <c r="L723" s="315"/>
      <c r="M723" s="315"/>
      <c r="N723" s="315"/>
      <c r="O723" s="315"/>
      <c r="P723" s="315"/>
      <c r="Q723" s="315"/>
      <c r="R723" s="315"/>
      <c r="S723" s="315"/>
      <c r="T723" s="315"/>
      <c r="U723" s="315"/>
      <c r="V723" s="316"/>
      <c r="W723" s="588"/>
      <c r="X723" s="591"/>
      <c r="Y723" s="591"/>
      <c r="Z723" s="594"/>
      <c r="AA723" s="301"/>
      <c r="AB723" s="583"/>
      <c r="AC723" s="585"/>
      <c r="AD723" s="314"/>
      <c r="AE723" s="315"/>
      <c r="AF723" s="315"/>
      <c r="AG723" s="315"/>
      <c r="AH723" s="315"/>
      <c r="AI723" s="315"/>
      <c r="AJ723" s="315"/>
      <c r="AK723" s="315"/>
      <c r="AL723" s="315"/>
      <c r="AM723" s="315"/>
      <c r="AN723" s="315"/>
      <c r="AO723" s="315"/>
      <c r="AP723" s="315"/>
      <c r="AQ723" s="315"/>
      <c r="AR723" s="315"/>
      <c r="AS723" s="315"/>
      <c r="AT723" s="315"/>
      <c r="AU723" s="315"/>
      <c r="AV723" s="315"/>
      <c r="AW723" s="316"/>
      <c r="AX723" s="588"/>
      <c r="AY723" s="591"/>
      <c r="AZ723" s="591"/>
      <c r="BA723" s="594"/>
    </row>
    <row r="724" spans="1:53" ht="9" customHeight="1">
      <c r="A724" s="583"/>
      <c r="B724" s="586"/>
      <c r="C724" s="317"/>
      <c r="D724" s="318"/>
      <c r="E724" s="318"/>
      <c r="F724" s="318"/>
      <c r="G724" s="318"/>
      <c r="H724" s="318"/>
      <c r="I724" s="318"/>
      <c r="J724" s="318"/>
      <c r="K724" s="318"/>
      <c r="L724" s="318"/>
      <c r="M724" s="318"/>
      <c r="N724" s="318"/>
      <c r="O724" s="318"/>
      <c r="P724" s="318"/>
      <c r="Q724" s="318"/>
      <c r="R724" s="318"/>
      <c r="S724" s="318"/>
      <c r="T724" s="318"/>
      <c r="U724" s="318"/>
      <c r="V724" s="319"/>
      <c r="W724" s="589"/>
      <c r="X724" s="592"/>
      <c r="Y724" s="592"/>
      <c r="Z724" s="594"/>
      <c r="AA724" s="301"/>
      <c r="AB724" s="583"/>
      <c r="AC724" s="586"/>
      <c r="AD724" s="317"/>
      <c r="AE724" s="318"/>
      <c r="AF724" s="318"/>
      <c r="AG724" s="318"/>
      <c r="AH724" s="318"/>
      <c r="AI724" s="318"/>
      <c r="AJ724" s="318"/>
      <c r="AK724" s="318"/>
      <c r="AL724" s="318"/>
      <c r="AM724" s="318"/>
      <c r="AN724" s="318"/>
      <c r="AO724" s="318"/>
      <c r="AP724" s="318"/>
      <c r="AQ724" s="318"/>
      <c r="AR724" s="318"/>
      <c r="AS724" s="318"/>
      <c r="AT724" s="318"/>
      <c r="AU724" s="318"/>
      <c r="AV724" s="318"/>
      <c r="AW724" s="319"/>
      <c r="AX724" s="589"/>
      <c r="AY724" s="592"/>
      <c r="AZ724" s="592"/>
      <c r="BA724" s="594"/>
    </row>
    <row r="725" spans="1:53" ht="9" customHeight="1">
      <c r="A725" s="583">
        <v>15</v>
      </c>
      <c r="B725" s="584" t="str">
        <f t="shared" si="517"/>
        <v>ઢીમેચા સતીષ હનુભાઇ</v>
      </c>
      <c r="C725" s="311"/>
      <c r="D725" s="312"/>
      <c r="E725" s="312"/>
      <c r="F725" s="312"/>
      <c r="G725" s="312"/>
      <c r="H725" s="312"/>
      <c r="I725" s="312"/>
      <c r="J725" s="312"/>
      <c r="K725" s="312"/>
      <c r="L725" s="312"/>
      <c r="M725" s="312"/>
      <c r="N725" s="312"/>
      <c r="O725" s="312"/>
      <c r="P725" s="312"/>
      <c r="Q725" s="312"/>
      <c r="R725" s="312"/>
      <c r="S725" s="312"/>
      <c r="T725" s="312"/>
      <c r="U725" s="312"/>
      <c r="V725" s="313"/>
      <c r="W725" s="587">
        <f>'A-CALC'!V686</f>
        <v>0</v>
      </c>
      <c r="X725" s="590">
        <f>'A-CALC'!W686</f>
        <v>0</v>
      </c>
      <c r="Y725" s="590">
        <f>'A-CALC'!X686</f>
        <v>0</v>
      </c>
      <c r="Z725" s="593">
        <f t="shared" ref="Z725" si="531">ROUND((40/$Y$7)*W725,0)</f>
        <v>0</v>
      </c>
      <c r="AA725" s="301"/>
      <c r="AB725" s="583">
        <v>15</v>
      </c>
      <c r="AC725" s="584" t="str">
        <f t="shared" si="519"/>
        <v>ઢીમેચા સતીષ હનુભાઇ</v>
      </c>
      <c r="AD725" s="311"/>
      <c r="AE725" s="312"/>
      <c r="AF725" s="312"/>
      <c r="AG725" s="312"/>
      <c r="AH725" s="312"/>
      <c r="AI725" s="312"/>
      <c r="AJ725" s="312"/>
      <c r="AK725" s="312"/>
      <c r="AL725" s="312"/>
      <c r="AM725" s="312"/>
      <c r="AN725" s="312"/>
      <c r="AO725" s="312"/>
      <c r="AP725" s="312"/>
      <c r="AQ725" s="312"/>
      <c r="AR725" s="312"/>
      <c r="AS725" s="312"/>
      <c r="AT725" s="312"/>
      <c r="AU725" s="312"/>
      <c r="AV725" s="312"/>
      <c r="AW725" s="313"/>
      <c r="AX725" s="587">
        <f>'A-CALC'!AU686</f>
        <v>0</v>
      </c>
      <c r="AY725" s="590">
        <f>'A-CALC'!AV686</f>
        <v>0</v>
      </c>
      <c r="AZ725" s="590">
        <f>'A-CALC'!AW686</f>
        <v>0</v>
      </c>
      <c r="BA725" s="593">
        <f t="shared" ref="BA725" si="532">ROUND((40/$Y$7)*AX725,0)</f>
        <v>0</v>
      </c>
    </row>
    <row r="726" spans="1:53" ht="9" customHeight="1">
      <c r="A726" s="583"/>
      <c r="B726" s="585"/>
      <c r="C726" s="314"/>
      <c r="D726" s="315"/>
      <c r="E726" s="315"/>
      <c r="F726" s="315"/>
      <c r="G726" s="315"/>
      <c r="H726" s="315"/>
      <c r="I726" s="315"/>
      <c r="J726" s="315"/>
      <c r="K726" s="315"/>
      <c r="L726" s="315"/>
      <c r="M726" s="315"/>
      <c r="N726" s="315"/>
      <c r="O726" s="315"/>
      <c r="P726" s="315"/>
      <c r="Q726" s="315"/>
      <c r="R726" s="315"/>
      <c r="S726" s="315"/>
      <c r="T726" s="315"/>
      <c r="U726" s="315"/>
      <c r="V726" s="316"/>
      <c r="W726" s="588"/>
      <c r="X726" s="591"/>
      <c r="Y726" s="591"/>
      <c r="Z726" s="594"/>
      <c r="AA726" s="301"/>
      <c r="AB726" s="583"/>
      <c r="AC726" s="585"/>
      <c r="AD726" s="314"/>
      <c r="AE726" s="315"/>
      <c r="AF726" s="315"/>
      <c r="AG726" s="315"/>
      <c r="AH726" s="315"/>
      <c r="AI726" s="315"/>
      <c r="AJ726" s="315"/>
      <c r="AK726" s="315"/>
      <c r="AL726" s="315"/>
      <c r="AM726" s="315"/>
      <c r="AN726" s="315"/>
      <c r="AO726" s="315"/>
      <c r="AP726" s="315"/>
      <c r="AQ726" s="315"/>
      <c r="AR726" s="315"/>
      <c r="AS726" s="315"/>
      <c r="AT726" s="315"/>
      <c r="AU726" s="315"/>
      <c r="AV726" s="315"/>
      <c r="AW726" s="316"/>
      <c r="AX726" s="588"/>
      <c r="AY726" s="591"/>
      <c r="AZ726" s="591"/>
      <c r="BA726" s="594"/>
    </row>
    <row r="727" spans="1:53" ht="9" customHeight="1">
      <c r="A727" s="583"/>
      <c r="B727" s="586"/>
      <c r="C727" s="317"/>
      <c r="D727" s="318"/>
      <c r="E727" s="318"/>
      <c r="F727" s="318"/>
      <c r="G727" s="318"/>
      <c r="H727" s="318"/>
      <c r="I727" s="318"/>
      <c r="J727" s="318"/>
      <c r="K727" s="318"/>
      <c r="L727" s="318"/>
      <c r="M727" s="318"/>
      <c r="N727" s="318"/>
      <c r="O727" s="318"/>
      <c r="P727" s="318"/>
      <c r="Q727" s="318"/>
      <c r="R727" s="318"/>
      <c r="S727" s="318"/>
      <c r="T727" s="318"/>
      <c r="U727" s="318"/>
      <c r="V727" s="319"/>
      <c r="W727" s="589"/>
      <c r="X727" s="592"/>
      <c r="Y727" s="592"/>
      <c r="Z727" s="594"/>
      <c r="AA727" s="301"/>
      <c r="AB727" s="583"/>
      <c r="AC727" s="586"/>
      <c r="AD727" s="317"/>
      <c r="AE727" s="318"/>
      <c r="AF727" s="318"/>
      <c r="AG727" s="318"/>
      <c r="AH727" s="318"/>
      <c r="AI727" s="318"/>
      <c r="AJ727" s="318"/>
      <c r="AK727" s="318"/>
      <c r="AL727" s="318"/>
      <c r="AM727" s="318"/>
      <c r="AN727" s="318"/>
      <c r="AO727" s="318"/>
      <c r="AP727" s="318"/>
      <c r="AQ727" s="318"/>
      <c r="AR727" s="318"/>
      <c r="AS727" s="318"/>
      <c r="AT727" s="318"/>
      <c r="AU727" s="318"/>
      <c r="AV727" s="318"/>
      <c r="AW727" s="319"/>
      <c r="AX727" s="589"/>
      <c r="AY727" s="592"/>
      <c r="AZ727" s="592"/>
      <c r="BA727" s="594"/>
    </row>
    <row r="728" spans="1:53" ht="9" customHeight="1">
      <c r="A728" s="583">
        <v>16</v>
      </c>
      <c r="B728" s="584" t="str">
        <f t="shared" si="517"/>
        <v>ખુમાણ શિવરાજભાઇ બાબુભાઇ</v>
      </c>
      <c r="C728" s="311"/>
      <c r="D728" s="312"/>
      <c r="E728" s="312"/>
      <c r="F728" s="312"/>
      <c r="G728" s="312"/>
      <c r="H728" s="312"/>
      <c r="I728" s="312"/>
      <c r="J728" s="312"/>
      <c r="K728" s="312"/>
      <c r="L728" s="312"/>
      <c r="M728" s="312"/>
      <c r="N728" s="312"/>
      <c r="O728" s="312"/>
      <c r="P728" s="312"/>
      <c r="Q728" s="312"/>
      <c r="R728" s="312"/>
      <c r="S728" s="312"/>
      <c r="T728" s="312"/>
      <c r="U728" s="312"/>
      <c r="V728" s="313"/>
      <c r="W728" s="587">
        <f>'A-CALC'!V689</f>
        <v>0</v>
      </c>
      <c r="X728" s="590">
        <f>'A-CALC'!W689</f>
        <v>0</v>
      </c>
      <c r="Y728" s="590">
        <f>'A-CALC'!X689</f>
        <v>0</v>
      </c>
      <c r="Z728" s="593">
        <f t="shared" ref="Z728" si="533">ROUND((40/$Y$7)*W728,0)</f>
        <v>0</v>
      </c>
      <c r="AA728" s="301"/>
      <c r="AB728" s="583">
        <v>16</v>
      </c>
      <c r="AC728" s="584" t="str">
        <f t="shared" si="519"/>
        <v>ખુમાણ શિવરાજભાઇ બાબુભાઇ</v>
      </c>
      <c r="AD728" s="311"/>
      <c r="AE728" s="312"/>
      <c r="AF728" s="312"/>
      <c r="AG728" s="312"/>
      <c r="AH728" s="312"/>
      <c r="AI728" s="312"/>
      <c r="AJ728" s="312"/>
      <c r="AK728" s="312"/>
      <c r="AL728" s="312"/>
      <c r="AM728" s="312"/>
      <c r="AN728" s="312"/>
      <c r="AO728" s="312"/>
      <c r="AP728" s="312"/>
      <c r="AQ728" s="312"/>
      <c r="AR728" s="312"/>
      <c r="AS728" s="312"/>
      <c r="AT728" s="312"/>
      <c r="AU728" s="312"/>
      <c r="AV728" s="312"/>
      <c r="AW728" s="313"/>
      <c r="AX728" s="587">
        <f>'A-CALC'!AU689</f>
        <v>0</v>
      </c>
      <c r="AY728" s="590">
        <f>'A-CALC'!AV689</f>
        <v>0</v>
      </c>
      <c r="AZ728" s="590">
        <f>'A-CALC'!AW689</f>
        <v>0</v>
      </c>
      <c r="BA728" s="593">
        <f t="shared" ref="BA728" si="534">ROUND((40/$Y$7)*AX728,0)</f>
        <v>0</v>
      </c>
    </row>
    <row r="729" spans="1:53" ht="9" customHeight="1">
      <c r="A729" s="583"/>
      <c r="B729" s="585"/>
      <c r="C729" s="314"/>
      <c r="D729" s="315"/>
      <c r="E729" s="315"/>
      <c r="F729" s="315"/>
      <c r="G729" s="315"/>
      <c r="H729" s="315"/>
      <c r="I729" s="315"/>
      <c r="J729" s="315"/>
      <c r="K729" s="315"/>
      <c r="L729" s="315"/>
      <c r="M729" s="315"/>
      <c r="N729" s="315"/>
      <c r="O729" s="315"/>
      <c r="P729" s="315"/>
      <c r="Q729" s="315"/>
      <c r="R729" s="315"/>
      <c r="S729" s="315"/>
      <c r="T729" s="315"/>
      <c r="U729" s="315"/>
      <c r="V729" s="316"/>
      <c r="W729" s="588"/>
      <c r="X729" s="591"/>
      <c r="Y729" s="591"/>
      <c r="Z729" s="594"/>
      <c r="AA729" s="301"/>
      <c r="AB729" s="583"/>
      <c r="AC729" s="585"/>
      <c r="AD729" s="314"/>
      <c r="AE729" s="315"/>
      <c r="AF729" s="315"/>
      <c r="AG729" s="315"/>
      <c r="AH729" s="315"/>
      <c r="AI729" s="315"/>
      <c r="AJ729" s="315"/>
      <c r="AK729" s="315"/>
      <c r="AL729" s="315"/>
      <c r="AM729" s="315"/>
      <c r="AN729" s="315"/>
      <c r="AO729" s="315"/>
      <c r="AP729" s="315"/>
      <c r="AQ729" s="315"/>
      <c r="AR729" s="315"/>
      <c r="AS729" s="315"/>
      <c r="AT729" s="315"/>
      <c r="AU729" s="315"/>
      <c r="AV729" s="315"/>
      <c r="AW729" s="316"/>
      <c r="AX729" s="588"/>
      <c r="AY729" s="591"/>
      <c r="AZ729" s="591"/>
      <c r="BA729" s="594"/>
    </row>
    <row r="730" spans="1:53" ht="9" customHeight="1">
      <c r="A730" s="583"/>
      <c r="B730" s="586"/>
      <c r="C730" s="317"/>
      <c r="D730" s="318"/>
      <c r="E730" s="318"/>
      <c r="F730" s="318"/>
      <c r="G730" s="318"/>
      <c r="H730" s="318"/>
      <c r="I730" s="318"/>
      <c r="J730" s="318"/>
      <c r="K730" s="318"/>
      <c r="L730" s="318"/>
      <c r="M730" s="318"/>
      <c r="N730" s="318"/>
      <c r="O730" s="318"/>
      <c r="P730" s="318"/>
      <c r="Q730" s="318"/>
      <c r="R730" s="318"/>
      <c r="S730" s="318"/>
      <c r="T730" s="318"/>
      <c r="U730" s="318"/>
      <c r="V730" s="319"/>
      <c r="W730" s="589"/>
      <c r="X730" s="592"/>
      <c r="Y730" s="592"/>
      <c r="Z730" s="594"/>
      <c r="AA730" s="301"/>
      <c r="AB730" s="583"/>
      <c r="AC730" s="586"/>
      <c r="AD730" s="317"/>
      <c r="AE730" s="318"/>
      <c r="AF730" s="318"/>
      <c r="AG730" s="318"/>
      <c r="AH730" s="318"/>
      <c r="AI730" s="318"/>
      <c r="AJ730" s="318"/>
      <c r="AK730" s="318"/>
      <c r="AL730" s="318"/>
      <c r="AM730" s="318"/>
      <c r="AN730" s="318"/>
      <c r="AO730" s="318"/>
      <c r="AP730" s="318"/>
      <c r="AQ730" s="318"/>
      <c r="AR730" s="318"/>
      <c r="AS730" s="318"/>
      <c r="AT730" s="318"/>
      <c r="AU730" s="318"/>
      <c r="AV730" s="318"/>
      <c r="AW730" s="319"/>
      <c r="AX730" s="589"/>
      <c r="AY730" s="592"/>
      <c r="AZ730" s="592"/>
      <c r="BA730" s="594"/>
    </row>
    <row r="731" spans="1:53" ht="9" customHeight="1">
      <c r="A731" s="583">
        <v>17</v>
      </c>
      <c r="B731" s="584" t="str">
        <f t="shared" si="517"/>
        <v>માથાસુરીયા દિનેશભાઇ અમરાભાઇ</v>
      </c>
      <c r="C731" s="311"/>
      <c r="D731" s="312"/>
      <c r="E731" s="312"/>
      <c r="F731" s="312"/>
      <c r="G731" s="312"/>
      <c r="H731" s="312"/>
      <c r="I731" s="312"/>
      <c r="J731" s="312"/>
      <c r="K731" s="312"/>
      <c r="L731" s="312"/>
      <c r="M731" s="312"/>
      <c r="N731" s="312"/>
      <c r="O731" s="312"/>
      <c r="P731" s="312"/>
      <c r="Q731" s="312"/>
      <c r="R731" s="312"/>
      <c r="S731" s="312"/>
      <c r="T731" s="312"/>
      <c r="U731" s="312"/>
      <c r="V731" s="313"/>
      <c r="W731" s="587">
        <f>'A-CALC'!V692</f>
        <v>0</v>
      </c>
      <c r="X731" s="590">
        <f>'A-CALC'!W692</f>
        <v>0</v>
      </c>
      <c r="Y731" s="590">
        <f>'A-CALC'!X692</f>
        <v>0</v>
      </c>
      <c r="Z731" s="593">
        <f t="shared" ref="Z731" si="535">ROUND((40/$Y$7)*W731,0)</f>
        <v>0</v>
      </c>
      <c r="AA731" s="301"/>
      <c r="AB731" s="583">
        <v>17</v>
      </c>
      <c r="AC731" s="584" t="str">
        <f t="shared" si="519"/>
        <v>માથાસુરીયા દિનેશભાઇ અમરાભાઇ</v>
      </c>
      <c r="AD731" s="311"/>
      <c r="AE731" s="312"/>
      <c r="AF731" s="312"/>
      <c r="AG731" s="312"/>
      <c r="AH731" s="312"/>
      <c r="AI731" s="312"/>
      <c r="AJ731" s="312"/>
      <c r="AK731" s="312"/>
      <c r="AL731" s="312"/>
      <c r="AM731" s="312"/>
      <c r="AN731" s="312"/>
      <c r="AO731" s="312"/>
      <c r="AP731" s="312"/>
      <c r="AQ731" s="312"/>
      <c r="AR731" s="312"/>
      <c r="AS731" s="312"/>
      <c r="AT731" s="312"/>
      <c r="AU731" s="312"/>
      <c r="AV731" s="312"/>
      <c r="AW731" s="313"/>
      <c r="AX731" s="587">
        <f>'A-CALC'!AU692</f>
        <v>0</v>
      </c>
      <c r="AY731" s="590">
        <f>'A-CALC'!AV692</f>
        <v>0</v>
      </c>
      <c r="AZ731" s="590">
        <f>'A-CALC'!AW692</f>
        <v>0</v>
      </c>
      <c r="BA731" s="593">
        <f t="shared" ref="BA731" si="536">ROUND((40/$Y$7)*AX731,0)</f>
        <v>0</v>
      </c>
    </row>
    <row r="732" spans="1:53" ht="9" customHeight="1">
      <c r="A732" s="583"/>
      <c r="B732" s="585"/>
      <c r="C732" s="314"/>
      <c r="D732" s="315"/>
      <c r="E732" s="315"/>
      <c r="F732" s="315"/>
      <c r="G732" s="315"/>
      <c r="H732" s="315"/>
      <c r="I732" s="315"/>
      <c r="J732" s="315"/>
      <c r="K732" s="315"/>
      <c r="L732" s="315"/>
      <c r="M732" s="315"/>
      <c r="N732" s="315"/>
      <c r="O732" s="315"/>
      <c r="P732" s="315"/>
      <c r="Q732" s="315"/>
      <c r="R732" s="315"/>
      <c r="S732" s="315"/>
      <c r="T732" s="315"/>
      <c r="U732" s="315"/>
      <c r="V732" s="316"/>
      <c r="W732" s="588"/>
      <c r="X732" s="591"/>
      <c r="Y732" s="591"/>
      <c r="Z732" s="594"/>
      <c r="AA732" s="301"/>
      <c r="AB732" s="583"/>
      <c r="AC732" s="585"/>
      <c r="AD732" s="314"/>
      <c r="AE732" s="315"/>
      <c r="AF732" s="315"/>
      <c r="AG732" s="315"/>
      <c r="AH732" s="315"/>
      <c r="AI732" s="315"/>
      <c r="AJ732" s="315"/>
      <c r="AK732" s="315"/>
      <c r="AL732" s="315"/>
      <c r="AM732" s="315"/>
      <c r="AN732" s="315"/>
      <c r="AO732" s="315"/>
      <c r="AP732" s="315"/>
      <c r="AQ732" s="315"/>
      <c r="AR732" s="315"/>
      <c r="AS732" s="315"/>
      <c r="AT732" s="315"/>
      <c r="AU732" s="315"/>
      <c r="AV732" s="315"/>
      <c r="AW732" s="316"/>
      <c r="AX732" s="588"/>
      <c r="AY732" s="591"/>
      <c r="AZ732" s="591"/>
      <c r="BA732" s="594"/>
    </row>
    <row r="733" spans="1:53" ht="9" customHeight="1">
      <c r="A733" s="583"/>
      <c r="B733" s="586"/>
      <c r="C733" s="317"/>
      <c r="D733" s="318"/>
      <c r="E733" s="318"/>
      <c r="F733" s="318"/>
      <c r="G733" s="318"/>
      <c r="H733" s="318"/>
      <c r="I733" s="318"/>
      <c r="J733" s="318"/>
      <c r="K733" s="318"/>
      <c r="L733" s="318"/>
      <c r="M733" s="318"/>
      <c r="N733" s="318"/>
      <c r="O733" s="318"/>
      <c r="P733" s="318"/>
      <c r="Q733" s="318"/>
      <c r="R733" s="318"/>
      <c r="S733" s="318"/>
      <c r="T733" s="318"/>
      <c r="U733" s="318"/>
      <c r="V733" s="319"/>
      <c r="W733" s="589"/>
      <c r="X733" s="592"/>
      <c r="Y733" s="592"/>
      <c r="Z733" s="594"/>
      <c r="AA733" s="301"/>
      <c r="AB733" s="583"/>
      <c r="AC733" s="586"/>
      <c r="AD733" s="317"/>
      <c r="AE733" s="318"/>
      <c r="AF733" s="318"/>
      <c r="AG733" s="318"/>
      <c r="AH733" s="318"/>
      <c r="AI733" s="318"/>
      <c r="AJ733" s="318"/>
      <c r="AK733" s="318"/>
      <c r="AL733" s="318"/>
      <c r="AM733" s="318"/>
      <c r="AN733" s="318"/>
      <c r="AO733" s="318"/>
      <c r="AP733" s="318"/>
      <c r="AQ733" s="318"/>
      <c r="AR733" s="318"/>
      <c r="AS733" s="318"/>
      <c r="AT733" s="318"/>
      <c r="AU733" s="318"/>
      <c r="AV733" s="318"/>
      <c r="AW733" s="319"/>
      <c r="AX733" s="589"/>
      <c r="AY733" s="592"/>
      <c r="AZ733" s="592"/>
      <c r="BA733" s="594"/>
    </row>
    <row r="734" spans="1:53" ht="9" customHeight="1">
      <c r="A734" s="583">
        <v>18</v>
      </c>
      <c r="B734" s="584" t="str">
        <f t="shared" si="517"/>
        <v>વાઘેલા હરેશ જીલુભાઇ</v>
      </c>
      <c r="C734" s="311"/>
      <c r="D734" s="312"/>
      <c r="E734" s="312"/>
      <c r="F734" s="312"/>
      <c r="G734" s="312"/>
      <c r="H734" s="312"/>
      <c r="I734" s="312"/>
      <c r="J734" s="312"/>
      <c r="K734" s="312"/>
      <c r="L734" s="312"/>
      <c r="M734" s="312"/>
      <c r="N734" s="312"/>
      <c r="O734" s="312"/>
      <c r="P734" s="312"/>
      <c r="Q734" s="312"/>
      <c r="R734" s="312"/>
      <c r="S734" s="312"/>
      <c r="T734" s="312"/>
      <c r="U734" s="312"/>
      <c r="V734" s="313"/>
      <c r="W734" s="587">
        <f>'A-CALC'!V695</f>
        <v>0</v>
      </c>
      <c r="X734" s="590">
        <f>'A-CALC'!W695</f>
        <v>0</v>
      </c>
      <c r="Y734" s="590">
        <f>'A-CALC'!X695</f>
        <v>0</v>
      </c>
      <c r="Z734" s="593">
        <f t="shared" ref="Z734" si="537">ROUND((40/$Y$7)*W734,0)</f>
        <v>0</v>
      </c>
      <c r="AA734" s="301"/>
      <c r="AB734" s="583">
        <v>18</v>
      </c>
      <c r="AC734" s="584" t="str">
        <f t="shared" si="519"/>
        <v>વાઘેલા હરેશ જીલુભાઇ</v>
      </c>
      <c r="AD734" s="311"/>
      <c r="AE734" s="312"/>
      <c r="AF734" s="312"/>
      <c r="AG734" s="312"/>
      <c r="AH734" s="312"/>
      <c r="AI734" s="312"/>
      <c r="AJ734" s="312"/>
      <c r="AK734" s="312"/>
      <c r="AL734" s="312"/>
      <c r="AM734" s="312"/>
      <c r="AN734" s="312"/>
      <c r="AO734" s="312"/>
      <c r="AP734" s="312"/>
      <c r="AQ734" s="312"/>
      <c r="AR734" s="312"/>
      <c r="AS734" s="312"/>
      <c r="AT734" s="312"/>
      <c r="AU734" s="312"/>
      <c r="AV734" s="312"/>
      <c r="AW734" s="313"/>
      <c r="AX734" s="587">
        <f>'A-CALC'!AU695</f>
        <v>0</v>
      </c>
      <c r="AY734" s="590">
        <f>'A-CALC'!AV695</f>
        <v>0</v>
      </c>
      <c r="AZ734" s="590">
        <f>'A-CALC'!AW695</f>
        <v>0</v>
      </c>
      <c r="BA734" s="593">
        <f t="shared" ref="BA734" si="538">ROUND((40/$Y$7)*AX734,0)</f>
        <v>0</v>
      </c>
    </row>
    <row r="735" spans="1:53" ht="9" customHeight="1">
      <c r="A735" s="583"/>
      <c r="B735" s="585"/>
      <c r="C735" s="314"/>
      <c r="D735" s="315"/>
      <c r="E735" s="315"/>
      <c r="F735" s="315"/>
      <c r="G735" s="315"/>
      <c r="H735" s="315"/>
      <c r="I735" s="315"/>
      <c r="J735" s="315"/>
      <c r="K735" s="315"/>
      <c r="L735" s="315"/>
      <c r="M735" s="315"/>
      <c r="N735" s="315"/>
      <c r="O735" s="315"/>
      <c r="P735" s="315"/>
      <c r="Q735" s="315"/>
      <c r="R735" s="315"/>
      <c r="S735" s="315"/>
      <c r="T735" s="315"/>
      <c r="U735" s="315"/>
      <c r="V735" s="316"/>
      <c r="W735" s="588"/>
      <c r="X735" s="591"/>
      <c r="Y735" s="591"/>
      <c r="Z735" s="594"/>
      <c r="AA735" s="301"/>
      <c r="AB735" s="583"/>
      <c r="AC735" s="585"/>
      <c r="AD735" s="314"/>
      <c r="AE735" s="315"/>
      <c r="AF735" s="315"/>
      <c r="AG735" s="315"/>
      <c r="AH735" s="315"/>
      <c r="AI735" s="315"/>
      <c r="AJ735" s="315"/>
      <c r="AK735" s="315"/>
      <c r="AL735" s="315"/>
      <c r="AM735" s="315"/>
      <c r="AN735" s="315"/>
      <c r="AO735" s="315"/>
      <c r="AP735" s="315"/>
      <c r="AQ735" s="315"/>
      <c r="AR735" s="315"/>
      <c r="AS735" s="315"/>
      <c r="AT735" s="315"/>
      <c r="AU735" s="315"/>
      <c r="AV735" s="315"/>
      <c r="AW735" s="316"/>
      <c r="AX735" s="588"/>
      <c r="AY735" s="591"/>
      <c r="AZ735" s="591"/>
      <c r="BA735" s="594"/>
    </row>
    <row r="736" spans="1:53" ht="9" customHeight="1">
      <c r="A736" s="583"/>
      <c r="B736" s="586"/>
      <c r="C736" s="317"/>
      <c r="D736" s="318"/>
      <c r="E736" s="318"/>
      <c r="F736" s="318"/>
      <c r="G736" s="318"/>
      <c r="H736" s="318"/>
      <c r="I736" s="318"/>
      <c r="J736" s="318"/>
      <c r="K736" s="318"/>
      <c r="L736" s="318"/>
      <c r="M736" s="318"/>
      <c r="N736" s="318"/>
      <c r="O736" s="318"/>
      <c r="P736" s="318"/>
      <c r="Q736" s="318"/>
      <c r="R736" s="318"/>
      <c r="S736" s="318"/>
      <c r="T736" s="318"/>
      <c r="U736" s="318"/>
      <c r="V736" s="319"/>
      <c r="W736" s="589"/>
      <c r="X736" s="592"/>
      <c r="Y736" s="592"/>
      <c r="Z736" s="594"/>
      <c r="AA736" s="301"/>
      <c r="AB736" s="583"/>
      <c r="AC736" s="586"/>
      <c r="AD736" s="317"/>
      <c r="AE736" s="318"/>
      <c r="AF736" s="318"/>
      <c r="AG736" s="318"/>
      <c r="AH736" s="318"/>
      <c r="AI736" s="318"/>
      <c r="AJ736" s="318"/>
      <c r="AK736" s="318"/>
      <c r="AL736" s="318"/>
      <c r="AM736" s="318"/>
      <c r="AN736" s="318"/>
      <c r="AO736" s="318"/>
      <c r="AP736" s="318"/>
      <c r="AQ736" s="318"/>
      <c r="AR736" s="318"/>
      <c r="AS736" s="318"/>
      <c r="AT736" s="318"/>
      <c r="AU736" s="318"/>
      <c r="AV736" s="318"/>
      <c r="AW736" s="319"/>
      <c r="AX736" s="589"/>
      <c r="AY736" s="592"/>
      <c r="AZ736" s="592"/>
      <c r="BA736" s="594"/>
    </row>
    <row r="737" spans="1:53" ht="9" customHeight="1">
      <c r="A737" s="583">
        <v>19</v>
      </c>
      <c r="B737" s="584" t="str">
        <f t="shared" si="517"/>
        <v>પરમાર દિલીપકુમાર મધુભાઇ</v>
      </c>
      <c r="C737" s="311"/>
      <c r="D737" s="312"/>
      <c r="E737" s="312"/>
      <c r="F737" s="312"/>
      <c r="G737" s="312"/>
      <c r="H737" s="312"/>
      <c r="I737" s="312"/>
      <c r="J737" s="312"/>
      <c r="K737" s="312"/>
      <c r="L737" s="312"/>
      <c r="M737" s="312"/>
      <c r="N737" s="312"/>
      <c r="O737" s="312"/>
      <c r="P737" s="312"/>
      <c r="Q737" s="312"/>
      <c r="R737" s="312"/>
      <c r="S737" s="312"/>
      <c r="T737" s="312"/>
      <c r="U737" s="312"/>
      <c r="V737" s="313"/>
      <c r="W737" s="587">
        <f>'A-CALC'!V698</f>
        <v>0</v>
      </c>
      <c r="X737" s="590">
        <f>'A-CALC'!W698</f>
        <v>0</v>
      </c>
      <c r="Y737" s="590">
        <f>'A-CALC'!X698</f>
        <v>0</v>
      </c>
      <c r="Z737" s="593">
        <f t="shared" ref="Z737" si="539">ROUND((40/$Y$7)*W737,0)</f>
        <v>0</v>
      </c>
      <c r="AA737" s="301"/>
      <c r="AB737" s="583">
        <v>19</v>
      </c>
      <c r="AC737" s="584" t="str">
        <f t="shared" si="519"/>
        <v>પરમાર દિલીપકુમાર મધુભાઇ</v>
      </c>
      <c r="AD737" s="311"/>
      <c r="AE737" s="312"/>
      <c r="AF737" s="312"/>
      <c r="AG737" s="312"/>
      <c r="AH737" s="312"/>
      <c r="AI737" s="312"/>
      <c r="AJ737" s="312"/>
      <c r="AK737" s="312"/>
      <c r="AL737" s="312"/>
      <c r="AM737" s="312"/>
      <c r="AN737" s="312"/>
      <c r="AO737" s="312"/>
      <c r="AP737" s="312"/>
      <c r="AQ737" s="312"/>
      <c r="AR737" s="312"/>
      <c r="AS737" s="312"/>
      <c r="AT737" s="312"/>
      <c r="AU737" s="312"/>
      <c r="AV737" s="312"/>
      <c r="AW737" s="313"/>
      <c r="AX737" s="587">
        <f>'A-CALC'!AU698</f>
        <v>0</v>
      </c>
      <c r="AY737" s="590">
        <f>'A-CALC'!AV698</f>
        <v>0</v>
      </c>
      <c r="AZ737" s="590">
        <f>'A-CALC'!AW698</f>
        <v>0</v>
      </c>
      <c r="BA737" s="593">
        <f t="shared" ref="BA737" si="540">ROUND((40/$Y$7)*AX737,0)</f>
        <v>0</v>
      </c>
    </row>
    <row r="738" spans="1:53" ht="9" customHeight="1">
      <c r="A738" s="583"/>
      <c r="B738" s="585"/>
      <c r="C738" s="314"/>
      <c r="D738" s="315"/>
      <c r="E738" s="315"/>
      <c r="F738" s="315"/>
      <c r="G738" s="315"/>
      <c r="H738" s="315"/>
      <c r="I738" s="315"/>
      <c r="J738" s="315"/>
      <c r="K738" s="315"/>
      <c r="L738" s="315"/>
      <c r="M738" s="315"/>
      <c r="N738" s="315"/>
      <c r="O738" s="315"/>
      <c r="P738" s="315"/>
      <c r="Q738" s="315"/>
      <c r="R738" s="315"/>
      <c r="S738" s="315"/>
      <c r="T738" s="315"/>
      <c r="U738" s="315"/>
      <c r="V738" s="316"/>
      <c r="W738" s="588"/>
      <c r="X738" s="591"/>
      <c r="Y738" s="591"/>
      <c r="Z738" s="594"/>
      <c r="AA738" s="301"/>
      <c r="AB738" s="583"/>
      <c r="AC738" s="585"/>
      <c r="AD738" s="314"/>
      <c r="AE738" s="315"/>
      <c r="AF738" s="315"/>
      <c r="AG738" s="315"/>
      <c r="AH738" s="315"/>
      <c r="AI738" s="315"/>
      <c r="AJ738" s="315"/>
      <c r="AK738" s="315"/>
      <c r="AL738" s="315"/>
      <c r="AM738" s="315"/>
      <c r="AN738" s="315"/>
      <c r="AO738" s="315"/>
      <c r="AP738" s="315"/>
      <c r="AQ738" s="315"/>
      <c r="AR738" s="315"/>
      <c r="AS738" s="315"/>
      <c r="AT738" s="315"/>
      <c r="AU738" s="315"/>
      <c r="AV738" s="315"/>
      <c r="AW738" s="316"/>
      <c r="AX738" s="588"/>
      <c r="AY738" s="591"/>
      <c r="AZ738" s="591"/>
      <c r="BA738" s="594"/>
    </row>
    <row r="739" spans="1:53" ht="9" customHeight="1">
      <c r="A739" s="583"/>
      <c r="B739" s="586"/>
      <c r="C739" s="317"/>
      <c r="D739" s="318"/>
      <c r="E739" s="318"/>
      <c r="F739" s="318"/>
      <c r="G739" s="318"/>
      <c r="H739" s="318"/>
      <c r="I739" s="318"/>
      <c r="J739" s="318"/>
      <c r="K739" s="318"/>
      <c r="L739" s="318"/>
      <c r="M739" s="318"/>
      <c r="N739" s="318"/>
      <c r="O739" s="318"/>
      <c r="P739" s="318"/>
      <c r="Q739" s="318"/>
      <c r="R739" s="318"/>
      <c r="S739" s="318"/>
      <c r="T739" s="318"/>
      <c r="U739" s="318"/>
      <c r="V739" s="319"/>
      <c r="W739" s="589"/>
      <c r="X739" s="592"/>
      <c r="Y739" s="592"/>
      <c r="Z739" s="594"/>
      <c r="AA739" s="301"/>
      <c r="AB739" s="583"/>
      <c r="AC739" s="586"/>
      <c r="AD739" s="317"/>
      <c r="AE739" s="318"/>
      <c r="AF739" s="318"/>
      <c r="AG739" s="318"/>
      <c r="AH739" s="318"/>
      <c r="AI739" s="318"/>
      <c r="AJ739" s="318"/>
      <c r="AK739" s="318"/>
      <c r="AL739" s="318"/>
      <c r="AM739" s="318"/>
      <c r="AN739" s="318"/>
      <c r="AO739" s="318"/>
      <c r="AP739" s="318"/>
      <c r="AQ739" s="318"/>
      <c r="AR739" s="318"/>
      <c r="AS739" s="318"/>
      <c r="AT739" s="318"/>
      <c r="AU739" s="318"/>
      <c r="AV739" s="318"/>
      <c r="AW739" s="319"/>
      <c r="AX739" s="589"/>
      <c r="AY739" s="592"/>
      <c r="AZ739" s="592"/>
      <c r="BA739" s="594"/>
    </row>
    <row r="740" spans="1:53" ht="9" customHeight="1">
      <c r="A740" s="583">
        <v>20</v>
      </c>
      <c r="B740" s="584" t="str">
        <f t="shared" si="517"/>
        <v>વિરપરા કૃણાલ હરેશભાઇ</v>
      </c>
      <c r="C740" s="311"/>
      <c r="D740" s="312"/>
      <c r="E740" s="312"/>
      <c r="F740" s="312"/>
      <c r="G740" s="312"/>
      <c r="H740" s="312"/>
      <c r="I740" s="312"/>
      <c r="J740" s="312"/>
      <c r="K740" s="312"/>
      <c r="L740" s="312"/>
      <c r="M740" s="312"/>
      <c r="N740" s="312"/>
      <c r="O740" s="312"/>
      <c r="P740" s="312"/>
      <c r="Q740" s="312"/>
      <c r="R740" s="312"/>
      <c r="S740" s="312"/>
      <c r="T740" s="312"/>
      <c r="U740" s="312"/>
      <c r="V740" s="313"/>
      <c r="W740" s="587">
        <f>'A-CALC'!V701</f>
        <v>0</v>
      </c>
      <c r="X740" s="590">
        <f>'A-CALC'!W701</f>
        <v>0</v>
      </c>
      <c r="Y740" s="590">
        <f>'A-CALC'!X701</f>
        <v>0</v>
      </c>
      <c r="Z740" s="593">
        <f t="shared" ref="Z740" si="541">ROUND((40/$Y$7)*W740,0)</f>
        <v>0</v>
      </c>
      <c r="AA740" s="301"/>
      <c r="AB740" s="583">
        <v>20</v>
      </c>
      <c r="AC740" s="584" t="str">
        <f t="shared" si="519"/>
        <v>વિરપરા કૃણાલ હરેશભાઇ</v>
      </c>
      <c r="AD740" s="311"/>
      <c r="AE740" s="312"/>
      <c r="AF740" s="312"/>
      <c r="AG740" s="312"/>
      <c r="AH740" s="312"/>
      <c r="AI740" s="312"/>
      <c r="AJ740" s="312"/>
      <c r="AK740" s="312"/>
      <c r="AL740" s="312"/>
      <c r="AM740" s="312"/>
      <c r="AN740" s="312"/>
      <c r="AO740" s="312"/>
      <c r="AP740" s="312"/>
      <c r="AQ740" s="312"/>
      <c r="AR740" s="312"/>
      <c r="AS740" s="312"/>
      <c r="AT740" s="312"/>
      <c r="AU740" s="312"/>
      <c r="AV740" s="312"/>
      <c r="AW740" s="313"/>
      <c r="AX740" s="587">
        <f>'A-CALC'!AU701</f>
        <v>0</v>
      </c>
      <c r="AY740" s="590">
        <f>'A-CALC'!AV701</f>
        <v>0</v>
      </c>
      <c r="AZ740" s="590">
        <f>'A-CALC'!AW701</f>
        <v>0</v>
      </c>
      <c r="BA740" s="593">
        <f t="shared" ref="BA740" si="542">ROUND((40/$Y$7)*AX740,0)</f>
        <v>0</v>
      </c>
    </row>
    <row r="741" spans="1:53" ht="9" customHeight="1">
      <c r="A741" s="583"/>
      <c r="B741" s="585"/>
      <c r="C741" s="314"/>
      <c r="D741" s="315"/>
      <c r="E741" s="315"/>
      <c r="F741" s="315"/>
      <c r="G741" s="315"/>
      <c r="H741" s="315"/>
      <c r="I741" s="315"/>
      <c r="J741" s="315"/>
      <c r="K741" s="315"/>
      <c r="L741" s="315"/>
      <c r="M741" s="315"/>
      <c r="N741" s="315"/>
      <c r="O741" s="315"/>
      <c r="P741" s="315"/>
      <c r="Q741" s="315"/>
      <c r="R741" s="315"/>
      <c r="S741" s="315"/>
      <c r="T741" s="315"/>
      <c r="U741" s="315"/>
      <c r="V741" s="316"/>
      <c r="W741" s="588"/>
      <c r="X741" s="591"/>
      <c r="Y741" s="591"/>
      <c r="Z741" s="594"/>
      <c r="AA741" s="301"/>
      <c r="AB741" s="583"/>
      <c r="AC741" s="585"/>
      <c r="AD741" s="314"/>
      <c r="AE741" s="315"/>
      <c r="AF741" s="315"/>
      <c r="AG741" s="315"/>
      <c r="AH741" s="315"/>
      <c r="AI741" s="315"/>
      <c r="AJ741" s="315"/>
      <c r="AK741" s="315"/>
      <c r="AL741" s="315"/>
      <c r="AM741" s="315"/>
      <c r="AN741" s="315"/>
      <c r="AO741" s="315"/>
      <c r="AP741" s="315"/>
      <c r="AQ741" s="315"/>
      <c r="AR741" s="315"/>
      <c r="AS741" s="315"/>
      <c r="AT741" s="315"/>
      <c r="AU741" s="315"/>
      <c r="AV741" s="315"/>
      <c r="AW741" s="316"/>
      <c r="AX741" s="588"/>
      <c r="AY741" s="591"/>
      <c r="AZ741" s="591"/>
      <c r="BA741" s="594"/>
    </row>
    <row r="742" spans="1:53" ht="9" customHeight="1">
      <c r="A742" s="583"/>
      <c r="B742" s="586"/>
      <c r="C742" s="317"/>
      <c r="D742" s="318"/>
      <c r="E742" s="318"/>
      <c r="F742" s="318"/>
      <c r="G742" s="318"/>
      <c r="H742" s="318"/>
      <c r="I742" s="318"/>
      <c r="J742" s="318"/>
      <c r="K742" s="318"/>
      <c r="L742" s="318"/>
      <c r="M742" s="318"/>
      <c r="N742" s="318"/>
      <c r="O742" s="318"/>
      <c r="P742" s="318"/>
      <c r="Q742" s="318"/>
      <c r="R742" s="318"/>
      <c r="S742" s="318"/>
      <c r="T742" s="318"/>
      <c r="U742" s="318"/>
      <c r="V742" s="319"/>
      <c r="W742" s="589"/>
      <c r="X742" s="592"/>
      <c r="Y742" s="592"/>
      <c r="Z742" s="594"/>
      <c r="AA742" s="301"/>
      <c r="AB742" s="583"/>
      <c r="AC742" s="586"/>
      <c r="AD742" s="317"/>
      <c r="AE742" s="318"/>
      <c r="AF742" s="318"/>
      <c r="AG742" s="318"/>
      <c r="AH742" s="318"/>
      <c r="AI742" s="318"/>
      <c r="AJ742" s="318"/>
      <c r="AK742" s="318"/>
      <c r="AL742" s="318"/>
      <c r="AM742" s="318"/>
      <c r="AN742" s="318"/>
      <c r="AO742" s="318"/>
      <c r="AP742" s="318"/>
      <c r="AQ742" s="318"/>
      <c r="AR742" s="318"/>
      <c r="AS742" s="318"/>
      <c r="AT742" s="318"/>
      <c r="AU742" s="318"/>
      <c r="AV742" s="318"/>
      <c r="AW742" s="319"/>
      <c r="AX742" s="589"/>
      <c r="AY742" s="592"/>
      <c r="AZ742" s="592"/>
      <c r="BA742" s="594"/>
    </row>
    <row r="743" spans="1:53" ht="9" customHeight="1">
      <c r="A743" s="583">
        <v>21</v>
      </c>
      <c r="B743" s="584" t="str">
        <f t="shared" si="517"/>
        <v>મકરૂબિયા જીજ્ઞેશભાઇ અશોકભાઇ</v>
      </c>
      <c r="C743" s="311"/>
      <c r="D743" s="312"/>
      <c r="E743" s="312"/>
      <c r="F743" s="312"/>
      <c r="G743" s="312"/>
      <c r="H743" s="312"/>
      <c r="I743" s="312"/>
      <c r="J743" s="312"/>
      <c r="K743" s="312"/>
      <c r="L743" s="312"/>
      <c r="M743" s="312"/>
      <c r="N743" s="312"/>
      <c r="O743" s="312"/>
      <c r="P743" s="312"/>
      <c r="Q743" s="312"/>
      <c r="R743" s="312"/>
      <c r="S743" s="312"/>
      <c r="T743" s="312"/>
      <c r="U743" s="312"/>
      <c r="V743" s="313"/>
      <c r="W743" s="587">
        <f>'A-CALC'!V704</f>
        <v>0</v>
      </c>
      <c r="X743" s="590">
        <f>'A-CALC'!W704</f>
        <v>0</v>
      </c>
      <c r="Y743" s="590">
        <f>'A-CALC'!X704</f>
        <v>0</v>
      </c>
      <c r="Z743" s="593">
        <f t="shared" ref="Z743" si="543">ROUND((40/$Y$7)*W743,0)</f>
        <v>0</v>
      </c>
      <c r="AA743" s="301"/>
      <c r="AB743" s="583">
        <v>21</v>
      </c>
      <c r="AC743" s="584" t="str">
        <f t="shared" si="519"/>
        <v>મકરૂબિયા જીજ્ઞેશભાઇ અશોકભાઇ</v>
      </c>
      <c r="AD743" s="311"/>
      <c r="AE743" s="312"/>
      <c r="AF743" s="312"/>
      <c r="AG743" s="312"/>
      <c r="AH743" s="312"/>
      <c r="AI743" s="312"/>
      <c r="AJ743" s="312"/>
      <c r="AK743" s="312"/>
      <c r="AL743" s="312"/>
      <c r="AM743" s="312"/>
      <c r="AN743" s="312"/>
      <c r="AO743" s="312"/>
      <c r="AP743" s="312"/>
      <c r="AQ743" s="312"/>
      <c r="AR743" s="312"/>
      <c r="AS743" s="312"/>
      <c r="AT743" s="312"/>
      <c r="AU743" s="312"/>
      <c r="AV743" s="312"/>
      <c r="AW743" s="313"/>
      <c r="AX743" s="587">
        <f>'A-CALC'!AU704</f>
        <v>0</v>
      </c>
      <c r="AY743" s="590">
        <f>'A-CALC'!AV704</f>
        <v>0</v>
      </c>
      <c r="AZ743" s="590">
        <f>'A-CALC'!AW704</f>
        <v>0</v>
      </c>
      <c r="BA743" s="593">
        <f t="shared" ref="BA743" si="544">ROUND((40/$Y$7)*AX743,0)</f>
        <v>0</v>
      </c>
    </row>
    <row r="744" spans="1:53" ht="9" customHeight="1">
      <c r="A744" s="583"/>
      <c r="B744" s="585"/>
      <c r="C744" s="314"/>
      <c r="D744" s="315"/>
      <c r="E744" s="315"/>
      <c r="F744" s="315"/>
      <c r="G744" s="315"/>
      <c r="H744" s="315"/>
      <c r="I744" s="315"/>
      <c r="J744" s="315"/>
      <c r="K744" s="315"/>
      <c r="L744" s="315"/>
      <c r="M744" s="315"/>
      <c r="N744" s="315"/>
      <c r="O744" s="315"/>
      <c r="P744" s="315"/>
      <c r="Q744" s="315"/>
      <c r="R744" s="315"/>
      <c r="S744" s="315"/>
      <c r="T744" s="315"/>
      <c r="U744" s="315"/>
      <c r="V744" s="316"/>
      <c r="W744" s="588"/>
      <c r="X744" s="591"/>
      <c r="Y744" s="591"/>
      <c r="Z744" s="594"/>
      <c r="AA744" s="301"/>
      <c r="AB744" s="583"/>
      <c r="AC744" s="585"/>
      <c r="AD744" s="314"/>
      <c r="AE744" s="315"/>
      <c r="AF744" s="315"/>
      <c r="AG744" s="315"/>
      <c r="AH744" s="315"/>
      <c r="AI744" s="315"/>
      <c r="AJ744" s="315"/>
      <c r="AK744" s="315"/>
      <c r="AL744" s="315"/>
      <c r="AM744" s="315"/>
      <c r="AN744" s="315"/>
      <c r="AO744" s="315"/>
      <c r="AP744" s="315"/>
      <c r="AQ744" s="315"/>
      <c r="AR744" s="315"/>
      <c r="AS744" s="315"/>
      <c r="AT744" s="315"/>
      <c r="AU744" s="315"/>
      <c r="AV744" s="315"/>
      <c r="AW744" s="316"/>
      <c r="AX744" s="588"/>
      <c r="AY744" s="591"/>
      <c r="AZ744" s="591"/>
      <c r="BA744" s="594"/>
    </row>
    <row r="745" spans="1:53" ht="9" customHeight="1">
      <c r="A745" s="583"/>
      <c r="B745" s="586"/>
      <c r="C745" s="317"/>
      <c r="D745" s="318"/>
      <c r="E745" s="318"/>
      <c r="F745" s="318"/>
      <c r="G745" s="318"/>
      <c r="H745" s="318"/>
      <c r="I745" s="318"/>
      <c r="J745" s="318"/>
      <c r="K745" s="318"/>
      <c r="L745" s="318"/>
      <c r="M745" s="318"/>
      <c r="N745" s="318"/>
      <c r="O745" s="318"/>
      <c r="P745" s="318"/>
      <c r="Q745" s="318"/>
      <c r="R745" s="318"/>
      <c r="S745" s="318"/>
      <c r="T745" s="318"/>
      <c r="U745" s="318"/>
      <c r="V745" s="319"/>
      <c r="W745" s="589"/>
      <c r="X745" s="592"/>
      <c r="Y745" s="592"/>
      <c r="Z745" s="594"/>
      <c r="AA745" s="301"/>
      <c r="AB745" s="583"/>
      <c r="AC745" s="586"/>
      <c r="AD745" s="317"/>
      <c r="AE745" s="318"/>
      <c r="AF745" s="318"/>
      <c r="AG745" s="318"/>
      <c r="AH745" s="318"/>
      <c r="AI745" s="318"/>
      <c r="AJ745" s="318"/>
      <c r="AK745" s="318"/>
      <c r="AL745" s="318"/>
      <c r="AM745" s="318"/>
      <c r="AN745" s="318"/>
      <c r="AO745" s="318"/>
      <c r="AP745" s="318"/>
      <c r="AQ745" s="318"/>
      <c r="AR745" s="318"/>
      <c r="AS745" s="318"/>
      <c r="AT745" s="318"/>
      <c r="AU745" s="318"/>
      <c r="AV745" s="318"/>
      <c r="AW745" s="319"/>
      <c r="AX745" s="589"/>
      <c r="AY745" s="592"/>
      <c r="AZ745" s="592"/>
      <c r="BA745" s="594"/>
    </row>
    <row r="746" spans="1:53" ht="9" customHeight="1">
      <c r="A746" s="583">
        <v>22</v>
      </c>
      <c r="B746" s="584" t="str">
        <f t="shared" si="517"/>
        <v>ખિમસુરીયા જ્યોત્સના મુકેશભાઇ</v>
      </c>
      <c r="C746" s="311"/>
      <c r="D746" s="312"/>
      <c r="E746" s="312"/>
      <c r="F746" s="312"/>
      <c r="G746" s="312"/>
      <c r="H746" s="312"/>
      <c r="I746" s="312"/>
      <c r="J746" s="312"/>
      <c r="K746" s="312"/>
      <c r="L746" s="312"/>
      <c r="M746" s="312"/>
      <c r="N746" s="312"/>
      <c r="O746" s="312"/>
      <c r="P746" s="312"/>
      <c r="Q746" s="312"/>
      <c r="R746" s="312"/>
      <c r="S746" s="312"/>
      <c r="T746" s="312"/>
      <c r="U746" s="312"/>
      <c r="V746" s="313"/>
      <c r="W746" s="587">
        <f>'A-CALC'!V707</f>
        <v>0</v>
      </c>
      <c r="X746" s="590">
        <f>'A-CALC'!W707</f>
        <v>0</v>
      </c>
      <c r="Y746" s="590">
        <f>'A-CALC'!X707</f>
        <v>0</v>
      </c>
      <c r="Z746" s="593">
        <f t="shared" ref="Z746" si="545">ROUND((40/$Y$7)*W746,0)</f>
        <v>0</v>
      </c>
      <c r="AA746" s="301"/>
      <c r="AB746" s="583">
        <v>22</v>
      </c>
      <c r="AC746" s="584" t="str">
        <f t="shared" si="519"/>
        <v>ખિમસુરીયા જ્યોત્સના મુકેશભાઇ</v>
      </c>
      <c r="AD746" s="311"/>
      <c r="AE746" s="312"/>
      <c r="AF746" s="312"/>
      <c r="AG746" s="312"/>
      <c r="AH746" s="312"/>
      <c r="AI746" s="312"/>
      <c r="AJ746" s="312"/>
      <c r="AK746" s="312"/>
      <c r="AL746" s="312"/>
      <c r="AM746" s="312"/>
      <c r="AN746" s="312"/>
      <c r="AO746" s="312"/>
      <c r="AP746" s="312"/>
      <c r="AQ746" s="312"/>
      <c r="AR746" s="312"/>
      <c r="AS746" s="312"/>
      <c r="AT746" s="312"/>
      <c r="AU746" s="312"/>
      <c r="AV746" s="312"/>
      <c r="AW746" s="313"/>
      <c r="AX746" s="587">
        <f>'A-CALC'!AU707</f>
        <v>0</v>
      </c>
      <c r="AY746" s="590">
        <f>'A-CALC'!AV707</f>
        <v>0</v>
      </c>
      <c r="AZ746" s="590">
        <f>'A-CALC'!AW707</f>
        <v>0</v>
      </c>
      <c r="BA746" s="593">
        <f t="shared" ref="BA746" si="546">ROUND((40/$Y$7)*AX746,0)</f>
        <v>0</v>
      </c>
    </row>
    <row r="747" spans="1:53" ht="9" customHeight="1">
      <c r="A747" s="583"/>
      <c r="B747" s="585"/>
      <c r="C747" s="314"/>
      <c r="D747" s="315"/>
      <c r="E747" s="315"/>
      <c r="F747" s="315"/>
      <c r="G747" s="315"/>
      <c r="H747" s="315"/>
      <c r="I747" s="315"/>
      <c r="J747" s="315"/>
      <c r="K747" s="315"/>
      <c r="L747" s="315"/>
      <c r="M747" s="315"/>
      <c r="N747" s="315"/>
      <c r="O747" s="315"/>
      <c r="P747" s="315"/>
      <c r="Q747" s="315"/>
      <c r="R747" s="315"/>
      <c r="S747" s="315"/>
      <c r="T747" s="315"/>
      <c r="U747" s="315"/>
      <c r="V747" s="316"/>
      <c r="W747" s="588"/>
      <c r="X747" s="591"/>
      <c r="Y747" s="591"/>
      <c r="Z747" s="594"/>
      <c r="AA747" s="301"/>
      <c r="AB747" s="583"/>
      <c r="AC747" s="585"/>
      <c r="AD747" s="314"/>
      <c r="AE747" s="315"/>
      <c r="AF747" s="315"/>
      <c r="AG747" s="315"/>
      <c r="AH747" s="315"/>
      <c r="AI747" s="315"/>
      <c r="AJ747" s="315"/>
      <c r="AK747" s="315"/>
      <c r="AL747" s="315"/>
      <c r="AM747" s="315"/>
      <c r="AN747" s="315"/>
      <c r="AO747" s="315"/>
      <c r="AP747" s="315"/>
      <c r="AQ747" s="315"/>
      <c r="AR747" s="315"/>
      <c r="AS747" s="315"/>
      <c r="AT747" s="315"/>
      <c r="AU747" s="315"/>
      <c r="AV747" s="315"/>
      <c r="AW747" s="316"/>
      <c r="AX747" s="588"/>
      <c r="AY747" s="591"/>
      <c r="AZ747" s="591"/>
      <c r="BA747" s="594"/>
    </row>
    <row r="748" spans="1:53" ht="9" customHeight="1">
      <c r="A748" s="583"/>
      <c r="B748" s="586"/>
      <c r="C748" s="317"/>
      <c r="D748" s="318"/>
      <c r="E748" s="318"/>
      <c r="F748" s="318"/>
      <c r="G748" s="318"/>
      <c r="H748" s="318"/>
      <c r="I748" s="318"/>
      <c r="J748" s="318"/>
      <c r="K748" s="318"/>
      <c r="L748" s="318"/>
      <c r="M748" s="318"/>
      <c r="N748" s="318"/>
      <c r="O748" s="318"/>
      <c r="P748" s="318"/>
      <c r="Q748" s="318"/>
      <c r="R748" s="318"/>
      <c r="S748" s="318"/>
      <c r="T748" s="318"/>
      <c r="U748" s="318"/>
      <c r="V748" s="319"/>
      <c r="W748" s="589"/>
      <c r="X748" s="592"/>
      <c r="Y748" s="592"/>
      <c r="Z748" s="594"/>
      <c r="AA748" s="301"/>
      <c r="AB748" s="583"/>
      <c r="AC748" s="586"/>
      <c r="AD748" s="317"/>
      <c r="AE748" s="318"/>
      <c r="AF748" s="318"/>
      <c r="AG748" s="318"/>
      <c r="AH748" s="318"/>
      <c r="AI748" s="318"/>
      <c r="AJ748" s="318"/>
      <c r="AK748" s="318"/>
      <c r="AL748" s="318"/>
      <c r="AM748" s="318"/>
      <c r="AN748" s="318"/>
      <c r="AO748" s="318"/>
      <c r="AP748" s="318"/>
      <c r="AQ748" s="318"/>
      <c r="AR748" s="318"/>
      <c r="AS748" s="318"/>
      <c r="AT748" s="318"/>
      <c r="AU748" s="318"/>
      <c r="AV748" s="318"/>
      <c r="AW748" s="319"/>
      <c r="AX748" s="589"/>
      <c r="AY748" s="592"/>
      <c r="AZ748" s="592"/>
      <c r="BA748" s="594"/>
    </row>
    <row r="749" spans="1:53" ht="9" customHeight="1">
      <c r="A749" s="583">
        <v>23</v>
      </c>
      <c r="B749" s="584" t="str">
        <f t="shared" si="517"/>
        <v>ગરણિયા રાજલબેન સામતભાઇ</v>
      </c>
      <c r="C749" s="311"/>
      <c r="D749" s="312"/>
      <c r="E749" s="312"/>
      <c r="F749" s="312"/>
      <c r="G749" s="312"/>
      <c r="H749" s="312"/>
      <c r="I749" s="312"/>
      <c r="J749" s="312"/>
      <c r="K749" s="312"/>
      <c r="L749" s="312"/>
      <c r="M749" s="312"/>
      <c r="N749" s="312"/>
      <c r="O749" s="312"/>
      <c r="P749" s="312"/>
      <c r="Q749" s="312"/>
      <c r="R749" s="312"/>
      <c r="S749" s="312"/>
      <c r="T749" s="312"/>
      <c r="U749" s="312"/>
      <c r="V749" s="313"/>
      <c r="W749" s="587">
        <f>'A-CALC'!V710</f>
        <v>0</v>
      </c>
      <c r="X749" s="590">
        <f>'A-CALC'!W710</f>
        <v>0</v>
      </c>
      <c r="Y749" s="590">
        <f>'A-CALC'!X710</f>
        <v>0</v>
      </c>
      <c r="Z749" s="593">
        <f t="shared" ref="Z749" si="547">ROUND((40/$Y$7)*W749,0)</f>
        <v>0</v>
      </c>
      <c r="AA749" s="301"/>
      <c r="AB749" s="583">
        <v>23</v>
      </c>
      <c r="AC749" s="584" t="str">
        <f t="shared" si="519"/>
        <v>ગરણિયા રાજલબેન સામતભાઇ</v>
      </c>
      <c r="AD749" s="311"/>
      <c r="AE749" s="312"/>
      <c r="AF749" s="312"/>
      <c r="AG749" s="312"/>
      <c r="AH749" s="312"/>
      <c r="AI749" s="312"/>
      <c r="AJ749" s="312"/>
      <c r="AK749" s="312"/>
      <c r="AL749" s="312"/>
      <c r="AM749" s="312"/>
      <c r="AN749" s="312"/>
      <c r="AO749" s="312"/>
      <c r="AP749" s="312"/>
      <c r="AQ749" s="312"/>
      <c r="AR749" s="312"/>
      <c r="AS749" s="312"/>
      <c r="AT749" s="312"/>
      <c r="AU749" s="312"/>
      <c r="AV749" s="312"/>
      <c r="AW749" s="313"/>
      <c r="AX749" s="587">
        <f>'A-CALC'!AU710</f>
        <v>0</v>
      </c>
      <c r="AY749" s="590">
        <f>'A-CALC'!AV710</f>
        <v>0</v>
      </c>
      <c r="AZ749" s="590">
        <f>'A-CALC'!AW710</f>
        <v>0</v>
      </c>
      <c r="BA749" s="593">
        <f t="shared" ref="BA749" si="548">ROUND((40/$Y$7)*AX749,0)</f>
        <v>0</v>
      </c>
    </row>
    <row r="750" spans="1:53" ht="9" customHeight="1">
      <c r="A750" s="583"/>
      <c r="B750" s="585"/>
      <c r="C750" s="314"/>
      <c r="D750" s="315"/>
      <c r="E750" s="315"/>
      <c r="F750" s="315"/>
      <c r="G750" s="315"/>
      <c r="H750" s="315"/>
      <c r="I750" s="315"/>
      <c r="J750" s="315"/>
      <c r="K750" s="315"/>
      <c r="L750" s="315"/>
      <c r="M750" s="315"/>
      <c r="N750" s="315"/>
      <c r="O750" s="315"/>
      <c r="P750" s="315"/>
      <c r="Q750" s="315"/>
      <c r="R750" s="315"/>
      <c r="S750" s="315"/>
      <c r="T750" s="315"/>
      <c r="U750" s="315"/>
      <c r="V750" s="316"/>
      <c r="W750" s="588"/>
      <c r="X750" s="591"/>
      <c r="Y750" s="591"/>
      <c r="Z750" s="594"/>
      <c r="AA750" s="301"/>
      <c r="AB750" s="583"/>
      <c r="AC750" s="585"/>
      <c r="AD750" s="314"/>
      <c r="AE750" s="315"/>
      <c r="AF750" s="315"/>
      <c r="AG750" s="315"/>
      <c r="AH750" s="315"/>
      <c r="AI750" s="315"/>
      <c r="AJ750" s="315"/>
      <c r="AK750" s="315"/>
      <c r="AL750" s="315"/>
      <c r="AM750" s="315"/>
      <c r="AN750" s="315"/>
      <c r="AO750" s="315"/>
      <c r="AP750" s="315"/>
      <c r="AQ750" s="315"/>
      <c r="AR750" s="315"/>
      <c r="AS750" s="315"/>
      <c r="AT750" s="315"/>
      <c r="AU750" s="315"/>
      <c r="AV750" s="315"/>
      <c r="AW750" s="316"/>
      <c r="AX750" s="588"/>
      <c r="AY750" s="591"/>
      <c r="AZ750" s="591"/>
      <c r="BA750" s="594"/>
    </row>
    <row r="751" spans="1:53" ht="9" customHeight="1">
      <c r="A751" s="583"/>
      <c r="B751" s="586"/>
      <c r="C751" s="317"/>
      <c r="D751" s="318"/>
      <c r="E751" s="318"/>
      <c r="F751" s="318"/>
      <c r="G751" s="318"/>
      <c r="H751" s="318"/>
      <c r="I751" s="318"/>
      <c r="J751" s="318"/>
      <c r="K751" s="318"/>
      <c r="L751" s="318"/>
      <c r="M751" s="318"/>
      <c r="N751" s="318"/>
      <c r="O751" s="318"/>
      <c r="P751" s="318"/>
      <c r="Q751" s="318"/>
      <c r="R751" s="318"/>
      <c r="S751" s="318"/>
      <c r="T751" s="318"/>
      <c r="U751" s="318"/>
      <c r="V751" s="319"/>
      <c r="W751" s="589"/>
      <c r="X751" s="592"/>
      <c r="Y751" s="592"/>
      <c r="Z751" s="594"/>
      <c r="AA751" s="301"/>
      <c r="AB751" s="583"/>
      <c r="AC751" s="586"/>
      <c r="AD751" s="317"/>
      <c r="AE751" s="318"/>
      <c r="AF751" s="318"/>
      <c r="AG751" s="318"/>
      <c r="AH751" s="318"/>
      <c r="AI751" s="318"/>
      <c r="AJ751" s="318"/>
      <c r="AK751" s="318"/>
      <c r="AL751" s="318"/>
      <c r="AM751" s="318"/>
      <c r="AN751" s="318"/>
      <c r="AO751" s="318"/>
      <c r="AP751" s="318"/>
      <c r="AQ751" s="318"/>
      <c r="AR751" s="318"/>
      <c r="AS751" s="318"/>
      <c r="AT751" s="318"/>
      <c r="AU751" s="318"/>
      <c r="AV751" s="318"/>
      <c r="AW751" s="319"/>
      <c r="AX751" s="589"/>
      <c r="AY751" s="592"/>
      <c r="AZ751" s="592"/>
      <c r="BA751" s="594"/>
    </row>
    <row r="752" spans="1:53" ht="9" customHeight="1">
      <c r="A752" s="583">
        <v>24</v>
      </c>
      <c r="B752" s="584" t="str">
        <f t="shared" si="517"/>
        <v>ગરણિયા નિરાલીબેન પ્રદીપભાઇ</v>
      </c>
      <c r="C752" s="311"/>
      <c r="D752" s="312"/>
      <c r="E752" s="312"/>
      <c r="F752" s="312"/>
      <c r="G752" s="312"/>
      <c r="H752" s="312"/>
      <c r="I752" s="312"/>
      <c r="J752" s="312"/>
      <c r="K752" s="312"/>
      <c r="L752" s="312"/>
      <c r="M752" s="312"/>
      <c r="N752" s="312"/>
      <c r="O752" s="312"/>
      <c r="P752" s="312"/>
      <c r="Q752" s="312"/>
      <c r="R752" s="312"/>
      <c r="S752" s="312"/>
      <c r="T752" s="312"/>
      <c r="U752" s="312"/>
      <c r="V752" s="313"/>
      <c r="W752" s="587">
        <f>'A-CALC'!V713</f>
        <v>0</v>
      </c>
      <c r="X752" s="590">
        <f>'A-CALC'!W713</f>
        <v>0</v>
      </c>
      <c r="Y752" s="590">
        <f>'A-CALC'!X713</f>
        <v>0</v>
      </c>
      <c r="Z752" s="593">
        <f t="shared" ref="Z752" si="549">ROUND((40/$Y$7)*W752,0)</f>
        <v>0</v>
      </c>
      <c r="AA752" s="301"/>
      <c r="AB752" s="583">
        <v>24</v>
      </c>
      <c r="AC752" s="584" t="str">
        <f t="shared" si="519"/>
        <v>ગરણિયા નિરાલીબેન પ્રદીપભાઇ</v>
      </c>
      <c r="AD752" s="311"/>
      <c r="AE752" s="312"/>
      <c r="AF752" s="312"/>
      <c r="AG752" s="312" t="s">
        <v>312</v>
      </c>
      <c r="AH752" s="312"/>
      <c r="AI752" s="312"/>
      <c r="AJ752" s="312" t="s">
        <v>312</v>
      </c>
      <c r="AK752" s="312"/>
      <c r="AL752" s="312"/>
      <c r="AM752" s="312"/>
      <c r="AN752" s="312"/>
      <c r="AO752" s="312"/>
      <c r="AP752" s="312"/>
      <c r="AQ752" s="312"/>
      <c r="AR752" s="312"/>
      <c r="AS752" s="312"/>
      <c r="AT752" s="312"/>
      <c r="AU752" s="312"/>
      <c r="AV752" s="312"/>
      <c r="AW752" s="313"/>
      <c r="AX752" s="587">
        <f>'A-CALC'!AU713</f>
        <v>1</v>
      </c>
      <c r="AY752" s="590">
        <f>'A-CALC'!AV713</f>
        <v>1</v>
      </c>
      <c r="AZ752" s="590">
        <f>'A-CALC'!AW713</f>
        <v>0</v>
      </c>
      <c r="BA752" s="593">
        <f t="shared" ref="BA752" si="550">ROUND((40/$Y$7)*AX752,0)</f>
        <v>3</v>
      </c>
    </row>
    <row r="753" spans="1:53" ht="9" customHeight="1">
      <c r="A753" s="583"/>
      <c r="B753" s="585"/>
      <c r="C753" s="314"/>
      <c r="D753" s="315"/>
      <c r="E753" s="315"/>
      <c r="F753" s="315"/>
      <c r="G753" s="315"/>
      <c r="H753" s="315"/>
      <c r="I753" s="315"/>
      <c r="J753" s="315"/>
      <c r="K753" s="315"/>
      <c r="L753" s="315"/>
      <c r="M753" s="315"/>
      <c r="N753" s="315"/>
      <c r="O753" s="315"/>
      <c r="P753" s="315"/>
      <c r="Q753" s="315"/>
      <c r="R753" s="315"/>
      <c r="S753" s="315"/>
      <c r="T753" s="315"/>
      <c r="U753" s="315"/>
      <c r="V753" s="316"/>
      <c r="W753" s="588"/>
      <c r="X753" s="591"/>
      <c r="Y753" s="591"/>
      <c r="Z753" s="594"/>
      <c r="AA753" s="301"/>
      <c r="AB753" s="583"/>
      <c r="AC753" s="585"/>
      <c r="AD753" s="314"/>
      <c r="AE753" s="315"/>
      <c r="AF753" s="315"/>
      <c r="AG753" s="315" t="s">
        <v>311</v>
      </c>
      <c r="AH753" s="315"/>
      <c r="AI753" s="315"/>
      <c r="AJ753" s="315"/>
      <c r="AK753" s="315"/>
      <c r="AL753" s="315"/>
      <c r="AM753" s="315"/>
      <c r="AN753" s="315"/>
      <c r="AO753" s="315"/>
      <c r="AP753" s="315"/>
      <c r="AQ753" s="315"/>
      <c r="AR753" s="315"/>
      <c r="AS753" s="315"/>
      <c r="AT753" s="315"/>
      <c r="AU753" s="315"/>
      <c r="AV753" s="315"/>
      <c r="AW753" s="316"/>
      <c r="AX753" s="588"/>
      <c r="AY753" s="591"/>
      <c r="AZ753" s="591"/>
      <c r="BA753" s="594"/>
    </row>
    <row r="754" spans="1:53" ht="9" customHeight="1">
      <c r="A754" s="583"/>
      <c r="B754" s="586"/>
      <c r="C754" s="317"/>
      <c r="D754" s="318"/>
      <c r="E754" s="318"/>
      <c r="F754" s="318"/>
      <c r="G754" s="318"/>
      <c r="H754" s="318"/>
      <c r="I754" s="318"/>
      <c r="J754" s="318"/>
      <c r="K754" s="318"/>
      <c r="L754" s="318"/>
      <c r="M754" s="318"/>
      <c r="N754" s="318"/>
      <c r="O754" s="318"/>
      <c r="P754" s="318"/>
      <c r="Q754" s="318"/>
      <c r="R754" s="318"/>
      <c r="S754" s="318"/>
      <c r="T754" s="318"/>
      <c r="U754" s="318"/>
      <c r="V754" s="319"/>
      <c r="W754" s="589"/>
      <c r="X754" s="592"/>
      <c r="Y754" s="592"/>
      <c r="Z754" s="594"/>
      <c r="AA754" s="301"/>
      <c r="AB754" s="583"/>
      <c r="AC754" s="586"/>
      <c r="AD754" s="317"/>
      <c r="AE754" s="318"/>
      <c r="AF754" s="318"/>
      <c r="AG754" s="318"/>
      <c r="AH754" s="318"/>
      <c r="AI754" s="318"/>
      <c r="AJ754" s="318" t="s">
        <v>310</v>
      </c>
      <c r="AK754" s="318"/>
      <c r="AL754" s="318"/>
      <c r="AM754" s="318"/>
      <c r="AN754" s="318"/>
      <c r="AO754" s="318"/>
      <c r="AP754" s="318"/>
      <c r="AQ754" s="318"/>
      <c r="AR754" s="318"/>
      <c r="AS754" s="318"/>
      <c r="AT754" s="318"/>
      <c r="AU754" s="318"/>
      <c r="AV754" s="318"/>
      <c r="AW754" s="319"/>
      <c r="AX754" s="589"/>
      <c r="AY754" s="592"/>
      <c r="AZ754" s="592"/>
      <c r="BA754" s="594"/>
    </row>
    <row r="755" spans="1:53" ht="9" customHeight="1">
      <c r="A755" s="583">
        <v>25</v>
      </c>
      <c r="B755" s="584" t="str">
        <f t="shared" si="517"/>
        <v>ગરણિયા રાધાબેન લક્ષ્મણભાઇ</v>
      </c>
      <c r="C755" s="311"/>
      <c r="D755" s="312"/>
      <c r="E755" s="312"/>
      <c r="F755" s="312"/>
      <c r="G755" s="312"/>
      <c r="H755" s="312"/>
      <c r="I755" s="312"/>
      <c r="J755" s="312"/>
      <c r="K755" s="312"/>
      <c r="L755" s="312"/>
      <c r="M755" s="312"/>
      <c r="N755" s="312"/>
      <c r="O755" s="312"/>
      <c r="P755" s="312"/>
      <c r="Q755" s="312"/>
      <c r="R755" s="312"/>
      <c r="S755" s="312"/>
      <c r="T755" s="312"/>
      <c r="U755" s="312"/>
      <c r="V755" s="313"/>
      <c r="W755" s="587">
        <f>'A-CALC'!V716</f>
        <v>0</v>
      </c>
      <c r="X755" s="590">
        <f>'A-CALC'!W716</f>
        <v>0</v>
      </c>
      <c r="Y755" s="590">
        <f>'A-CALC'!X716</f>
        <v>0</v>
      </c>
      <c r="Z755" s="593">
        <f t="shared" ref="Z755" si="551">ROUND((40/$Y$7)*W755,0)</f>
        <v>0</v>
      </c>
      <c r="AA755" s="301"/>
      <c r="AB755" s="583">
        <v>25</v>
      </c>
      <c r="AC755" s="584" t="str">
        <f t="shared" si="519"/>
        <v>ગરણિયા રાધાબેન લક્ષ્મણભાઇ</v>
      </c>
      <c r="AD755" s="311"/>
      <c r="AE755" s="312"/>
      <c r="AF755" s="312"/>
      <c r="AG755" s="312"/>
      <c r="AH755" s="312"/>
      <c r="AI755" s="312"/>
      <c r="AJ755" s="312"/>
      <c r="AK755" s="312"/>
      <c r="AL755" s="312"/>
      <c r="AM755" s="312"/>
      <c r="AN755" s="312"/>
      <c r="AO755" s="312"/>
      <c r="AP755" s="312"/>
      <c r="AQ755" s="312"/>
      <c r="AR755" s="312"/>
      <c r="AS755" s="312"/>
      <c r="AT755" s="312"/>
      <c r="AU755" s="312"/>
      <c r="AV755" s="312"/>
      <c r="AW755" s="313"/>
      <c r="AX755" s="587">
        <f>'A-CALC'!AU716</f>
        <v>0</v>
      </c>
      <c r="AY755" s="590">
        <f>'A-CALC'!AV716</f>
        <v>0</v>
      </c>
      <c r="AZ755" s="590">
        <f>'A-CALC'!AW716</f>
        <v>0</v>
      </c>
      <c r="BA755" s="593">
        <f t="shared" ref="BA755" si="552">ROUND((40/$Y$7)*AX755,0)</f>
        <v>0</v>
      </c>
    </row>
    <row r="756" spans="1:53" ht="9" customHeight="1">
      <c r="A756" s="583"/>
      <c r="B756" s="585"/>
      <c r="C756" s="314"/>
      <c r="D756" s="315"/>
      <c r="E756" s="315"/>
      <c r="F756" s="315"/>
      <c r="G756" s="315"/>
      <c r="H756" s="315"/>
      <c r="I756" s="315"/>
      <c r="J756" s="315"/>
      <c r="K756" s="315"/>
      <c r="L756" s="315"/>
      <c r="M756" s="315"/>
      <c r="N756" s="315"/>
      <c r="O756" s="315"/>
      <c r="P756" s="315"/>
      <c r="Q756" s="315"/>
      <c r="R756" s="315"/>
      <c r="S756" s="315"/>
      <c r="T756" s="315"/>
      <c r="U756" s="315"/>
      <c r="V756" s="316"/>
      <c r="W756" s="588"/>
      <c r="X756" s="591"/>
      <c r="Y756" s="591"/>
      <c r="Z756" s="594"/>
      <c r="AA756" s="301"/>
      <c r="AB756" s="583"/>
      <c r="AC756" s="585"/>
      <c r="AD756" s="314"/>
      <c r="AE756" s="315"/>
      <c r="AF756" s="315"/>
      <c r="AG756" s="315"/>
      <c r="AH756" s="315"/>
      <c r="AI756" s="315"/>
      <c r="AJ756" s="315"/>
      <c r="AK756" s="315"/>
      <c r="AL756" s="315"/>
      <c r="AM756" s="315"/>
      <c r="AN756" s="315"/>
      <c r="AO756" s="315"/>
      <c r="AP756" s="315"/>
      <c r="AQ756" s="315"/>
      <c r="AR756" s="315"/>
      <c r="AS756" s="315"/>
      <c r="AT756" s="315"/>
      <c r="AU756" s="315"/>
      <c r="AV756" s="315"/>
      <c r="AW756" s="316"/>
      <c r="AX756" s="588"/>
      <c r="AY756" s="591"/>
      <c r="AZ756" s="591"/>
      <c r="BA756" s="594"/>
    </row>
    <row r="757" spans="1:53" ht="9" customHeight="1">
      <c r="A757" s="583"/>
      <c r="B757" s="586"/>
      <c r="C757" s="317"/>
      <c r="D757" s="318"/>
      <c r="E757" s="318"/>
      <c r="F757" s="318"/>
      <c r="G757" s="318"/>
      <c r="H757" s="318"/>
      <c r="I757" s="318"/>
      <c r="J757" s="318"/>
      <c r="K757" s="318"/>
      <c r="L757" s="318"/>
      <c r="M757" s="318"/>
      <c r="N757" s="318"/>
      <c r="O757" s="318"/>
      <c r="P757" s="318"/>
      <c r="Q757" s="318"/>
      <c r="R757" s="318"/>
      <c r="S757" s="318"/>
      <c r="T757" s="318"/>
      <c r="U757" s="318"/>
      <c r="V757" s="319"/>
      <c r="W757" s="589"/>
      <c r="X757" s="592"/>
      <c r="Y757" s="592"/>
      <c r="Z757" s="594"/>
      <c r="AA757" s="301"/>
      <c r="AB757" s="583"/>
      <c r="AC757" s="586"/>
      <c r="AD757" s="317"/>
      <c r="AE757" s="318"/>
      <c r="AF757" s="318"/>
      <c r="AG757" s="318"/>
      <c r="AH757" s="318"/>
      <c r="AI757" s="318"/>
      <c r="AJ757" s="318"/>
      <c r="AK757" s="318"/>
      <c r="AL757" s="318"/>
      <c r="AM757" s="318"/>
      <c r="AN757" s="318"/>
      <c r="AO757" s="318"/>
      <c r="AP757" s="318"/>
      <c r="AQ757" s="318"/>
      <c r="AR757" s="318"/>
      <c r="AS757" s="318"/>
      <c r="AT757" s="318"/>
      <c r="AU757" s="318"/>
      <c r="AV757" s="318"/>
      <c r="AW757" s="319"/>
      <c r="AX757" s="589"/>
      <c r="AY757" s="592"/>
      <c r="AZ757" s="592"/>
      <c r="BA757" s="594"/>
    </row>
    <row r="758" spans="1:53" ht="9" customHeight="1">
      <c r="A758" s="583">
        <v>26</v>
      </c>
      <c r="B758" s="584" t="str">
        <f t="shared" si="517"/>
        <v>ગૌસ્વામિ મયુરીબેન રમેશગીરી</v>
      </c>
      <c r="C758" s="311"/>
      <c r="D758" s="312"/>
      <c r="E758" s="312"/>
      <c r="F758" s="312"/>
      <c r="G758" s="312"/>
      <c r="H758" s="312"/>
      <c r="I758" s="312"/>
      <c r="J758" s="312"/>
      <c r="K758" s="312"/>
      <c r="L758" s="312"/>
      <c r="M758" s="312"/>
      <c r="N758" s="312"/>
      <c r="O758" s="312"/>
      <c r="P758" s="312"/>
      <c r="Q758" s="312"/>
      <c r="R758" s="312"/>
      <c r="S758" s="312"/>
      <c r="T758" s="312"/>
      <c r="U758" s="312"/>
      <c r="V758" s="313"/>
      <c r="W758" s="587">
        <f>'A-CALC'!V719</f>
        <v>0</v>
      </c>
      <c r="X758" s="590">
        <f>'A-CALC'!W719</f>
        <v>0</v>
      </c>
      <c r="Y758" s="590">
        <f>'A-CALC'!X719</f>
        <v>0</v>
      </c>
      <c r="Z758" s="593">
        <f t="shared" ref="Z758" si="553">ROUND((40/$Y$7)*W758,0)</f>
        <v>0</v>
      </c>
      <c r="AA758" s="301"/>
      <c r="AB758" s="583">
        <v>26</v>
      </c>
      <c r="AC758" s="584" t="str">
        <f t="shared" si="519"/>
        <v>ગૌસ્વામિ મયુરીબેન રમેશગીરી</v>
      </c>
      <c r="AD758" s="311"/>
      <c r="AE758" s="312"/>
      <c r="AF758" s="312"/>
      <c r="AG758" s="312"/>
      <c r="AH758" s="312"/>
      <c r="AI758" s="312"/>
      <c r="AJ758" s="312"/>
      <c r="AK758" s="312"/>
      <c r="AL758" s="312"/>
      <c r="AM758" s="312"/>
      <c r="AN758" s="312"/>
      <c r="AO758" s="312"/>
      <c r="AP758" s="312"/>
      <c r="AQ758" s="312"/>
      <c r="AR758" s="312"/>
      <c r="AS758" s="312"/>
      <c r="AT758" s="312"/>
      <c r="AU758" s="312"/>
      <c r="AV758" s="312"/>
      <c r="AW758" s="313"/>
      <c r="AX758" s="587">
        <f>'A-CALC'!AU719</f>
        <v>0</v>
      </c>
      <c r="AY758" s="590">
        <f>'A-CALC'!AV719</f>
        <v>0</v>
      </c>
      <c r="AZ758" s="590">
        <f>'A-CALC'!AW719</f>
        <v>0</v>
      </c>
      <c r="BA758" s="593">
        <f t="shared" ref="BA758" si="554">ROUND((40/$Y$7)*AX758,0)</f>
        <v>0</v>
      </c>
    </row>
    <row r="759" spans="1:53" ht="9" customHeight="1">
      <c r="A759" s="583"/>
      <c r="B759" s="585"/>
      <c r="C759" s="314"/>
      <c r="D759" s="315"/>
      <c r="E759" s="315"/>
      <c r="F759" s="315"/>
      <c r="G759" s="315"/>
      <c r="H759" s="315"/>
      <c r="I759" s="315"/>
      <c r="J759" s="315"/>
      <c r="K759" s="315"/>
      <c r="L759" s="315"/>
      <c r="M759" s="315"/>
      <c r="N759" s="315"/>
      <c r="O759" s="315"/>
      <c r="P759" s="315"/>
      <c r="Q759" s="315"/>
      <c r="R759" s="315"/>
      <c r="S759" s="315"/>
      <c r="T759" s="315"/>
      <c r="U759" s="315"/>
      <c r="V759" s="316"/>
      <c r="W759" s="588"/>
      <c r="X759" s="591"/>
      <c r="Y759" s="591"/>
      <c r="Z759" s="594"/>
      <c r="AA759" s="301"/>
      <c r="AB759" s="583"/>
      <c r="AC759" s="585"/>
      <c r="AD759" s="314"/>
      <c r="AE759" s="315"/>
      <c r="AF759" s="315"/>
      <c r="AG759" s="315"/>
      <c r="AH759" s="315"/>
      <c r="AI759" s="315"/>
      <c r="AJ759" s="315"/>
      <c r="AK759" s="315"/>
      <c r="AL759" s="315"/>
      <c r="AM759" s="315"/>
      <c r="AN759" s="315"/>
      <c r="AO759" s="315"/>
      <c r="AP759" s="315"/>
      <c r="AQ759" s="315"/>
      <c r="AR759" s="315"/>
      <c r="AS759" s="315"/>
      <c r="AT759" s="315"/>
      <c r="AU759" s="315"/>
      <c r="AV759" s="315"/>
      <c r="AW759" s="316"/>
      <c r="AX759" s="588"/>
      <c r="AY759" s="591"/>
      <c r="AZ759" s="591"/>
      <c r="BA759" s="594"/>
    </row>
    <row r="760" spans="1:53" ht="9" customHeight="1">
      <c r="A760" s="583"/>
      <c r="B760" s="586"/>
      <c r="C760" s="317"/>
      <c r="D760" s="318"/>
      <c r="E760" s="318"/>
      <c r="F760" s="318"/>
      <c r="G760" s="318"/>
      <c r="H760" s="318"/>
      <c r="I760" s="318"/>
      <c r="J760" s="318"/>
      <c r="K760" s="318"/>
      <c r="L760" s="318"/>
      <c r="M760" s="318"/>
      <c r="N760" s="318"/>
      <c r="O760" s="318"/>
      <c r="P760" s="318"/>
      <c r="Q760" s="318"/>
      <c r="R760" s="318"/>
      <c r="S760" s="318"/>
      <c r="T760" s="318"/>
      <c r="U760" s="318"/>
      <c r="V760" s="319"/>
      <c r="W760" s="589"/>
      <c r="X760" s="592"/>
      <c r="Y760" s="592"/>
      <c r="Z760" s="594"/>
      <c r="AA760" s="301"/>
      <c r="AB760" s="583"/>
      <c r="AC760" s="586"/>
      <c r="AD760" s="317"/>
      <c r="AE760" s="318"/>
      <c r="AF760" s="318"/>
      <c r="AG760" s="318"/>
      <c r="AH760" s="318"/>
      <c r="AI760" s="318"/>
      <c r="AJ760" s="318"/>
      <c r="AK760" s="318"/>
      <c r="AL760" s="318"/>
      <c r="AM760" s="318"/>
      <c r="AN760" s="318"/>
      <c r="AO760" s="318"/>
      <c r="AP760" s="318"/>
      <c r="AQ760" s="318"/>
      <c r="AR760" s="318"/>
      <c r="AS760" s="318"/>
      <c r="AT760" s="318"/>
      <c r="AU760" s="318"/>
      <c r="AV760" s="318"/>
      <c r="AW760" s="319"/>
      <c r="AX760" s="589"/>
      <c r="AY760" s="592"/>
      <c r="AZ760" s="592"/>
      <c r="BA760" s="594"/>
    </row>
    <row r="761" spans="1:53" ht="9" customHeight="1">
      <c r="A761" s="583">
        <v>27</v>
      </c>
      <c r="B761" s="584" t="str">
        <f t="shared" si="517"/>
        <v>બતાડા જાનકી વાલાભાઇ</v>
      </c>
      <c r="C761" s="311"/>
      <c r="D761" s="312"/>
      <c r="E761" s="312"/>
      <c r="F761" s="312"/>
      <c r="G761" s="312"/>
      <c r="H761" s="312"/>
      <c r="I761" s="312"/>
      <c r="J761" s="312"/>
      <c r="K761" s="312"/>
      <c r="L761" s="312"/>
      <c r="M761" s="312"/>
      <c r="N761" s="312"/>
      <c r="O761" s="312"/>
      <c r="P761" s="312"/>
      <c r="Q761" s="312"/>
      <c r="R761" s="312"/>
      <c r="S761" s="312"/>
      <c r="T761" s="312"/>
      <c r="U761" s="312"/>
      <c r="V761" s="313"/>
      <c r="W761" s="587">
        <f>'A-CALC'!V722</f>
        <v>0</v>
      </c>
      <c r="X761" s="590">
        <f>'A-CALC'!W722</f>
        <v>0</v>
      </c>
      <c r="Y761" s="590">
        <f>'A-CALC'!X722</f>
        <v>0</v>
      </c>
      <c r="Z761" s="593">
        <f t="shared" ref="Z761" si="555">ROUND((40/$Y$7)*W761,0)</f>
        <v>0</v>
      </c>
      <c r="AA761" s="301"/>
      <c r="AB761" s="583">
        <v>27</v>
      </c>
      <c r="AC761" s="584" t="str">
        <f t="shared" si="519"/>
        <v>બતાડા જાનકી વાલાભાઇ</v>
      </c>
      <c r="AD761" s="311"/>
      <c r="AE761" s="312"/>
      <c r="AF761" s="312"/>
      <c r="AG761" s="312"/>
      <c r="AH761" s="312"/>
      <c r="AI761" s="312"/>
      <c r="AJ761" s="312"/>
      <c r="AK761" s="312"/>
      <c r="AL761" s="312" t="s">
        <v>312</v>
      </c>
      <c r="AM761" s="312"/>
      <c r="AN761" s="312" t="s">
        <v>312</v>
      </c>
      <c r="AO761" s="312"/>
      <c r="AP761" s="312"/>
      <c r="AQ761" s="312"/>
      <c r="AR761" s="312"/>
      <c r="AS761" s="312"/>
      <c r="AT761" s="312"/>
      <c r="AU761" s="312"/>
      <c r="AV761" s="312"/>
      <c r="AW761" s="313"/>
      <c r="AX761" s="587">
        <f>'A-CALC'!AU722</f>
        <v>2</v>
      </c>
      <c r="AY761" s="590">
        <f>'A-CALC'!AV722</f>
        <v>1</v>
      </c>
      <c r="AZ761" s="590">
        <f>'A-CALC'!AW722</f>
        <v>1</v>
      </c>
      <c r="BA761" s="593">
        <f t="shared" ref="BA761" si="556">ROUND((40/$Y$7)*AX761,0)</f>
        <v>6</v>
      </c>
    </row>
    <row r="762" spans="1:53" ht="9" customHeight="1">
      <c r="A762" s="583"/>
      <c r="B762" s="585"/>
      <c r="C762" s="314"/>
      <c r="D762" s="315"/>
      <c r="E762" s="315"/>
      <c r="F762" s="315"/>
      <c r="G762" s="315"/>
      <c r="H762" s="315"/>
      <c r="I762" s="315"/>
      <c r="J762" s="315"/>
      <c r="K762" s="315"/>
      <c r="L762" s="315"/>
      <c r="M762" s="315"/>
      <c r="N762" s="315"/>
      <c r="O762" s="315"/>
      <c r="P762" s="315"/>
      <c r="Q762" s="315"/>
      <c r="R762" s="315"/>
      <c r="S762" s="315"/>
      <c r="T762" s="315"/>
      <c r="U762" s="315"/>
      <c r="V762" s="316"/>
      <c r="W762" s="588"/>
      <c r="X762" s="591"/>
      <c r="Y762" s="591"/>
      <c r="Z762" s="594"/>
      <c r="AA762" s="301"/>
      <c r="AB762" s="583"/>
      <c r="AC762" s="585"/>
      <c r="AD762" s="314"/>
      <c r="AE762" s="315"/>
      <c r="AF762" s="315"/>
      <c r="AG762" s="315"/>
      <c r="AH762" s="315"/>
      <c r="AI762" s="315"/>
      <c r="AJ762" s="315"/>
      <c r="AK762" s="315" t="s">
        <v>311</v>
      </c>
      <c r="AL762" s="315"/>
      <c r="AM762" s="315"/>
      <c r="AN762" s="315" t="s">
        <v>311</v>
      </c>
      <c r="AO762" s="315"/>
      <c r="AP762" s="315"/>
      <c r="AQ762" s="315" t="s">
        <v>311</v>
      </c>
      <c r="AR762" s="315"/>
      <c r="AS762" s="315"/>
      <c r="AT762" s="315"/>
      <c r="AU762" s="315"/>
      <c r="AV762" s="315"/>
      <c r="AW762" s="316"/>
      <c r="AX762" s="588"/>
      <c r="AY762" s="591"/>
      <c r="AZ762" s="591"/>
      <c r="BA762" s="594"/>
    </row>
    <row r="763" spans="1:53" ht="9" customHeight="1">
      <c r="A763" s="583"/>
      <c r="B763" s="586"/>
      <c r="C763" s="317"/>
      <c r="D763" s="318"/>
      <c r="E763" s="318"/>
      <c r="F763" s="318"/>
      <c r="G763" s="318"/>
      <c r="H763" s="318"/>
      <c r="I763" s="318"/>
      <c r="J763" s="318"/>
      <c r="K763" s="318"/>
      <c r="L763" s="318"/>
      <c r="M763" s="318"/>
      <c r="N763" s="318"/>
      <c r="O763" s="318"/>
      <c r="P763" s="318"/>
      <c r="Q763" s="318"/>
      <c r="R763" s="318"/>
      <c r="S763" s="318"/>
      <c r="T763" s="318"/>
      <c r="U763" s="318"/>
      <c r="V763" s="319"/>
      <c r="W763" s="589"/>
      <c r="X763" s="592"/>
      <c r="Y763" s="592"/>
      <c r="Z763" s="594"/>
      <c r="AA763" s="301"/>
      <c r="AB763" s="583"/>
      <c r="AC763" s="586"/>
      <c r="AD763" s="317"/>
      <c r="AE763" s="318"/>
      <c r="AF763" s="318"/>
      <c r="AG763" s="318"/>
      <c r="AH763" s="318"/>
      <c r="AI763" s="318"/>
      <c r="AJ763" s="318"/>
      <c r="AK763" s="318" t="s">
        <v>310</v>
      </c>
      <c r="AL763" s="318"/>
      <c r="AM763" s="318"/>
      <c r="AN763" s="318" t="s">
        <v>310</v>
      </c>
      <c r="AO763" s="318"/>
      <c r="AP763" s="318"/>
      <c r="AQ763" s="318"/>
      <c r="AR763" s="318"/>
      <c r="AS763" s="318"/>
      <c r="AT763" s="318"/>
      <c r="AU763" s="318"/>
      <c r="AV763" s="318"/>
      <c r="AW763" s="319"/>
      <c r="AX763" s="589"/>
      <c r="AY763" s="592"/>
      <c r="AZ763" s="592"/>
      <c r="BA763" s="594"/>
    </row>
    <row r="764" spans="1:53" ht="9" customHeight="1">
      <c r="A764" s="583">
        <v>28</v>
      </c>
      <c r="B764" s="584" t="str">
        <f t="shared" si="517"/>
        <v>બતાડા ક્રિષ્નાબેન દેવશીભાઇ</v>
      </c>
      <c r="C764" s="311"/>
      <c r="D764" s="312"/>
      <c r="E764" s="312"/>
      <c r="F764" s="312"/>
      <c r="G764" s="312"/>
      <c r="H764" s="312"/>
      <c r="I764" s="312"/>
      <c r="J764" s="312"/>
      <c r="K764" s="312"/>
      <c r="L764" s="312"/>
      <c r="M764" s="312"/>
      <c r="N764" s="312"/>
      <c r="O764" s="312"/>
      <c r="P764" s="312"/>
      <c r="Q764" s="312"/>
      <c r="R764" s="312"/>
      <c r="S764" s="312"/>
      <c r="T764" s="312"/>
      <c r="U764" s="312"/>
      <c r="V764" s="313"/>
      <c r="W764" s="587">
        <f>'A-CALC'!V725</f>
        <v>0</v>
      </c>
      <c r="X764" s="590">
        <f>'A-CALC'!W725</f>
        <v>0</v>
      </c>
      <c r="Y764" s="590">
        <f>'A-CALC'!X725</f>
        <v>0</v>
      </c>
      <c r="Z764" s="593">
        <f t="shared" ref="Z764" si="557">ROUND((40/$Y$7)*W764,0)</f>
        <v>0</v>
      </c>
      <c r="AA764" s="301"/>
      <c r="AB764" s="583">
        <v>28</v>
      </c>
      <c r="AC764" s="584" t="str">
        <f t="shared" si="519"/>
        <v>બતાડા ક્રિષ્નાબેન દેવશીભાઇ</v>
      </c>
      <c r="AD764" s="311"/>
      <c r="AE764" s="312"/>
      <c r="AF764" s="312"/>
      <c r="AG764" s="312"/>
      <c r="AH764" s="312"/>
      <c r="AI764" s="312"/>
      <c r="AJ764" s="312"/>
      <c r="AK764" s="312"/>
      <c r="AL764" s="312"/>
      <c r="AM764" s="312"/>
      <c r="AN764" s="312"/>
      <c r="AO764" s="312"/>
      <c r="AP764" s="312"/>
      <c r="AQ764" s="312"/>
      <c r="AR764" s="312"/>
      <c r="AS764" s="312"/>
      <c r="AT764" s="312"/>
      <c r="AU764" s="312"/>
      <c r="AV764" s="312"/>
      <c r="AW764" s="313"/>
      <c r="AX764" s="587">
        <f>'A-CALC'!AU725</f>
        <v>0</v>
      </c>
      <c r="AY764" s="590">
        <f>'A-CALC'!AV725</f>
        <v>0</v>
      </c>
      <c r="AZ764" s="590">
        <f>'A-CALC'!AW725</f>
        <v>0</v>
      </c>
      <c r="BA764" s="593">
        <f t="shared" ref="BA764" si="558">ROUND((40/$Y$7)*AX764,0)</f>
        <v>0</v>
      </c>
    </row>
    <row r="765" spans="1:53" ht="9" customHeight="1">
      <c r="A765" s="583"/>
      <c r="B765" s="585"/>
      <c r="C765" s="314"/>
      <c r="D765" s="315"/>
      <c r="E765" s="315"/>
      <c r="F765" s="315"/>
      <c r="G765" s="315"/>
      <c r="H765" s="315"/>
      <c r="I765" s="315"/>
      <c r="J765" s="315"/>
      <c r="K765" s="315"/>
      <c r="L765" s="315"/>
      <c r="M765" s="315"/>
      <c r="N765" s="315"/>
      <c r="O765" s="315"/>
      <c r="P765" s="315"/>
      <c r="Q765" s="315"/>
      <c r="R765" s="315"/>
      <c r="S765" s="315"/>
      <c r="T765" s="315"/>
      <c r="U765" s="315"/>
      <c r="V765" s="316"/>
      <c r="W765" s="588"/>
      <c r="X765" s="591"/>
      <c r="Y765" s="591"/>
      <c r="Z765" s="594"/>
      <c r="AA765" s="301"/>
      <c r="AB765" s="583"/>
      <c r="AC765" s="585"/>
      <c r="AD765" s="314"/>
      <c r="AE765" s="315"/>
      <c r="AF765" s="315"/>
      <c r="AG765" s="315"/>
      <c r="AH765" s="315"/>
      <c r="AI765" s="315"/>
      <c r="AJ765" s="315"/>
      <c r="AK765" s="315"/>
      <c r="AL765" s="315"/>
      <c r="AM765" s="315"/>
      <c r="AN765" s="315"/>
      <c r="AO765" s="315"/>
      <c r="AP765" s="315"/>
      <c r="AQ765" s="315"/>
      <c r="AR765" s="315"/>
      <c r="AS765" s="315"/>
      <c r="AT765" s="315"/>
      <c r="AU765" s="315"/>
      <c r="AV765" s="315"/>
      <c r="AW765" s="316"/>
      <c r="AX765" s="588"/>
      <c r="AY765" s="591"/>
      <c r="AZ765" s="591"/>
      <c r="BA765" s="594"/>
    </row>
    <row r="766" spans="1:53" ht="9" customHeight="1">
      <c r="A766" s="583"/>
      <c r="B766" s="586"/>
      <c r="C766" s="317"/>
      <c r="D766" s="318"/>
      <c r="E766" s="318"/>
      <c r="F766" s="318"/>
      <c r="G766" s="318"/>
      <c r="H766" s="318"/>
      <c r="I766" s="318"/>
      <c r="J766" s="318"/>
      <c r="K766" s="318"/>
      <c r="L766" s="318"/>
      <c r="M766" s="318"/>
      <c r="N766" s="318"/>
      <c r="O766" s="318"/>
      <c r="P766" s="318"/>
      <c r="Q766" s="318"/>
      <c r="R766" s="318"/>
      <c r="S766" s="318"/>
      <c r="T766" s="318"/>
      <c r="U766" s="318"/>
      <c r="V766" s="319"/>
      <c r="W766" s="589"/>
      <c r="X766" s="592"/>
      <c r="Y766" s="592"/>
      <c r="Z766" s="594"/>
      <c r="AA766" s="301"/>
      <c r="AB766" s="583"/>
      <c r="AC766" s="586"/>
      <c r="AD766" s="317"/>
      <c r="AE766" s="318"/>
      <c r="AF766" s="318"/>
      <c r="AG766" s="318"/>
      <c r="AH766" s="318"/>
      <c r="AI766" s="318"/>
      <c r="AJ766" s="318"/>
      <c r="AK766" s="318"/>
      <c r="AL766" s="318"/>
      <c r="AM766" s="318"/>
      <c r="AN766" s="318"/>
      <c r="AO766" s="318"/>
      <c r="AP766" s="318"/>
      <c r="AQ766" s="318"/>
      <c r="AR766" s="318"/>
      <c r="AS766" s="318"/>
      <c r="AT766" s="318"/>
      <c r="AU766" s="318"/>
      <c r="AV766" s="318"/>
      <c r="AW766" s="319"/>
      <c r="AX766" s="589"/>
      <c r="AY766" s="592"/>
      <c r="AZ766" s="592"/>
      <c r="BA766" s="594"/>
    </row>
    <row r="767" spans="1:53" ht="9" customHeight="1">
      <c r="A767" s="583">
        <v>29</v>
      </c>
      <c r="B767" s="584" t="str">
        <f t="shared" si="517"/>
        <v>પરમાર અનિષા રમેશભાઇ</v>
      </c>
      <c r="C767" s="311"/>
      <c r="D767" s="312"/>
      <c r="E767" s="312"/>
      <c r="F767" s="312"/>
      <c r="G767" s="312"/>
      <c r="H767" s="312"/>
      <c r="I767" s="312"/>
      <c r="J767" s="312"/>
      <c r="K767" s="312"/>
      <c r="L767" s="312"/>
      <c r="M767" s="312"/>
      <c r="N767" s="312"/>
      <c r="O767" s="312"/>
      <c r="P767" s="312"/>
      <c r="Q767" s="312"/>
      <c r="R767" s="312"/>
      <c r="S767" s="312"/>
      <c r="T767" s="312"/>
      <c r="U767" s="312"/>
      <c r="V767" s="313"/>
      <c r="W767" s="587">
        <f>'A-CALC'!V728</f>
        <v>0</v>
      </c>
      <c r="X767" s="590">
        <f>'A-CALC'!W728</f>
        <v>0</v>
      </c>
      <c r="Y767" s="590">
        <f>'A-CALC'!X728</f>
        <v>0</v>
      </c>
      <c r="Z767" s="593">
        <f t="shared" ref="Z767" si="559">ROUND((40/$Y$7)*W767,0)</f>
        <v>0</v>
      </c>
      <c r="AA767" s="301"/>
      <c r="AB767" s="583">
        <v>29</v>
      </c>
      <c r="AC767" s="584" t="str">
        <f t="shared" si="519"/>
        <v>પરમાર અનિષા રમેશભાઇ</v>
      </c>
      <c r="AD767" s="311"/>
      <c r="AE767" s="312"/>
      <c r="AF767" s="312"/>
      <c r="AG767" s="312"/>
      <c r="AH767" s="312"/>
      <c r="AI767" s="312"/>
      <c r="AJ767" s="312"/>
      <c r="AK767" s="312"/>
      <c r="AL767" s="312"/>
      <c r="AM767" s="312"/>
      <c r="AN767" s="312"/>
      <c r="AO767" s="312"/>
      <c r="AP767" s="312"/>
      <c r="AQ767" s="312"/>
      <c r="AR767" s="312"/>
      <c r="AS767" s="312"/>
      <c r="AT767" s="312"/>
      <c r="AU767" s="312"/>
      <c r="AV767" s="312"/>
      <c r="AW767" s="313"/>
      <c r="AX767" s="587">
        <f>'A-CALC'!AU728</f>
        <v>0</v>
      </c>
      <c r="AY767" s="590">
        <f>'A-CALC'!AV728</f>
        <v>0</v>
      </c>
      <c r="AZ767" s="590">
        <f>'A-CALC'!AW728</f>
        <v>0</v>
      </c>
      <c r="BA767" s="593">
        <f t="shared" ref="BA767" si="560">ROUND((40/$Y$7)*AX767,0)</f>
        <v>0</v>
      </c>
    </row>
    <row r="768" spans="1:53" ht="9" customHeight="1">
      <c r="A768" s="583"/>
      <c r="B768" s="585"/>
      <c r="C768" s="314"/>
      <c r="D768" s="315"/>
      <c r="E768" s="315"/>
      <c r="F768" s="315"/>
      <c r="G768" s="315"/>
      <c r="H768" s="315"/>
      <c r="I768" s="315"/>
      <c r="J768" s="315"/>
      <c r="K768" s="315"/>
      <c r="L768" s="315"/>
      <c r="M768" s="315"/>
      <c r="N768" s="315"/>
      <c r="O768" s="315"/>
      <c r="P768" s="315"/>
      <c r="Q768" s="315"/>
      <c r="R768" s="315"/>
      <c r="S768" s="315"/>
      <c r="T768" s="315"/>
      <c r="U768" s="315"/>
      <c r="V768" s="316"/>
      <c r="W768" s="588"/>
      <c r="X768" s="591"/>
      <c r="Y768" s="591"/>
      <c r="Z768" s="594"/>
      <c r="AA768" s="301"/>
      <c r="AB768" s="583"/>
      <c r="AC768" s="585"/>
      <c r="AD768" s="314"/>
      <c r="AE768" s="315"/>
      <c r="AF768" s="315"/>
      <c r="AG768" s="315"/>
      <c r="AH768" s="315"/>
      <c r="AI768" s="315"/>
      <c r="AJ768" s="315"/>
      <c r="AK768" s="315"/>
      <c r="AL768" s="315"/>
      <c r="AM768" s="315"/>
      <c r="AN768" s="315"/>
      <c r="AO768" s="315"/>
      <c r="AP768" s="315"/>
      <c r="AQ768" s="315"/>
      <c r="AR768" s="315"/>
      <c r="AS768" s="315"/>
      <c r="AT768" s="315"/>
      <c r="AU768" s="315"/>
      <c r="AV768" s="315"/>
      <c r="AW768" s="316"/>
      <c r="AX768" s="588"/>
      <c r="AY768" s="591"/>
      <c r="AZ768" s="591"/>
      <c r="BA768" s="594"/>
    </row>
    <row r="769" spans="1:53" ht="9" customHeight="1">
      <c r="A769" s="583"/>
      <c r="B769" s="586"/>
      <c r="C769" s="317"/>
      <c r="D769" s="318"/>
      <c r="E769" s="318"/>
      <c r="F769" s="318"/>
      <c r="G769" s="318"/>
      <c r="H769" s="318"/>
      <c r="I769" s="318"/>
      <c r="J769" s="318"/>
      <c r="K769" s="318"/>
      <c r="L769" s="318"/>
      <c r="M769" s="318"/>
      <c r="N769" s="318"/>
      <c r="O769" s="318"/>
      <c r="P769" s="318"/>
      <c r="Q769" s="318"/>
      <c r="R769" s="318"/>
      <c r="S769" s="318"/>
      <c r="T769" s="318"/>
      <c r="U769" s="318"/>
      <c r="V769" s="319"/>
      <c r="W769" s="589"/>
      <c r="X769" s="592"/>
      <c r="Y769" s="592"/>
      <c r="Z769" s="594"/>
      <c r="AA769" s="301"/>
      <c r="AB769" s="583"/>
      <c r="AC769" s="586"/>
      <c r="AD769" s="317"/>
      <c r="AE769" s="318"/>
      <c r="AF769" s="318"/>
      <c r="AG769" s="318"/>
      <c r="AH769" s="318"/>
      <c r="AI769" s="318"/>
      <c r="AJ769" s="318"/>
      <c r="AK769" s="318"/>
      <c r="AL769" s="318"/>
      <c r="AM769" s="318"/>
      <c r="AN769" s="318"/>
      <c r="AO769" s="318"/>
      <c r="AP769" s="318"/>
      <c r="AQ769" s="318"/>
      <c r="AR769" s="318"/>
      <c r="AS769" s="318"/>
      <c r="AT769" s="318"/>
      <c r="AU769" s="318"/>
      <c r="AV769" s="318"/>
      <c r="AW769" s="319"/>
      <c r="AX769" s="589"/>
      <c r="AY769" s="592"/>
      <c r="AZ769" s="592"/>
      <c r="BA769" s="594"/>
    </row>
    <row r="770" spans="1:53" ht="9" customHeight="1">
      <c r="A770" s="583">
        <v>30</v>
      </c>
      <c r="B770" s="584" t="str">
        <f t="shared" ref="B770:B785" si="561">B658</f>
        <v>મકરૂબિયા નમ્રતા વશરામભાઇ</v>
      </c>
      <c r="C770" s="311"/>
      <c r="D770" s="312"/>
      <c r="E770" s="312"/>
      <c r="F770" s="312"/>
      <c r="G770" s="312"/>
      <c r="H770" s="312"/>
      <c r="I770" s="312"/>
      <c r="J770" s="312"/>
      <c r="K770" s="312"/>
      <c r="L770" s="312"/>
      <c r="M770" s="312"/>
      <c r="N770" s="312"/>
      <c r="O770" s="312"/>
      <c r="P770" s="312"/>
      <c r="Q770" s="312"/>
      <c r="R770" s="312"/>
      <c r="S770" s="312"/>
      <c r="T770" s="312"/>
      <c r="U770" s="312"/>
      <c r="V770" s="313"/>
      <c r="W770" s="587">
        <f>'A-CALC'!V731</f>
        <v>0</v>
      </c>
      <c r="X770" s="590">
        <f>'A-CALC'!W731</f>
        <v>0</v>
      </c>
      <c r="Y770" s="590">
        <f>'A-CALC'!X731</f>
        <v>0</v>
      </c>
      <c r="Z770" s="593">
        <f t="shared" ref="Z770" si="562">ROUND((40/$Y$7)*W770,0)</f>
        <v>0</v>
      </c>
      <c r="AA770" s="301"/>
      <c r="AB770" s="583">
        <v>30</v>
      </c>
      <c r="AC770" s="584" t="str">
        <f t="shared" ref="AC770:AC785" si="563">AC658</f>
        <v>મકરૂબિયા નમ્રતા વશરામભાઇ</v>
      </c>
      <c r="AD770" s="311"/>
      <c r="AE770" s="312"/>
      <c r="AF770" s="312"/>
      <c r="AG770" s="312"/>
      <c r="AH770" s="312"/>
      <c r="AI770" s="312"/>
      <c r="AJ770" s="312"/>
      <c r="AK770" s="312"/>
      <c r="AL770" s="312"/>
      <c r="AM770" s="312"/>
      <c r="AN770" s="312"/>
      <c r="AO770" s="312"/>
      <c r="AP770" s="312"/>
      <c r="AQ770" s="312"/>
      <c r="AR770" s="312"/>
      <c r="AS770" s="312"/>
      <c r="AT770" s="312"/>
      <c r="AU770" s="312"/>
      <c r="AV770" s="312"/>
      <c r="AW770" s="313"/>
      <c r="AX770" s="587">
        <f>'A-CALC'!AU731</f>
        <v>0</v>
      </c>
      <c r="AY770" s="590">
        <f>'A-CALC'!AV731</f>
        <v>0</v>
      </c>
      <c r="AZ770" s="590">
        <f>'A-CALC'!AW731</f>
        <v>0</v>
      </c>
      <c r="BA770" s="593">
        <f t="shared" ref="BA770" si="564">ROUND((40/$Y$7)*AX770,0)</f>
        <v>0</v>
      </c>
    </row>
    <row r="771" spans="1:53" ht="9" customHeight="1">
      <c r="A771" s="583"/>
      <c r="B771" s="585"/>
      <c r="C771" s="314"/>
      <c r="D771" s="315"/>
      <c r="E771" s="315"/>
      <c r="F771" s="315"/>
      <c r="G771" s="315"/>
      <c r="H771" s="315"/>
      <c r="I771" s="315"/>
      <c r="J771" s="315"/>
      <c r="K771" s="315"/>
      <c r="L771" s="315"/>
      <c r="M771" s="315"/>
      <c r="N771" s="315"/>
      <c r="O771" s="315"/>
      <c r="P771" s="315"/>
      <c r="Q771" s="315"/>
      <c r="R771" s="315"/>
      <c r="S771" s="315"/>
      <c r="T771" s="315"/>
      <c r="U771" s="315"/>
      <c r="V771" s="316"/>
      <c r="W771" s="588"/>
      <c r="X771" s="591"/>
      <c r="Y771" s="591"/>
      <c r="Z771" s="594"/>
      <c r="AA771" s="301"/>
      <c r="AB771" s="583"/>
      <c r="AC771" s="585"/>
      <c r="AD771" s="314"/>
      <c r="AE771" s="315"/>
      <c r="AF771" s="315"/>
      <c r="AG771" s="315"/>
      <c r="AH771" s="315"/>
      <c r="AI771" s="315"/>
      <c r="AJ771" s="315"/>
      <c r="AK771" s="315"/>
      <c r="AL771" s="315"/>
      <c r="AM771" s="315"/>
      <c r="AN771" s="315"/>
      <c r="AO771" s="315"/>
      <c r="AP771" s="315"/>
      <c r="AQ771" s="315"/>
      <c r="AR771" s="315"/>
      <c r="AS771" s="315"/>
      <c r="AT771" s="315"/>
      <c r="AU771" s="315"/>
      <c r="AV771" s="315"/>
      <c r="AW771" s="316"/>
      <c r="AX771" s="588"/>
      <c r="AY771" s="591"/>
      <c r="AZ771" s="591"/>
      <c r="BA771" s="594"/>
    </row>
    <row r="772" spans="1:53" ht="9" customHeight="1">
      <c r="A772" s="583"/>
      <c r="B772" s="586"/>
      <c r="C772" s="317"/>
      <c r="D772" s="318"/>
      <c r="E772" s="318"/>
      <c r="F772" s="318"/>
      <c r="G772" s="318"/>
      <c r="H772" s="318"/>
      <c r="I772" s="318"/>
      <c r="J772" s="318"/>
      <c r="K772" s="318"/>
      <c r="L772" s="318"/>
      <c r="M772" s="318"/>
      <c r="N772" s="318"/>
      <c r="O772" s="318"/>
      <c r="P772" s="318"/>
      <c r="Q772" s="318"/>
      <c r="R772" s="318"/>
      <c r="S772" s="318"/>
      <c r="T772" s="318"/>
      <c r="U772" s="318"/>
      <c r="V772" s="319"/>
      <c r="W772" s="589"/>
      <c r="X772" s="592"/>
      <c r="Y772" s="592"/>
      <c r="Z772" s="594"/>
      <c r="AA772" s="301"/>
      <c r="AB772" s="583"/>
      <c r="AC772" s="586"/>
      <c r="AD772" s="317"/>
      <c r="AE772" s="318"/>
      <c r="AF772" s="318"/>
      <c r="AG772" s="318"/>
      <c r="AH772" s="318"/>
      <c r="AI772" s="318"/>
      <c r="AJ772" s="318"/>
      <c r="AK772" s="318"/>
      <c r="AL772" s="318"/>
      <c r="AM772" s="318"/>
      <c r="AN772" s="318"/>
      <c r="AO772" s="318"/>
      <c r="AP772" s="318"/>
      <c r="AQ772" s="318"/>
      <c r="AR772" s="318"/>
      <c r="AS772" s="318"/>
      <c r="AT772" s="318"/>
      <c r="AU772" s="318"/>
      <c r="AV772" s="318"/>
      <c r="AW772" s="319"/>
      <c r="AX772" s="589"/>
      <c r="AY772" s="592"/>
      <c r="AZ772" s="592"/>
      <c r="BA772" s="594"/>
    </row>
    <row r="773" spans="1:53" ht="9" customHeight="1">
      <c r="A773" s="583">
        <v>31</v>
      </c>
      <c r="B773" s="584">
        <f t="shared" si="561"/>
        <v>0</v>
      </c>
      <c r="C773" s="311"/>
      <c r="D773" s="312"/>
      <c r="E773" s="312"/>
      <c r="F773" s="312"/>
      <c r="G773" s="312"/>
      <c r="H773" s="312"/>
      <c r="I773" s="312"/>
      <c r="J773" s="312"/>
      <c r="K773" s="312"/>
      <c r="L773" s="312"/>
      <c r="M773" s="312"/>
      <c r="N773" s="312"/>
      <c r="O773" s="312"/>
      <c r="P773" s="312"/>
      <c r="Q773" s="312"/>
      <c r="R773" s="312"/>
      <c r="S773" s="312"/>
      <c r="T773" s="312"/>
      <c r="U773" s="312"/>
      <c r="V773" s="313"/>
      <c r="W773" s="587">
        <f>'A-CALC'!V734</f>
        <v>0</v>
      </c>
      <c r="X773" s="590">
        <f>'A-CALC'!W734</f>
        <v>0</v>
      </c>
      <c r="Y773" s="590">
        <f>'A-CALC'!X734</f>
        <v>0</v>
      </c>
      <c r="Z773" s="593">
        <f t="shared" ref="Z773" si="565">ROUND((40/$Y$7)*W773,0)</f>
        <v>0</v>
      </c>
      <c r="AA773" s="301"/>
      <c r="AB773" s="583">
        <v>31</v>
      </c>
      <c r="AC773" s="584">
        <f t="shared" si="563"/>
        <v>0</v>
      </c>
      <c r="AD773" s="311"/>
      <c r="AE773" s="312"/>
      <c r="AF773" s="312"/>
      <c r="AG773" s="312"/>
      <c r="AH773" s="312"/>
      <c r="AI773" s="312"/>
      <c r="AJ773" s="312"/>
      <c r="AK773" s="312"/>
      <c r="AL773" s="312"/>
      <c r="AM773" s="312"/>
      <c r="AN773" s="312"/>
      <c r="AO773" s="312"/>
      <c r="AP773" s="312"/>
      <c r="AQ773" s="312"/>
      <c r="AR773" s="312"/>
      <c r="AS773" s="312"/>
      <c r="AT773" s="312"/>
      <c r="AU773" s="312"/>
      <c r="AV773" s="312"/>
      <c r="AW773" s="313"/>
      <c r="AX773" s="587">
        <f>'A-CALC'!AU734</f>
        <v>0</v>
      </c>
      <c r="AY773" s="590">
        <f>'A-CALC'!AV734</f>
        <v>0</v>
      </c>
      <c r="AZ773" s="590">
        <f>'A-CALC'!AW734</f>
        <v>0</v>
      </c>
      <c r="BA773" s="593">
        <f t="shared" ref="BA773" si="566">ROUND((40/$Y$7)*AX773,0)</f>
        <v>0</v>
      </c>
    </row>
    <row r="774" spans="1:53" ht="9" customHeight="1">
      <c r="A774" s="583"/>
      <c r="B774" s="585"/>
      <c r="C774" s="314"/>
      <c r="D774" s="315"/>
      <c r="E774" s="315"/>
      <c r="F774" s="315"/>
      <c r="G774" s="315"/>
      <c r="H774" s="315"/>
      <c r="I774" s="315"/>
      <c r="J774" s="315"/>
      <c r="K774" s="315"/>
      <c r="L774" s="315"/>
      <c r="M774" s="315"/>
      <c r="N774" s="315"/>
      <c r="O774" s="315"/>
      <c r="P774" s="315"/>
      <c r="Q774" s="315"/>
      <c r="R774" s="315"/>
      <c r="S774" s="315"/>
      <c r="T774" s="315"/>
      <c r="U774" s="315"/>
      <c r="V774" s="316"/>
      <c r="W774" s="588"/>
      <c r="X774" s="591"/>
      <c r="Y774" s="591"/>
      <c r="Z774" s="594"/>
      <c r="AA774" s="301"/>
      <c r="AB774" s="583"/>
      <c r="AC774" s="585"/>
      <c r="AD774" s="314"/>
      <c r="AE774" s="315"/>
      <c r="AF774" s="315"/>
      <c r="AG774" s="315"/>
      <c r="AH774" s="315"/>
      <c r="AI774" s="315"/>
      <c r="AJ774" s="315"/>
      <c r="AK774" s="315"/>
      <c r="AL774" s="315"/>
      <c r="AM774" s="315"/>
      <c r="AN774" s="315"/>
      <c r="AO774" s="315"/>
      <c r="AP774" s="315"/>
      <c r="AQ774" s="315"/>
      <c r="AR774" s="315"/>
      <c r="AS774" s="315"/>
      <c r="AT774" s="315"/>
      <c r="AU774" s="315"/>
      <c r="AV774" s="315"/>
      <c r="AW774" s="316"/>
      <c r="AX774" s="588"/>
      <c r="AY774" s="591"/>
      <c r="AZ774" s="591"/>
      <c r="BA774" s="594"/>
    </row>
    <row r="775" spans="1:53" ht="9" customHeight="1">
      <c r="A775" s="583"/>
      <c r="B775" s="586"/>
      <c r="C775" s="317"/>
      <c r="D775" s="318"/>
      <c r="E775" s="318"/>
      <c r="F775" s="318"/>
      <c r="G775" s="318"/>
      <c r="H775" s="318"/>
      <c r="I775" s="318"/>
      <c r="J775" s="318"/>
      <c r="K775" s="318"/>
      <c r="L775" s="318"/>
      <c r="M775" s="318"/>
      <c r="N775" s="318"/>
      <c r="O775" s="318"/>
      <c r="P775" s="318"/>
      <c r="Q775" s="318"/>
      <c r="R775" s="318"/>
      <c r="S775" s="318"/>
      <c r="T775" s="318"/>
      <c r="U775" s="318"/>
      <c r="V775" s="319"/>
      <c r="W775" s="589"/>
      <c r="X775" s="592"/>
      <c r="Y775" s="592"/>
      <c r="Z775" s="594"/>
      <c r="AA775" s="301"/>
      <c r="AB775" s="583"/>
      <c r="AC775" s="586"/>
      <c r="AD775" s="317"/>
      <c r="AE775" s="318"/>
      <c r="AF775" s="318"/>
      <c r="AG775" s="318"/>
      <c r="AH775" s="318"/>
      <c r="AI775" s="318"/>
      <c r="AJ775" s="318"/>
      <c r="AK775" s="318"/>
      <c r="AL775" s="318"/>
      <c r="AM775" s="318"/>
      <c r="AN775" s="318"/>
      <c r="AO775" s="318"/>
      <c r="AP775" s="318"/>
      <c r="AQ775" s="318"/>
      <c r="AR775" s="318"/>
      <c r="AS775" s="318"/>
      <c r="AT775" s="318"/>
      <c r="AU775" s="318"/>
      <c r="AV775" s="318"/>
      <c r="AW775" s="319"/>
      <c r="AX775" s="589"/>
      <c r="AY775" s="592"/>
      <c r="AZ775" s="592"/>
      <c r="BA775" s="594"/>
    </row>
    <row r="776" spans="1:53" ht="9" customHeight="1">
      <c r="A776" s="583">
        <v>32</v>
      </c>
      <c r="B776" s="584">
        <f t="shared" si="561"/>
        <v>0</v>
      </c>
      <c r="C776" s="311"/>
      <c r="D776" s="312"/>
      <c r="E776" s="312"/>
      <c r="F776" s="312"/>
      <c r="G776" s="312"/>
      <c r="H776" s="312"/>
      <c r="I776" s="312"/>
      <c r="J776" s="312"/>
      <c r="K776" s="312"/>
      <c r="L776" s="312"/>
      <c r="M776" s="312"/>
      <c r="N776" s="312"/>
      <c r="O776" s="312"/>
      <c r="P776" s="312"/>
      <c r="Q776" s="312"/>
      <c r="R776" s="312"/>
      <c r="S776" s="312"/>
      <c r="T776" s="312"/>
      <c r="U776" s="312"/>
      <c r="V776" s="313"/>
      <c r="W776" s="587">
        <f>'A-CALC'!V737</f>
        <v>0</v>
      </c>
      <c r="X776" s="590">
        <f>'A-CALC'!W737</f>
        <v>0</v>
      </c>
      <c r="Y776" s="590">
        <f>'A-CALC'!X737</f>
        <v>0</v>
      </c>
      <c r="Z776" s="593">
        <f t="shared" ref="Z776" si="567">ROUND((40/$Y$7)*W776,0)</f>
        <v>0</v>
      </c>
      <c r="AA776" s="301"/>
      <c r="AB776" s="583">
        <v>32</v>
      </c>
      <c r="AC776" s="584">
        <f t="shared" si="563"/>
        <v>0</v>
      </c>
      <c r="AD776" s="311"/>
      <c r="AE776" s="312"/>
      <c r="AF776" s="312"/>
      <c r="AG776" s="312"/>
      <c r="AH776" s="312"/>
      <c r="AI776" s="312"/>
      <c r="AJ776" s="312"/>
      <c r="AK776" s="312"/>
      <c r="AL776" s="312"/>
      <c r="AM776" s="312"/>
      <c r="AN776" s="312"/>
      <c r="AO776" s="312"/>
      <c r="AP776" s="312"/>
      <c r="AQ776" s="312"/>
      <c r="AR776" s="312"/>
      <c r="AS776" s="312"/>
      <c r="AT776" s="312"/>
      <c r="AU776" s="312"/>
      <c r="AV776" s="312"/>
      <c r="AW776" s="313"/>
      <c r="AX776" s="587">
        <f>'A-CALC'!AU737</f>
        <v>0</v>
      </c>
      <c r="AY776" s="590">
        <f>'A-CALC'!AV737</f>
        <v>0</v>
      </c>
      <c r="AZ776" s="590">
        <f>'A-CALC'!AW737</f>
        <v>0</v>
      </c>
      <c r="BA776" s="593">
        <f t="shared" ref="BA776" si="568">ROUND((40/$Y$7)*AX776,0)</f>
        <v>0</v>
      </c>
    </row>
    <row r="777" spans="1:53" ht="9" customHeight="1">
      <c r="A777" s="583"/>
      <c r="B777" s="585"/>
      <c r="C777" s="314"/>
      <c r="D777" s="315"/>
      <c r="E777" s="315"/>
      <c r="F777" s="315"/>
      <c r="G777" s="315"/>
      <c r="H777" s="315"/>
      <c r="I777" s="315"/>
      <c r="J777" s="315"/>
      <c r="K777" s="315"/>
      <c r="L777" s="315"/>
      <c r="M777" s="315"/>
      <c r="N777" s="315"/>
      <c r="O777" s="315"/>
      <c r="P777" s="315"/>
      <c r="Q777" s="315"/>
      <c r="R777" s="315"/>
      <c r="S777" s="315"/>
      <c r="T777" s="315"/>
      <c r="U777" s="315"/>
      <c r="V777" s="316"/>
      <c r="W777" s="588"/>
      <c r="X777" s="591"/>
      <c r="Y777" s="591"/>
      <c r="Z777" s="594"/>
      <c r="AA777" s="301"/>
      <c r="AB777" s="583"/>
      <c r="AC777" s="585"/>
      <c r="AD777" s="314"/>
      <c r="AE777" s="315"/>
      <c r="AF777" s="315"/>
      <c r="AG777" s="315"/>
      <c r="AH777" s="315"/>
      <c r="AI777" s="315"/>
      <c r="AJ777" s="315"/>
      <c r="AK777" s="315"/>
      <c r="AL777" s="315"/>
      <c r="AM777" s="315"/>
      <c r="AN777" s="315"/>
      <c r="AO777" s="315"/>
      <c r="AP777" s="315"/>
      <c r="AQ777" s="315"/>
      <c r="AR777" s="315"/>
      <c r="AS777" s="315"/>
      <c r="AT777" s="315"/>
      <c r="AU777" s="315"/>
      <c r="AV777" s="315"/>
      <c r="AW777" s="316"/>
      <c r="AX777" s="588"/>
      <c r="AY777" s="591"/>
      <c r="AZ777" s="591"/>
      <c r="BA777" s="594"/>
    </row>
    <row r="778" spans="1:53" ht="9" customHeight="1">
      <c r="A778" s="583"/>
      <c r="B778" s="586"/>
      <c r="C778" s="317"/>
      <c r="D778" s="318"/>
      <c r="E778" s="318"/>
      <c r="F778" s="318"/>
      <c r="G778" s="318"/>
      <c r="H778" s="318"/>
      <c r="I778" s="318"/>
      <c r="J778" s="318"/>
      <c r="K778" s="318"/>
      <c r="L778" s="318"/>
      <c r="M778" s="318"/>
      <c r="N778" s="318"/>
      <c r="O778" s="318"/>
      <c r="P778" s="318"/>
      <c r="Q778" s="318"/>
      <c r="R778" s="318"/>
      <c r="S778" s="318"/>
      <c r="T778" s="318"/>
      <c r="U778" s="318"/>
      <c r="V778" s="319"/>
      <c r="W778" s="589"/>
      <c r="X778" s="592"/>
      <c r="Y778" s="592"/>
      <c r="Z778" s="594"/>
      <c r="AA778" s="301"/>
      <c r="AB778" s="583"/>
      <c r="AC778" s="586"/>
      <c r="AD778" s="317"/>
      <c r="AE778" s="318"/>
      <c r="AF778" s="318"/>
      <c r="AG778" s="318"/>
      <c r="AH778" s="318"/>
      <c r="AI778" s="318"/>
      <c r="AJ778" s="318"/>
      <c r="AK778" s="318"/>
      <c r="AL778" s="318"/>
      <c r="AM778" s="318"/>
      <c r="AN778" s="318"/>
      <c r="AO778" s="318"/>
      <c r="AP778" s="318"/>
      <c r="AQ778" s="318"/>
      <c r="AR778" s="318"/>
      <c r="AS778" s="318"/>
      <c r="AT778" s="318"/>
      <c r="AU778" s="318"/>
      <c r="AV778" s="318"/>
      <c r="AW778" s="319"/>
      <c r="AX778" s="589"/>
      <c r="AY778" s="592"/>
      <c r="AZ778" s="592"/>
      <c r="BA778" s="594"/>
    </row>
    <row r="779" spans="1:53" ht="9" customHeight="1">
      <c r="A779" s="583">
        <v>33</v>
      </c>
      <c r="B779" s="584">
        <f t="shared" si="561"/>
        <v>0</v>
      </c>
      <c r="C779" s="311"/>
      <c r="D779" s="312"/>
      <c r="E779" s="312"/>
      <c r="F779" s="312"/>
      <c r="G779" s="312"/>
      <c r="H779" s="312"/>
      <c r="I779" s="312"/>
      <c r="J779" s="312"/>
      <c r="K779" s="312"/>
      <c r="L779" s="312"/>
      <c r="M779" s="312"/>
      <c r="N779" s="312"/>
      <c r="O779" s="312"/>
      <c r="P779" s="312"/>
      <c r="Q779" s="312"/>
      <c r="R779" s="312"/>
      <c r="S779" s="312"/>
      <c r="T779" s="312"/>
      <c r="U779" s="312"/>
      <c r="V779" s="313"/>
      <c r="W779" s="587">
        <f>'A-CALC'!V740</f>
        <v>0</v>
      </c>
      <c r="X779" s="590">
        <f>'A-CALC'!W740</f>
        <v>0</v>
      </c>
      <c r="Y779" s="590">
        <f>'A-CALC'!X740</f>
        <v>0</v>
      </c>
      <c r="Z779" s="593">
        <f t="shared" ref="Z779" si="569">ROUND((40/$Y$7)*W779,0)</f>
        <v>0</v>
      </c>
      <c r="AA779" s="301"/>
      <c r="AB779" s="583">
        <v>33</v>
      </c>
      <c r="AC779" s="584">
        <f t="shared" si="563"/>
        <v>0</v>
      </c>
      <c r="AD779" s="311"/>
      <c r="AE779" s="312"/>
      <c r="AF779" s="312"/>
      <c r="AG779" s="312"/>
      <c r="AH779" s="312"/>
      <c r="AI779" s="312"/>
      <c r="AJ779" s="312"/>
      <c r="AK779" s="312"/>
      <c r="AL779" s="312"/>
      <c r="AM779" s="312"/>
      <c r="AN779" s="312"/>
      <c r="AO779" s="312"/>
      <c r="AP779" s="312"/>
      <c r="AQ779" s="312"/>
      <c r="AR779" s="312"/>
      <c r="AS779" s="312"/>
      <c r="AT779" s="312"/>
      <c r="AU779" s="312"/>
      <c r="AV779" s="312"/>
      <c r="AW779" s="313"/>
      <c r="AX779" s="587">
        <f>'A-CALC'!AU740</f>
        <v>0</v>
      </c>
      <c r="AY779" s="590">
        <f>'A-CALC'!AV740</f>
        <v>0</v>
      </c>
      <c r="AZ779" s="590">
        <f>'A-CALC'!AW740</f>
        <v>0</v>
      </c>
      <c r="BA779" s="593">
        <f t="shared" ref="BA779" si="570">ROUND((40/$Y$7)*AX779,0)</f>
        <v>0</v>
      </c>
    </row>
    <row r="780" spans="1:53" ht="9" customHeight="1">
      <c r="A780" s="583"/>
      <c r="B780" s="585"/>
      <c r="C780" s="314"/>
      <c r="D780" s="315"/>
      <c r="E780" s="315"/>
      <c r="F780" s="315"/>
      <c r="G780" s="315"/>
      <c r="H780" s="315"/>
      <c r="I780" s="315"/>
      <c r="J780" s="315"/>
      <c r="K780" s="315"/>
      <c r="L780" s="315"/>
      <c r="M780" s="315"/>
      <c r="N780" s="315"/>
      <c r="O780" s="315"/>
      <c r="P780" s="315"/>
      <c r="Q780" s="315"/>
      <c r="R780" s="315"/>
      <c r="S780" s="315"/>
      <c r="T780" s="315"/>
      <c r="U780" s="315"/>
      <c r="V780" s="316"/>
      <c r="W780" s="588"/>
      <c r="X780" s="591"/>
      <c r="Y780" s="591"/>
      <c r="Z780" s="594"/>
      <c r="AA780" s="301"/>
      <c r="AB780" s="583"/>
      <c r="AC780" s="585"/>
      <c r="AD780" s="314"/>
      <c r="AE780" s="315"/>
      <c r="AF780" s="315"/>
      <c r="AG780" s="315"/>
      <c r="AH780" s="315"/>
      <c r="AI780" s="315"/>
      <c r="AJ780" s="315"/>
      <c r="AK780" s="315"/>
      <c r="AL780" s="315"/>
      <c r="AM780" s="315"/>
      <c r="AN780" s="315"/>
      <c r="AO780" s="315"/>
      <c r="AP780" s="315"/>
      <c r="AQ780" s="315"/>
      <c r="AR780" s="315"/>
      <c r="AS780" s="315"/>
      <c r="AT780" s="315"/>
      <c r="AU780" s="315"/>
      <c r="AV780" s="315"/>
      <c r="AW780" s="316"/>
      <c r="AX780" s="588"/>
      <c r="AY780" s="591"/>
      <c r="AZ780" s="591"/>
      <c r="BA780" s="594"/>
    </row>
    <row r="781" spans="1:53" ht="9" customHeight="1">
      <c r="A781" s="583"/>
      <c r="B781" s="586"/>
      <c r="C781" s="317"/>
      <c r="D781" s="318"/>
      <c r="E781" s="318"/>
      <c r="F781" s="318"/>
      <c r="G781" s="318"/>
      <c r="H781" s="318"/>
      <c r="I781" s="318"/>
      <c r="J781" s="318"/>
      <c r="K781" s="318"/>
      <c r="L781" s="318"/>
      <c r="M781" s="318"/>
      <c r="N781" s="318"/>
      <c r="O781" s="318"/>
      <c r="P781" s="318"/>
      <c r="Q781" s="318"/>
      <c r="R781" s="318"/>
      <c r="S781" s="318"/>
      <c r="T781" s="318"/>
      <c r="U781" s="318"/>
      <c r="V781" s="319"/>
      <c r="W781" s="589"/>
      <c r="X781" s="592"/>
      <c r="Y781" s="592"/>
      <c r="Z781" s="594"/>
      <c r="AA781" s="301"/>
      <c r="AB781" s="583"/>
      <c r="AC781" s="586"/>
      <c r="AD781" s="317"/>
      <c r="AE781" s="318"/>
      <c r="AF781" s="318"/>
      <c r="AG781" s="318"/>
      <c r="AH781" s="318"/>
      <c r="AI781" s="318"/>
      <c r="AJ781" s="318"/>
      <c r="AK781" s="318"/>
      <c r="AL781" s="318"/>
      <c r="AM781" s="318"/>
      <c r="AN781" s="318"/>
      <c r="AO781" s="318"/>
      <c r="AP781" s="318"/>
      <c r="AQ781" s="318"/>
      <c r="AR781" s="318"/>
      <c r="AS781" s="318"/>
      <c r="AT781" s="318"/>
      <c r="AU781" s="318"/>
      <c r="AV781" s="318"/>
      <c r="AW781" s="319"/>
      <c r="AX781" s="589"/>
      <c r="AY781" s="592"/>
      <c r="AZ781" s="592"/>
      <c r="BA781" s="594"/>
    </row>
    <row r="782" spans="1:53" ht="9" customHeight="1">
      <c r="A782" s="583">
        <v>34</v>
      </c>
      <c r="B782" s="584">
        <f t="shared" si="561"/>
        <v>0</v>
      </c>
      <c r="C782" s="311"/>
      <c r="D782" s="312"/>
      <c r="E782" s="312"/>
      <c r="F782" s="312"/>
      <c r="G782" s="312"/>
      <c r="H782" s="312"/>
      <c r="I782" s="312"/>
      <c r="J782" s="312"/>
      <c r="K782" s="312"/>
      <c r="L782" s="312"/>
      <c r="M782" s="312"/>
      <c r="N782" s="312"/>
      <c r="O782" s="312"/>
      <c r="P782" s="312"/>
      <c r="Q782" s="312"/>
      <c r="R782" s="312"/>
      <c r="S782" s="312"/>
      <c r="T782" s="312"/>
      <c r="U782" s="312"/>
      <c r="V782" s="313"/>
      <c r="W782" s="587">
        <f>'A-CALC'!V743</f>
        <v>0</v>
      </c>
      <c r="X782" s="590">
        <f>'A-CALC'!W743</f>
        <v>0</v>
      </c>
      <c r="Y782" s="590">
        <f>'A-CALC'!X743</f>
        <v>0</v>
      </c>
      <c r="Z782" s="593">
        <f t="shared" ref="Z782" si="571">ROUND((40/$Y$7)*W782,0)</f>
        <v>0</v>
      </c>
      <c r="AA782" s="301"/>
      <c r="AB782" s="583">
        <v>34</v>
      </c>
      <c r="AC782" s="584">
        <f t="shared" si="563"/>
        <v>0</v>
      </c>
      <c r="AD782" s="311"/>
      <c r="AE782" s="312"/>
      <c r="AF782" s="312"/>
      <c r="AG782" s="312"/>
      <c r="AH782" s="312"/>
      <c r="AI782" s="312"/>
      <c r="AJ782" s="312"/>
      <c r="AK782" s="312"/>
      <c r="AL782" s="312"/>
      <c r="AM782" s="312"/>
      <c r="AN782" s="312"/>
      <c r="AO782" s="312"/>
      <c r="AP782" s="312"/>
      <c r="AQ782" s="312"/>
      <c r="AR782" s="312"/>
      <c r="AS782" s="312"/>
      <c r="AT782" s="312"/>
      <c r="AU782" s="312"/>
      <c r="AV782" s="312"/>
      <c r="AW782" s="313"/>
      <c r="AX782" s="587">
        <f>'A-CALC'!AU743</f>
        <v>0</v>
      </c>
      <c r="AY782" s="590">
        <f>'A-CALC'!AV743</f>
        <v>0</v>
      </c>
      <c r="AZ782" s="590">
        <f>'A-CALC'!AW743</f>
        <v>0</v>
      </c>
      <c r="BA782" s="593">
        <f t="shared" ref="BA782" si="572">ROUND((40/$Y$7)*AX782,0)</f>
        <v>0</v>
      </c>
    </row>
    <row r="783" spans="1:53" ht="9" customHeight="1">
      <c r="A783" s="583"/>
      <c r="B783" s="585"/>
      <c r="C783" s="314"/>
      <c r="D783" s="315"/>
      <c r="E783" s="315"/>
      <c r="F783" s="315"/>
      <c r="G783" s="315"/>
      <c r="H783" s="315"/>
      <c r="I783" s="315"/>
      <c r="J783" s="315"/>
      <c r="K783" s="315"/>
      <c r="L783" s="315"/>
      <c r="M783" s="315"/>
      <c r="N783" s="315"/>
      <c r="O783" s="315"/>
      <c r="P783" s="315"/>
      <c r="Q783" s="315"/>
      <c r="R783" s="315"/>
      <c r="S783" s="315"/>
      <c r="T783" s="315"/>
      <c r="U783" s="315"/>
      <c r="V783" s="316"/>
      <c r="W783" s="588"/>
      <c r="X783" s="591"/>
      <c r="Y783" s="591"/>
      <c r="Z783" s="594"/>
      <c r="AA783" s="301"/>
      <c r="AB783" s="583"/>
      <c r="AC783" s="585"/>
      <c r="AD783" s="314"/>
      <c r="AE783" s="315"/>
      <c r="AF783" s="315"/>
      <c r="AG783" s="315"/>
      <c r="AH783" s="315"/>
      <c r="AI783" s="315"/>
      <c r="AJ783" s="315"/>
      <c r="AK783" s="315"/>
      <c r="AL783" s="315"/>
      <c r="AM783" s="315"/>
      <c r="AN783" s="315"/>
      <c r="AO783" s="315"/>
      <c r="AP783" s="315"/>
      <c r="AQ783" s="315"/>
      <c r="AR783" s="315"/>
      <c r="AS783" s="315"/>
      <c r="AT783" s="315"/>
      <c r="AU783" s="315"/>
      <c r="AV783" s="315"/>
      <c r="AW783" s="316"/>
      <c r="AX783" s="588"/>
      <c r="AY783" s="591"/>
      <c r="AZ783" s="591"/>
      <c r="BA783" s="594"/>
    </row>
    <row r="784" spans="1:53" ht="9" customHeight="1">
      <c r="A784" s="583"/>
      <c r="B784" s="586"/>
      <c r="C784" s="317"/>
      <c r="D784" s="318"/>
      <c r="E784" s="318"/>
      <c r="F784" s="318"/>
      <c r="G784" s="318"/>
      <c r="H784" s="318"/>
      <c r="I784" s="318"/>
      <c r="J784" s="318"/>
      <c r="K784" s="318"/>
      <c r="L784" s="318"/>
      <c r="M784" s="318"/>
      <c r="N784" s="318"/>
      <c r="O784" s="318"/>
      <c r="P784" s="318"/>
      <c r="Q784" s="318"/>
      <c r="R784" s="318"/>
      <c r="S784" s="318"/>
      <c r="T784" s="318"/>
      <c r="U784" s="318"/>
      <c r="V784" s="319"/>
      <c r="W784" s="589"/>
      <c r="X784" s="592"/>
      <c r="Y784" s="592"/>
      <c r="Z784" s="594"/>
      <c r="AA784" s="301"/>
      <c r="AB784" s="583"/>
      <c r="AC784" s="586"/>
      <c r="AD784" s="317"/>
      <c r="AE784" s="318"/>
      <c r="AF784" s="318"/>
      <c r="AG784" s="318"/>
      <c r="AH784" s="318"/>
      <c r="AI784" s="318"/>
      <c r="AJ784" s="318"/>
      <c r="AK784" s="318"/>
      <c r="AL784" s="318"/>
      <c r="AM784" s="318"/>
      <c r="AN784" s="318"/>
      <c r="AO784" s="318"/>
      <c r="AP784" s="318"/>
      <c r="AQ784" s="318"/>
      <c r="AR784" s="318"/>
      <c r="AS784" s="318"/>
      <c r="AT784" s="318"/>
      <c r="AU784" s="318"/>
      <c r="AV784" s="318"/>
      <c r="AW784" s="319"/>
      <c r="AX784" s="589"/>
      <c r="AY784" s="592"/>
      <c r="AZ784" s="592"/>
      <c r="BA784" s="594"/>
    </row>
    <row r="785" spans="1:53" ht="9" customHeight="1">
      <c r="A785" s="583">
        <v>35</v>
      </c>
      <c r="B785" s="584">
        <f t="shared" si="561"/>
        <v>0</v>
      </c>
      <c r="C785" s="311"/>
      <c r="D785" s="312"/>
      <c r="E785" s="312"/>
      <c r="F785" s="312"/>
      <c r="G785" s="312"/>
      <c r="H785" s="312"/>
      <c r="I785" s="312"/>
      <c r="J785" s="312"/>
      <c r="K785" s="312"/>
      <c r="L785" s="312"/>
      <c r="M785" s="312"/>
      <c r="N785" s="312"/>
      <c r="O785" s="312"/>
      <c r="P785" s="312"/>
      <c r="Q785" s="312"/>
      <c r="R785" s="312"/>
      <c r="S785" s="312"/>
      <c r="T785" s="312"/>
      <c r="U785" s="312"/>
      <c r="V785" s="313"/>
      <c r="W785" s="587">
        <f>'A-CALC'!V746</f>
        <v>0</v>
      </c>
      <c r="X785" s="590">
        <f>'A-CALC'!W746</f>
        <v>0</v>
      </c>
      <c r="Y785" s="590">
        <f>'A-CALC'!X746</f>
        <v>0</v>
      </c>
      <c r="Z785" s="593">
        <f t="shared" ref="Z785" si="573">ROUND((40/$Y$7)*W785,0)</f>
        <v>0</v>
      </c>
      <c r="AA785" s="301"/>
      <c r="AB785" s="583">
        <v>35</v>
      </c>
      <c r="AC785" s="584">
        <f t="shared" si="563"/>
        <v>0</v>
      </c>
      <c r="AD785" s="311"/>
      <c r="AE785" s="312"/>
      <c r="AF785" s="312"/>
      <c r="AG785" s="312"/>
      <c r="AH785" s="312"/>
      <c r="AI785" s="312"/>
      <c r="AJ785" s="312"/>
      <c r="AK785" s="312"/>
      <c r="AL785" s="312"/>
      <c r="AM785" s="312"/>
      <c r="AN785" s="312"/>
      <c r="AO785" s="312"/>
      <c r="AP785" s="312"/>
      <c r="AQ785" s="312"/>
      <c r="AR785" s="312"/>
      <c r="AS785" s="312"/>
      <c r="AT785" s="312"/>
      <c r="AU785" s="312"/>
      <c r="AV785" s="312"/>
      <c r="AW785" s="313"/>
      <c r="AX785" s="587">
        <f>'A-CALC'!AU746</f>
        <v>0</v>
      </c>
      <c r="AY785" s="590">
        <f>'A-CALC'!AV746</f>
        <v>0</v>
      </c>
      <c r="AZ785" s="590">
        <f>'A-CALC'!AW746</f>
        <v>0</v>
      </c>
      <c r="BA785" s="593">
        <f t="shared" ref="BA785" si="574">ROUND((40/$Y$7)*AX785,0)</f>
        <v>0</v>
      </c>
    </row>
    <row r="786" spans="1:53" ht="9" customHeight="1">
      <c r="A786" s="583"/>
      <c r="B786" s="585"/>
      <c r="C786" s="314"/>
      <c r="D786" s="315"/>
      <c r="E786" s="315"/>
      <c r="F786" s="315"/>
      <c r="G786" s="315"/>
      <c r="H786" s="315"/>
      <c r="I786" s="315"/>
      <c r="J786" s="315"/>
      <c r="K786" s="315"/>
      <c r="L786" s="315"/>
      <c r="M786" s="315"/>
      <c r="N786" s="315"/>
      <c r="O786" s="315"/>
      <c r="P786" s="315"/>
      <c r="Q786" s="315"/>
      <c r="R786" s="315"/>
      <c r="S786" s="315"/>
      <c r="T786" s="315"/>
      <c r="U786" s="315"/>
      <c r="V786" s="316"/>
      <c r="W786" s="588"/>
      <c r="X786" s="591"/>
      <c r="Y786" s="591"/>
      <c r="Z786" s="594"/>
      <c r="AA786" s="301"/>
      <c r="AB786" s="583"/>
      <c r="AC786" s="585"/>
      <c r="AD786" s="314"/>
      <c r="AE786" s="315"/>
      <c r="AF786" s="315"/>
      <c r="AG786" s="315"/>
      <c r="AH786" s="315"/>
      <c r="AI786" s="315"/>
      <c r="AJ786" s="315"/>
      <c r="AK786" s="315"/>
      <c r="AL786" s="315"/>
      <c r="AM786" s="315"/>
      <c r="AN786" s="315"/>
      <c r="AO786" s="315"/>
      <c r="AP786" s="315"/>
      <c r="AQ786" s="315"/>
      <c r="AR786" s="315"/>
      <c r="AS786" s="315"/>
      <c r="AT786" s="315"/>
      <c r="AU786" s="315"/>
      <c r="AV786" s="315"/>
      <c r="AW786" s="316"/>
      <c r="AX786" s="588"/>
      <c r="AY786" s="591"/>
      <c r="AZ786" s="591"/>
      <c r="BA786" s="594"/>
    </row>
    <row r="787" spans="1:53" ht="9" customHeight="1">
      <c r="A787" s="583"/>
      <c r="B787" s="586"/>
      <c r="C787" s="317"/>
      <c r="D787" s="318"/>
      <c r="E787" s="318"/>
      <c r="F787" s="318"/>
      <c r="G787" s="318"/>
      <c r="H787" s="318"/>
      <c r="I787" s="318"/>
      <c r="J787" s="318"/>
      <c r="K787" s="318"/>
      <c r="L787" s="318"/>
      <c r="M787" s="318"/>
      <c r="N787" s="318"/>
      <c r="O787" s="318"/>
      <c r="P787" s="318"/>
      <c r="Q787" s="318"/>
      <c r="R787" s="318"/>
      <c r="S787" s="318"/>
      <c r="T787" s="318"/>
      <c r="U787" s="318"/>
      <c r="V787" s="319"/>
      <c r="W787" s="589"/>
      <c r="X787" s="592"/>
      <c r="Y787" s="592"/>
      <c r="Z787" s="608"/>
      <c r="AA787" s="301"/>
      <c r="AB787" s="583"/>
      <c r="AC787" s="586"/>
      <c r="AD787" s="317"/>
      <c r="AE787" s="318"/>
      <c r="AF787" s="318"/>
      <c r="AG787" s="318"/>
      <c r="AH787" s="318"/>
      <c r="AI787" s="318"/>
      <c r="AJ787" s="318"/>
      <c r="AK787" s="318"/>
      <c r="AL787" s="318"/>
      <c r="AM787" s="318"/>
      <c r="AN787" s="318"/>
      <c r="AO787" s="318"/>
      <c r="AP787" s="318"/>
      <c r="AQ787" s="318"/>
      <c r="AR787" s="318"/>
      <c r="AS787" s="318"/>
      <c r="AT787" s="318"/>
      <c r="AU787" s="318"/>
      <c r="AV787" s="318"/>
      <c r="AW787" s="319"/>
      <c r="AX787" s="589"/>
      <c r="AY787" s="592"/>
      <c r="AZ787" s="592"/>
      <c r="BA787" s="608"/>
    </row>
  </sheetData>
  <sheetProtection password="DC6E" sheet="1" objects="1" scenarios="1"/>
  <mergeCells count="3105">
    <mergeCell ref="AB785:AB787"/>
    <mergeCell ref="AC785:AC787"/>
    <mergeCell ref="AX785:AX787"/>
    <mergeCell ref="AY785:AY787"/>
    <mergeCell ref="AZ785:AZ787"/>
    <mergeCell ref="BA785:BA787"/>
    <mergeCell ref="A785:A787"/>
    <mergeCell ref="B785:B787"/>
    <mergeCell ref="W785:W787"/>
    <mergeCell ref="X785:X787"/>
    <mergeCell ref="Y785:Y787"/>
    <mergeCell ref="Z785:Z787"/>
    <mergeCell ref="AB782:AB784"/>
    <mergeCell ref="AC782:AC784"/>
    <mergeCell ref="AX782:AX784"/>
    <mergeCell ref="AY782:AY784"/>
    <mergeCell ref="AZ782:AZ784"/>
    <mergeCell ref="BA782:BA784"/>
    <mergeCell ref="A782:A784"/>
    <mergeCell ref="B782:B784"/>
    <mergeCell ref="W782:W784"/>
    <mergeCell ref="X782:X784"/>
    <mergeCell ref="Y782:Y784"/>
    <mergeCell ref="Z782:Z784"/>
    <mergeCell ref="AB779:AB781"/>
    <mergeCell ref="AC779:AC781"/>
    <mergeCell ref="AX779:AX781"/>
    <mergeCell ref="AY779:AY781"/>
    <mergeCell ref="AZ779:AZ781"/>
    <mergeCell ref="BA779:BA781"/>
    <mergeCell ref="A779:A781"/>
    <mergeCell ref="B779:B781"/>
    <mergeCell ref="W779:W781"/>
    <mergeCell ref="X779:X781"/>
    <mergeCell ref="Y779:Y781"/>
    <mergeCell ref="Z779:Z781"/>
    <mergeCell ref="AB776:AB778"/>
    <mergeCell ref="AC776:AC778"/>
    <mergeCell ref="AX776:AX778"/>
    <mergeCell ref="AY776:AY778"/>
    <mergeCell ref="AZ776:AZ778"/>
    <mergeCell ref="BA776:BA778"/>
    <mergeCell ref="A776:A778"/>
    <mergeCell ref="B776:B778"/>
    <mergeCell ref="W776:W778"/>
    <mergeCell ref="X776:X778"/>
    <mergeCell ref="Y776:Y778"/>
    <mergeCell ref="Z776:Z778"/>
    <mergeCell ref="AB773:AB775"/>
    <mergeCell ref="AC773:AC775"/>
    <mergeCell ref="AX773:AX775"/>
    <mergeCell ref="AY773:AY775"/>
    <mergeCell ref="AZ773:AZ775"/>
    <mergeCell ref="BA773:BA775"/>
    <mergeCell ref="A773:A775"/>
    <mergeCell ref="B773:B775"/>
    <mergeCell ref="W773:W775"/>
    <mergeCell ref="X773:X775"/>
    <mergeCell ref="Y773:Y775"/>
    <mergeCell ref="Z773:Z775"/>
    <mergeCell ref="AB770:AB772"/>
    <mergeCell ref="AC770:AC772"/>
    <mergeCell ref="AX770:AX772"/>
    <mergeCell ref="AY770:AY772"/>
    <mergeCell ref="AZ770:AZ772"/>
    <mergeCell ref="BA770:BA772"/>
    <mergeCell ref="A770:A772"/>
    <mergeCell ref="B770:B772"/>
    <mergeCell ref="W770:W772"/>
    <mergeCell ref="X770:X772"/>
    <mergeCell ref="Y770:Y772"/>
    <mergeCell ref="Z770:Z772"/>
    <mergeCell ref="AB767:AB769"/>
    <mergeCell ref="AC767:AC769"/>
    <mergeCell ref="AX767:AX769"/>
    <mergeCell ref="AY767:AY769"/>
    <mergeCell ref="AZ767:AZ769"/>
    <mergeCell ref="BA767:BA769"/>
    <mergeCell ref="A767:A769"/>
    <mergeCell ref="B767:B769"/>
    <mergeCell ref="W767:W769"/>
    <mergeCell ref="X767:X769"/>
    <mergeCell ref="Y767:Y769"/>
    <mergeCell ref="Z767:Z769"/>
    <mergeCell ref="AB764:AB766"/>
    <mergeCell ref="AC764:AC766"/>
    <mergeCell ref="AX764:AX766"/>
    <mergeCell ref="AY764:AY766"/>
    <mergeCell ref="AZ764:AZ766"/>
    <mergeCell ref="BA764:BA766"/>
    <mergeCell ref="A764:A766"/>
    <mergeCell ref="B764:B766"/>
    <mergeCell ref="W764:W766"/>
    <mergeCell ref="X764:X766"/>
    <mergeCell ref="Y764:Y766"/>
    <mergeCell ref="Z764:Z766"/>
    <mergeCell ref="AB761:AB763"/>
    <mergeCell ref="AC761:AC763"/>
    <mergeCell ref="AX761:AX763"/>
    <mergeCell ref="AY761:AY763"/>
    <mergeCell ref="AZ761:AZ763"/>
    <mergeCell ref="BA761:BA763"/>
    <mergeCell ref="A761:A763"/>
    <mergeCell ref="B761:B763"/>
    <mergeCell ref="W761:W763"/>
    <mergeCell ref="X761:X763"/>
    <mergeCell ref="Y761:Y763"/>
    <mergeCell ref="Z761:Z763"/>
    <mergeCell ref="AB758:AB760"/>
    <mergeCell ref="AC758:AC760"/>
    <mergeCell ref="AX758:AX760"/>
    <mergeCell ref="AY758:AY760"/>
    <mergeCell ref="AZ758:AZ760"/>
    <mergeCell ref="BA758:BA760"/>
    <mergeCell ref="A758:A760"/>
    <mergeCell ref="B758:B760"/>
    <mergeCell ref="W758:W760"/>
    <mergeCell ref="X758:X760"/>
    <mergeCell ref="Y758:Y760"/>
    <mergeCell ref="Z758:Z760"/>
    <mergeCell ref="AB755:AB757"/>
    <mergeCell ref="AC755:AC757"/>
    <mergeCell ref="AX755:AX757"/>
    <mergeCell ref="AY755:AY757"/>
    <mergeCell ref="AZ755:AZ757"/>
    <mergeCell ref="BA755:BA757"/>
    <mergeCell ref="A755:A757"/>
    <mergeCell ref="B755:B757"/>
    <mergeCell ref="W755:W757"/>
    <mergeCell ref="X755:X757"/>
    <mergeCell ref="Y755:Y757"/>
    <mergeCell ref="Z755:Z757"/>
    <mergeCell ref="AB752:AB754"/>
    <mergeCell ref="AC752:AC754"/>
    <mergeCell ref="AX752:AX754"/>
    <mergeCell ref="AY752:AY754"/>
    <mergeCell ref="AZ752:AZ754"/>
    <mergeCell ref="BA752:BA754"/>
    <mergeCell ref="A752:A754"/>
    <mergeCell ref="B752:B754"/>
    <mergeCell ref="W752:W754"/>
    <mergeCell ref="X752:X754"/>
    <mergeCell ref="Y752:Y754"/>
    <mergeCell ref="Z752:Z754"/>
    <mergeCell ref="AB749:AB751"/>
    <mergeCell ref="AC749:AC751"/>
    <mergeCell ref="AX749:AX751"/>
    <mergeCell ref="AY749:AY751"/>
    <mergeCell ref="AZ749:AZ751"/>
    <mergeCell ref="BA749:BA751"/>
    <mergeCell ref="A749:A751"/>
    <mergeCell ref="B749:B751"/>
    <mergeCell ref="W749:W751"/>
    <mergeCell ref="X749:X751"/>
    <mergeCell ref="Y749:Y751"/>
    <mergeCell ref="Z749:Z751"/>
    <mergeCell ref="AB746:AB748"/>
    <mergeCell ref="AC746:AC748"/>
    <mergeCell ref="AX746:AX748"/>
    <mergeCell ref="AY746:AY748"/>
    <mergeCell ref="AZ746:AZ748"/>
    <mergeCell ref="BA746:BA748"/>
    <mergeCell ref="A746:A748"/>
    <mergeCell ref="B746:B748"/>
    <mergeCell ref="W746:W748"/>
    <mergeCell ref="X746:X748"/>
    <mergeCell ref="Y746:Y748"/>
    <mergeCell ref="Z746:Z748"/>
    <mergeCell ref="AB743:AB745"/>
    <mergeCell ref="AC743:AC745"/>
    <mergeCell ref="AX743:AX745"/>
    <mergeCell ref="AY743:AY745"/>
    <mergeCell ref="AZ743:AZ745"/>
    <mergeCell ref="BA743:BA745"/>
    <mergeCell ref="A743:A745"/>
    <mergeCell ref="B743:B745"/>
    <mergeCell ref="W743:W745"/>
    <mergeCell ref="X743:X745"/>
    <mergeCell ref="Y743:Y745"/>
    <mergeCell ref="Z743:Z745"/>
    <mergeCell ref="AB740:AB742"/>
    <mergeCell ref="AC740:AC742"/>
    <mergeCell ref="AX740:AX742"/>
    <mergeCell ref="AY740:AY742"/>
    <mergeCell ref="AZ740:AZ742"/>
    <mergeCell ref="BA740:BA742"/>
    <mergeCell ref="A740:A742"/>
    <mergeCell ref="B740:B742"/>
    <mergeCell ref="W740:W742"/>
    <mergeCell ref="X740:X742"/>
    <mergeCell ref="Y740:Y742"/>
    <mergeCell ref="Z740:Z742"/>
    <mergeCell ref="AB737:AB739"/>
    <mergeCell ref="AC737:AC739"/>
    <mergeCell ref="AX737:AX739"/>
    <mergeCell ref="AY737:AY739"/>
    <mergeCell ref="AZ737:AZ739"/>
    <mergeCell ref="BA737:BA739"/>
    <mergeCell ref="A737:A739"/>
    <mergeCell ref="B737:B739"/>
    <mergeCell ref="W737:W739"/>
    <mergeCell ref="X737:X739"/>
    <mergeCell ref="Y737:Y739"/>
    <mergeCell ref="Z737:Z739"/>
    <mergeCell ref="AB734:AB736"/>
    <mergeCell ref="AC734:AC736"/>
    <mergeCell ref="AX734:AX736"/>
    <mergeCell ref="AY734:AY736"/>
    <mergeCell ref="AZ734:AZ736"/>
    <mergeCell ref="BA734:BA736"/>
    <mergeCell ref="A734:A736"/>
    <mergeCell ref="B734:B736"/>
    <mergeCell ref="W734:W736"/>
    <mergeCell ref="X734:X736"/>
    <mergeCell ref="Y734:Y736"/>
    <mergeCell ref="Z734:Z736"/>
    <mergeCell ref="AB731:AB733"/>
    <mergeCell ref="AC731:AC733"/>
    <mergeCell ref="AX731:AX733"/>
    <mergeCell ref="AY731:AY733"/>
    <mergeCell ref="AZ731:AZ733"/>
    <mergeCell ref="BA731:BA733"/>
    <mergeCell ref="A731:A733"/>
    <mergeCell ref="B731:B733"/>
    <mergeCell ref="W731:W733"/>
    <mergeCell ref="X731:X733"/>
    <mergeCell ref="Y731:Y733"/>
    <mergeCell ref="Z731:Z733"/>
    <mergeCell ref="AB728:AB730"/>
    <mergeCell ref="AC728:AC730"/>
    <mergeCell ref="AX728:AX730"/>
    <mergeCell ref="AY728:AY730"/>
    <mergeCell ref="AZ728:AZ730"/>
    <mergeCell ref="BA728:BA730"/>
    <mergeCell ref="A728:A730"/>
    <mergeCell ref="B728:B730"/>
    <mergeCell ref="W728:W730"/>
    <mergeCell ref="X728:X730"/>
    <mergeCell ref="Y728:Y730"/>
    <mergeCell ref="Z728:Z730"/>
    <mergeCell ref="AB725:AB727"/>
    <mergeCell ref="AC725:AC727"/>
    <mergeCell ref="AX725:AX727"/>
    <mergeCell ref="AY725:AY727"/>
    <mergeCell ref="AZ725:AZ727"/>
    <mergeCell ref="BA725:BA727"/>
    <mergeCell ref="A725:A727"/>
    <mergeCell ref="B725:B727"/>
    <mergeCell ref="W725:W727"/>
    <mergeCell ref="X725:X727"/>
    <mergeCell ref="Y725:Y727"/>
    <mergeCell ref="Z725:Z727"/>
    <mergeCell ref="AB722:AB724"/>
    <mergeCell ref="AC722:AC724"/>
    <mergeCell ref="AX722:AX724"/>
    <mergeCell ref="AY722:AY724"/>
    <mergeCell ref="AZ722:AZ724"/>
    <mergeCell ref="BA722:BA724"/>
    <mergeCell ref="A722:A724"/>
    <mergeCell ref="B722:B724"/>
    <mergeCell ref="W722:W724"/>
    <mergeCell ref="X722:X724"/>
    <mergeCell ref="Y722:Y724"/>
    <mergeCell ref="Z722:Z724"/>
    <mergeCell ref="AB719:AB721"/>
    <mergeCell ref="AC719:AC721"/>
    <mergeCell ref="AX719:AX721"/>
    <mergeCell ref="AY719:AY721"/>
    <mergeCell ref="AZ719:AZ721"/>
    <mergeCell ref="BA719:BA721"/>
    <mergeCell ref="A719:A721"/>
    <mergeCell ref="B719:B721"/>
    <mergeCell ref="W719:W721"/>
    <mergeCell ref="X719:X721"/>
    <mergeCell ref="Y719:Y721"/>
    <mergeCell ref="Z719:Z721"/>
    <mergeCell ref="AB716:AB718"/>
    <mergeCell ref="AC716:AC718"/>
    <mergeCell ref="AX716:AX718"/>
    <mergeCell ref="AY716:AY718"/>
    <mergeCell ref="AZ716:AZ718"/>
    <mergeCell ref="BA716:BA718"/>
    <mergeCell ref="A716:A718"/>
    <mergeCell ref="B716:B718"/>
    <mergeCell ref="W716:W718"/>
    <mergeCell ref="X716:X718"/>
    <mergeCell ref="Y716:Y718"/>
    <mergeCell ref="Z716:Z718"/>
    <mergeCell ref="AB713:AB715"/>
    <mergeCell ref="AC713:AC715"/>
    <mergeCell ref="AX713:AX715"/>
    <mergeCell ref="AY713:AY715"/>
    <mergeCell ref="AZ713:AZ715"/>
    <mergeCell ref="BA713:BA715"/>
    <mergeCell ref="A713:A715"/>
    <mergeCell ref="B713:B715"/>
    <mergeCell ref="W713:W715"/>
    <mergeCell ref="X713:X715"/>
    <mergeCell ref="Y713:Y715"/>
    <mergeCell ref="Z713:Z715"/>
    <mergeCell ref="AB710:AB712"/>
    <mergeCell ref="AC710:AC712"/>
    <mergeCell ref="AX710:AX712"/>
    <mergeCell ref="AY710:AY712"/>
    <mergeCell ref="AZ710:AZ712"/>
    <mergeCell ref="BA710:BA712"/>
    <mergeCell ref="A710:A712"/>
    <mergeCell ref="B710:B712"/>
    <mergeCell ref="W710:W712"/>
    <mergeCell ref="X710:X712"/>
    <mergeCell ref="Y710:Y712"/>
    <mergeCell ref="Z710:Z712"/>
    <mergeCell ref="AB707:AB709"/>
    <mergeCell ref="AC707:AC709"/>
    <mergeCell ref="AX707:AX709"/>
    <mergeCell ref="AY707:AY709"/>
    <mergeCell ref="AZ707:AZ709"/>
    <mergeCell ref="BA707:BA709"/>
    <mergeCell ref="A707:A709"/>
    <mergeCell ref="B707:B709"/>
    <mergeCell ref="W707:W709"/>
    <mergeCell ref="X707:X709"/>
    <mergeCell ref="Y707:Y709"/>
    <mergeCell ref="Z707:Z709"/>
    <mergeCell ref="AB704:AB706"/>
    <mergeCell ref="AC704:AC706"/>
    <mergeCell ref="AX704:AX706"/>
    <mergeCell ref="AY704:AY706"/>
    <mergeCell ref="AZ704:AZ706"/>
    <mergeCell ref="BA704:BA706"/>
    <mergeCell ref="A704:A706"/>
    <mergeCell ref="B704:B706"/>
    <mergeCell ref="W704:W706"/>
    <mergeCell ref="X704:X706"/>
    <mergeCell ref="Y704:Y706"/>
    <mergeCell ref="Z704:Z706"/>
    <mergeCell ref="AB701:AB703"/>
    <mergeCell ref="AC701:AC703"/>
    <mergeCell ref="AX701:AX703"/>
    <mergeCell ref="AY701:AY703"/>
    <mergeCell ref="AZ701:AZ703"/>
    <mergeCell ref="BA701:BA703"/>
    <mergeCell ref="A701:A703"/>
    <mergeCell ref="B701:B703"/>
    <mergeCell ref="W701:W703"/>
    <mergeCell ref="X701:X703"/>
    <mergeCell ref="Y701:Y703"/>
    <mergeCell ref="Z701:Z703"/>
    <mergeCell ref="AB698:AB700"/>
    <mergeCell ref="AC698:AC700"/>
    <mergeCell ref="AX698:AX700"/>
    <mergeCell ref="AY698:AY700"/>
    <mergeCell ref="AZ698:AZ700"/>
    <mergeCell ref="BA698:BA700"/>
    <mergeCell ref="A698:A700"/>
    <mergeCell ref="B698:B700"/>
    <mergeCell ref="W698:W700"/>
    <mergeCell ref="X698:X700"/>
    <mergeCell ref="Y698:Y700"/>
    <mergeCell ref="Z698:Z700"/>
    <mergeCell ref="AB695:AB697"/>
    <mergeCell ref="AC695:AC697"/>
    <mergeCell ref="AX695:AX697"/>
    <mergeCell ref="AY695:AY697"/>
    <mergeCell ref="AZ695:AZ697"/>
    <mergeCell ref="BA695:BA697"/>
    <mergeCell ref="A695:A697"/>
    <mergeCell ref="B695:B697"/>
    <mergeCell ref="W695:W697"/>
    <mergeCell ref="X695:X697"/>
    <mergeCell ref="Y695:Y697"/>
    <mergeCell ref="Z695:Z697"/>
    <mergeCell ref="AB692:AB694"/>
    <mergeCell ref="AC692:AC694"/>
    <mergeCell ref="AX692:AX694"/>
    <mergeCell ref="AY692:AY694"/>
    <mergeCell ref="AZ692:AZ694"/>
    <mergeCell ref="BA692:BA694"/>
    <mergeCell ref="A692:A694"/>
    <mergeCell ref="B692:B694"/>
    <mergeCell ref="W692:W694"/>
    <mergeCell ref="X692:X694"/>
    <mergeCell ref="Y692:Y694"/>
    <mergeCell ref="Z692:Z694"/>
    <mergeCell ref="AB689:AB691"/>
    <mergeCell ref="AC689:AC691"/>
    <mergeCell ref="AX689:AX691"/>
    <mergeCell ref="AY689:AY691"/>
    <mergeCell ref="AZ689:AZ691"/>
    <mergeCell ref="BA689:BA691"/>
    <mergeCell ref="A689:A691"/>
    <mergeCell ref="B689:B691"/>
    <mergeCell ref="W689:W691"/>
    <mergeCell ref="X689:X691"/>
    <mergeCell ref="Y689:Y691"/>
    <mergeCell ref="Z689:Z691"/>
    <mergeCell ref="AB686:AB688"/>
    <mergeCell ref="AC686:AC688"/>
    <mergeCell ref="AX686:AX688"/>
    <mergeCell ref="AY686:AY688"/>
    <mergeCell ref="AZ686:AZ688"/>
    <mergeCell ref="BA686:BA688"/>
    <mergeCell ref="AX683:AX685"/>
    <mergeCell ref="AY683:AY685"/>
    <mergeCell ref="AZ683:AZ685"/>
    <mergeCell ref="BA683:BA685"/>
    <mergeCell ref="A686:A688"/>
    <mergeCell ref="B686:B688"/>
    <mergeCell ref="W686:W688"/>
    <mergeCell ref="X686:X688"/>
    <mergeCell ref="Y686:Y688"/>
    <mergeCell ref="Z686:Z688"/>
    <mergeCell ref="AX680:AZ681"/>
    <mergeCell ref="BA680:BA682"/>
    <mergeCell ref="A683:A685"/>
    <mergeCell ref="B683:B685"/>
    <mergeCell ref="W683:W685"/>
    <mergeCell ref="X683:X685"/>
    <mergeCell ref="Y683:Y685"/>
    <mergeCell ref="Z683:Z685"/>
    <mergeCell ref="AB683:AB685"/>
    <mergeCell ref="AC683:AC685"/>
    <mergeCell ref="AS679:AY679"/>
    <mergeCell ref="AZ679:BA679"/>
    <mergeCell ref="A680:A682"/>
    <mergeCell ref="B680:B682"/>
    <mergeCell ref="C680:V680"/>
    <mergeCell ref="W680:Y681"/>
    <mergeCell ref="Z680:Z682"/>
    <mergeCell ref="AB680:AB682"/>
    <mergeCell ref="AC680:AC682"/>
    <mergeCell ref="AD680:AW680"/>
    <mergeCell ref="B677:Z677"/>
    <mergeCell ref="AC677:BA677"/>
    <mergeCell ref="B678:Z678"/>
    <mergeCell ref="AC678:BA678"/>
    <mergeCell ref="C679:J679"/>
    <mergeCell ref="K679:Q679"/>
    <mergeCell ref="R679:X679"/>
    <mergeCell ref="Y679:Z679"/>
    <mergeCell ref="AD679:AK679"/>
    <mergeCell ref="AL679:AR679"/>
    <mergeCell ref="AB673:AB675"/>
    <mergeCell ref="AC673:AC675"/>
    <mergeCell ref="AX673:AX675"/>
    <mergeCell ref="AY673:AY675"/>
    <mergeCell ref="AZ673:AZ675"/>
    <mergeCell ref="BA673:BA675"/>
    <mergeCell ref="A673:A675"/>
    <mergeCell ref="B673:B675"/>
    <mergeCell ref="W673:W675"/>
    <mergeCell ref="X673:X675"/>
    <mergeCell ref="Y673:Y675"/>
    <mergeCell ref="Z673:Z675"/>
    <mergeCell ref="AB670:AB672"/>
    <mergeCell ref="AC670:AC672"/>
    <mergeCell ref="AX670:AX672"/>
    <mergeCell ref="AY670:AY672"/>
    <mergeCell ref="AZ670:AZ672"/>
    <mergeCell ref="BA670:BA672"/>
    <mergeCell ref="A670:A672"/>
    <mergeCell ref="B670:B672"/>
    <mergeCell ref="W670:W672"/>
    <mergeCell ref="X670:X672"/>
    <mergeCell ref="Y670:Y672"/>
    <mergeCell ref="Z670:Z672"/>
    <mergeCell ref="AB667:AB669"/>
    <mergeCell ref="AC667:AC669"/>
    <mergeCell ref="AX667:AX669"/>
    <mergeCell ref="AY667:AY669"/>
    <mergeCell ref="AZ667:AZ669"/>
    <mergeCell ref="BA667:BA669"/>
    <mergeCell ref="A667:A669"/>
    <mergeCell ref="B667:B669"/>
    <mergeCell ref="W667:W669"/>
    <mergeCell ref="X667:X669"/>
    <mergeCell ref="Y667:Y669"/>
    <mergeCell ref="Z667:Z669"/>
    <mergeCell ref="AB664:AB666"/>
    <mergeCell ref="AC664:AC666"/>
    <mergeCell ref="AX664:AX666"/>
    <mergeCell ref="AY664:AY666"/>
    <mergeCell ref="AZ664:AZ666"/>
    <mergeCell ref="BA664:BA666"/>
    <mergeCell ref="A664:A666"/>
    <mergeCell ref="B664:B666"/>
    <mergeCell ref="W664:W666"/>
    <mergeCell ref="X664:X666"/>
    <mergeCell ref="Y664:Y666"/>
    <mergeCell ref="Z664:Z666"/>
    <mergeCell ref="AB661:AB663"/>
    <mergeCell ref="AC661:AC663"/>
    <mergeCell ref="AX661:AX663"/>
    <mergeCell ref="AY661:AY663"/>
    <mergeCell ref="AZ661:AZ663"/>
    <mergeCell ref="BA661:BA663"/>
    <mergeCell ref="A661:A663"/>
    <mergeCell ref="B661:B663"/>
    <mergeCell ref="W661:W663"/>
    <mergeCell ref="X661:X663"/>
    <mergeCell ref="Y661:Y663"/>
    <mergeCell ref="Z661:Z663"/>
    <mergeCell ref="AB658:AB660"/>
    <mergeCell ref="AC658:AC660"/>
    <mergeCell ref="AX658:AX660"/>
    <mergeCell ref="AY658:AY660"/>
    <mergeCell ref="AZ658:AZ660"/>
    <mergeCell ref="BA658:BA660"/>
    <mergeCell ref="A658:A660"/>
    <mergeCell ref="B658:B660"/>
    <mergeCell ref="W658:W660"/>
    <mergeCell ref="X658:X660"/>
    <mergeCell ref="Y658:Y660"/>
    <mergeCell ref="Z658:Z660"/>
    <mergeCell ref="AB655:AB657"/>
    <mergeCell ref="AC655:AC657"/>
    <mergeCell ref="AX655:AX657"/>
    <mergeCell ref="AY655:AY657"/>
    <mergeCell ref="AZ655:AZ657"/>
    <mergeCell ref="BA655:BA657"/>
    <mergeCell ref="A655:A657"/>
    <mergeCell ref="B655:B657"/>
    <mergeCell ref="W655:W657"/>
    <mergeCell ref="X655:X657"/>
    <mergeCell ref="Y655:Y657"/>
    <mergeCell ref="Z655:Z657"/>
    <mergeCell ref="AB652:AB654"/>
    <mergeCell ref="AC652:AC654"/>
    <mergeCell ref="AX652:AX654"/>
    <mergeCell ref="AY652:AY654"/>
    <mergeCell ref="AZ652:AZ654"/>
    <mergeCell ref="BA652:BA654"/>
    <mergeCell ref="A652:A654"/>
    <mergeCell ref="B652:B654"/>
    <mergeCell ref="W652:W654"/>
    <mergeCell ref="X652:X654"/>
    <mergeCell ref="Y652:Y654"/>
    <mergeCell ref="Z652:Z654"/>
    <mergeCell ref="AB649:AB651"/>
    <mergeCell ref="AC649:AC651"/>
    <mergeCell ref="AX649:AX651"/>
    <mergeCell ref="AY649:AY651"/>
    <mergeCell ref="AZ649:AZ651"/>
    <mergeCell ref="BA649:BA651"/>
    <mergeCell ref="A649:A651"/>
    <mergeCell ref="B649:B651"/>
    <mergeCell ref="W649:W651"/>
    <mergeCell ref="X649:X651"/>
    <mergeCell ref="Y649:Y651"/>
    <mergeCell ref="Z649:Z651"/>
    <mergeCell ref="AB646:AB648"/>
    <mergeCell ref="AC646:AC648"/>
    <mergeCell ref="AX646:AX648"/>
    <mergeCell ref="AY646:AY648"/>
    <mergeCell ref="AZ646:AZ648"/>
    <mergeCell ref="BA646:BA648"/>
    <mergeCell ref="A646:A648"/>
    <mergeCell ref="B646:B648"/>
    <mergeCell ref="W646:W648"/>
    <mergeCell ref="X646:X648"/>
    <mergeCell ref="Y646:Y648"/>
    <mergeCell ref="Z646:Z648"/>
    <mergeCell ref="AB643:AB645"/>
    <mergeCell ref="AC643:AC645"/>
    <mergeCell ref="AX643:AX645"/>
    <mergeCell ref="AY643:AY645"/>
    <mergeCell ref="AZ643:AZ645"/>
    <mergeCell ref="BA643:BA645"/>
    <mergeCell ref="A643:A645"/>
    <mergeCell ref="B643:B645"/>
    <mergeCell ref="W643:W645"/>
    <mergeCell ref="X643:X645"/>
    <mergeCell ref="Y643:Y645"/>
    <mergeCell ref="Z643:Z645"/>
    <mergeCell ref="AB640:AB642"/>
    <mergeCell ref="AC640:AC642"/>
    <mergeCell ref="AX640:AX642"/>
    <mergeCell ref="AY640:AY642"/>
    <mergeCell ref="AZ640:AZ642"/>
    <mergeCell ref="BA640:BA642"/>
    <mergeCell ref="A640:A642"/>
    <mergeCell ref="B640:B642"/>
    <mergeCell ref="W640:W642"/>
    <mergeCell ref="X640:X642"/>
    <mergeCell ref="Y640:Y642"/>
    <mergeCell ref="Z640:Z642"/>
    <mergeCell ref="AB637:AB639"/>
    <mergeCell ref="AC637:AC639"/>
    <mergeCell ref="AX637:AX639"/>
    <mergeCell ref="AY637:AY639"/>
    <mergeCell ref="AZ637:AZ639"/>
    <mergeCell ref="BA637:BA639"/>
    <mergeCell ref="A637:A639"/>
    <mergeCell ref="B637:B639"/>
    <mergeCell ref="W637:W639"/>
    <mergeCell ref="X637:X639"/>
    <mergeCell ref="Y637:Y639"/>
    <mergeCell ref="Z637:Z639"/>
    <mergeCell ref="AB634:AB636"/>
    <mergeCell ref="AC634:AC636"/>
    <mergeCell ref="AX634:AX636"/>
    <mergeCell ref="AY634:AY636"/>
    <mergeCell ref="AZ634:AZ636"/>
    <mergeCell ref="BA634:BA636"/>
    <mergeCell ref="A634:A636"/>
    <mergeCell ref="B634:B636"/>
    <mergeCell ref="W634:W636"/>
    <mergeCell ref="X634:X636"/>
    <mergeCell ref="Y634:Y636"/>
    <mergeCell ref="Z634:Z636"/>
    <mergeCell ref="AB631:AB633"/>
    <mergeCell ref="AC631:AC633"/>
    <mergeCell ref="AX631:AX633"/>
    <mergeCell ref="AY631:AY633"/>
    <mergeCell ref="AZ631:AZ633"/>
    <mergeCell ref="BA631:BA633"/>
    <mergeCell ref="A631:A633"/>
    <mergeCell ref="B631:B633"/>
    <mergeCell ref="W631:W633"/>
    <mergeCell ref="X631:X633"/>
    <mergeCell ref="Y631:Y633"/>
    <mergeCell ref="Z631:Z633"/>
    <mergeCell ref="AB628:AB630"/>
    <mergeCell ref="AC628:AC630"/>
    <mergeCell ref="AX628:AX630"/>
    <mergeCell ref="AY628:AY630"/>
    <mergeCell ref="AZ628:AZ630"/>
    <mergeCell ref="BA628:BA630"/>
    <mergeCell ref="A628:A630"/>
    <mergeCell ref="B628:B630"/>
    <mergeCell ref="W628:W630"/>
    <mergeCell ref="X628:X630"/>
    <mergeCell ref="Y628:Y630"/>
    <mergeCell ref="Z628:Z630"/>
    <mergeCell ref="AB625:AB627"/>
    <mergeCell ref="AC625:AC627"/>
    <mergeCell ref="AX625:AX627"/>
    <mergeCell ref="AY625:AY627"/>
    <mergeCell ref="AZ625:AZ627"/>
    <mergeCell ref="BA625:BA627"/>
    <mergeCell ref="A625:A627"/>
    <mergeCell ref="B625:B627"/>
    <mergeCell ref="W625:W627"/>
    <mergeCell ref="X625:X627"/>
    <mergeCell ref="Y625:Y627"/>
    <mergeCell ref="Z625:Z627"/>
    <mergeCell ref="AB622:AB624"/>
    <mergeCell ref="AC622:AC624"/>
    <mergeCell ref="AX622:AX624"/>
    <mergeCell ref="AY622:AY624"/>
    <mergeCell ref="AZ622:AZ624"/>
    <mergeCell ref="BA622:BA624"/>
    <mergeCell ref="A622:A624"/>
    <mergeCell ref="B622:B624"/>
    <mergeCell ref="W622:W624"/>
    <mergeCell ref="X622:X624"/>
    <mergeCell ref="Y622:Y624"/>
    <mergeCell ref="Z622:Z624"/>
    <mergeCell ref="AB619:AB621"/>
    <mergeCell ref="AC619:AC621"/>
    <mergeCell ref="AX619:AX621"/>
    <mergeCell ref="AY619:AY621"/>
    <mergeCell ref="AZ619:AZ621"/>
    <mergeCell ref="BA619:BA621"/>
    <mergeCell ref="A619:A621"/>
    <mergeCell ref="B619:B621"/>
    <mergeCell ref="W619:W621"/>
    <mergeCell ref="X619:X621"/>
    <mergeCell ref="Y619:Y621"/>
    <mergeCell ref="Z619:Z621"/>
    <mergeCell ref="AB616:AB618"/>
    <mergeCell ref="AC616:AC618"/>
    <mergeCell ref="AX616:AX618"/>
    <mergeCell ref="AY616:AY618"/>
    <mergeCell ref="AZ616:AZ618"/>
    <mergeCell ref="BA616:BA618"/>
    <mergeCell ref="A616:A618"/>
    <mergeCell ref="B616:B618"/>
    <mergeCell ref="W616:W618"/>
    <mergeCell ref="X616:X618"/>
    <mergeCell ref="Y616:Y618"/>
    <mergeCell ref="Z616:Z618"/>
    <mergeCell ref="AB613:AB615"/>
    <mergeCell ref="AC613:AC615"/>
    <mergeCell ref="AX613:AX615"/>
    <mergeCell ref="AY613:AY615"/>
    <mergeCell ref="AZ613:AZ615"/>
    <mergeCell ref="BA613:BA615"/>
    <mergeCell ref="A613:A615"/>
    <mergeCell ref="B613:B615"/>
    <mergeCell ref="W613:W615"/>
    <mergeCell ref="X613:X615"/>
    <mergeCell ref="Y613:Y615"/>
    <mergeCell ref="Z613:Z615"/>
    <mergeCell ref="AB610:AB612"/>
    <mergeCell ref="AC610:AC612"/>
    <mergeCell ref="AX610:AX612"/>
    <mergeCell ref="AY610:AY612"/>
    <mergeCell ref="AZ610:AZ612"/>
    <mergeCell ref="BA610:BA612"/>
    <mergeCell ref="A610:A612"/>
    <mergeCell ref="B610:B612"/>
    <mergeCell ref="W610:W612"/>
    <mergeCell ref="X610:X612"/>
    <mergeCell ref="Y610:Y612"/>
    <mergeCell ref="Z610:Z612"/>
    <mergeCell ref="AB607:AB609"/>
    <mergeCell ref="AC607:AC609"/>
    <mergeCell ref="AX607:AX609"/>
    <mergeCell ref="AY607:AY609"/>
    <mergeCell ref="AZ607:AZ609"/>
    <mergeCell ref="BA607:BA609"/>
    <mergeCell ref="A607:A609"/>
    <mergeCell ref="B607:B609"/>
    <mergeCell ref="W607:W609"/>
    <mergeCell ref="X607:X609"/>
    <mergeCell ref="Y607:Y609"/>
    <mergeCell ref="Z607:Z609"/>
    <mergeCell ref="AB604:AB606"/>
    <mergeCell ref="AC604:AC606"/>
    <mergeCell ref="AX604:AX606"/>
    <mergeCell ref="AY604:AY606"/>
    <mergeCell ref="AZ604:AZ606"/>
    <mergeCell ref="BA604:BA606"/>
    <mergeCell ref="A604:A606"/>
    <mergeCell ref="B604:B606"/>
    <mergeCell ref="W604:W606"/>
    <mergeCell ref="X604:X606"/>
    <mergeCell ref="Y604:Y606"/>
    <mergeCell ref="Z604:Z606"/>
    <mergeCell ref="AB601:AB603"/>
    <mergeCell ref="AC601:AC603"/>
    <mergeCell ref="AX601:AX603"/>
    <mergeCell ref="AY601:AY603"/>
    <mergeCell ref="AZ601:AZ603"/>
    <mergeCell ref="BA601:BA603"/>
    <mergeCell ref="A601:A603"/>
    <mergeCell ref="B601:B603"/>
    <mergeCell ref="W601:W603"/>
    <mergeCell ref="X601:X603"/>
    <mergeCell ref="Y601:Y603"/>
    <mergeCell ref="Z601:Z603"/>
    <mergeCell ref="AB598:AB600"/>
    <mergeCell ref="AC598:AC600"/>
    <mergeCell ref="AX598:AX600"/>
    <mergeCell ref="AY598:AY600"/>
    <mergeCell ref="AZ598:AZ600"/>
    <mergeCell ref="BA598:BA600"/>
    <mergeCell ref="A598:A600"/>
    <mergeCell ref="B598:B600"/>
    <mergeCell ref="W598:W600"/>
    <mergeCell ref="X598:X600"/>
    <mergeCell ref="Y598:Y600"/>
    <mergeCell ref="Z598:Z600"/>
    <mergeCell ref="AB595:AB597"/>
    <mergeCell ref="AC595:AC597"/>
    <mergeCell ref="AX595:AX597"/>
    <mergeCell ref="AY595:AY597"/>
    <mergeCell ref="AZ595:AZ597"/>
    <mergeCell ref="BA595:BA597"/>
    <mergeCell ref="A595:A597"/>
    <mergeCell ref="B595:B597"/>
    <mergeCell ref="W595:W597"/>
    <mergeCell ref="X595:X597"/>
    <mergeCell ref="Y595:Y597"/>
    <mergeCell ref="Z595:Z597"/>
    <mergeCell ref="AB592:AB594"/>
    <mergeCell ref="AC592:AC594"/>
    <mergeCell ref="AX592:AX594"/>
    <mergeCell ref="AY592:AY594"/>
    <mergeCell ref="AZ592:AZ594"/>
    <mergeCell ref="BA592:BA594"/>
    <mergeCell ref="A592:A594"/>
    <mergeCell ref="B592:B594"/>
    <mergeCell ref="W592:W594"/>
    <mergeCell ref="X592:X594"/>
    <mergeCell ref="Y592:Y594"/>
    <mergeCell ref="Z592:Z594"/>
    <mergeCell ref="AB589:AB591"/>
    <mergeCell ref="AC589:AC591"/>
    <mergeCell ref="AX589:AX591"/>
    <mergeCell ref="AY589:AY591"/>
    <mergeCell ref="AZ589:AZ591"/>
    <mergeCell ref="BA589:BA591"/>
    <mergeCell ref="A589:A591"/>
    <mergeCell ref="B589:B591"/>
    <mergeCell ref="W589:W591"/>
    <mergeCell ref="X589:X591"/>
    <mergeCell ref="Y589:Y591"/>
    <mergeCell ref="Z589:Z591"/>
    <mergeCell ref="AB586:AB588"/>
    <mergeCell ref="AC586:AC588"/>
    <mergeCell ref="AX586:AX588"/>
    <mergeCell ref="AY586:AY588"/>
    <mergeCell ref="AZ586:AZ588"/>
    <mergeCell ref="BA586:BA588"/>
    <mergeCell ref="A586:A588"/>
    <mergeCell ref="B586:B588"/>
    <mergeCell ref="W586:W588"/>
    <mergeCell ref="X586:X588"/>
    <mergeCell ref="Y586:Y588"/>
    <mergeCell ref="Z586:Z588"/>
    <mergeCell ref="AB583:AB585"/>
    <mergeCell ref="AC583:AC585"/>
    <mergeCell ref="AX583:AX585"/>
    <mergeCell ref="AY583:AY585"/>
    <mergeCell ref="AZ583:AZ585"/>
    <mergeCell ref="BA583:BA585"/>
    <mergeCell ref="A583:A585"/>
    <mergeCell ref="B583:B585"/>
    <mergeCell ref="W583:W585"/>
    <mergeCell ref="X583:X585"/>
    <mergeCell ref="Y583:Y585"/>
    <mergeCell ref="Z583:Z585"/>
    <mergeCell ref="AB580:AB582"/>
    <mergeCell ref="AC580:AC582"/>
    <mergeCell ref="AX580:AX582"/>
    <mergeCell ref="AY580:AY582"/>
    <mergeCell ref="AZ580:AZ582"/>
    <mergeCell ref="BA580:BA582"/>
    <mergeCell ref="A580:A582"/>
    <mergeCell ref="B580:B582"/>
    <mergeCell ref="W580:W582"/>
    <mergeCell ref="X580:X582"/>
    <mergeCell ref="Y580:Y582"/>
    <mergeCell ref="Z580:Z582"/>
    <mergeCell ref="AB577:AB579"/>
    <mergeCell ref="AC577:AC579"/>
    <mergeCell ref="AX577:AX579"/>
    <mergeCell ref="AY577:AY579"/>
    <mergeCell ref="AZ577:AZ579"/>
    <mergeCell ref="BA577:BA579"/>
    <mergeCell ref="A577:A579"/>
    <mergeCell ref="B577:B579"/>
    <mergeCell ref="W577:W579"/>
    <mergeCell ref="X577:X579"/>
    <mergeCell ref="Y577:Y579"/>
    <mergeCell ref="Z577:Z579"/>
    <mergeCell ref="AB574:AB576"/>
    <mergeCell ref="AC574:AC576"/>
    <mergeCell ref="AX574:AX576"/>
    <mergeCell ref="AY574:AY576"/>
    <mergeCell ref="AZ574:AZ576"/>
    <mergeCell ref="BA574:BA576"/>
    <mergeCell ref="AX571:AX573"/>
    <mergeCell ref="AY571:AY573"/>
    <mergeCell ref="AZ571:AZ573"/>
    <mergeCell ref="BA571:BA573"/>
    <mergeCell ref="A574:A576"/>
    <mergeCell ref="B574:B576"/>
    <mergeCell ref="W574:W576"/>
    <mergeCell ref="X574:X576"/>
    <mergeCell ref="Y574:Y576"/>
    <mergeCell ref="Z574:Z576"/>
    <mergeCell ref="AX568:AZ569"/>
    <mergeCell ref="BA568:BA570"/>
    <mergeCell ref="A571:A573"/>
    <mergeCell ref="B571:B573"/>
    <mergeCell ref="W571:W573"/>
    <mergeCell ref="X571:X573"/>
    <mergeCell ref="Y571:Y573"/>
    <mergeCell ref="Z571:Z573"/>
    <mergeCell ref="AB571:AB573"/>
    <mergeCell ref="AC571:AC573"/>
    <mergeCell ref="AS567:AY567"/>
    <mergeCell ref="AZ567:BA567"/>
    <mergeCell ref="A568:A570"/>
    <mergeCell ref="B568:B570"/>
    <mergeCell ref="C568:V568"/>
    <mergeCell ref="W568:Y569"/>
    <mergeCell ref="Z568:Z570"/>
    <mergeCell ref="AB568:AB570"/>
    <mergeCell ref="AC568:AC570"/>
    <mergeCell ref="AD568:AW568"/>
    <mergeCell ref="B565:Z565"/>
    <mergeCell ref="AC565:BA565"/>
    <mergeCell ref="B566:Z566"/>
    <mergeCell ref="AC566:BA566"/>
    <mergeCell ref="C567:J567"/>
    <mergeCell ref="K567:Q567"/>
    <mergeCell ref="R567:X567"/>
    <mergeCell ref="Y567:Z567"/>
    <mergeCell ref="AD567:AK567"/>
    <mergeCell ref="AL567:AR567"/>
    <mergeCell ref="AB561:AB563"/>
    <mergeCell ref="AC561:AC563"/>
    <mergeCell ref="AX561:AX563"/>
    <mergeCell ref="AY561:AY563"/>
    <mergeCell ref="AZ561:AZ563"/>
    <mergeCell ref="BA561:BA563"/>
    <mergeCell ref="A561:A563"/>
    <mergeCell ref="B561:B563"/>
    <mergeCell ref="W561:W563"/>
    <mergeCell ref="X561:X563"/>
    <mergeCell ref="Y561:Y563"/>
    <mergeCell ref="Z561:Z563"/>
    <mergeCell ref="AB558:AB560"/>
    <mergeCell ref="AC558:AC560"/>
    <mergeCell ref="AX558:AX560"/>
    <mergeCell ref="AY558:AY560"/>
    <mergeCell ref="AZ558:AZ560"/>
    <mergeCell ref="BA558:BA560"/>
    <mergeCell ref="A558:A560"/>
    <mergeCell ref="B558:B560"/>
    <mergeCell ref="W558:W560"/>
    <mergeCell ref="X558:X560"/>
    <mergeCell ref="Y558:Y560"/>
    <mergeCell ref="Z558:Z560"/>
    <mergeCell ref="AB555:AB557"/>
    <mergeCell ref="AC555:AC557"/>
    <mergeCell ref="AX555:AX557"/>
    <mergeCell ref="AY555:AY557"/>
    <mergeCell ref="AZ555:AZ557"/>
    <mergeCell ref="BA555:BA557"/>
    <mergeCell ref="A555:A557"/>
    <mergeCell ref="B555:B557"/>
    <mergeCell ref="W555:W557"/>
    <mergeCell ref="X555:X557"/>
    <mergeCell ref="Y555:Y557"/>
    <mergeCell ref="Z555:Z557"/>
    <mergeCell ref="AB552:AB554"/>
    <mergeCell ref="AC552:AC554"/>
    <mergeCell ref="AX552:AX554"/>
    <mergeCell ref="AY552:AY554"/>
    <mergeCell ref="AZ552:AZ554"/>
    <mergeCell ref="BA552:BA554"/>
    <mergeCell ref="A552:A554"/>
    <mergeCell ref="B552:B554"/>
    <mergeCell ref="W552:W554"/>
    <mergeCell ref="X552:X554"/>
    <mergeCell ref="Y552:Y554"/>
    <mergeCell ref="Z552:Z554"/>
    <mergeCell ref="AB549:AB551"/>
    <mergeCell ref="AC549:AC551"/>
    <mergeCell ref="AX549:AX551"/>
    <mergeCell ref="AY549:AY551"/>
    <mergeCell ref="AZ549:AZ551"/>
    <mergeCell ref="BA549:BA551"/>
    <mergeCell ref="A549:A551"/>
    <mergeCell ref="B549:B551"/>
    <mergeCell ref="W549:W551"/>
    <mergeCell ref="X549:X551"/>
    <mergeCell ref="Y549:Y551"/>
    <mergeCell ref="Z549:Z551"/>
    <mergeCell ref="AB546:AB548"/>
    <mergeCell ref="AC546:AC548"/>
    <mergeCell ref="AX546:AX548"/>
    <mergeCell ref="AY546:AY548"/>
    <mergeCell ref="AZ546:AZ548"/>
    <mergeCell ref="BA546:BA548"/>
    <mergeCell ref="A546:A548"/>
    <mergeCell ref="B546:B548"/>
    <mergeCell ref="W546:W548"/>
    <mergeCell ref="X546:X548"/>
    <mergeCell ref="Y546:Y548"/>
    <mergeCell ref="Z546:Z548"/>
    <mergeCell ref="AB543:AB545"/>
    <mergeCell ref="AC543:AC545"/>
    <mergeCell ref="AX543:AX545"/>
    <mergeCell ref="AY543:AY545"/>
    <mergeCell ref="AZ543:AZ545"/>
    <mergeCell ref="BA543:BA545"/>
    <mergeCell ref="A543:A545"/>
    <mergeCell ref="B543:B545"/>
    <mergeCell ref="W543:W545"/>
    <mergeCell ref="X543:X545"/>
    <mergeCell ref="Y543:Y545"/>
    <mergeCell ref="Z543:Z545"/>
    <mergeCell ref="AB540:AB542"/>
    <mergeCell ref="AC540:AC542"/>
    <mergeCell ref="AX540:AX542"/>
    <mergeCell ref="AY540:AY542"/>
    <mergeCell ref="AZ540:AZ542"/>
    <mergeCell ref="BA540:BA542"/>
    <mergeCell ref="A540:A542"/>
    <mergeCell ref="B540:B542"/>
    <mergeCell ref="W540:W542"/>
    <mergeCell ref="X540:X542"/>
    <mergeCell ref="Y540:Y542"/>
    <mergeCell ref="Z540:Z542"/>
    <mergeCell ref="AB537:AB539"/>
    <mergeCell ref="AC537:AC539"/>
    <mergeCell ref="AX537:AX539"/>
    <mergeCell ref="AY537:AY539"/>
    <mergeCell ref="AZ537:AZ539"/>
    <mergeCell ref="BA537:BA539"/>
    <mergeCell ref="A537:A539"/>
    <mergeCell ref="B537:B539"/>
    <mergeCell ref="W537:W539"/>
    <mergeCell ref="X537:X539"/>
    <mergeCell ref="Y537:Y539"/>
    <mergeCell ref="Z537:Z539"/>
    <mergeCell ref="AB534:AB536"/>
    <mergeCell ref="AC534:AC536"/>
    <mergeCell ref="AX534:AX536"/>
    <mergeCell ref="AY534:AY536"/>
    <mergeCell ref="AZ534:AZ536"/>
    <mergeCell ref="BA534:BA536"/>
    <mergeCell ref="A534:A536"/>
    <mergeCell ref="B534:B536"/>
    <mergeCell ref="W534:W536"/>
    <mergeCell ref="X534:X536"/>
    <mergeCell ref="Y534:Y536"/>
    <mergeCell ref="Z534:Z536"/>
    <mergeCell ref="AB531:AB533"/>
    <mergeCell ref="AC531:AC533"/>
    <mergeCell ref="AX531:AX533"/>
    <mergeCell ref="AY531:AY533"/>
    <mergeCell ref="AZ531:AZ533"/>
    <mergeCell ref="BA531:BA533"/>
    <mergeCell ref="A531:A533"/>
    <mergeCell ref="B531:B533"/>
    <mergeCell ref="W531:W533"/>
    <mergeCell ref="X531:X533"/>
    <mergeCell ref="Y531:Y533"/>
    <mergeCell ref="Z531:Z533"/>
    <mergeCell ref="AB528:AB530"/>
    <mergeCell ref="AC528:AC530"/>
    <mergeCell ref="AX528:AX530"/>
    <mergeCell ref="AY528:AY530"/>
    <mergeCell ref="AZ528:AZ530"/>
    <mergeCell ref="BA528:BA530"/>
    <mergeCell ref="A528:A530"/>
    <mergeCell ref="B528:B530"/>
    <mergeCell ref="W528:W530"/>
    <mergeCell ref="X528:X530"/>
    <mergeCell ref="Y528:Y530"/>
    <mergeCell ref="Z528:Z530"/>
    <mergeCell ref="AB525:AB527"/>
    <mergeCell ref="AC525:AC527"/>
    <mergeCell ref="AX525:AX527"/>
    <mergeCell ref="AY525:AY527"/>
    <mergeCell ref="AZ525:AZ527"/>
    <mergeCell ref="BA525:BA527"/>
    <mergeCell ref="A525:A527"/>
    <mergeCell ref="B525:B527"/>
    <mergeCell ref="W525:W527"/>
    <mergeCell ref="X525:X527"/>
    <mergeCell ref="Y525:Y527"/>
    <mergeCell ref="Z525:Z527"/>
    <mergeCell ref="AB522:AB524"/>
    <mergeCell ref="AC522:AC524"/>
    <mergeCell ref="AX522:AX524"/>
    <mergeCell ref="AY522:AY524"/>
    <mergeCell ref="AZ522:AZ524"/>
    <mergeCell ref="BA522:BA524"/>
    <mergeCell ref="A522:A524"/>
    <mergeCell ref="B522:B524"/>
    <mergeCell ref="W522:W524"/>
    <mergeCell ref="X522:X524"/>
    <mergeCell ref="Y522:Y524"/>
    <mergeCell ref="Z522:Z524"/>
    <mergeCell ref="AB519:AB521"/>
    <mergeCell ref="AC519:AC521"/>
    <mergeCell ref="AX519:AX521"/>
    <mergeCell ref="AY519:AY521"/>
    <mergeCell ref="AZ519:AZ521"/>
    <mergeCell ref="BA519:BA521"/>
    <mergeCell ref="A519:A521"/>
    <mergeCell ref="B519:B521"/>
    <mergeCell ref="W519:W521"/>
    <mergeCell ref="X519:X521"/>
    <mergeCell ref="Y519:Y521"/>
    <mergeCell ref="Z519:Z521"/>
    <mergeCell ref="AB516:AB518"/>
    <mergeCell ref="AC516:AC518"/>
    <mergeCell ref="AX516:AX518"/>
    <mergeCell ref="AY516:AY518"/>
    <mergeCell ref="AZ516:AZ518"/>
    <mergeCell ref="BA516:BA518"/>
    <mergeCell ref="A516:A518"/>
    <mergeCell ref="B516:B518"/>
    <mergeCell ref="W516:W518"/>
    <mergeCell ref="X516:X518"/>
    <mergeCell ref="Y516:Y518"/>
    <mergeCell ref="Z516:Z518"/>
    <mergeCell ref="AB513:AB515"/>
    <mergeCell ref="AC513:AC515"/>
    <mergeCell ref="AX513:AX515"/>
    <mergeCell ref="AY513:AY515"/>
    <mergeCell ref="AZ513:AZ515"/>
    <mergeCell ref="BA513:BA515"/>
    <mergeCell ref="A513:A515"/>
    <mergeCell ref="B513:B515"/>
    <mergeCell ref="W513:W515"/>
    <mergeCell ref="X513:X515"/>
    <mergeCell ref="Y513:Y515"/>
    <mergeCell ref="Z513:Z515"/>
    <mergeCell ref="AB510:AB512"/>
    <mergeCell ref="AC510:AC512"/>
    <mergeCell ref="AX510:AX512"/>
    <mergeCell ref="AY510:AY512"/>
    <mergeCell ref="AZ510:AZ512"/>
    <mergeCell ref="BA510:BA512"/>
    <mergeCell ref="A510:A512"/>
    <mergeCell ref="B510:B512"/>
    <mergeCell ref="W510:W512"/>
    <mergeCell ref="X510:X512"/>
    <mergeCell ref="Y510:Y512"/>
    <mergeCell ref="Z510:Z512"/>
    <mergeCell ref="AB507:AB509"/>
    <mergeCell ref="AC507:AC509"/>
    <mergeCell ref="AX507:AX509"/>
    <mergeCell ref="AY507:AY509"/>
    <mergeCell ref="AZ507:AZ509"/>
    <mergeCell ref="BA507:BA509"/>
    <mergeCell ref="A507:A509"/>
    <mergeCell ref="B507:B509"/>
    <mergeCell ref="W507:W509"/>
    <mergeCell ref="X507:X509"/>
    <mergeCell ref="Y507:Y509"/>
    <mergeCell ref="Z507:Z509"/>
    <mergeCell ref="AB504:AB506"/>
    <mergeCell ref="AC504:AC506"/>
    <mergeCell ref="AX504:AX506"/>
    <mergeCell ref="AY504:AY506"/>
    <mergeCell ref="AZ504:AZ506"/>
    <mergeCell ref="BA504:BA506"/>
    <mergeCell ref="A504:A506"/>
    <mergeCell ref="B504:B506"/>
    <mergeCell ref="W504:W506"/>
    <mergeCell ref="X504:X506"/>
    <mergeCell ref="Y504:Y506"/>
    <mergeCell ref="Z504:Z506"/>
    <mergeCell ref="AB501:AB503"/>
    <mergeCell ref="AC501:AC503"/>
    <mergeCell ref="AX501:AX503"/>
    <mergeCell ref="AY501:AY503"/>
    <mergeCell ref="AZ501:AZ503"/>
    <mergeCell ref="BA501:BA503"/>
    <mergeCell ref="A501:A503"/>
    <mergeCell ref="B501:B503"/>
    <mergeCell ref="W501:W503"/>
    <mergeCell ref="X501:X503"/>
    <mergeCell ref="Y501:Y503"/>
    <mergeCell ref="Z501:Z503"/>
    <mergeCell ref="AB498:AB500"/>
    <mergeCell ref="AC498:AC500"/>
    <mergeCell ref="AX498:AX500"/>
    <mergeCell ref="AY498:AY500"/>
    <mergeCell ref="AZ498:AZ500"/>
    <mergeCell ref="BA498:BA500"/>
    <mergeCell ref="A498:A500"/>
    <mergeCell ref="B498:B500"/>
    <mergeCell ref="W498:W500"/>
    <mergeCell ref="X498:X500"/>
    <mergeCell ref="Y498:Y500"/>
    <mergeCell ref="Z498:Z500"/>
    <mergeCell ref="AB495:AB497"/>
    <mergeCell ref="AC495:AC497"/>
    <mergeCell ref="AX495:AX497"/>
    <mergeCell ref="AY495:AY497"/>
    <mergeCell ref="AZ495:AZ497"/>
    <mergeCell ref="BA495:BA497"/>
    <mergeCell ref="A495:A497"/>
    <mergeCell ref="B495:B497"/>
    <mergeCell ref="W495:W497"/>
    <mergeCell ref="X495:X497"/>
    <mergeCell ref="Y495:Y497"/>
    <mergeCell ref="Z495:Z497"/>
    <mergeCell ref="AB492:AB494"/>
    <mergeCell ref="AC492:AC494"/>
    <mergeCell ref="AX492:AX494"/>
    <mergeCell ref="AY492:AY494"/>
    <mergeCell ref="AZ492:AZ494"/>
    <mergeCell ref="BA492:BA494"/>
    <mergeCell ref="A492:A494"/>
    <mergeCell ref="B492:B494"/>
    <mergeCell ref="W492:W494"/>
    <mergeCell ref="X492:X494"/>
    <mergeCell ref="Y492:Y494"/>
    <mergeCell ref="Z492:Z494"/>
    <mergeCell ref="AB489:AB491"/>
    <mergeCell ref="AC489:AC491"/>
    <mergeCell ref="AX489:AX491"/>
    <mergeCell ref="AY489:AY491"/>
    <mergeCell ref="AZ489:AZ491"/>
    <mergeCell ref="BA489:BA491"/>
    <mergeCell ref="A489:A491"/>
    <mergeCell ref="B489:B491"/>
    <mergeCell ref="W489:W491"/>
    <mergeCell ref="X489:X491"/>
    <mergeCell ref="Y489:Y491"/>
    <mergeCell ref="Z489:Z491"/>
    <mergeCell ref="AB486:AB488"/>
    <mergeCell ref="AC486:AC488"/>
    <mergeCell ref="AX486:AX488"/>
    <mergeCell ref="AY486:AY488"/>
    <mergeCell ref="AZ486:AZ488"/>
    <mergeCell ref="BA486:BA488"/>
    <mergeCell ref="A486:A488"/>
    <mergeCell ref="B486:B488"/>
    <mergeCell ref="W486:W488"/>
    <mergeCell ref="X486:X488"/>
    <mergeCell ref="Y486:Y488"/>
    <mergeCell ref="Z486:Z488"/>
    <mergeCell ref="AB483:AB485"/>
    <mergeCell ref="AC483:AC485"/>
    <mergeCell ref="AX483:AX485"/>
    <mergeCell ref="AY483:AY485"/>
    <mergeCell ref="AZ483:AZ485"/>
    <mergeCell ref="BA483:BA485"/>
    <mergeCell ref="A483:A485"/>
    <mergeCell ref="B483:B485"/>
    <mergeCell ref="W483:W485"/>
    <mergeCell ref="X483:X485"/>
    <mergeCell ref="Y483:Y485"/>
    <mergeCell ref="Z483:Z485"/>
    <mergeCell ref="AB480:AB482"/>
    <mergeCell ref="AC480:AC482"/>
    <mergeCell ref="AX480:AX482"/>
    <mergeCell ref="AY480:AY482"/>
    <mergeCell ref="AZ480:AZ482"/>
    <mergeCell ref="BA480:BA482"/>
    <mergeCell ref="A480:A482"/>
    <mergeCell ref="B480:B482"/>
    <mergeCell ref="W480:W482"/>
    <mergeCell ref="X480:X482"/>
    <mergeCell ref="Y480:Y482"/>
    <mergeCell ref="Z480:Z482"/>
    <mergeCell ref="AB477:AB479"/>
    <mergeCell ref="AC477:AC479"/>
    <mergeCell ref="AX477:AX479"/>
    <mergeCell ref="AY477:AY479"/>
    <mergeCell ref="AZ477:AZ479"/>
    <mergeCell ref="BA477:BA479"/>
    <mergeCell ref="A477:A479"/>
    <mergeCell ref="B477:B479"/>
    <mergeCell ref="W477:W479"/>
    <mergeCell ref="X477:X479"/>
    <mergeCell ref="Y477:Y479"/>
    <mergeCell ref="Z477:Z479"/>
    <mergeCell ref="AB474:AB476"/>
    <mergeCell ref="AC474:AC476"/>
    <mergeCell ref="AX474:AX476"/>
    <mergeCell ref="AY474:AY476"/>
    <mergeCell ref="AZ474:AZ476"/>
    <mergeCell ref="BA474:BA476"/>
    <mergeCell ref="A474:A476"/>
    <mergeCell ref="B474:B476"/>
    <mergeCell ref="W474:W476"/>
    <mergeCell ref="X474:X476"/>
    <mergeCell ref="Y474:Y476"/>
    <mergeCell ref="Z474:Z476"/>
    <mergeCell ref="AB471:AB473"/>
    <mergeCell ref="AC471:AC473"/>
    <mergeCell ref="AX471:AX473"/>
    <mergeCell ref="AY471:AY473"/>
    <mergeCell ref="AZ471:AZ473"/>
    <mergeCell ref="BA471:BA473"/>
    <mergeCell ref="A471:A473"/>
    <mergeCell ref="B471:B473"/>
    <mergeCell ref="W471:W473"/>
    <mergeCell ref="X471:X473"/>
    <mergeCell ref="Y471:Y473"/>
    <mergeCell ref="Z471:Z473"/>
    <mergeCell ref="AB468:AB470"/>
    <mergeCell ref="AC468:AC470"/>
    <mergeCell ref="AX468:AX470"/>
    <mergeCell ref="AY468:AY470"/>
    <mergeCell ref="AZ468:AZ470"/>
    <mergeCell ref="BA468:BA470"/>
    <mergeCell ref="A468:A470"/>
    <mergeCell ref="B468:B470"/>
    <mergeCell ref="W468:W470"/>
    <mergeCell ref="X468:X470"/>
    <mergeCell ref="Y468:Y470"/>
    <mergeCell ref="Z468:Z470"/>
    <mergeCell ref="AB465:AB467"/>
    <mergeCell ref="AC465:AC467"/>
    <mergeCell ref="AX465:AX467"/>
    <mergeCell ref="AY465:AY467"/>
    <mergeCell ref="AZ465:AZ467"/>
    <mergeCell ref="BA465:BA467"/>
    <mergeCell ref="A465:A467"/>
    <mergeCell ref="B465:B467"/>
    <mergeCell ref="W465:W467"/>
    <mergeCell ref="X465:X467"/>
    <mergeCell ref="Y465:Y467"/>
    <mergeCell ref="Z465:Z467"/>
    <mergeCell ref="AB462:AB464"/>
    <mergeCell ref="AC462:AC464"/>
    <mergeCell ref="AX462:AX464"/>
    <mergeCell ref="AY462:AY464"/>
    <mergeCell ref="AZ462:AZ464"/>
    <mergeCell ref="BA462:BA464"/>
    <mergeCell ref="AX459:AX461"/>
    <mergeCell ref="AY459:AY461"/>
    <mergeCell ref="AZ459:AZ461"/>
    <mergeCell ref="BA459:BA461"/>
    <mergeCell ref="A462:A464"/>
    <mergeCell ref="B462:B464"/>
    <mergeCell ref="W462:W464"/>
    <mergeCell ref="X462:X464"/>
    <mergeCell ref="Y462:Y464"/>
    <mergeCell ref="Z462:Z464"/>
    <mergeCell ref="AX456:AZ457"/>
    <mergeCell ref="BA456:BA458"/>
    <mergeCell ref="A459:A461"/>
    <mergeCell ref="B459:B461"/>
    <mergeCell ref="W459:W461"/>
    <mergeCell ref="X459:X461"/>
    <mergeCell ref="Y459:Y461"/>
    <mergeCell ref="Z459:Z461"/>
    <mergeCell ref="AB459:AB461"/>
    <mergeCell ref="AC459:AC461"/>
    <mergeCell ref="AS455:AY455"/>
    <mergeCell ref="AZ455:BA455"/>
    <mergeCell ref="A456:A458"/>
    <mergeCell ref="B456:B458"/>
    <mergeCell ref="C456:V456"/>
    <mergeCell ref="W456:Y457"/>
    <mergeCell ref="Z456:Z458"/>
    <mergeCell ref="AB456:AB458"/>
    <mergeCell ref="AC456:AC458"/>
    <mergeCell ref="AD456:AW456"/>
    <mergeCell ref="B453:Z453"/>
    <mergeCell ref="AC453:BA453"/>
    <mergeCell ref="B454:Z454"/>
    <mergeCell ref="AC454:BA454"/>
    <mergeCell ref="C455:J455"/>
    <mergeCell ref="K455:Q455"/>
    <mergeCell ref="R455:X455"/>
    <mergeCell ref="Y455:Z455"/>
    <mergeCell ref="AD455:AK455"/>
    <mergeCell ref="AL455:AR455"/>
    <mergeCell ref="AB449:AB451"/>
    <mergeCell ref="AC449:AC451"/>
    <mergeCell ref="AX449:AX451"/>
    <mergeCell ref="AY449:AY451"/>
    <mergeCell ref="AZ449:AZ451"/>
    <mergeCell ref="BA449:BA451"/>
    <mergeCell ref="A449:A451"/>
    <mergeCell ref="B449:B451"/>
    <mergeCell ref="W449:W451"/>
    <mergeCell ref="X449:X451"/>
    <mergeCell ref="Y449:Y451"/>
    <mergeCell ref="Z449:Z451"/>
    <mergeCell ref="AB446:AB448"/>
    <mergeCell ref="AC446:AC448"/>
    <mergeCell ref="AX446:AX448"/>
    <mergeCell ref="AY446:AY448"/>
    <mergeCell ref="AZ446:AZ448"/>
    <mergeCell ref="BA446:BA448"/>
    <mergeCell ref="A446:A448"/>
    <mergeCell ref="B446:B448"/>
    <mergeCell ref="W446:W448"/>
    <mergeCell ref="X446:X448"/>
    <mergeCell ref="Y446:Y448"/>
    <mergeCell ref="Z446:Z448"/>
    <mergeCell ref="AB443:AB445"/>
    <mergeCell ref="AC443:AC445"/>
    <mergeCell ref="AX443:AX445"/>
    <mergeCell ref="AY443:AY445"/>
    <mergeCell ref="AZ443:AZ445"/>
    <mergeCell ref="BA443:BA445"/>
    <mergeCell ref="A443:A445"/>
    <mergeCell ref="B443:B445"/>
    <mergeCell ref="W443:W445"/>
    <mergeCell ref="X443:X445"/>
    <mergeCell ref="Y443:Y445"/>
    <mergeCell ref="Z443:Z445"/>
    <mergeCell ref="AB440:AB442"/>
    <mergeCell ref="AC440:AC442"/>
    <mergeCell ref="AX440:AX442"/>
    <mergeCell ref="AY440:AY442"/>
    <mergeCell ref="AZ440:AZ442"/>
    <mergeCell ref="BA440:BA442"/>
    <mergeCell ref="A440:A442"/>
    <mergeCell ref="B440:B442"/>
    <mergeCell ref="W440:W442"/>
    <mergeCell ref="X440:X442"/>
    <mergeCell ref="Y440:Y442"/>
    <mergeCell ref="Z440:Z442"/>
    <mergeCell ref="AB437:AB439"/>
    <mergeCell ref="AC437:AC439"/>
    <mergeCell ref="AX437:AX439"/>
    <mergeCell ref="AY437:AY439"/>
    <mergeCell ref="AZ437:AZ439"/>
    <mergeCell ref="BA437:BA439"/>
    <mergeCell ref="A437:A439"/>
    <mergeCell ref="B437:B439"/>
    <mergeCell ref="W437:W439"/>
    <mergeCell ref="X437:X439"/>
    <mergeCell ref="Y437:Y439"/>
    <mergeCell ref="Z437:Z439"/>
    <mergeCell ref="AB434:AB436"/>
    <mergeCell ref="AC434:AC436"/>
    <mergeCell ref="AX434:AX436"/>
    <mergeCell ref="AY434:AY436"/>
    <mergeCell ref="AZ434:AZ436"/>
    <mergeCell ref="BA434:BA436"/>
    <mergeCell ref="A434:A436"/>
    <mergeCell ref="B434:B436"/>
    <mergeCell ref="W434:W436"/>
    <mergeCell ref="X434:X436"/>
    <mergeCell ref="Y434:Y436"/>
    <mergeCell ref="Z434:Z436"/>
    <mergeCell ref="AB431:AB433"/>
    <mergeCell ref="AC431:AC433"/>
    <mergeCell ref="AX431:AX433"/>
    <mergeCell ref="AY431:AY433"/>
    <mergeCell ref="AZ431:AZ433"/>
    <mergeCell ref="BA431:BA433"/>
    <mergeCell ref="A431:A433"/>
    <mergeCell ref="B431:B433"/>
    <mergeCell ref="W431:W433"/>
    <mergeCell ref="X431:X433"/>
    <mergeCell ref="Y431:Y433"/>
    <mergeCell ref="Z431:Z433"/>
    <mergeCell ref="AB428:AB430"/>
    <mergeCell ref="AC428:AC430"/>
    <mergeCell ref="AX428:AX430"/>
    <mergeCell ref="AY428:AY430"/>
    <mergeCell ref="AZ428:AZ430"/>
    <mergeCell ref="BA428:BA430"/>
    <mergeCell ref="A428:A430"/>
    <mergeCell ref="B428:B430"/>
    <mergeCell ref="W428:W430"/>
    <mergeCell ref="X428:X430"/>
    <mergeCell ref="Y428:Y430"/>
    <mergeCell ref="Z428:Z430"/>
    <mergeCell ref="AB425:AB427"/>
    <mergeCell ref="AC425:AC427"/>
    <mergeCell ref="AX425:AX427"/>
    <mergeCell ref="AY425:AY427"/>
    <mergeCell ref="AZ425:AZ427"/>
    <mergeCell ref="BA425:BA427"/>
    <mergeCell ref="A425:A427"/>
    <mergeCell ref="B425:B427"/>
    <mergeCell ref="W425:W427"/>
    <mergeCell ref="X425:X427"/>
    <mergeCell ref="Y425:Y427"/>
    <mergeCell ref="Z425:Z427"/>
    <mergeCell ref="AB422:AB424"/>
    <mergeCell ref="AC422:AC424"/>
    <mergeCell ref="AX422:AX424"/>
    <mergeCell ref="AY422:AY424"/>
    <mergeCell ref="AZ422:AZ424"/>
    <mergeCell ref="BA422:BA424"/>
    <mergeCell ref="A422:A424"/>
    <mergeCell ref="B422:B424"/>
    <mergeCell ref="W422:W424"/>
    <mergeCell ref="X422:X424"/>
    <mergeCell ref="Y422:Y424"/>
    <mergeCell ref="Z422:Z424"/>
    <mergeCell ref="AB419:AB421"/>
    <mergeCell ref="AC419:AC421"/>
    <mergeCell ref="AX419:AX421"/>
    <mergeCell ref="AY419:AY421"/>
    <mergeCell ref="AZ419:AZ421"/>
    <mergeCell ref="BA419:BA421"/>
    <mergeCell ref="A419:A421"/>
    <mergeCell ref="B419:B421"/>
    <mergeCell ref="W419:W421"/>
    <mergeCell ref="X419:X421"/>
    <mergeCell ref="Y419:Y421"/>
    <mergeCell ref="Z419:Z421"/>
    <mergeCell ref="AB416:AB418"/>
    <mergeCell ref="AC416:AC418"/>
    <mergeCell ref="AX416:AX418"/>
    <mergeCell ref="AY416:AY418"/>
    <mergeCell ref="AZ416:AZ418"/>
    <mergeCell ref="BA416:BA418"/>
    <mergeCell ref="A416:A418"/>
    <mergeCell ref="B416:B418"/>
    <mergeCell ref="W416:W418"/>
    <mergeCell ref="X416:X418"/>
    <mergeCell ref="Y416:Y418"/>
    <mergeCell ref="Z416:Z418"/>
    <mergeCell ref="AB413:AB415"/>
    <mergeCell ref="AC413:AC415"/>
    <mergeCell ref="AX413:AX415"/>
    <mergeCell ref="AY413:AY415"/>
    <mergeCell ref="AZ413:AZ415"/>
    <mergeCell ref="BA413:BA415"/>
    <mergeCell ref="A413:A415"/>
    <mergeCell ref="B413:B415"/>
    <mergeCell ref="W413:W415"/>
    <mergeCell ref="X413:X415"/>
    <mergeCell ref="Y413:Y415"/>
    <mergeCell ref="Z413:Z415"/>
    <mergeCell ref="AB410:AB412"/>
    <mergeCell ref="AC410:AC412"/>
    <mergeCell ref="AX410:AX412"/>
    <mergeCell ref="AY410:AY412"/>
    <mergeCell ref="AZ410:AZ412"/>
    <mergeCell ref="BA410:BA412"/>
    <mergeCell ref="A410:A412"/>
    <mergeCell ref="B410:B412"/>
    <mergeCell ref="W410:W412"/>
    <mergeCell ref="X410:X412"/>
    <mergeCell ref="Y410:Y412"/>
    <mergeCell ref="Z410:Z412"/>
    <mergeCell ref="AB407:AB409"/>
    <mergeCell ref="AC407:AC409"/>
    <mergeCell ref="AX407:AX409"/>
    <mergeCell ref="AY407:AY409"/>
    <mergeCell ref="AZ407:AZ409"/>
    <mergeCell ref="BA407:BA409"/>
    <mergeCell ref="A407:A409"/>
    <mergeCell ref="B407:B409"/>
    <mergeCell ref="W407:W409"/>
    <mergeCell ref="X407:X409"/>
    <mergeCell ref="Y407:Y409"/>
    <mergeCell ref="Z407:Z409"/>
    <mergeCell ref="AB404:AB406"/>
    <mergeCell ref="AC404:AC406"/>
    <mergeCell ref="AX404:AX406"/>
    <mergeCell ref="AY404:AY406"/>
    <mergeCell ref="AZ404:AZ406"/>
    <mergeCell ref="BA404:BA406"/>
    <mergeCell ref="A404:A406"/>
    <mergeCell ref="B404:B406"/>
    <mergeCell ref="W404:W406"/>
    <mergeCell ref="X404:X406"/>
    <mergeCell ref="Y404:Y406"/>
    <mergeCell ref="Z404:Z406"/>
    <mergeCell ref="AB401:AB403"/>
    <mergeCell ref="AC401:AC403"/>
    <mergeCell ref="AX401:AX403"/>
    <mergeCell ref="AY401:AY403"/>
    <mergeCell ref="AZ401:AZ403"/>
    <mergeCell ref="BA401:BA403"/>
    <mergeCell ref="A401:A403"/>
    <mergeCell ref="B401:B403"/>
    <mergeCell ref="W401:W403"/>
    <mergeCell ref="X401:X403"/>
    <mergeCell ref="Y401:Y403"/>
    <mergeCell ref="Z401:Z403"/>
    <mergeCell ref="AB398:AB400"/>
    <mergeCell ref="AC398:AC400"/>
    <mergeCell ref="AX398:AX400"/>
    <mergeCell ref="AY398:AY400"/>
    <mergeCell ref="AZ398:AZ400"/>
    <mergeCell ref="BA398:BA400"/>
    <mergeCell ref="A398:A400"/>
    <mergeCell ref="B398:B400"/>
    <mergeCell ref="W398:W400"/>
    <mergeCell ref="X398:X400"/>
    <mergeCell ref="Y398:Y400"/>
    <mergeCell ref="Z398:Z400"/>
    <mergeCell ref="AB395:AB397"/>
    <mergeCell ref="AC395:AC397"/>
    <mergeCell ref="AX395:AX397"/>
    <mergeCell ref="AY395:AY397"/>
    <mergeCell ref="AZ395:AZ397"/>
    <mergeCell ref="BA395:BA397"/>
    <mergeCell ref="A395:A397"/>
    <mergeCell ref="B395:B397"/>
    <mergeCell ref="W395:W397"/>
    <mergeCell ref="X395:X397"/>
    <mergeCell ref="Y395:Y397"/>
    <mergeCell ref="Z395:Z397"/>
    <mergeCell ref="AB392:AB394"/>
    <mergeCell ref="AC392:AC394"/>
    <mergeCell ref="AX392:AX394"/>
    <mergeCell ref="AY392:AY394"/>
    <mergeCell ref="AZ392:AZ394"/>
    <mergeCell ref="BA392:BA394"/>
    <mergeCell ref="A392:A394"/>
    <mergeCell ref="B392:B394"/>
    <mergeCell ref="W392:W394"/>
    <mergeCell ref="X392:X394"/>
    <mergeCell ref="Y392:Y394"/>
    <mergeCell ref="Z392:Z394"/>
    <mergeCell ref="AB389:AB391"/>
    <mergeCell ref="AC389:AC391"/>
    <mergeCell ref="AX389:AX391"/>
    <mergeCell ref="AY389:AY391"/>
    <mergeCell ref="AZ389:AZ391"/>
    <mergeCell ref="BA389:BA391"/>
    <mergeCell ref="A389:A391"/>
    <mergeCell ref="B389:B391"/>
    <mergeCell ref="W389:W391"/>
    <mergeCell ref="X389:X391"/>
    <mergeCell ref="Y389:Y391"/>
    <mergeCell ref="Z389:Z391"/>
    <mergeCell ref="AB386:AB388"/>
    <mergeCell ref="AC386:AC388"/>
    <mergeCell ref="AX386:AX388"/>
    <mergeCell ref="AY386:AY388"/>
    <mergeCell ref="AZ386:AZ388"/>
    <mergeCell ref="BA386:BA388"/>
    <mergeCell ref="A386:A388"/>
    <mergeCell ref="B386:B388"/>
    <mergeCell ref="W386:W388"/>
    <mergeCell ref="X386:X388"/>
    <mergeCell ref="Y386:Y388"/>
    <mergeCell ref="Z386:Z388"/>
    <mergeCell ref="AB383:AB385"/>
    <mergeCell ref="AC383:AC385"/>
    <mergeCell ref="AX383:AX385"/>
    <mergeCell ref="AY383:AY385"/>
    <mergeCell ref="AZ383:AZ385"/>
    <mergeCell ref="BA383:BA385"/>
    <mergeCell ref="A383:A385"/>
    <mergeCell ref="B383:B385"/>
    <mergeCell ref="W383:W385"/>
    <mergeCell ref="X383:X385"/>
    <mergeCell ref="Y383:Y385"/>
    <mergeCell ref="Z383:Z385"/>
    <mergeCell ref="AB380:AB382"/>
    <mergeCell ref="AC380:AC382"/>
    <mergeCell ref="AX380:AX382"/>
    <mergeCell ref="AY380:AY382"/>
    <mergeCell ref="AZ380:AZ382"/>
    <mergeCell ref="BA380:BA382"/>
    <mergeCell ref="A380:A382"/>
    <mergeCell ref="B380:B382"/>
    <mergeCell ref="W380:W382"/>
    <mergeCell ref="X380:X382"/>
    <mergeCell ref="Y380:Y382"/>
    <mergeCell ref="Z380:Z382"/>
    <mergeCell ref="AB377:AB379"/>
    <mergeCell ref="AC377:AC379"/>
    <mergeCell ref="AX377:AX379"/>
    <mergeCell ref="AY377:AY379"/>
    <mergeCell ref="AZ377:AZ379"/>
    <mergeCell ref="BA377:BA379"/>
    <mergeCell ref="A377:A379"/>
    <mergeCell ref="B377:B379"/>
    <mergeCell ref="W377:W379"/>
    <mergeCell ref="X377:X379"/>
    <mergeCell ref="Y377:Y379"/>
    <mergeCell ref="Z377:Z379"/>
    <mergeCell ref="AB374:AB376"/>
    <mergeCell ref="AC374:AC376"/>
    <mergeCell ref="AX374:AX376"/>
    <mergeCell ref="AY374:AY376"/>
    <mergeCell ref="AZ374:AZ376"/>
    <mergeCell ref="BA374:BA376"/>
    <mergeCell ref="A374:A376"/>
    <mergeCell ref="B374:B376"/>
    <mergeCell ref="W374:W376"/>
    <mergeCell ref="X374:X376"/>
    <mergeCell ref="Y374:Y376"/>
    <mergeCell ref="Z374:Z376"/>
    <mergeCell ref="AB371:AB373"/>
    <mergeCell ref="AC371:AC373"/>
    <mergeCell ref="AX371:AX373"/>
    <mergeCell ref="AY371:AY373"/>
    <mergeCell ref="AZ371:AZ373"/>
    <mergeCell ref="BA371:BA373"/>
    <mergeCell ref="A371:A373"/>
    <mergeCell ref="B371:B373"/>
    <mergeCell ref="W371:W373"/>
    <mergeCell ref="X371:X373"/>
    <mergeCell ref="Y371:Y373"/>
    <mergeCell ref="Z371:Z373"/>
    <mergeCell ref="AB368:AB370"/>
    <mergeCell ref="AC368:AC370"/>
    <mergeCell ref="AX368:AX370"/>
    <mergeCell ref="AY368:AY370"/>
    <mergeCell ref="AZ368:AZ370"/>
    <mergeCell ref="BA368:BA370"/>
    <mergeCell ref="A368:A370"/>
    <mergeCell ref="B368:B370"/>
    <mergeCell ref="W368:W370"/>
    <mergeCell ref="X368:X370"/>
    <mergeCell ref="Y368:Y370"/>
    <mergeCell ref="Z368:Z370"/>
    <mergeCell ref="AB365:AB367"/>
    <mergeCell ref="AC365:AC367"/>
    <mergeCell ref="AX365:AX367"/>
    <mergeCell ref="AY365:AY367"/>
    <mergeCell ref="AZ365:AZ367"/>
    <mergeCell ref="BA365:BA367"/>
    <mergeCell ref="A365:A367"/>
    <mergeCell ref="B365:B367"/>
    <mergeCell ref="W365:W367"/>
    <mergeCell ref="X365:X367"/>
    <mergeCell ref="Y365:Y367"/>
    <mergeCell ref="Z365:Z367"/>
    <mergeCell ref="AB362:AB364"/>
    <mergeCell ref="AC362:AC364"/>
    <mergeCell ref="AX362:AX364"/>
    <mergeCell ref="AY362:AY364"/>
    <mergeCell ref="AZ362:AZ364"/>
    <mergeCell ref="BA362:BA364"/>
    <mergeCell ref="A362:A364"/>
    <mergeCell ref="B362:B364"/>
    <mergeCell ref="W362:W364"/>
    <mergeCell ref="X362:X364"/>
    <mergeCell ref="Y362:Y364"/>
    <mergeCell ref="Z362:Z364"/>
    <mergeCell ref="AB359:AB361"/>
    <mergeCell ref="AC359:AC361"/>
    <mergeCell ref="AX359:AX361"/>
    <mergeCell ref="AY359:AY361"/>
    <mergeCell ref="AZ359:AZ361"/>
    <mergeCell ref="BA359:BA361"/>
    <mergeCell ref="A359:A361"/>
    <mergeCell ref="B359:B361"/>
    <mergeCell ref="W359:W361"/>
    <mergeCell ref="X359:X361"/>
    <mergeCell ref="Y359:Y361"/>
    <mergeCell ref="Z359:Z361"/>
    <mergeCell ref="AB356:AB358"/>
    <mergeCell ref="AC356:AC358"/>
    <mergeCell ref="AX356:AX358"/>
    <mergeCell ref="AY356:AY358"/>
    <mergeCell ref="AZ356:AZ358"/>
    <mergeCell ref="BA356:BA358"/>
    <mergeCell ref="A356:A358"/>
    <mergeCell ref="B356:B358"/>
    <mergeCell ref="W356:W358"/>
    <mergeCell ref="X356:X358"/>
    <mergeCell ref="Y356:Y358"/>
    <mergeCell ref="Z356:Z358"/>
    <mergeCell ref="AB353:AB355"/>
    <mergeCell ref="AC353:AC355"/>
    <mergeCell ref="AX353:AX355"/>
    <mergeCell ref="AY353:AY355"/>
    <mergeCell ref="AZ353:AZ355"/>
    <mergeCell ref="BA353:BA355"/>
    <mergeCell ref="A353:A355"/>
    <mergeCell ref="B353:B355"/>
    <mergeCell ref="W353:W355"/>
    <mergeCell ref="X353:X355"/>
    <mergeCell ref="Y353:Y355"/>
    <mergeCell ref="Z353:Z355"/>
    <mergeCell ref="AB350:AB352"/>
    <mergeCell ref="AC350:AC352"/>
    <mergeCell ref="AX350:AX352"/>
    <mergeCell ref="AY350:AY352"/>
    <mergeCell ref="AZ350:AZ352"/>
    <mergeCell ref="BA350:BA352"/>
    <mergeCell ref="AX347:AX349"/>
    <mergeCell ref="AY347:AY349"/>
    <mergeCell ref="AZ347:AZ349"/>
    <mergeCell ref="BA347:BA349"/>
    <mergeCell ref="A350:A352"/>
    <mergeCell ref="B350:B352"/>
    <mergeCell ref="W350:W352"/>
    <mergeCell ref="X350:X352"/>
    <mergeCell ref="Y350:Y352"/>
    <mergeCell ref="Z350:Z352"/>
    <mergeCell ref="AX344:AZ345"/>
    <mergeCell ref="BA344:BA346"/>
    <mergeCell ref="A347:A349"/>
    <mergeCell ref="B347:B349"/>
    <mergeCell ref="W347:W349"/>
    <mergeCell ref="X347:X349"/>
    <mergeCell ref="Y347:Y349"/>
    <mergeCell ref="Z347:Z349"/>
    <mergeCell ref="AB347:AB349"/>
    <mergeCell ref="AC347:AC349"/>
    <mergeCell ref="AS343:AY343"/>
    <mergeCell ref="AZ343:BA343"/>
    <mergeCell ref="A344:A346"/>
    <mergeCell ref="B344:B346"/>
    <mergeCell ref="C344:V344"/>
    <mergeCell ref="W344:Y345"/>
    <mergeCell ref="Z344:Z346"/>
    <mergeCell ref="AB344:AB346"/>
    <mergeCell ref="AC344:AC346"/>
    <mergeCell ref="AD344:AW344"/>
    <mergeCell ref="B341:Z341"/>
    <mergeCell ref="AC341:BA341"/>
    <mergeCell ref="B342:Z342"/>
    <mergeCell ref="AC342:BA342"/>
    <mergeCell ref="C343:J343"/>
    <mergeCell ref="K343:Q343"/>
    <mergeCell ref="R343:X343"/>
    <mergeCell ref="Y343:Z343"/>
    <mergeCell ref="AD343:AK343"/>
    <mergeCell ref="AL343:AR343"/>
    <mergeCell ref="AB337:AB339"/>
    <mergeCell ref="AC337:AC339"/>
    <mergeCell ref="AX337:AX339"/>
    <mergeCell ref="AY337:AY339"/>
    <mergeCell ref="AZ337:AZ339"/>
    <mergeCell ref="BA337:BA339"/>
    <mergeCell ref="A337:A339"/>
    <mergeCell ref="B337:B339"/>
    <mergeCell ref="W337:W339"/>
    <mergeCell ref="X337:X339"/>
    <mergeCell ref="Y337:Y339"/>
    <mergeCell ref="Z337:Z339"/>
    <mergeCell ref="AB334:AB336"/>
    <mergeCell ref="AC334:AC336"/>
    <mergeCell ref="AX334:AX336"/>
    <mergeCell ref="AY334:AY336"/>
    <mergeCell ref="AZ334:AZ336"/>
    <mergeCell ref="BA334:BA336"/>
    <mergeCell ref="A334:A336"/>
    <mergeCell ref="B334:B336"/>
    <mergeCell ref="W334:W336"/>
    <mergeCell ref="X334:X336"/>
    <mergeCell ref="Y334:Y336"/>
    <mergeCell ref="Z334:Z336"/>
    <mergeCell ref="AB331:AB333"/>
    <mergeCell ref="AC331:AC333"/>
    <mergeCell ref="AX331:AX333"/>
    <mergeCell ref="AY331:AY333"/>
    <mergeCell ref="AZ331:AZ333"/>
    <mergeCell ref="BA331:BA333"/>
    <mergeCell ref="A331:A333"/>
    <mergeCell ref="B331:B333"/>
    <mergeCell ref="W331:W333"/>
    <mergeCell ref="X331:X333"/>
    <mergeCell ref="Y331:Y333"/>
    <mergeCell ref="Z331:Z333"/>
    <mergeCell ref="AB328:AB330"/>
    <mergeCell ref="AC328:AC330"/>
    <mergeCell ref="AX328:AX330"/>
    <mergeCell ref="AY328:AY330"/>
    <mergeCell ref="AZ328:AZ330"/>
    <mergeCell ref="BA328:BA330"/>
    <mergeCell ref="A328:A330"/>
    <mergeCell ref="B328:B330"/>
    <mergeCell ref="W328:W330"/>
    <mergeCell ref="X328:X330"/>
    <mergeCell ref="Y328:Y330"/>
    <mergeCell ref="Z328:Z330"/>
    <mergeCell ref="AB325:AB327"/>
    <mergeCell ref="AC325:AC327"/>
    <mergeCell ref="AX325:AX327"/>
    <mergeCell ref="AY325:AY327"/>
    <mergeCell ref="AZ325:AZ327"/>
    <mergeCell ref="BA325:BA327"/>
    <mergeCell ref="A325:A327"/>
    <mergeCell ref="B325:B327"/>
    <mergeCell ref="W325:W327"/>
    <mergeCell ref="X325:X327"/>
    <mergeCell ref="Y325:Y327"/>
    <mergeCell ref="Z325:Z327"/>
    <mergeCell ref="AB322:AB324"/>
    <mergeCell ref="AC322:AC324"/>
    <mergeCell ref="AX322:AX324"/>
    <mergeCell ref="AY322:AY324"/>
    <mergeCell ref="AZ322:AZ324"/>
    <mergeCell ref="BA322:BA324"/>
    <mergeCell ref="A322:A324"/>
    <mergeCell ref="B322:B324"/>
    <mergeCell ref="W322:W324"/>
    <mergeCell ref="X322:X324"/>
    <mergeCell ref="Y322:Y324"/>
    <mergeCell ref="Z322:Z324"/>
    <mergeCell ref="AB319:AB321"/>
    <mergeCell ref="AC319:AC321"/>
    <mergeCell ref="AX319:AX321"/>
    <mergeCell ref="AY319:AY321"/>
    <mergeCell ref="AZ319:AZ321"/>
    <mergeCell ref="BA319:BA321"/>
    <mergeCell ref="A319:A321"/>
    <mergeCell ref="B319:B321"/>
    <mergeCell ref="W319:W321"/>
    <mergeCell ref="X319:X321"/>
    <mergeCell ref="Y319:Y321"/>
    <mergeCell ref="Z319:Z321"/>
    <mergeCell ref="AB316:AB318"/>
    <mergeCell ref="AC316:AC318"/>
    <mergeCell ref="AX316:AX318"/>
    <mergeCell ref="AY316:AY318"/>
    <mergeCell ref="AZ316:AZ318"/>
    <mergeCell ref="BA316:BA318"/>
    <mergeCell ref="A316:A318"/>
    <mergeCell ref="B316:B318"/>
    <mergeCell ref="W316:W318"/>
    <mergeCell ref="X316:X318"/>
    <mergeCell ref="Y316:Y318"/>
    <mergeCell ref="Z316:Z318"/>
    <mergeCell ref="AB313:AB315"/>
    <mergeCell ref="AC313:AC315"/>
    <mergeCell ref="AX313:AX315"/>
    <mergeCell ref="AY313:AY315"/>
    <mergeCell ref="AZ313:AZ315"/>
    <mergeCell ref="BA313:BA315"/>
    <mergeCell ref="A313:A315"/>
    <mergeCell ref="B313:B315"/>
    <mergeCell ref="W313:W315"/>
    <mergeCell ref="X313:X315"/>
    <mergeCell ref="Y313:Y315"/>
    <mergeCell ref="Z313:Z315"/>
    <mergeCell ref="AB310:AB312"/>
    <mergeCell ref="AC310:AC312"/>
    <mergeCell ref="AX310:AX312"/>
    <mergeCell ref="AY310:AY312"/>
    <mergeCell ref="AZ310:AZ312"/>
    <mergeCell ref="BA310:BA312"/>
    <mergeCell ref="A310:A312"/>
    <mergeCell ref="B310:B312"/>
    <mergeCell ref="W310:W312"/>
    <mergeCell ref="X310:X312"/>
    <mergeCell ref="Y310:Y312"/>
    <mergeCell ref="Z310:Z312"/>
    <mergeCell ref="AB307:AB309"/>
    <mergeCell ref="AC307:AC309"/>
    <mergeCell ref="AX307:AX309"/>
    <mergeCell ref="AY307:AY309"/>
    <mergeCell ref="AZ307:AZ309"/>
    <mergeCell ref="BA307:BA309"/>
    <mergeCell ref="A307:A309"/>
    <mergeCell ref="B307:B309"/>
    <mergeCell ref="W307:W309"/>
    <mergeCell ref="X307:X309"/>
    <mergeCell ref="Y307:Y309"/>
    <mergeCell ref="Z307:Z309"/>
    <mergeCell ref="AB304:AB306"/>
    <mergeCell ref="AC304:AC306"/>
    <mergeCell ref="AX304:AX306"/>
    <mergeCell ref="AY304:AY306"/>
    <mergeCell ref="AZ304:AZ306"/>
    <mergeCell ref="BA304:BA306"/>
    <mergeCell ref="A304:A306"/>
    <mergeCell ref="B304:B306"/>
    <mergeCell ref="W304:W306"/>
    <mergeCell ref="X304:X306"/>
    <mergeCell ref="Y304:Y306"/>
    <mergeCell ref="Z304:Z306"/>
    <mergeCell ref="AB301:AB303"/>
    <mergeCell ref="AC301:AC303"/>
    <mergeCell ref="AX301:AX303"/>
    <mergeCell ref="AY301:AY303"/>
    <mergeCell ref="AZ301:AZ303"/>
    <mergeCell ref="BA301:BA303"/>
    <mergeCell ref="A301:A303"/>
    <mergeCell ref="B301:B303"/>
    <mergeCell ref="W301:W303"/>
    <mergeCell ref="X301:X303"/>
    <mergeCell ref="Y301:Y303"/>
    <mergeCell ref="Z301:Z303"/>
    <mergeCell ref="AB298:AB300"/>
    <mergeCell ref="AC298:AC300"/>
    <mergeCell ref="AX298:AX300"/>
    <mergeCell ref="AY298:AY300"/>
    <mergeCell ref="AZ298:AZ300"/>
    <mergeCell ref="BA298:BA300"/>
    <mergeCell ref="A298:A300"/>
    <mergeCell ref="B298:B300"/>
    <mergeCell ref="W298:W300"/>
    <mergeCell ref="X298:X300"/>
    <mergeCell ref="Y298:Y300"/>
    <mergeCell ref="Z298:Z300"/>
    <mergeCell ref="AB295:AB297"/>
    <mergeCell ref="AC295:AC297"/>
    <mergeCell ref="AX295:AX297"/>
    <mergeCell ref="AY295:AY297"/>
    <mergeCell ref="AZ295:AZ297"/>
    <mergeCell ref="BA295:BA297"/>
    <mergeCell ref="A295:A297"/>
    <mergeCell ref="B295:B297"/>
    <mergeCell ref="W295:W297"/>
    <mergeCell ref="X295:X297"/>
    <mergeCell ref="Y295:Y297"/>
    <mergeCell ref="Z295:Z297"/>
    <mergeCell ref="AB292:AB294"/>
    <mergeCell ref="AC292:AC294"/>
    <mergeCell ref="AX292:AX294"/>
    <mergeCell ref="AY292:AY294"/>
    <mergeCell ref="AZ292:AZ294"/>
    <mergeCell ref="BA292:BA294"/>
    <mergeCell ref="A292:A294"/>
    <mergeCell ref="B292:B294"/>
    <mergeCell ref="W292:W294"/>
    <mergeCell ref="X292:X294"/>
    <mergeCell ref="Y292:Y294"/>
    <mergeCell ref="Z292:Z294"/>
    <mergeCell ref="AB289:AB291"/>
    <mergeCell ref="AC289:AC291"/>
    <mergeCell ref="AX289:AX291"/>
    <mergeCell ref="AY289:AY291"/>
    <mergeCell ref="AZ289:AZ291"/>
    <mergeCell ref="BA289:BA291"/>
    <mergeCell ref="A289:A291"/>
    <mergeCell ref="B289:B291"/>
    <mergeCell ref="W289:W291"/>
    <mergeCell ref="X289:X291"/>
    <mergeCell ref="Y289:Y291"/>
    <mergeCell ref="Z289:Z291"/>
    <mergeCell ref="AB286:AB288"/>
    <mergeCell ref="AC286:AC288"/>
    <mergeCell ref="AX286:AX288"/>
    <mergeCell ref="AY286:AY288"/>
    <mergeCell ref="AZ286:AZ288"/>
    <mergeCell ref="BA286:BA288"/>
    <mergeCell ref="A286:A288"/>
    <mergeCell ref="B286:B288"/>
    <mergeCell ref="W286:W288"/>
    <mergeCell ref="X286:X288"/>
    <mergeCell ref="Y286:Y288"/>
    <mergeCell ref="Z286:Z288"/>
    <mergeCell ref="AB283:AB285"/>
    <mergeCell ref="AC283:AC285"/>
    <mergeCell ref="AX283:AX285"/>
    <mergeCell ref="AY283:AY285"/>
    <mergeCell ref="AZ283:AZ285"/>
    <mergeCell ref="BA283:BA285"/>
    <mergeCell ref="A283:A285"/>
    <mergeCell ref="B283:B285"/>
    <mergeCell ref="W283:W285"/>
    <mergeCell ref="X283:X285"/>
    <mergeCell ref="Y283:Y285"/>
    <mergeCell ref="Z283:Z285"/>
    <mergeCell ref="AB280:AB282"/>
    <mergeCell ref="AC280:AC282"/>
    <mergeCell ref="AX280:AX282"/>
    <mergeCell ref="AY280:AY282"/>
    <mergeCell ref="AZ280:AZ282"/>
    <mergeCell ref="BA280:BA282"/>
    <mergeCell ref="A280:A282"/>
    <mergeCell ref="B280:B282"/>
    <mergeCell ref="W280:W282"/>
    <mergeCell ref="X280:X282"/>
    <mergeCell ref="Y280:Y282"/>
    <mergeCell ref="Z280:Z282"/>
    <mergeCell ref="AB277:AB279"/>
    <mergeCell ref="AC277:AC279"/>
    <mergeCell ref="AX277:AX279"/>
    <mergeCell ref="AY277:AY279"/>
    <mergeCell ref="AZ277:AZ279"/>
    <mergeCell ref="BA277:BA279"/>
    <mergeCell ref="A277:A279"/>
    <mergeCell ref="B277:B279"/>
    <mergeCell ref="W277:W279"/>
    <mergeCell ref="X277:X279"/>
    <mergeCell ref="Y277:Y279"/>
    <mergeCell ref="Z277:Z279"/>
    <mergeCell ref="AB274:AB276"/>
    <mergeCell ref="AC274:AC276"/>
    <mergeCell ref="AX274:AX276"/>
    <mergeCell ref="AY274:AY276"/>
    <mergeCell ref="AZ274:AZ276"/>
    <mergeCell ref="BA274:BA276"/>
    <mergeCell ref="A274:A276"/>
    <mergeCell ref="B274:B276"/>
    <mergeCell ref="W274:W276"/>
    <mergeCell ref="X274:X276"/>
    <mergeCell ref="Y274:Y276"/>
    <mergeCell ref="Z274:Z276"/>
    <mergeCell ref="AB271:AB273"/>
    <mergeCell ref="AC271:AC273"/>
    <mergeCell ref="AX271:AX273"/>
    <mergeCell ref="AY271:AY273"/>
    <mergeCell ref="AZ271:AZ273"/>
    <mergeCell ref="BA271:BA273"/>
    <mergeCell ref="A271:A273"/>
    <mergeCell ref="B271:B273"/>
    <mergeCell ref="W271:W273"/>
    <mergeCell ref="X271:X273"/>
    <mergeCell ref="Y271:Y273"/>
    <mergeCell ref="Z271:Z273"/>
    <mergeCell ref="AB268:AB270"/>
    <mergeCell ref="AC268:AC270"/>
    <mergeCell ref="AX268:AX270"/>
    <mergeCell ref="AY268:AY270"/>
    <mergeCell ref="AZ268:AZ270"/>
    <mergeCell ref="BA268:BA270"/>
    <mergeCell ref="A268:A270"/>
    <mergeCell ref="B268:B270"/>
    <mergeCell ref="W268:W270"/>
    <mergeCell ref="X268:X270"/>
    <mergeCell ref="Y268:Y270"/>
    <mergeCell ref="Z268:Z270"/>
    <mergeCell ref="AB265:AB267"/>
    <mergeCell ref="AC265:AC267"/>
    <mergeCell ref="AX265:AX267"/>
    <mergeCell ref="AY265:AY267"/>
    <mergeCell ref="AZ265:AZ267"/>
    <mergeCell ref="BA265:BA267"/>
    <mergeCell ref="A265:A267"/>
    <mergeCell ref="B265:B267"/>
    <mergeCell ref="W265:W267"/>
    <mergeCell ref="X265:X267"/>
    <mergeCell ref="Y265:Y267"/>
    <mergeCell ref="Z265:Z267"/>
    <mergeCell ref="AB262:AB264"/>
    <mergeCell ref="AC262:AC264"/>
    <mergeCell ref="AX262:AX264"/>
    <mergeCell ref="AY262:AY264"/>
    <mergeCell ref="AZ262:AZ264"/>
    <mergeCell ref="BA262:BA264"/>
    <mergeCell ref="A262:A264"/>
    <mergeCell ref="B262:B264"/>
    <mergeCell ref="W262:W264"/>
    <mergeCell ref="X262:X264"/>
    <mergeCell ref="Y262:Y264"/>
    <mergeCell ref="Z262:Z264"/>
    <mergeCell ref="AB259:AB261"/>
    <mergeCell ref="AC259:AC261"/>
    <mergeCell ref="AX259:AX261"/>
    <mergeCell ref="AY259:AY261"/>
    <mergeCell ref="AZ259:AZ261"/>
    <mergeCell ref="BA259:BA261"/>
    <mergeCell ref="A259:A261"/>
    <mergeCell ref="B259:B261"/>
    <mergeCell ref="W259:W261"/>
    <mergeCell ref="X259:X261"/>
    <mergeCell ref="Y259:Y261"/>
    <mergeCell ref="Z259:Z261"/>
    <mergeCell ref="AB256:AB258"/>
    <mergeCell ref="AC256:AC258"/>
    <mergeCell ref="AX256:AX258"/>
    <mergeCell ref="AY256:AY258"/>
    <mergeCell ref="AZ256:AZ258"/>
    <mergeCell ref="BA256:BA258"/>
    <mergeCell ref="A256:A258"/>
    <mergeCell ref="B256:B258"/>
    <mergeCell ref="W256:W258"/>
    <mergeCell ref="X256:X258"/>
    <mergeCell ref="Y256:Y258"/>
    <mergeCell ref="Z256:Z258"/>
    <mergeCell ref="AB253:AB255"/>
    <mergeCell ref="AC253:AC255"/>
    <mergeCell ref="AX253:AX255"/>
    <mergeCell ref="AY253:AY255"/>
    <mergeCell ref="AZ253:AZ255"/>
    <mergeCell ref="BA253:BA255"/>
    <mergeCell ref="A253:A255"/>
    <mergeCell ref="B253:B255"/>
    <mergeCell ref="W253:W255"/>
    <mergeCell ref="X253:X255"/>
    <mergeCell ref="Y253:Y255"/>
    <mergeCell ref="Z253:Z255"/>
    <mergeCell ref="AB250:AB252"/>
    <mergeCell ref="AC250:AC252"/>
    <mergeCell ref="AX250:AX252"/>
    <mergeCell ref="AY250:AY252"/>
    <mergeCell ref="AZ250:AZ252"/>
    <mergeCell ref="BA250:BA252"/>
    <mergeCell ref="A250:A252"/>
    <mergeCell ref="B250:B252"/>
    <mergeCell ref="W250:W252"/>
    <mergeCell ref="X250:X252"/>
    <mergeCell ref="Y250:Y252"/>
    <mergeCell ref="Z250:Z252"/>
    <mergeCell ref="AB247:AB249"/>
    <mergeCell ref="AC247:AC249"/>
    <mergeCell ref="AX247:AX249"/>
    <mergeCell ref="AY247:AY249"/>
    <mergeCell ref="AZ247:AZ249"/>
    <mergeCell ref="BA247:BA249"/>
    <mergeCell ref="A247:A249"/>
    <mergeCell ref="B247:B249"/>
    <mergeCell ref="W247:W249"/>
    <mergeCell ref="X247:X249"/>
    <mergeCell ref="Y247:Y249"/>
    <mergeCell ref="Z247:Z249"/>
    <mergeCell ref="AB244:AB246"/>
    <mergeCell ref="AC244:AC246"/>
    <mergeCell ref="AX244:AX246"/>
    <mergeCell ref="AY244:AY246"/>
    <mergeCell ref="AZ244:AZ246"/>
    <mergeCell ref="BA244:BA246"/>
    <mergeCell ref="A244:A246"/>
    <mergeCell ref="B244:B246"/>
    <mergeCell ref="W244:W246"/>
    <mergeCell ref="X244:X246"/>
    <mergeCell ref="Y244:Y246"/>
    <mergeCell ref="Z244:Z246"/>
    <mergeCell ref="AB241:AB243"/>
    <mergeCell ref="AC241:AC243"/>
    <mergeCell ref="AX241:AX243"/>
    <mergeCell ref="AY241:AY243"/>
    <mergeCell ref="AZ241:AZ243"/>
    <mergeCell ref="BA241:BA243"/>
    <mergeCell ref="A241:A243"/>
    <mergeCell ref="B241:B243"/>
    <mergeCell ref="W241:W243"/>
    <mergeCell ref="X241:X243"/>
    <mergeCell ref="Y241:Y243"/>
    <mergeCell ref="Z241:Z243"/>
    <mergeCell ref="AB238:AB240"/>
    <mergeCell ref="AC238:AC240"/>
    <mergeCell ref="AX238:AX240"/>
    <mergeCell ref="AY238:AY240"/>
    <mergeCell ref="AZ238:AZ240"/>
    <mergeCell ref="BA238:BA240"/>
    <mergeCell ref="AX235:AX237"/>
    <mergeCell ref="AY235:AY237"/>
    <mergeCell ref="AZ235:AZ237"/>
    <mergeCell ref="BA235:BA237"/>
    <mergeCell ref="A238:A240"/>
    <mergeCell ref="B238:B240"/>
    <mergeCell ref="W238:W240"/>
    <mergeCell ref="X238:X240"/>
    <mergeCell ref="Y238:Y240"/>
    <mergeCell ref="Z238:Z240"/>
    <mergeCell ref="AX232:AZ233"/>
    <mergeCell ref="BA232:BA234"/>
    <mergeCell ref="A235:A237"/>
    <mergeCell ref="B235:B237"/>
    <mergeCell ref="W235:W237"/>
    <mergeCell ref="X235:X237"/>
    <mergeCell ref="Y235:Y237"/>
    <mergeCell ref="Z235:Z237"/>
    <mergeCell ref="AB235:AB237"/>
    <mergeCell ref="AC235:AC237"/>
    <mergeCell ref="AS231:AY231"/>
    <mergeCell ref="AZ231:BA231"/>
    <mergeCell ref="A232:A234"/>
    <mergeCell ref="B232:B234"/>
    <mergeCell ref="C232:V232"/>
    <mergeCell ref="W232:Y233"/>
    <mergeCell ref="Z232:Z234"/>
    <mergeCell ref="AB232:AB234"/>
    <mergeCell ref="AC232:AC234"/>
    <mergeCell ref="AD232:AW232"/>
    <mergeCell ref="B229:Z229"/>
    <mergeCell ref="AC229:BA229"/>
    <mergeCell ref="B230:Z230"/>
    <mergeCell ref="AC230:BA230"/>
    <mergeCell ref="C231:J231"/>
    <mergeCell ref="K231:Q231"/>
    <mergeCell ref="R231:X231"/>
    <mergeCell ref="Y231:Z231"/>
    <mergeCell ref="AD231:AK231"/>
    <mergeCell ref="AL231:AR231"/>
    <mergeCell ref="AB225:AB227"/>
    <mergeCell ref="AC225:AC227"/>
    <mergeCell ref="AX225:AX227"/>
    <mergeCell ref="AY225:AY227"/>
    <mergeCell ref="AZ225:AZ227"/>
    <mergeCell ref="BA225:BA227"/>
    <mergeCell ref="A225:A227"/>
    <mergeCell ref="B225:B227"/>
    <mergeCell ref="W225:W227"/>
    <mergeCell ref="X225:X227"/>
    <mergeCell ref="Y225:Y227"/>
    <mergeCell ref="Z225:Z227"/>
    <mergeCell ref="AB222:AB224"/>
    <mergeCell ref="AC222:AC224"/>
    <mergeCell ref="AX222:AX224"/>
    <mergeCell ref="AY222:AY224"/>
    <mergeCell ref="AZ222:AZ224"/>
    <mergeCell ref="BA222:BA224"/>
    <mergeCell ref="A222:A224"/>
    <mergeCell ref="B222:B224"/>
    <mergeCell ref="W222:W224"/>
    <mergeCell ref="X222:X224"/>
    <mergeCell ref="Y222:Y224"/>
    <mergeCell ref="Z222:Z224"/>
    <mergeCell ref="AB219:AB221"/>
    <mergeCell ref="AC219:AC221"/>
    <mergeCell ref="AX219:AX221"/>
    <mergeCell ref="AY219:AY221"/>
    <mergeCell ref="AZ219:AZ221"/>
    <mergeCell ref="BA219:BA221"/>
    <mergeCell ref="A219:A221"/>
    <mergeCell ref="B219:B221"/>
    <mergeCell ref="W219:W221"/>
    <mergeCell ref="X219:X221"/>
    <mergeCell ref="Y219:Y221"/>
    <mergeCell ref="Z219:Z221"/>
    <mergeCell ref="AB216:AB218"/>
    <mergeCell ref="AC216:AC218"/>
    <mergeCell ref="AX216:AX218"/>
    <mergeCell ref="AY216:AY218"/>
    <mergeCell ref="AZ216:AZ218"/>
    <mergeCell ref="BA216:BA218"/>
    <mergeCell ref="A216:A218"/>
    <mergeCell ref="B216:B218"/>
    <mergeCell ref="W216:W218"/>
    <mergeCell ref="X216:X218"/>
    <mergeCell ref="Y216:Y218"/>
    <mergeCell ref="Z216:Z218"/>
    <mergeCell ref="AB213:AB215"/>
    <mergeCell ref="AC213:AC215"/>
    <mergeCell ref="AX213:AX215"/>
    <mergeCell ref="AY213:AY215"/>
    <mergeCell ref="AZ213:AZ215"/>
    <mergeCell ref="BA213:BA215"/>
    <mergeCell ref="A213:A215"/>
    <mergeCell ref="B213:B215"/>
    <mergeCell ref="W213:W215"/>
    <mergeCell ref="X213:X215"/>
    <mergeCell ref="Y213:Y215"/>
    <mergeCell ref="Z213:Z215"/>
    <mergeCell ref="AB210:AB212"/>
    <mergeCell ref="AC210:AC212"/>
    <mergeCell ref="AX210:AX212"/>
    <mergeCell ref="AY210:AY212"/>
    <mergeCell ref="AZ210:AZ212"/>
    <mergeCell ref="BA210:BA212"/>
    <mergeCell ref="A210:A212"/>
    <mergeCell ref="B210:B212"/>
    <mergeCell ref="W210:W212"/>
    <mergeCell ref="X210:X212"/>
    <mergeCell ref="Y210:Y212"/>
    <mergeCell ref="Z210:Z212"/>
    <mergeCell ref="AB207:AB209"/>
    <mergeCell ref="AC207:AC209"/>
    <mergeCell ref="AX207:AX209"/>
    <mergeCell ref="AY207:AY209"/>
    <mergeCell ref="AZ207:AZ209"/>
    <mergeCell ref="BA207:BA209"/>
    <mergeCell ref="A207:A209"/>
    <mergeCell ref="B207:B209"/>
    <mergeCell ref="W207:W209"/>
    <mergeCell ref="X207:X209"/>
    <mergeCell ref="Y207:Y209"/>
    <mergeCell ref="Z207:Z209"/>
    <mergeCell ref="AB204:AB206"/>
    <mergeCell ref="AC204:AC206"/>
    <mergeCell ref="AX204:AX206"/>
    <mergeCell ref="AY204:AY206"/>
    <mergeCell ref="AZ204:AZ206"/>
    <mergeCell ref="BA204:BA206"/>
    <mergeCell ref="A204:A206"/>
    <mergeCell ref="B204:B206"/>
    <mergeCell ref="W204:W206"/>
    <mergeCell ref="X204:X206"/>
    <mergeCell ref="Y204:Y206"/>
    <mergeCell ref="Z204:Z206"/>
    <mergeCell ref="AB201:AB203"/>
    <mergeCell ref="AC201:AC203"/>
    <mergeCell ref="AX201:AX203"/>
    <mergeCell ref="AY201:AY203"/>
    <mergeCell ref="AZ201:AZ203"/>
    <mergeCell ref="BA201:BA203"/>
    <mergeCell ref="A201:A203"/>
    <mergeCell ref="B201:B203"/>
    <mergeCell ref="W201:W203"/>
    <mergeCell ref="X201:X203"/>
    <mergeCell ref="Y201:Y203"/>
    <mergeCell ref="Z201:Z203"/>
    <mergeCell ref="AB198:AB200"/>
    <mergeCell ref="AC198:AC200"/>
    <mergeCell ref="AX198:AX200"/>
    <mergeCell ref="AY198:AY200"/>
    <mergeCell ref="AZ198:AZ200"/>
    <mergeCell ref="BA198:BA200"/>
    <mergeCell ref="A198:A200"/>
    <mergeCell ref="B198:B200"/>
    <mergeCell ref="W198:W200"/>
    <mergeCell ref="X198:X200"/>
    <mergeCell ref="Y198:Y200"/>
    <mergeCell ref="Z198:Z200"/>
    <mergeCell ref="AB195:AB197"/>
    <mergeCell ref="AC195:AC197"/>
    <mergeCell ref="AX195:AX197"/>
    <mergeCell ref="AY195:AY197"/>
    <mergeCell ref="AZ195:AZ197"/>
    <mergeCell ref="BA195:BA197"/>
    <mergeCell ref="A195:A197"/>
    <mergeCell ref="B195:B197"/>
    <mergeCell ref="W195:W197"/>
    <mergeCell ref="X195:X197"/>
    <mergeCell ref="Y195:Y197"/>
    <mergeCell ref="Z195:Z197"/>
    <mergeCell ref="AB192:AB194"/>
    <mergeCell ref="AC192:AC194"/>
    <mergeCell ref="AX192:AX194"/>
    <mergeCell ref="AY192:AY194"/>
    <mergeCell ref="AZ192:AZ194"/>
    <mergeCell ref="BA192:BA194"/>
    <mergeCell ref="A192:A194"/>
    <mergeCell ref="B192:B194"/>
    <mergeCell ref="W192:W194"/>
    <mergeCell ref="X192:X194"/>
    <mergeCell ref="Y192:Y194"/>
    <mergeCell ref="Z192:Z194"/>
    <mergeCell ref="AB189:AB191"/>
    <mergeCell ref="AC189:AC191"/>
    <mergeCell ref="AX189:AX191"/>
    <mergeCell ref="AY189:AY191"/>
    <mergeCell ref="AZ189:AZ191"/>
    <mergeCell ref="BA189:BA191"/>
    <mergeCell ref="A189:A191"/>
    <mergeCell ref="B189:B191"/>
    <mergeCell ref="W189:W191"/>
    <mergeCell ref="X189:X191"/>
    <mergeCell ref="Y189:Y191"/>
    <mergeCell ref="Z189:Z191"/>
    <mergeCell ref="AB186:AB188"/>
    <mergeCell ref="AC186:AC188"/>
    <mergeCell ref="AX186:AX188"/>
    <mergeCell ref="AY186:AY188"/>
    <mergeCell ref="AZ186:AZ188"/>
    <mergeCell ref="BA186:BA188"/>
    <mergeCell ref="A186:A188"/>
    <mergeCell ref="B186:B188"/>
    <mergeCell ref="W186:W188"/>
    <mergeCell ref="X186:X188"/>
    <mergeCell ref="Y186:Y188"/>
    <mergeCell ref="Z186:Z188"/>
    <mergeCell ref="AB183:AB185"/>
    <mergeCell ref="AC183:AC185"/>
    <mergeCell ref="AX183:AX185"/>
    <mergeCell ref="AY183:AY185"/>
    <mergeCell ref="AZ183:AZ185"/>
    <mergeCell ref="BA183:BA185"/>
    <mergeCell ref="A183:A185"/>
    <mergeCell ref="B183:B185"/>
    <mergeCell ref="W183:W185"/>
    <mergeCell ref="X183:X185"/>
    <mergeCell ref="Y183:Y185"/>
    <mergeCell ref="Z183:Z185"/>
    <mergeCell ref="AB180:AB182"/>
    <mergeCell ref="AC180:AC182"/>
    <mergeCell ref="AX180:AX182"/>
    <mergeCell ref="AY180:AY182"/>
    <mergeCell ref="AZ180:AZ182"/>
    <mergeCell ref="BA180:BA182"/>
    <mergeCell ref="A180:A182"/>
    <mergeCell ref="B180:B182"/>
    <mergeCell ref="W180:W182"/>
    <mergeCell ref="X180:X182"/>
    <mergeCell ref="Y180:Y182"/>
    <mergeCell ref="Z180:Z182"/>
    <mergeCell ref="AB177:AB179"/>
    <mergeCell ref="AC177:AC179"/>
    <mergeCell ref="AX177:AX179"/>
    <mergeCell ref="AY177:AY179"/>
    <mergeCell ref="AZ177:AZ179"/>
    <mergeCell ref="BA177:BA179"/>
    <mergeCell ref="A177:A179"/>
    <mergeCell ref="B177:B179"/>
    <mergeCell ref="W177:W179"/>
    <mergeCell ref="X177:X179"/>
    <mergeCell ref="Y177:Y179"/>
    <mergeCell ref="Z177:Z179"/>
    <mergeCell ref="AB174:AB176"/>
    <mergeCell ref="AC174:AC176"/>
    <mergeCell ref="AX174:AX176"/>
    <mergeCell ref="AY174:AY176"/>
    <mergeCell ref="AZ174:AZ176"/>
    <mergeCell ref="BA174:BA176"/>
    <mergeCell ref="A174:A176"/>
    <mergeCell ref="B174:B176"/>
    <mergeCell ref="W174:W176"/>
    <mergeCell ref="X174:X176"/>
    <mergeCell ref="Y174:Y176"/>
    <mergeCell ref="Z174:Z176"/>
    <mergeCell ref="AB171:AB173"/>
    <mergeCell ref="AC171:AC173"/>
    <mergeCell ref="AX171:AX173"/>
    <mergeCell ref="AY171:AY173"/>
    <mergeCell ref="AZ171:AZ173"/>
    <mergeCell ref="BA171:BA173"/>
    <mergeCell ref="A171:A173"/>
    <mergeCell ref="B171:B173"/>
    <mergeCell ref="W171:W173"/>
    <mergeCell ref="X171:X173"/>
    <mergeCell ref="Y171:Y173"/>
    <mergeCell ref="Z171:Z173"/>
    <mergeCell ref="AB168:AB170"/>
    <mergeCell ref="AC168:AC170"/>
    <mergeCell ref="AX168:AX170"/>
    <mergeCell ref="AY168:AY170"/>
    <mergeCell ref="AZ168:AZ170"/>
    <mergeCell ref="BA168:BA170"/>
    <mergeCell ref="A168:A170"/>
    <mergeCell ref="B168:B170"/>
    <mergeCell ref="W168:W170"/>
    <mergeCell ref="X168:X170"/>
    <mergeCell ref="Y168:Y170"/>
    <mergeCell ref="Z168:Z170"/>
    <mergeCell ref="AB165:AB167"/>
    <mergeCell ref="AC165:AC167"/>
    <mergeCell ref="AX165:AX167"/>
    <mergeCell ref="AY165:AY167"/>
    <mergeCell ref="AZ165:AZ167"/>
    <mergeCell ref="BA165:BA167"/>
    <mergeCell ref="A165:A167"/>
    <mergeCell ref="B165:B167"/>
    <mergeCell ref="W165:W167"/>
    <mergeCell ref="X165:X167"/>
    <mergeCell ref="Y165:Y167"/>
    <mergeCell ref="Z165:Z167"/>
    <mergeCell ref="AB162:AB164"/>
    <mergeCell ref="AC162:AC164"/>
    <mergeCell ref="AX162:AX164"/>
    <mergeCell ref="AY162:AY164"/>
    <mergeCell ref="AZ162:AZ164"/>
    <mergeCell ref="BA162:BA164"/>
    <mergeCell ref="A162:A164"/>
    <mergeCell ref="B162:B164"/>
    <mergeCell ref="W162:W164"/>
    <mergeCell ref="X162:X164"/>
    <mergeCell ref="Y162:Y164"/>
    <mergeCell ref="Z162:Z164"/>
    <mergeCell ref="AB159:AB161"/>
    <mergeCell ref="AC159:AC161"/>
    <mergeCell ref="AX159:AX161"/>
    <mergeCell ref="AY159:AY161"/>
    <mergeCell ref="AZ159:AZ161"/>
    <mergeCell ref="BA159:BA161"/>
    <mergeCell ref="A159:A161"/>
    <mergeCell ref="B159:B161"/>
    <mergeCell ref="W159:W161"/>
    <mergeCell ref="X159:X161"/>
    <mergeCell ref="Y159:Y161"/>
    <mergeCell ref="Z159:Z161"/>
    <mergeCell ref="AB156:AB158"/>
    <mergeCell ref="AC156:AC158"/>
    <mergeCell ref="AX156:AX158"/>
    <mergeCell ref="AY156:AY158"/>
    <mergeCell ref="AZ156:AZ158"/>
    <mergeCell ref="BA156:BA158"/>
    <mergeCell ref="A156:A158"/>
    <mergeCell ref="B156:B158"/>
    <mergeCell ref="W156:W158"/>
    <mergeCell ref="X156:X158"/>
    <mergeCell ref="Y156:Y158"/>
    <mergeCell ref="Z156:Z158"/>
    <mergeCell ref="AB153:AB155"/>
    <mergeCell ref="AC153:AC155"/>
    <mergeCell ref="AX153:AX155"/>
    <mergeCell ref="AY153:AY155"/>
    <mergeCell ref="AZ153:AZ155"/>
    <mergeCell ref="BA153:BA155"/>
    <mergeCell ref="A153:A155"/>
    <mergeCell ref="B153:B155"/>
    <mergeCell ref="W153:W155"/>
    <mergeCell ref="X153:X155"/>
    <mergeCell ref="Y153:Y155"/>
    <mergeCell ref="Z153:Z155"/>
    <mergeCell ref="AB150:AB152"/>
    <mergeCell ref="AC150:AC152"/>
    <mergeCell ref="AX150:AX152"/>
    <mergeCell ref="AY150:AY152"/>
    <mergeCell ref="AZ150:AZ152"/>
    <mergeCell ref="BA150:BA152"/>
    <mergeCell ref="A150:A152"/>
    <mergeCell ref="B150:B152"/>
    <mergeCell ref="W150:W152"/>
    <mergeCell ref="X150:X152"/>
    <mergeCell ref="Y150:Y152"/>
    <mergeCell ref="Z150:Z152"/>
    <mergeCell ref="AB147:AB149"/>
    <mergeCell ref="AC147:AC149"/>
    <mergeCell ref="AX147:AX149"/>
    <mergeCell ref="AY147:AY149"/>
    <mergeCell ref="AZ147:AZ149"/>
    <mergeCell ref="BA147:BA149"/>
    <mergeCell ref="A147:A149"/>
    <mergeCell ref="B147:B149"/>
    <mergeCell ref="W147:W149"/>
    <mergeCell ref="X147:X149"/>
    <mergeCell ref="Y147:Y149"/>
    <mergeCell ref="Z147:Z149"/>
    <mergeCell ref="AB144:AB146"/>
    <mergeCell ref="AC144:AC146"/>
    <mergeCell ref="AX144:AX146"/>
    <mergeCell ref="AY144:AY146"/>
    <mergeCell ref="AZ144:AZ146"/>
    <mergeCell ref="BA144:BA146"/>
    <mergeCell ref="A144:A146"/>
    <mergeCell ref="B144:B146"/>
    <mergeCell ref="W144:W146"/>
    <mergeCell ref="X144:X146"/>
    <mergeCell ref="Y144:Y146"/>
    <mergeCell ref="Z144:Z146"/>
    <mergeCell ref="AB141:AB143"/>
    <mergeCell ref="AC141:AC143"/>
    <mergeCell ref="AX141:AX143"/>
    <mergeCell ref="AY141:AY143"/>
    <mergeCell ref="AZ141:AZ143"/>
    <mergeCell ref="BA141:BA143"/>
    <mergeCell ref="A141:A143"/>
    <mergeCell ref="B141:B143"/>
    <mergeCell ref="W141:W143"/>
    <mergeCell ref="X141:X143"/>
    <mergeCell ref="Y141:Y143"/>
    <mergeCell ref="Z141:Z143"/>
    <mergeCell ref="AB138:AB140"/>
    <mergeCell ref="AC138:AC140"/>
    <mergeCell ref="AX138:AX140"/>
    <mergeCell ref="AY138:AY140"/>
    <mergeCell ref="AZ138:AZ140"/>
    <mergeCell ref="BA138:BA140"/>
    <mergeCell ref="A138:A140"/>
    <mergeCell ref="B138:B140"/>
    <mergeCell ref="W138:W140"/>
    <mergeCell ref="X138:X140"/>
    <mergeCell ref="Y138:Y140"/>
    <mergeCell ref="Z138:Z140"/>
    <mergeCell ref="AB135:AB137"/>
    <mergeCell ref="AC135:AC137"/>
    <mergeCell ref="AX135:AX137"/>
    <mergeCell ref="AY135:AY137"/>
    <mergeCell ref="AZ135:AZ137"/>
    <mergeCell ref="BA135:BA137"/>
    <mergeCell ref="A135:A137"/>
    <mergeCell ref="B135:B137"/>
    <mergeCell ref="W135:W137"/>
    <mergeCell ref="X135:X137"/>
    <mergeCell ref="Y135:Y137"/>
    <mergeCell ref="Z135:Z137"/>
    <mergeCell ref="AB132:AB134"/>
    <mergeCell ref="AC132:AC134"/>
    <mergeCell ref="AX132:AX134"/>
    <mergeCell ref="AY132:AY134"/>
    <mergeCell ref="AZ132:AZ134"/>
    <mergeCell ref="BA132:BA134"/>
    <mergeCell ref="A132:A134"/>
    <mergeCell ref="B132:B134"/>
    <mergeCell ref="W132:W134"/>
    <mergeCell ref="X132:X134"/>
    <mergeCell ref="Y132:Y134"/>
    <mergeCell ref="Z132:Z134"/>
    <mergeCell ref="AB129:AB131"/>
    <mergeCell ref="AC129:AC131"/>
    <mergeCell ref="AX129:AX131"/>
    <mergeCell ref="AY129:AY131"/>
    <mergeCell ref="AZ129:AZ131"/>
    <mergeCell ref="BA129:BA131"/>
    <mergeCell ref="A129:A131"/>
    <mergeCell ref="B129:B131"/>
    <mergeCell ref="W129:W131"/>
    <mergeCell ref="X129:X131"/>
    <mergeCell ref="Y129:Y131"/>
    <mergeCell ref="Z129:Z131"/>
    <mergeCell ref="AB126:AB128"/>
    <mergeCell ref="AC126:AC128"/>
    <mergeCell ref="AX126:AX128"/>
    <mergeCell ref="AY126:AY128"/>
    <mergeCell ref="AZ126:AZ128"/>
    <mergeCell ref="BA126:BA128"/>
    <mergeCell ref="AX123:AX125"/>
    <mergeCell ref="AY123:AY125"/>
    <mergeCell ref="AZ123:AZ125"/>
    <mergeCell ref="BA123:BA125"/>
    <mergeCell ref="A126:A128"/>
    <mergeCell ref="B126:B128"/>
    <mergeCell ref="W126:W128"/>
    <mergeCell ref="X126:X128"/>
    <mergeCell ref="Y126:Y128"/>
    <mergeCell ref="Z126:Z128"/>
    <mergeCell ref="AX120:AZ121"/>
    <mergeCell ref="BA120:BA122"/>
    <mergeCell ref="A123:A125"/>
    <mergeCell ref="B123:B125"/>
    <mergeCell ref="W123:W125"/>
    <mergeCell ref="X123:X125"/>
    <mergeCell ref="Y123:Y125"/>
    <mergeCell ref="Z123:Z125"/>
    <mergeCell ref="AB123:AB125"/>
    <mergeCell ref="AC123:AC125"/>
    <mergeCell ref="AS119:AY119"/>
    <mergeCell ref="AZ119:BA119"/>
    <mergeCell ref="A120:A122"/>
    <mergeCell ref="B120:B122"/>
    <mergeCell ref="C120:V120"/>
    <mergeCell ref="W120:Y121"/>
    <mergeCell ref="Z120:Z122"/>
    <mergeCell ref="AB120:AB122"/>
    <mergeCell ref="AC120:AC122"/>
    <mergeCell ref="AD120:AW120"/>
    <mergeCell ref="B117:Z117"/>
    <mergeCell ref="AC117:BA117"/>
    <mergeCell ref="B118:Z118"/>
    <mergeCell ref="AC118:BA118"/>
    <mergeCell ref="C119:J119"/>
    <mergeCell ref="K119:Q119"/>
    <mergeCell ref="R119:X119"/>
    <mergeCell ref="Y119:Z119"/>
    <mergeCell ref="AD119:AK119"/>
    <mergeCell ref="AL119:AR119"/>
    <mergeCell ref="AB113:AB115"/>
    <mergeCell ref="AC113:AC115"/>
    <mergeCell ref="AX113:AX115"/>
    <mergeCell ref="AY113:AY115"/>
    <mergeCell ref="AZ113:AZ115"/>
    <mergeCell ref="BA113:BA115"/>
    <mergeCell ref="A113:A115"/>
    <mergeCell ref="B113:B115"/>
    <mergeCell ref="W113:W115"/>
    <mergeCell ref="X113:X115"/>
    <mergeCell ref="Y113:Y115"/>
    <mergeCell ref="Z113:Z115"/>
    <mergeCell ref="AB110:AB112"/>
    <mergeCell ref="AC110:AC112"/>
    <mergeCell ref="AX110:AX112"/>
    <mergeCell ref="AY110:AY112"/>
    <mergeCell ref="AZ110:AZ112"/>
    <mergeCell ref="BA110:BA112"/>
    <mergeCell ref="A110:A112"/>
    <mergeCell ref="B110:B112"/>
    <mergeCell ref="W110:W112"/>
    <mergeCell ref="X110:X112"/>
    <mergeCell ref="Y110:Y112"/>
    <mergeCell ref="Z110:Z112"/>
    <mergeCell ref="AB107:AB109"/>
    <mergeCell ref="AC107:AC109"/>
    <mergeCell ref="AX107:AX109"/>
    <mergeCell ref="AY107:AY109"/>
    <mergeCell ref="AZ107:AZ109"/>
    <mergeCell ref="BA107:BA109"/>
    <mergeCell ref="A107:A109"/>
    <mergeCell ref="B107:B109"/>
    <mergeCell ref="W107:W109"/>
    <mergeCell ref="X107:X109"/>
    <mergeCell ref="Y107:Y109"/>
    <mergeCell ref="Z107:Z109"/>
    <mergeCell ref="AB104:AB106"/>
    <mergeCell ref="AC104:AC106"/>
    <mergeCell ref="AX104:AX106"/>
    <mergeCell ref="AY104:AY106"/>
    <mergeCell ref="AZ104:AZ106"/>
    <mergeCell ref="BA104:BA106"/>
    <mergeCell ref="A104:A106"/>
    <mergeCell ref="B104:B106"/>
    <mergeCell ref="W104:W106"/>
    <mergeCell ref="X104:X106"/>
    <mergeCell ref="Y104:Y106"/>
    <mergeCell ref="Z104:Z106"/>
    <mergeCell ref="AB101:AB103"/>
    <mergeCell ref="AC101:AC103"/>
    <mergeCell ref="AX101:AX103"/>
    <mergeCell ref="AY101:AY103"/>
    <mergeCell ref="AZ101:AZ103"/>
    <mergeCell ref="BA101:BA103"/>
    <mergeCell ref="A101:A103"/>
    <mergeCell ref="B101:B103"/>
    <mergeCell ref="W101:W103"/>
    <mergeCell ref="X101:X103"/>
    <mergeCell ref="Y101:Y103"/>
    <mergeCell ref="Z101:Z103"/>
    <mergeCell ref="AB98:AB100"/>
    <mergeCell ref="AC98:AC100"/>
    <mergeCell ref="AX98:AX100"/>
    <mergeCell ref="AY98:AY100"/>
    <mergeCell ref="AZ98:AZ100"/>
    <mergeCell ref="BA98:BA100"/>
    <mergeCell ref="A98:A100"/>
    <mergeCell ref="B98:B100"/>
    <mergeCell ref="W98:W100"/>
    <mergeCell ref="X98:X100"/>
    <mergeCell ref="Y98:Y100"/>
    <mergeCell ref="Z98:Z100"/>
    <mergeCell ref="AB95:AB97"/>
    <mergeCell ref="AC95:AC97"/>
    <mergeCell ref="AX95:AX97"/>
    <mergeCell ref="AY95:AY97"/>
    <mergeCell ref="AZ95:AZ97"/>
    <mergeCell ref="BA95:BA97"/>
    <mergeCell ref="A95:A97"/>
    <mergeCell ref="B95:B97"/>
    <mergeCell ref="W95:W97"/>
    <mergeCell ref="X95:X97"/>
    <mergeCell ref="Y95:Y97"/>
    <mergeCell ref="Z95:Z97"/>
    <mergeCell ref="AB92:AB94"/>
    <mergeCell ref="AC92:AC94"/>
    <mergeCell ref="AX92:AX94"/>
    <mergeCell ref="AY92:AY94"/>
    <mergeCell ref="AZ92:AZ94"/>
    <mergeCell ref="BA92:BA94"/>
    <mergeCell ref="A92:A94"/>
    <mergeCell ref="B92:B94"/>
    <mergeCell ref="W92:W94"/>
    <mergeCell ref="X92:X94"/>
    <mergeCell ref="Y92:Y94"/>
    <mergeCell ref="Z92:Z94"/>
    <mergeCell ref="AB89:AB91"/>
    <mergeCell ref="AC89:AC91"/>
    <mergeCell ref="AX89:AX91"/>
    <mergeCell ref="AY89:AY91"/>
    <mergeCell ref="AZ89:AZ91"/>
    <mergeCell ref="BA89:BA91"/>
    <mergeCell ref="A89:A91"/>
    <mergeCell ref="B89:B91"/>
    <mergeCell ref="W89:W91"/>
    <mergeCell ref="X89:X91"/>
    <mergeCell ref="Y89:Y91"/>
    <mergeCell ref="Z89:Z91"/>
    <mergeCell ref="AB86:AB88"/>
    <mergeCell ref="AC86:AC88"/>
    <mergeCell ref="AX86:AX88"/>
    <mergeCell ref="AY86:AY88"/>
    <mergeCell ref="AZ86:AZ88"/>
    <mergeCell ref="BA86:BA88"/>
    <mergeCell ref="A86:A88"/>
    <mergeCell ref="B86:B88"/>
    <mergeCell ref="W86:W88"/>
    <mergeCell ref="X86:X88"/>
    <mergeCell ref="Y86:Y88"/>
    <mergeCell ref="Z86:Z88"/>
    <mergeCell ref="AB83:AB85"/>
    <mergeCell ref="AC83:AC85"/>
    <mergeCell ref="AX83:AX85"/>
    <mergeCell ref="AY83:AY85"/>
    <mergeCell ref="AZ83:AZ85"/>
    <mergeCell ref="BA83:BA85"/>
    <mergeCell ref="A83:A85"/>
    <mergeCell ref="B83:B85"/>
    <mergeCell ref="W83:W85"/>
    <mergeCell ref="X83:X85"/>
    <mergeCell ref="Y83:Y85"/>
    <mergeCell ref="Z83:Z85"/>
    <mergeCell ref="AB80:AB82"/>
    <mergeCell ref="AC80:AC82"/>
    <mergeCell ref="AX80:AX82"/>
    <mergeCell ref="AY80:AY82"/>
    <mergeCell ref="AZ80:AZ82"/>
    <mergeCell ref="BA80:BA82"/>
    <mergeCell ref="A80:A82"/>
    <mergeCell ref="B80:B82"/>
    <mergeCell ref="W80:W82"/>
    <mergeCell ref="X80:X82"/>
    <mergeCell ref="Y80:Y82"/>
    <mergeCell ref="Z80:Z82"/>
    <mergeCell ref="AB77:AB79"/>
    <mergeCell ref="AC77:AC79"/>
    <mergeCell ref="AX77:AX79"/>
    <mergeCell ref="AY77:AY79"/>
    <mergeCell ref="AZ77:AZ79"/>
    <mergeCell ref="BA77:BA79"/>
    <mergeCell ref="A77:A79"/>
    <mergeCell ref="B77:B79"/>
    <mergeCell ref="W77:W79"/>
    <mergeCell ref="X77:X79"/>
    <mergeCell ref="Y77:Y79"/>
    <mergeCell ref="Z77:Z79"/>
    <mergeCell ref="AB74:AB76"/>
    <mergeCell ref="AC74:AC76"/>
    <mergeCell ref="AX74:AX76"/>
    <mergeCell ref="AY74:AY76"/>
    <mergeCell ref="AZ74:AZ76"/>
    <mergeCell ref="BA74:BA76"/>
    <mergeCell ref="A74:A76"/>
    <mergeCell ref="B74:B76"/>
    <mergeCell ref="W74:W76"/>
    <mergeCell ref="X74:X76"/>
    <mergeCell ref="Y74:Y76"/>
    <mergeCell ref="Z74:Z76"/>
    <mergeCell ref="AB71:AB73"/>
    <mergeCell ref="AC71:AC73"/>
    <mergeCell ref="AX71:AX73"/>
    <mergeCell ref="AY71:AY73"/>
    <mergeCell ref="AZ71:AZ73"/>
    <mergeCell ref="BA71:BA73"/>
    <mergeCell ref="A71:A73"/>
    <mergeCell ref="B71:B73"/>
    <mergeCell ref="W71:W73"/>
    <mergeCell ref="X71:X73"/>
    <mergeCell ref="Y71:Y73"/>
    <mergeCell ref="Z71:Z73"/>
    <mergeCell ref="AB68:AB70"/>
    <mergeCell ref="AC68:AC70"/>
    <mergeCell ref="AX68:AX70"/>
    <mergeCell ref="AY68:AY70"/>
    <mergeCell ref="AZ68:AZ70"/>
    <mergeCell ref="BA68:BA70"/>
    <mergeCell ref="A68:A70"/>
    <mergeCell ref="B68:B70"/>
    <mergeCell ref="W68:W70"/>
    <mergeCell ref="X68:X70"/>
    <mergeCell ref="Y68:Y70"/>
    <mergeCell ref="Z68:Z70"/>
    <mergeCell ref="AB65:AB67"/>
    <mergeCell ref="AC65:AC67"/>
    <mergeCell ref="AX65:AX67"/>
    <mergeCell ref="AY65:AY67"/>
    <mergeCell ref="AZ65:AZ67"/>
    <mergeCell ref="BA65:BA67"/>
    <mergeCell ref="A65:A67"/>
    <mergeCell ref="B65:B67"/>
    <mergeCell ref="W65:W67"/>
    <mergeCell ref="X65:X67"/>
    <mergeCell ref="Y65:Y67"/>
    <mergeCell ref="Z65:Z67"/>
    <mergeCell ref="AB62:AB64"/>
    <mergeCell ref="AC62:AC64"/>
    <mergeCell ref="AX62:AX64"/>
    <mergeCell ref="AY62:AY64"/>
    <mergeCell ref="AZ62:AZ64"/>
    <mergeCell ref="BA62:BA64"/>
    <mergeCell ref="A62:A64"/>
    <mergeCell ref="B62:B64"/>
    <mergeCell ref="W62:W64"/>
    <mergeCell ref="X62:X64"/>
    <mergeCell ref="Y62:Y64"/>
    <mergeCell ref="Z62:Z64"/>
    <mergeCell ref="AB59:AB61"/>
    <mergeCell ref="AC59:AC61"/>
    <mergeCell ref="AX59:AX61"/>
    <mergeCell ref="AY59:AY61"/>
    <mergeCell ref="AZ59:AZ61"/>
    <mergeCell ref="BA59:BA61"/>
    <mergeCell ref="A59:A61"/>
    <mergeCell ref="B59:B61"/>
    <mergeCell ref="W59:W61"/>
    <mergeCell ref="X59:X61"/>
    <mergeCell ref="Y59:Y61"/>
    <mergeCell ref="Z59:Z61"/>
    <mergeCell ref="AB56:AB58"/>
    <mergeCell ref="AC56:AC58"/>
    <mergeCell ref="AX56:AX58"/>
    <mergeCell ref="AY56:AY58"/>
    <mergeCell ref="AZ56:AZ58"/>
    <mergeCell ref="BA56:BA58"/>
    <mergeCell ref="A56:A58"/>
    <mergeCell ref="B56:B58"/>
    <mergeCell ref="W56:W58"/>
    <mergeCell ref="X56:X58"/>
    <mergeCell ref="Y56:Y58"/>
    <mergeCell ref="Z56:Z58"/>
    <mergeCell ref="AB53:AB55"/>
    <mergeCell ref="AC53:AC55"/>
    <mergeCell ref="AX53:AX55"/>
    <mergeCell ref="AY53:AY55"/>
    <mergeCell ref="AZ53:AZ55"/>
    <mergeCell ref="BA53:BA55"/>
    <mergeCell ref="A53:A55"/>
    <mergeCell ref="B53:B55"/>
    <mergeCell ref="W53:W55"/>
    <mergeCell ref="X53:X55"/>
    <mergeCell ref="Y53:Y55"/>
    <mergeCell ref="Z53:Z55"/>
    <mergeCell ref="AB50:AB52"/>
    <mergeCell ref="AC50:AC52"/>
    <mergeCell ref="AX50:AX52"/>
    <mergeCell ref="AY50:AY52"/>
    <mergeCell ref="AZ50:AZ52"/>
    <mergeCell ref="BA50:BA52"/>
    <mergeCell ref="A50:A52"/>
    <mergeCell ref="B50:B52"/>
    <mergeCell ref="W50:W52"/>
    <mergeCell ref="X50:X52"/>
    <mergeCell ref="Y50:Y52"/>
    <mergeCell ref="Z50:Z52"/>
    <mergeCell ref="AB47:AB49"/>
    <mergeCell ref="AC47:AC49"/>
    <mergeCell ref="AX47:AX49"/>
    <mergeCell ref="AY47:AY49"/>
    <mergeCell ref="AZ47:AZ49"/>
    <mergeCell ref="BA47:BA49"/>
    <mergeCell ref="A47:A49"/>
    <mergeCell ref="B47:B49"/>
    <mergeCell ref="W47:W49"/>
    <mergeCell ref="X47:X49"/>
    <mergeCell ref="Y47:Y49"/>
    <mergeCell ref="Z47:Z49"/>
    <mergeCell ref="AB44:AB46"/>
    <mergeCell ref="AC44:AC46"/>
    <mergeCell ref="AX44:AX46"/>
    <mergeCell ref="AY44:AY46"/>
    <mergeCell ref="AZ44:AZ46"/>
    <mergeCell ref="BA44:BA46"/>
    <mergeCell ref="A44:A46"/>
    <mergeCell ref="B44:B46"/>
    <mergeCell ref="W44:W46"/>
    <mergeCell ref="X44:X46"/>
    <mergeCell ref="Y44:Y46"/>
    <mergeCell ref="Z44:Z46"/>
    <mergeCell ref="AB41:AB43"/>
    <mergeCell ref="AC41:AC43"/>
    <mergeCell ref="AX41:AX43"/>
    <mergeCell ref="AY41:AY43"/>
    <mergeCell ref="AZ41:AZ43"/>
    <mergeCell ref="BA41:BA43"/>
    <mergeCell ref="A41:A43"/>
    <mergeCell ref="B41:B43"/>
    <mergeCell ref="W41:W43"/>
    <mergeCell ref="X41:X43"/>
    <mergeCell ref="Y41:Y43"/>
    <mergeCell ref="Z41:Z43"/>
    <mergeCell ref="AB38:AB40"/>
    <mergeCell ref="AC38:AC40"/>
    <mergeCell ref="AX38:AX40"/>
    <mergeCell ref="AY38:AY40"/>
    <mergeCell ref="AZ38:AZ40"/>
    <mergeCell ref="BA38:BA40"/>
    <mergeCell ref="A38:A40"/>
    <mergeCell ref="B38:B40"/>
    <mergeCell ref="W38:W40"/>
    <mergeCell ref="X38:X40"/>
    <mergeCell ref="Y38:Y40"/>
    <mergeCell ref="Z38:Z40"/>
    <mergeCell ref="AB35:AB37"/>
    <mergeCell ref="AC35:AC37"/>
    <mergeCell ref="AX35:AX37"/>
    <mergeCell ref="AY35:AY37"/>
    <mergeCell ref="AZ35:AZ37"/>
    <mergeCell ref="BA35:BA37"/>
    <mergeCell ref="A35:A37"/>
    <mergeCell ref="B35:B37"/>
    <mergeCell ref="W35:W37"/>
    <mergeCell ref="X35:X37"/>
    <mergeCell ref="Y35:Y37"/>
    <mergeCell ref="Z35:Z37"/>
    <mergeCell ref="AB32:AB34"/>
    <mergeCell ref="AC32:AC34"/>
    <mergeCell ref="AX32:AX34"/>
    <mergeCell ref="AY32:AY34"/>
    <mergeCell ref="AZ32:AZ34"/>
    <mergeCell ref="BA32:BA34"/>
    <mergeCell ref="A32:A34"/>
    <mergeCell ref="B32:B34"/>
    <mergeCell ref="W32:W34"/>
    <mergeCell ref="X32:X34"/>
    <mergeCell ref="Y32:Y34"/>
    <mergeCell ref="Z32:Z34"/>
    <mergeCell ref="AB29:AB31"/>
    <mergeCell ref="AC29:AC31"/>
    <mergeCell ref="AX29:AX31"/>
    <mergeCell ref="AY29:AY31"/>
    <mergeCell ref="AZ29:AZ31"/>
    <mergeCell ref="BA29:BA31"/>
    <mergeCell ref="A29:A31"/>
    <mergeCell ref="B29:B31"/>
    <mergeCell ref="W29:W31"/>
    <mergeCell ref="X29:X31"/>
    <mergeCell ref="Y29:Y31"/>
    <mergeCell ref="Z29:Z31"/>
    <mergeCell ref="AB26:AB28"/>
    <mergeCell ref="AC26:AC28"/>
    <mergeCell ref="AX26:AX28"/>
    <mergeCell ref="AY26:AY28"/>
    <mergeCell ref="AZ26:AZ28"/>
    <mergeCell ref="BA26:BA28"/>
    <mergeCell ref="A26:A28"/>
    <mergeCell ref="B26:B28"/>
    <mergeCell ref="W26:W28"/>
    <mergeCell ref="X26:X28"/>
    <mergeCell ref="Y26:Y28"/>
    <mergeCell ref="Z26:Z28"/>
    <mergeCell ref="AC17:AC19"/>
    <mergeCell ref="AX17:AX19"/>
    <mergeCell ref="AY17:AY19"/>
    <mergeCell ref="AZ17:AZ19"/>
    <mergeCell ref="BA17:BA19"/>
    <mergeCell ref="AB23:AB25"/>
    <mergeCell ref="AC23:AC25"/>
    <mergeCell ref="AX23:AX25"/>
    <mergeCell ref="AY23:AY25"/>
    <mergeCell ref="AZ23:AZ25"/>
    <mergeCell ref="BA23:BA25"/>
    <mergeCell ref="A23:A25"/>
    <mergeCell ref="B23:B25"/>
    <mergeCell ref="W23:W25"/>
    <mergeCell ref="X23:X25"/>
    <mergeCell ref="Y23:Y25"/>
    <mergeCell ref="Z23:Z25"/>
    <mergeCell ref="AB20:AB22"/>
    <mergeCell ref="AC20:AC22"/>
    <mergeCell ref="AX20:AX22"/>
    <mergeCell ref="AY20:AY22"/>
    <mergeCell ref="AZ20:AZ22"/>
    <mergeCell ref="BA20:BA22"/>
    <mergeCell ref="A20:A22"/>
    <mergeCell ref="B20:B22"/>
    <mergeCell ref="W20:W22"/>
    <mergeCell ref="X20:X22"/>
    <mergeCell ref="Y20:Y22"/>
    <mergeCell ref="Z20:Z22"/>
    <mergeCell ref="C8:V8"/>
    <mergeCell ref="W8:Y9"/>
    <mergeCell ref="Z8:Z10"/>
    <mergeCell ref="AB8:AB10"/>
    <mergeCell ref="B2:B3"/>
    <mergeCell ref="C2:G2"/>
    <mergeCell ref="H2:L2"/>
    <mergeCell ref="M2:Q2"/>
    <mergeCell ref="R2:V2"/>
    <mergeCell ref="B6:Z6"/>
    <mergeCell ref="AC6:BA6"/>
    <mergeCell ref="C7:J7"/>
    <mergeCell ref="K7:Q7"/>
    <mergeCell ref="A17:A19"/>
    <mergeCell ref="B17:B19"/>
    <mergeCell ref="W17:W19"/>
    <mergeCell ref="X17:X19"/>
    <mergeCell ref="Y17:Y19"/>
    <mergeCell ref="Z17:Z19"/>
    <mergeCell ref="AB14:AB16"/>
    <mergeCell ref="AC14:AC16"/>
    <mergeCell ref="AX14:AX16"/>
    <mergeCell ref="AY14:AY16"/>
    <mergeCell ref="AZ14:AZ16"/>
    <mergeCell ref="BA14:BA16"/>
    <mergeCell ref="A14:A16"/>
    <mergeCell ref="B14:B16"/>
    <mergeCell ref="W14:W16"/>
    <mergeCell ref="X14:X16"/>
    <mergeCell ref="Y14:Y16"/>
    <mergeCell ref="Z14:Z16"/>
    <mergeCell ref="AB17:AB19"/>
    <mergeCell ref="R7:X7"/>
    <mergeCell ref="Y7:Z7"/>
    <mergeCell ref="AD7:AK7"/>
    <mergeCell ref="AL7:AR7"/>
    <mergeCell ref="AS7:AY7"/>
    <mergeCell ref="AZ7:BA7"/>
    <mergeCell ref="AC2:BA3"/>
    <mergeCell ref="C3:G3"/>
    <mergeCell ref="H3:L3"/>
    <mergeCell ref="M3:Q3"/>
    <mergeCell ref="R3:V3"/>
    <mergeCell ref="B5:Z5"/>
    <mergeCell ref="AC5:BA5"/>
    <mergeCell ref="A2:A3"/>
    <mergeCell ref="AB11:AB13"/>
    <mergeCell ref="AC11:AC13"/>
    <mergeCell ref="AX11:AX13"/>
    <mergeCell ref="AY11:AY13"/>
    <mergeCell ref="AZ11:AZ13"/>
    <mergeCell ref="BA11:BA13"/>
    <mergeCell ref="AC8:AC10"/>
    <mergeCell ref="AD8:AW8"/>
    <mergeCell ref="AX8:AZ9"/>
    <mergeCell ref="BA8:BA10"/>
    <mergeCell ref="A11:A13"/>
    <mergeCell ref="B11:B13"/>
    <mergeCell ref="W11:W13"/>
    <mergeCell ref="X11:X13"/>
    <mergeCell ref="Y11:Y13"/>
    <mergeCell ref="Z11:Z13"/>
    <mergeCell ref="A8:A10"/>
    <mergeCell ref="B8:B10"/>
  </mergeCells>
  <conditionalFormatting sqref="B340 AC340">
    <cfRule type="cellIs" dxfId="429" priority="419" operator="equal">
      <formula>0</formula>
    </cfRule>
  </conditionalFormatting>
  <conditionalFormatting sqref="C11:V115">
    <cfRule type="cellIs" dxfId="428" priority="416" operator="equal">
      <formula>"√"</formula>
    </cfRule>
    <cfRule type="cellIs" dxfId="427" priority="417" operator="equal">
      <formula>"X"</formula>
    </cfRule>
    <cfRule type="cellIs" dxfId="426" priority="418" operator="equal">
      <formula>" ?"</formula>
    </cfRule>
  </conditionalFormatting>
  <conditionalFormatting sqref="C531:V563">
    <cfRule type="cellIs" dxfId="425" priority="305" operator="equal">
      <formula>"√"</formula>
    </cfRule>
    <cfRule type="cellIs" dxfId="424" priority="306" operator="equal">
      <formula>"X"</formula>
    </cfRule>
    <cfRule type="cellIs" dxfId="423" priority="307" operator="equal">
      <formula>" ?"</formula>
    </cfRule>
  </conditionalFormatting>
  <conditionalFormatting sqref="AD419:AW451">
    <cfRule type="cellIs" dxfId="422" priority="317" operator="equal">
      <formula>"√"</formula>
    </cfRule>
    <cfRule type="cellIs" dxfId="421" priority="318" operator="equal">
      <formula>"X"</formula>
    </cfRule>
    <cfRule type="cellIs" dxfId="420" priority="319" operator="equal">
      <formula>" ?"</formula>
    </cfRule>
  </conditionalFormatting>
  <conditionalFormatting sqref="C340:V340">
    <cfRule type="cellIs" dxfId="419" priority="413" operator="equal">
      <formula>"√"</formula>
    </cfRule>
    <cfRule type="cellIs" dxfId="418" priority="414" operator="equal">
      <formula>"X"</formula>
    </cfRule>
    <cfRule type="cellIs" dxfId="417" priority="415" operator="equal">
      <formula>" ?"</formula>
    </cfRule>
  </conditionalFormatting>
  <conditionalFormatting sqref="AD340:AW340">
    <cfRule type="cellIs" dxfId="416" priority="410" operator="equal">
      <formula>"√"</formula>
    </cfRule>
    <cfRule type="cellIs" dxfId="415" priority="411" operator="equal">
      <formula>"X"</formula>
    </cfRule>
    <cfRule type="cellIs" dxfId="414" priority="412" operator="equal">
      <formula>" ?"</formula>
    </cfRule>
  </conditionalFormatting>
  <conditionalFormatting sqref="Z11 Z14 Z17 Z20 Z23 Z26 Z29 Z32 Z35 Z38 Z41 Z44">
    <cfRule type="cellIs" dxfId="413" priority="409" stopIfTrue="1" operator="greaterThan">
      <formula>40</formula>
    </cfRule>
  </conditionalFormatting>
  <conditionalFormatting sqref="Z340 BA340">
    <cfRule type="cellIs" dxfId="412" priority="408" stopIfTrue="1" operator="greaterThan">
      <formula>40</formula>
    </cfRule>
  </conditionalFormatting>
  <conditionalFormatting sqref="C47:V82">
    <cfRule type="cellIs" dxfId="411" priority="405" operator="equal">
      <formula>"√"</formula>
    </cfRule>
    <cfRule type="cellIs" dxfId="410" priority="406" operator="equal">
      <formula>"X"</formula>
    </cfRule>
    <cfRule type="cellIs" dxfId="409" priority="407" operator="equal">
      <formula>" ?"</formula>
    </cfRule>
  </conditionalFormatting>
  <conditionalFormatting sqref="Z47 Z50 Z53 Z56 Z59 Z62 Z65 Z68 Z71 Z74 Z77 Z80">
    <cfRule type="cellIs" dxfId="408" priority="404" stopIfTrue="1" operator="greaterThan">
      <formula>40</formula>
    </cfRule>
  </conditionalFormatting>
  <conditionalFormatting sqref="C83:V115">
    <cfRule type="cellIs" dxfId="407" priority="401" operator="equal">
      <formula>"√"</formula>
    </cfRule>
    <cfRule type="cellIs" dxfId="406" priority="402" operator="equal">
      <formula>"X"</formula>
    </cfRule>
    <cfRule type="cellIs" dxfId="405" priority="403" operator="equal">
      <formula>" ?"</formula>
    </cfRule>
  </conditionalFormatting>
  <conditionalFormatting sqref="Z83 Z86 Z89 Z92 Z95 Z98 Z101 Z104 Z107 Z110 Z113">
    <cfRule type="cellIs" dxfId="404" priority="400" stopIfTrue="1" operator="greaterThan">
      <formula>40</formula>
    </cfRule>
  </conditionalFormatting>
  <conditionalFormatting sqref="AD11:AW46">
    <cfRule type="cellIs" dxfId="403" priority="397" operator="equal">
      <formula>"√"</formula>
    </cfRule>
    <cfRule type="cellIs" dxfId="402" priority="398" operator="equal">
      <formula>"X"</formula>
    </cfRule>
    <cfRule type="cellIs" dxfId="401" priority="399" operator="equal">
      <formula>" ?"</formula>
    </cfRule>
  </conditionalFormatting>
  <conditionalFormatting sqref="BA11 BA14 BA17 BA20 BA23 BA26 BA29 BA32 BA35 BA38 BA41 BA44">
    <cfRule type="cellIs" dxfId="400" priority="396" stopIfTrue="1" operator="greaterThan">
      <formula>40</formula>
    </cfRule>
  </conditionalFormatting>
  <conditionalFormatting sqref="AD47:AW82">
    <cfRule type="cellIs" dxfId="399" priority="393" operator="equal">
      <formula>"√"</formula>
    </cfRule>
    <cfRule type="cellIs" dxfId="398" priority="394" operator="equal">
      <formula>"X"</formula>
    </cfRule>
    <cfRule type="cellIs" dxfId="397" priority="395" operator="equal">
      <formula>" ?"</formula>
    </cfRule>
  </conditionalFormatting>
  <conditionalFormatting sqref="BA47 BA50 BA53 BA56 BA59 BA62 BA65 BA68 BA71 BA74 BA77 BA80">
    <cfRule type="cellIs" dxfId="396" priority="392" stopIfTrue="1" operator="greaterThan">
      <formula>40</formula>
    </cfRule>
  </conditionalFormatting>
  <conditionalFormatting sqref="AD83:AW115">
    <cfRule type="cellIs" dxfId="395" priority="389" operator="equal">
      <formula>"√"</formula>
    </cfRule>
    <cfRule type="cellIs" dxfId="394" priority="390" operator="equal">
      <formula>"X"</formula>
    </cfRule>
    <cfRule type="cellIs" dxfId="393" priority="391" operator="equal">
      <formula>" ?"</formula>
    </cfRule>
  </conditionalFormatting>
  <conditionalFormatting sqref="BA83 BA86 BA89 BA92 BA95 BA98 BA101 BA104 BA107 BA110 BA113">
    <cfRule type="cellIs" dxfId="392" priority="388" stopIfTrue="1" operator="greaterThan">
      <formula>40</formula>
    </cfRule>
  </conditionalFormatting>
  <conditionalFormatting sqref="C123:V158">
    <cfRule type="cellIs" dxfId="391" priority="385" operator="equal">
      <formula>"√"</formula>
    </cfRule>
    <cfRule type="cellIs" dxfId="390" priority="386" operator="equal">
      <formula>"X"</formula>
    </cfRule>
    <cfRule type="cellIs" dxfId="389" priority="387" operator="equal">
      <formula>" ?"</formula>
    </cfRule>
  </conditionalFormatting>
  <conditionalFormatting sqref="Z123 Z126 Z129 Z132 Z135 Z138 Z141 Z144 Z147 Z150 Z153 Z156">
    <cfRule type="cellIs" dxfId="388" priority="384" stopIfTrue="1" operator="greaterThan">
      <formula>40</formula>
    </cfRule>
  </conditionalFormatting>
  <conditionalFormatting sqref="C159:V194">
    <cfRule type="cellIs" dxfId="387" priority="381" operator="equal">
      <formula>"√"</formula>
    </cfRule>
    <cfRule type="cellIs" dxfId="386" priority="382" operator="equal">
      <formula>"X"</formula>
    </cfRule>
    <cfRule type="cellIs" dxfId="385" priority="383" operator="equal">
      <formula>" ?"</formula>
    </cfRule>
  </conditionalFormatting>
  <conditionalFormatting sqref="Z159 Z162 Z165 Z168 Z171 Z174 Z177 Z180 Z183 Z186 Z189 Z192">
    <cfRule type="cellIs" dxfId="384" priority="380" stopIfTrue="1" operator="greaterThan">
      <formula>40</formula>
    </cfRule>
  </conditionalFormatting>
  <conditionalFormatting sqref="C195:V227">
    <cfRule type="cellIs" dxfId="383" priority="377" operator="equal">
      <formula>"√"</formula>
    </cfRule>
    <cfRule type="cellIs" dxfId="382" priority="378" operator="equal">
      <formula>"X"</formula>
    </cfRule>
    <cfRule type="cellIs" dxfId="381" priority="379" operator="equal">
      <formula>" ?"</formula>
    </cfRule>
  </conditionalFormatting>
  <conditionalFormatting sqref="Z195 Z198 Z201 Z204 Z207 Z210 Z213 Z216 Z219 Z222 Z225">
    <cfRule type="cellIs" dxfId="380" priority="376" stopIfTrue="1" operator="greaterThan">
      <formula>40</formula>
    </cfRule>
  </conditionalFormatting>
  <conditionalFormatting sqref="AD123:AW158">
    <cfRule type="cellIs" dxfId="379" priority="373" operator="equal">
      <formula>"√"</formula>
    </cfRule>
    <cfRule type="cellIs" dxfId="378" priority="374" operator="equal">
      <formula>"X"</formula>
    </cfRule>
    <cfRule type="cellIs" dxfId="377" priority="375" operator="equal">
      <formula>" ?"</formula>
    </cfRule>
  </conditionalFormatting>
  <conditionalFormatting sqref="BA123 BA126 BA129 BA132 BA135 BA138 BA141 BA144 BA147 BA150 BA153 BA156">
    <cfRule type="cellIs" dxfId="376" priority="372" stopIfTrue="1" operator="greaterThan">
      <formula>40</formula>
    </cfRule>
  </conditionalFormatting>
  <conditionalFormatting sqref="AD159:AW194">
    <cfRule type="cellIs" dxfId="375" priority="369" operator="equal">
      <formula>"√"</formula>
    </cfRule>
    <cfRule type="cellIs" dxfId="374" priority="370" operator="equal">
      <formula>"X"</formula>
    </cfRule>
    <cfRule type="cellIs" dxfId="373" priority="371" operator="equal">
      <formula>" ?"</formula>
    </cfRule>
  </conditionalFormatting>
  <conditionalFormatting sqref="BA159 BA162 BA165 BA168 BA171 BA174 BA177 BA180 BA183 BA186 BA189 BA192">
    <cfRule type="cellIs" dxfId="372" priority="368" stopIfTrue="1" operator="greaterThan">
      <formula>40</formula>
    </cfRule>
  </conditionalFormatting>
  <conditionalFormatting sqref="AD195:AW227">
    <cfRule type="cellIs" dxfId="371" priority="365" operator="equal">
      <formula>"√"</formula>
    </cfRule>
    <cfRule type="cellIs" dxfId="370" priority="366" operator="equal">
      <formula>"X"</formula>
    </cfRule>
    <cfRule type="cellIs" dxfId="369" priority="367" operator="equal">
      <formula>" ?"</formula>
    </cfRule>
  </conditionalFormatting>
  <conditionalFormatting sqref="BA195 BA198 BA201 BA204 BA207 BA210 BA213 BA216 BA219 BA222 BA225">
    <cfRule type="cellIs" dxfId="368" priority="364" stopIfTrue="1" operator="greaterThan">
      <formula>40</formula>
    </cfRule>
  </conditionalFormatting>
  <conditionalFormatting sqref="C235:V270">
    <cfRule type="cellIs" dxfId="367" priority="361" operator="equal">
      <formula>"√"</formula>
    </cfRule>
    <cfRule type="cellIs" dxfId="366" priority="362" operator="equal">
      <formula>"X"</formula>
    </cfRule>
    <cfRule type="cellIs" dxfId="365" priority="363" operator="equal">
      <formula>" ?"</formula>
    </cfRule>
  </conditionalFormatting>
  <conditionalFormatting sqref="Z235 Z238 Z241 Z244 Z247 Z250 Z253 Z256 Z259 Z262 Z265 Z268">
    <cfRule type="cellIs" dxfId="364" priority="360" stopIfTrue="1" operator="greaterThan">
      <formula>40</formula>
    </cfRule>
  </conditionalFormatting>
  <conditionalFormatting sqref="C271:V306">
    <cfRule type="cellIs" dxfId="363" priority="357" operator="equal">
      <formula>"√"</formula>
    </cfRule>
    <cfRule type="cellIs" dxfId="362" priority="358" operator="equal">
      <formula>"X"</formula>
    </cfRule>
    <cfRule type="cellIs" dxfId="361" priority="359" operator="equal">
      <formula>" ?"</formula>
    </cfRule>
  </conditionalFormatting>
  <conditionalFormatting sqref="Z271 Z274 Z277 Z280 Z283 Z286 Z289 Z292 Z295 Z298 Z301 Z304">
    <cfRule type="cellIs" dxfId="360" priority="356" stopIfTrue="1" operator="greaterThan">
      <formula>40</formula>
    </cfRule>
  </conditionalFormatting>
  <conditionalFormatting sqref="C307:V339">
    <cfRule type="cellIs" dxfId="359" priority="353" operator="equal">
      <formula>"√"</formula>
    </cfRule>
    <cfRule type="cellIs" dxfId="358" priority="354" operator="equal">
      <formula>"X"</formula>
    </cfRule>
    <cfRule type="cellIs" dxfId="357" priority="355" operator="equal">
      <formula>" ?"</formula>
    </cfRule>
  </conditionalFormatting>
  <conditionalFormatting sqref="Z307 Z310 Z313 Z316 Z319 Z322 Z325 Z328 Z331 Z334 Z337">
    <cfRule type="cellIs" dxfId="356" priority="352" stopIfTrue="1" operator="greaterThan">
      <formula>40</formula>
    </cfRule>
  </conditionalFormatting>
  <conditionalFormatting sqref="AD235:AW270">
    <cfRule type="cellIs" dxfId="355" priority="349" operator="equal">
      <formula>"√"</formula>
    </cfRule>
    <cfRule type="cellIs" dxfId="354" priority="350" operator="equal">
      <formula>"X"</formula>
    </cfRule>
    <cfRule type="cellIs" dxfId="353" priority="351" operator="equal">
      <formula>" ?"</formula>
    </cfRule>
  </conditionalFormatting>
  <conditionalFormatting sqref="BA235 BA238 BA241 BA244 BA247 BA250 BA253 BA256 BA259 BA262 BA265 BA268">
    <cfRule type="cellIs" dxfId="352" priority="348" stopIfTrue="1" operator="greaterThan">
      <formula>40</formula>
    </cfRule>
  </conditionalFormatting>
  <conditionalFormatting sqref="AD271:AW306">
    <cfRule type="cellIs" dxfId="351" priority="345" operator="equal">
      <formula>"√"</formula>
    </cfRule>
    <cfRule type="cellIs" dxfId="350" priority="346" operator="equal">
      <formula>"X"</formula>
    </cfRule>
    <cfRule type="cellIs" dxfId="349" priority="347" operator="equal">
      <formula>" ?"</formula>
    </cfRule>
  </conditionalFormatting>
  <conditionalFormatting sqref="BA271 BA274 BA277 BA280 BA283 BA286 BA289 BA292 BA295 BA298 BA301 BA304">
    <cfRule type="cellIs" dxfId="348" priority="344" stopIfTrue="1" operator="greaterThan">
      <formula>40</formula>
    </cfRule>
  </conditionalFormatting>
  <conditionalFormatting sqref="AD307:AW339">
    <cfRule type="cellIs" dxfId="347" priority="341" operator="equal">
      <formula>"√"</formula>
    </cfRule>
    <cfRule type="cellIs" dxfId="346" priority="342" operator="equal">
      <formula>"X"</formula>
    </cfRule>
    <cfRule type="cellIs" dxfId="345" priority="343" operator="equal">
      <formula>" ?"</formula>
    </cfRule>
  </conditionalFormatting>
  <conditionalFormatting sqref="BA307 BA310 BA313 BA316 BA319 BA322 BA325 BA328 BA331 BA334 BA337">
    <cfRule type="cellIs" dxfId="344" priority="340" stopIfTrue="1" operator="greaterThan">
      <formula>40</formula>
    </cfRule>
  </conditionalFormatting>
  <conditionalFormatting sqref="C347:V382">
    <cfRule type="cellIs" dxfId="343" priority="337" operator="equal">
      <formula>"√"</formula>
    </cfRule>
    <cfRule type="cellIs" dxfId="342" priority="338" operator="equal">
      <formula>"X"</formula>
    </cfRule>
    <cfRule type="cellIs" dxfId="341" priority="339" operator="equal">
      <formula>" ?"</formula>
    </cfRule>
  </conditionalFormatting>
  <conditionalFormatting sqref="Z347 Z350 Z353 Z356 Z359 Z362 Z365 Z368 Z371 Z374 Z377 Z380">
    <cfRule type="cellIs" dxfId="340" priority="336" stopIfTrue="1" operator="greaterThan">
      <formula>40</formula>
    </cfRule>
  </conditionalFormatting>
  <conditionalFormatting sqref="C383:V418">
    <cfRule type="cellIs" dxfId="339" priority="333" operator="equal">
      <formula>"√"</formula>
    </cfRule>
    <cfRule type="cellIs" dxfId="338" priority="334" operator="equal">
      <formula>"X"</formula>
    </cfRule>
    <cfRule type="cellIs" dxfId="337" priority="335" operator="equal">
      <formula>" ?"</formula>
    </cfRule>
  </conditionalFormatting>
  <conditionalFormatting sqref="Z383 Z386 Z389 Z392 Z395 Z398 Z401 Z404 Z407 Z410 Z413 Z416">
    <cfRule type="cellIs" dxfId="336" priority="332" stopIfTrue="1" operator="greaterThan">
      <formula>40</formula>
    </cfRule>
  </conditionalFormatting>
  <conditionalFormatting sqref="C419:V451">
    <cfRule type="cellIs" dxfId="335" priority="329" operator="equal">
      <formula>"√"</formula>
    </cfRule>
    <cfRule type="cellIs" dxfId="334" priority="330" operator="equal">
      <formula>"X"</formula>
    </cfRule>
    <cfRule type="cellIs" dxfId="333" priority="331" operator="equal">
      <formula>" ?"</formula>
    </cfRule>
  </conditionalFormatting>
  <conditionalFormatting sqref="Z419 Z422 Z425 Z428 Z431 Z434 Z437 Z440 Z443 Z446 Z449">
    <cfRule type="cellIs" dxfId="332" priority="328" stopIfTrue="1" operator="greaterThan">
      <formula>40</formula>
    </cfRule>
  </conditionalFormatting>
  <conditionalFormatting sqref="AD347:AW382">
    <cfRule type="cellIs" dxfId="331" priority="325" operator="equal">
      <formula>"√"</formula>
    </cfRule>
    <cfRule type="cellIs" dxfId="330" priority="326" operator="equal">
      <formula>"X"</formula>
    </cfRule>
    <cfRule type="cellIs" dxfId="329" priority="327" operator="equal">
      <formula>" ?"</formula>
    </cfRule>
  </conditionalFormatting>
  <conditionalFormatting sqref="BA347 BA350 BA353 BA356 BA359 BA362 BA365 BA368 BA371 BA374 BA377 BA380">
    <cfRule type="cellIs" dxfId="328" priority="324" stopIfTrue="1" operator="greaterThan">
      <formula>40</formula>
    </cfRule>
  </conditionalFormatting>
  <conditionalFormatting sqref="AD383:AW418">
    <cfRule type="cellIs" dxfId="327" priority="321" operator="equal">
      <formula>"√"</formula>
    </cfRule>
    <cfRule type="cellIs" dxfId="326" priority="322" operator="equal">
      <formula>"X"</formula>
    </cfRule>
    <cfRule type="cellIs" dxfId="325" priority="323" operator="equal">
      <formula>" ?"</formula>
    </cfRule>
  </conditionalFormatting>
  <conditionalFormatting sqref="BA383 BA386 BA389 BA392 BA395 BA398 BA401 BA404 BA407 BA410 BA413 BA416">
    <cfRule type="cellIs" dxfId="324" priority="320" stopIfTrue="1" operator="greaterThan">
      <formula>40</formula>
    </cfRule>
  </conditionalFormatting>
  <conditionalFormatting sqref="BA419 BA422 BA425 BA428 BA431 BA434 BA437 BA440 BA443 BA446 BA449">
    <cfRule type="cellIs" dxfId="323" priority="316" stopIfTrue="1" operator="greaterThan">
      <formula>40</formula>
    </cfRule>
  </conditionalFormatting>
  <conditionalFormatting sqref="C459:V494">
    <cfRule type="cellIs" dxfId="322" priority="313" operator="equal">
      <formula>"√"</formula>
    </cfRule>
    <cfRule type="cellIs" dxfId="321" priority="314" operator="equal">
      <formula>"X"</formula>
    </cfRule>
    <cfRule type="cellIs" dxfId="320" priority="315" operator="equal">
      <formula>" ?"</formula>
    </cfRule>
  </conditionalFormatting>
  <conditionalFormatting sqref="Z459 Z462 Z465 Z468 Z471 Z474 Z477 Z480 Z483 Z486 Z489 Z492">
    <cfRule type="cellIs" dxfId="319" priority="312" stopIfTrue="1" operator="greaterThan">
      <formula>40</formula>
    </cfRule>
  </conditionalFormatting>
  <conditionalFormatting sqref="C495:V530">
    <cfRule type="cellIs" dxfId="318" priority="309" operator="equal">
      <formula>"√"</formula>
    </cfRule>
    <cfRule type="cellIs" dxfId="317" priority="310" operator="equal">
      <formula>"X"</formula>
    </cfRule>
    <cfRule type="cellIs" dxfId="316" priority="311" operator="equal">
      <formula>" ?"</formula>
    </cfRule>
  </conditionalFormatting>
  <conditionalFormatting sqref="Z495 Z498 Z501 Z504 Z507 Z510 Z513 Z516 Z519 Z522 Z525 Z528">
    <cfRule type="cellIs" dxfId="315" priority="308" stopIfTrue="1" operator="greaterThan">
      <formula>40</formula>
    </cfRule>
  </conditionalFormatting>
  <conditionalFormatting sqref="Z531 Z534 Z537 Z540 Z543 Z546 Z549 Z552 Z555 Z558 Z561">
    <cfRule type="cellIs" dxfId="314" priority="304" stopIfTrue="1" operator="greaterThan">
      <formula>40</formula>
    </cfRule>
  </conditionalFormatting>
  <conditionalFormatting sqref="AD459:AW494">
    <cfRule type="cellIs" dxfId="313" priority="301" operator="equal">
      <formula>"√"</formula>
    </cfRule>
    <cfRule type="cellIs" dxfId="312" priority="302" operator="equal">
      <formula>"X"</formula>
    </cfRule>
    <cfRule type="cellIs" dxfId="311" priority="303" operator="equal">
      <formula>" ?"</formula>
    </cfRule>
  </conditionalFormatting>
  <conditionalFormatting sqref="BA459 BA462 BA465 BA468 BA471 BA474 BA477 BA480 BA483 BA486 BA489 BA492">
    <cfRule type="cellIs" dxfId="310" priority="300" stopIfTrue="1" operator="greaterThan">
      <formula>40</formula>
    </cfRule>
  </conditionalFormatting>
  <conditionalFormatting sqref="AD495:AW530">
    <cfRule type="cellIs" dxfId="309" priority="297" operator="equal">
      <formula>"√"</formula>
    </cfRule>
    <cfRule type="cellIs" dxfId="308" priority="298" operator="equal">
      <formula>"X"</formula>
    </cfRule>
    <cfRule type="cellIs" dxfId="307" priority="299" operator="equal">
      <formula>" ?"</formula>
    </cfRule>
  </conditionalFormatting>
  <conditionalFormatting sqref="BA495 BA498 BA501 BA504 BA507 BA510 BA513 BA516 BA519 BA522 BA525 BA528">
    <cfRule type="cellIs" dxfId="306" priority="296" stopIfTrue="1" operator="greaterThan">
      <formula>40</formula>
    </cfRule>
  </conditionalFormatting>
  <conditionalFormatting sqref="AD531:AW563">
    <cfRule type="cellIs" dxfId="305" priority="293" operator="equal">
      <formula>"√"</formula>
    </cfRule>
    <cfRule type="cellIs" dxfId="304" priority="294" operator="equal">
      <formula>"X"</formula>
    </cfRule>
    <cfRule type="cellIs" dxfId="303" priority="295" operator="equal">
      <formula>" ?"</formula>
    </cfRule>
  </conditionalFormatting>
  <conditionalFormatting sqref="BA531 BA534 BA537 BA540 BA543 BA546 BA549 BA552 BA555 BA558 BA561">
    <cfRule type="cellIs" dxfId="302" priority="292" stopIfTrue="1" operator="greaterThan">
      <formula>40</formula>
    </cfRule>
  </conditionalFormatting>
  <conditionalFormatting sqref="C571:V606">
    <cfRule type="cellIs" dxfId="301" priority="289" operator="equal">
      <formula>"√"</formula>
    </cfRule>
    <cfRule type="cellIs" dxfId="300" priority="290" operator="equal">
      <formula>"X"</formula>
    </cfRule>
    <cfRule type="cellIs" dxfId="299" priority="291" operator="equal">
      <formula>" ?"</formula>
    </cfRule>
  </conditionalFormatting>
  <conditionalFormatting sqref="Z571 Z574 Z577 Z580 Z583 Z586 Z589 Z592 Z595 Z598 Z601 Z604">
    <cfRule type="cellIs" dxfId="298" priority="288" stopIfTrue="1" operator="greaterThan">
      <formula>40</formula>
    </cfRule>
  </conditionalFormatting>
  <conditionalFormatting sqref="C607:V642">
    <cfRule type="cellIs" dxfId="297" priority="285" operator="equal">
      <formula>"√"</formula>
    </cfRule>
    <cfRule type="cellIs" dxfId="296" priority="286" operator="equal">
      <formula>"X"</formula>
    </cfRule>
    <cfRule type="cellIs" dxfId="295" priority="287" operator="equal">
      <formula>" ?"</formula>
    </cfRule>
  </conditionalFormatting>
  <conditionalFormatting sqref="Z607 Z610 Z613 Z616 Z619 Z622 Z625 Z628 Z631 Z634 Z637 Z640">
    <cfRule type="cellIs" dxfId="294" priority="284" stopIfTrue="1" operator="greaterThan">
      <formula>40</formula>
    </cfRule>
  </conditionalFormatting>
  <conditionalFormatting sqref="C643:V675">
    <cfRule type="cellIs" dxfId="293" priority="281" operator="equal">
      <formula>"√"</formula>
    </cfRule>
    <cfRule type="cellIs" dxfId="292" priority="282" operator="equal">
      <formula>"X"</formula>
    </cfRule>
    <cfRule type="cellIs" dxfId="291" priority="283" operator="equal">
      <formula>" ?"</formula>
    </cfRule>
  </conditionalFormatting>
  <conditionalFormatting sqref="Z643 Z646 Z649 Z652 Z655 Z658 Z661 Z664 Z667 Z670 Z673">
    <cfRule type="cellIs" dxfId="290" priority="280" stopIfTrue="1" operator="greaterThan">
      <formula>40</formula>
    </cfRule>
  </conditionalFormatting>
  <conditionalFormatting sqref="AD571:AW606">
    <cfRule type="cellIs" dxfId="289" priority="277" operator="equal">
      <formula>"√"</formula>
    </cfRule>
    <cfRule type="cellIs" dxfId="288" priority="278" operator="equal">
      <formula>"X"</formula>
    </cfRule>
    <cfRule type="cellIs" dxfId="287" priority="279" operator="equal">
      <formula>" ?"</formula>
    </cfRule>
  </conditionalFormatting>
  <conditionalFormatting sqref="BA571 BA574 BA577 BA580 BA583 BA586 BA589 BA592 BA595 BA598 BA601 BA604">
    <cfRule type="cellIs" dxfId="286" priority="276" stopIfTrue="1" operator="greaterThan">
      <formula>40</formula>
    </cfRule>
  </conditionalFormatting>
  <conditionalFormatting sqref="AD607:AW642">
    <cfRule type="cellIs" dxfId="285" priority="273" operator="equal">
      <formula>"√"</formula>
    </cfRule>
    <cfRule type="cellIs" dxfId="284" priority="274" operator="equal">
      <formula>"X"</formula>
    </cfRule>
    <cfRule type="cellIs" dxfId="283" priority="275" operator="equal">
      <formula>" ?"</formula>
    </cfRule>
  </conditionalFormatting>
  <conditionalFormatting sqref="BA607 BA610 BA613 BA616 BA619 BA622 BA625 BA628 BA631 BA634 BA637 BA640">
    <cfRule type="cellIs" dxfId="282" priority="272" stopIfTrue="1" operator="greaterThan">
      <formula>40</formula>
    </cfRule>
  </conditionalFormatting>
  <conditionalFormatting sqref="AD643:AW675">
    <cfRule type="cellIs" dxfId="281" priority="269" operator="equal">
      <formula>"√"</formula>
    </cfRule>
    <cfRule type="cellIs" dxfId="280" priority="270" operator="equal">
      <formula>"X"</formula>
    </cfRule>
    <cfRule type="cellIs" dxfId="279" priority="271" operator="equal">
      <formula>" ?"</formula>
    </cfRule>
  </conditionalFormatting>
  <conditionalFormatting sqref="BA643 BA646 BA649 BA652 BA655 BA658 BA661 BA664 BA667 BA670 BA673">
    <cfRule type="cellIs" dxfId="278" priority="268" stopIfTrue="1" operator="greaterThan">
      <formula>40</formula>
    </cfRule>
  </conditionalFormatting>
  <conditionalFormatting sqref="C683:V718">
    <cfRule type="cellIs" dxfId="277" priority="265" operator="equal">
      <formula>"√"</formula>
    </cfRule>
    <cfRule type="cellIs" dxfId="276" priority="266" operator="equal">
      <formula>"X"</formula>
    </cfRule>
    <cfRule type="cellIs" dxfId="275" priority="267" operator="equal">
      <formula>" ?"</formula>
    </cfRule>
  </conditionalFormatting>
  <conditionalFormatting sqref="Z683 Z686 Z689 Z692 Z695 Z698 Z701 Z704 Z707 Z710 Z713 Z716">
    <cfRule type="cellIs" dxfId="274" priority="264" stopIfTrue="1" operator="greaterThan">
      <formula>40</formula>
    </cfRule>
  </conditionalFormatting>
  <conditionalFormatting sqref="C719:V754">
    <cfRule type="cellIs" dxfId="273" priority="261" operator="equal">
      <formula>"√"</formula>
    </cfRule>
    <cfRule type="cellIs" dxfId="272" priority="262" operator="equal">
      <formula>"X"</formula>
    </cfRule>
    <cfRule type="cellIs" dxfId="271" priority="263" operator="equal">
      <formula>" ?"</formula>
    </cfRule>
  </conditionalFormatting>
  <conditionalFormatting sqref="Z719 Z722 Z725 Z728 Z731 Z734 Z737 Z740 Z743 Z746 Z749 Z752">
    <cfRule type="cellIs" dxfId="270" priority="260" stopIfTrue="1" operator="greaterThan">
      <formula>40</formula>
    </cfRule>
  </conditionalFormatting>
  <conditionalFormatting sqref="C755:V787">
    <cfRule type="cellIs" dxfId="269" priority="257" operator="equal">
      <formula>"√"</formula>
    </cfRule>
    <cfRule type="cellIs" dxfId="268" priority="258" operator="equal">
      <formula>"X"</formula>
    </cfRule>
    <cfRule type="cellIs" dxfId="267" priority="259" operator="equal">
      <formula>" ?"</formula>
    </cfRule>
  </conditionalFormatting>
  <conditionalFormatting sqref="Z755 Z758 Z761 Z764 Z767 Z770 Z773 Z776 Z779 Z782 Z785">
    <cfRule type="cellIs" dxfId="266" priority="256" stopIfTrue="1" operator="greaterThan">
      <formula>40</formula>
    </cfRule>
  </conditionalFormatting>
  <conditionalFormatting sqref="AD683:AW718">
    <cfRule type="cellIs" dxfId="265" priority="253" operator="equal">
      <formula>"√"</formula>
    </cfRule>
    <cfRule type="cellIs" dxfId="264" priority="254" operator="equal">
      <formula>"X"</formula>
    </cfRule>
    <cfRule type="cellIs" dxfId="263" priority="255" operator="equal">
      <formula>" ?"</formula>
    </cfRule>
  </conditionalFormatting>
  <conditionalFormatting sqref="BA683 BA686 BA689 BA692 BA695 BA698 BA701 BA704 BA707 BA710 BA713 BA716">
    <cfRule type="cellIs" dxfId="262" priority="252" stopIfTrue="1" operator="greaterThan">
      <formula>40</formula>
    </cfRule>
  </conditionalFormatting>
  <conditionalFormatting sqref="AD719:AW754">
    <cfRule type="cellIs" dxfId="261" priority="249" operator="equal">
      <formula>"√"</formula>
    </cfRule>
    <cfRule type="cellIs" dxfId="260" priority="250" operator="equal">
      <formula>"X"</formula>
    </cfRule>
    <cfRule type="cellIs" dxfId="259" priority="251" operator="equal">
      <formula>" ?"</formula>
    </cfRule>
  </conditionalFormatting>
  <conditionalFormatting sqref="BA719 BA722 BA725 BA728 BA731 BA734 BA737 BA740 BA743 BA746 BA749 BA752">
    <cfRule type="cellIs" dxfId="258" priority="248" stopIfTrue="1" operator="greaterThan">
      <formula>40</formula>
    </cfRule>
  </conditionalFormatting>
  <conditionalFormatting sqref="AD755:AW787">
    <cfRule type="cellIs" dxfId="257" priority="245" operator="equal">
      <formula>"√"</formula>
    </cfRule>
    <cfRule type="cellIs" dxfId="256" priority="246" operator="equal">
      <formula>"X"</formula>
    </cfRule>
    <cfRule type="cellIs" dxfId="255" priority="247" operator="equal">
      <formula>" ?"</formula>
    </cfRule>
  </conditionalFormatting>
  <conditionalFormatting sqref="BA755 BA758 BA761 BA764 BA767 BA770 BA773 BA776 BA779 BA782 BA785">
    <cfRule type="cellIs" dxfId="254" priority="244" stopIfTrue="1" operator="greaterThan">
      <formula>40</formula>
    </cfRule>
  </conditionalFormatting>
  <conditionalFormatting sqref="C71:V73">
    <cfRule type="cellIs" dxfId="253" priority="241" operator="equal">
      <formula>"√"</formula>
    </cfRule>
    <cfRule type="cellIs" dxfId="252" priority="242" operator="equal">
      <formula>"X"</formula>
    </cfRule>
    <cfRule type="cellIs" dxfId="251" priority="243" operator="equal">
      <formula>" ?"</formula>
    </cfRule>
  </conditionalFormatting>
  <conditionalFormatting sqref="AD11:AW115">
    <cfRule type="cellIs" dxfId="250" priority="238" operator="equal">
      <formula>"√"</formula>
    </cfRule>
    <cfRule type="cellIs" dxfId="249" priority="239" operator="equal">
      <formula>"X"</formula>
    </cfRule>
    <cfRule type="cellIs" dxfId="248" priority="240" operator="equal">
      <formula>" ?"</formula>
    </cfRule>
  </conditionalFormatting>
  <conditionalFormatting sqref="AD47:AW82">
    <cfRule type="cellIs" dxfId="247" priority="235" operator="equal">
      <formula>"√"</formula>
    </cfRule>
    <cfRule type="cellIs" dxfId="246" priority="236" operator="equal">
      <formula>"X"</formula>
    </cfRule>
    <cfRule type="cellIs" dxfId="245" priority="237" operator="equal">
      <formula>" ?"</formula>
    </cfRule>
  </conditionalFormatting>
  <conditionalFormatting sqref="AD83:AW115">
    <cfRule type="cellIs" dxfId="244" priority="232" operator="equal">
      <formula>"√"</formula>
    </cfRule>
    <cfRule type="cellIs" dxfId="243" priority="233" operator="equal">
      <formula>"X"</formula>
    </cfRule>
    <cfRule type="cellIs" dxfId="242" priority="234" operator="equal">
      <formula>" ?"</formula>
    </cfRule>
  </conditionalFormatting>
  <conditionalFormatting sqref="AD71:AW73">
    <cfRule type="cellIs" dxfId="241" priority="229" operator="equal">
      <formula>"√"</formula>
    </cfRule>
    <cfRule type="cellIs" dxfId="240" priority="230" operator="equal">
      <formula>"X"</formula>
    </cfRule>
    <cfRule type="cellIs" dxfId="239" priority="231" operator="equal">
      <formula>" ?"</formula>
    </cfRule>
  </conditionalFormatting>
  <conditionalFormatting sqref="C123:V227">
    <cfRule type="cellIs" dxfId="238" priority="226" operator="equal">
      <formula>"√"</formula>
    </cfRule>
    <cfRule type="cellIs" dxfId="237" priority="227" operator="equal">
      <formula>"X"</formula>
    </cfRule>
    <cfRule type="cellIs" dxfId="236" priority="228" operator="equal">
      <formula>" ?"</formula>
    </cfRule>
  </conditionalFormatting>
  <conditionalFormatting sqref="C159:V194">
    <cfRule type="cellIs" dxfId="235" priority="223" operator="equal">
      <formula>"√"</formula>
    </cfRule>
    <cfRule type="cellIs" dxfId="234" priority="224" operator="equal">
      <formula>"X"</formula>
    </cfRule>
    <cfRule type="cellIs" dxfId="233" priority="225" operator="equal">
      <formula>" ?"</formula>
    </cfRule>
  </conditionalFormatting>
  <conditionalFormatting sqref="C195:V227">
    <cfRule type="cellIs" dxfId="232" priority="220" operator="equal">
      <formula>"√"</formula>
    </cfRule>
    <cfRule type="cellIs" dxfId="231" priority="221" operator="equal">
      <formula>"X"</formula>
    </cfRule>
    <cfRule type="cellIs" dxfId="230" priority="222" operator="equal">
      <formula>" ?"</formula>
    </cfRule>
  </conditionalFormatting>
  <conditionalFormatting sqref="C183:V185">
    <cfRule type="cellIs" dxfId="229" priority="217" operator="equal">
      <formula>"√"</formula>
    </cfRule>
    <cfRule type="cellIs" dxfId="228" priority="218" operator="equal">
      <formula>"X"</formula>
    </cfRule>
    <cfRule type="cellIs" dxfId="227" priority="219" operator="equal">
      <formula>" ?"</formula>
    </cfRule>
  </conditionalFormatting>
  <conditionalFormatting sqref="AD123:AW227">
    <cfRule type="cellIs" dxfId="226" priority="214" operator="equal">
      <formula>"√"</formula>
    </cfRule>
    <cfRule type="cellIs" dxfId="225" priority="215" operator="equal">
      <formula>"X"</formula>
    </cfRule>
    <cfRule type="cellIs" dxfId="224" priority="216" operator="equal">
      <formula>" ?"</formula>
    </cfRule>
  </conditionalFormatting>
  <conditionalFormatting sqref="AD159:AW194">
    <cfRule type="cellIs" dxfId="223" priority="211" operator="equal">
      <formula>"√"</formula>
    </cfRule>
    <cfRule type="cellIs" dxfId="222" priority="212" operator="equal">
      <formula>"X"</formula>
    </cfRule>
    <cfRule type="cellIs" dxfId="221" priority="213" operator="equal">
      <formula>" ?"</formula>
    </cfRule>
  </conditionalFormatting>
  <conditionalFormatting sqref="AD195:AW227">
    <cfRule type="cellIs" dxfId="220" priority="208" operator="equal">
      <formula>"√"</formula>
    </cfRule>
    <cfRule type="cellIs" dxfId="219" priority="209" operator="equal">
      <formula>"X"</formula>
    </cfRule>
    <cfRule type="cellIs" dxfId="218" priority="210" operator="equal">
      <formula>" ?"</formula>
    </cfRule>
  </conditionalFormatting>
  <conditionalFormatting sqref="AD183:AW185">
    <cfRule type="cellIs" dxfId="217" priority="205" operator="equal">
      <formula>"√"</formula>
    </cfRule>
    <cfRule type="cellIs" dxfId="216" priority="206" operator="equal">
      <formula>"X"</formula>
    </cfRule>
    <cfRule type="cellIs" dxfId="215" priority="207" operator="equal">
      <formula>" ?"</formula>
    </cfRule>
  </conditionalFormatting>
  <conditionalFormatting sqref="C235:V339">
    <cfRule type="cellIs" dxfId="214" priority="202" operator="equal">
      <formula>"√"</formula>
    </cfRule>
    <cfRule type="cellIs" dxfId="213" priority="203" operator="equal">
      <formula>"X"</formula>
    </cfRule>
    <cfRule type="cellIs" dxfId="212" priority="204" operator="equal">
      <formula>" ?"</formula>
    </cfRule>
  </conditionalFormatting>
  <conditionalFormatting sqref="C271:V306">
    <cfRule type="cellIs" dxfId="211" priority="199" operator="equal">
      <formula>"√"</formula>
    </cfRule>
    <cfRule type="cellIs" dxfId="210" priority="200" operator="equal">
      <formula>"X"</formula>
    </cfRule>
    <cfRule type="cellIs" dxfId="209" priority="201" operator="equal">
      <formula>" ?"</formula>
    </cfRule>
  </conditionalFormatting>
  <conditionalFormatting sqref="C307:V339">
    <cfRule type="cellIs" dxfId="208" priority="196" operator="equal">
      <formula>"√"</formula>
    </cfRule>
    <cfRule type="cellIs" dxfId="207" priority="197" operator="equal">
      <formula>"X"</formula>
    </cfRule>
    <cfRule type="cellIs" dxfId="206" priority="198" operator="equal">
      <formula>" ?"</formula>
    </cfRule>
  </conditionalFormatting>
  <conditionalFormatting sqref="C295:V297">
    <cfRule type="cellIs" dxfId="205" priority="193" operator="equal">
      <formula>"√"</formula>
    </cfRule>
    <cfRule type="cellIs" dxfId="204" priority="194" operator="equal">
      <formula>"X"</formula>
    </cfRule>
    <cfRule type="cellIs" dxfId="203" priority="195" operator="equal">
      <formula>" ?"</formula>
    </cfRule>
  </conditionalFormatting>
  <conditionalFormatting sqref="AD235:AW339">
    <cfRule type="cellIs" dxfId="202" priority="190" operator="equal">
      <formula>"√"</formula>
    </cfRule>
    <cfRule type="cellIs" dxfId="201" priority="191" operator="equal">
      <formula>"X"</formula>
    </cfRule>
    <cfRule type="cellIs" dxfId="200" priority="192" operator="equal">
      <formula>" ?"</formula>
    </cfRule>
  </conditionalFormatting>
  <conditionalFormatting sqref="AD271:AW306">
    <cfRule type="cellIs" dxfId="199" priority="187" operator="equal">
      <formula>"√"</formula>
    </cfRule>
    <cfRule type="cellIs" dxfId="198" priority="188" operator="equal">
      <formula>"X"</formula>
    </cfRule>
    <cfRule type="cellIs" dxfId="197" priority="189" operator="equal">
      <formula>" ?"</formula>
    </cfRule>
  </conditionalFormatting>
  <conditionalFormatting sqref="AD307:AW339">
    <cfRule type="cellIs" dxfId="196" priority="184" operator="equal">
      <formula>"√"</formula>
    </cfRule>
    <cfRule type="cellIs" dxfId="195" priority="185" operator="equal">
      <formula>"X"</formula>
    </cfRule>
    <cfRule type="cellIs" dxfId="194" priority="186" operator="equal">
      <formula>" ?"</formula>
    </cfRule>
  </conditionalFormatting>
  <conditionalFormatting sqref="AD295:AW297">
    <cfRule type="cellIs" dxfId="193" priority="181" operator="equal">
      <formula>"√"</formula>
    </cfRule>
    <cfRule type="cellIs" dxfId="192" priority="182" operator="equal">
      <formula>"X"</formula>
    </cfRule>
    <cfRule type="cellIs" dxfId="191" priority="183" operator="equal">
      <formula>" ?"</formula>
    </cfRule>
  </conditionalFormatting>
  <conditionalFormatting sqref="C347:V451">
    <cfRule type="cellIs" dxfId="190" priority="178" operator="equal">
      <formula>"√"</formula>
    </cfRule>
    <cfRule type="cellIs" dxfId="189" priority="179" operator="equal">
      <formula>"X"</formula>
    </cfRule>
    <cfRule type="cellIs" dxfId="188" priority="180" operator="equal">
      <formula>" ?"</formula>
    </cfRule>
  </conditionalFormatting>
  <conditionalFormatting sqref="C383:V418">
    <cfRule type="cellIs" dxfId="187" priority="175" operator="equal">
      <formula>"√"</formula>
    </cfRule>
    <cfRule type="cellIs" dxfId="186" priority="176" operator="equal">
      <formula>"X"</formula>
    </cfRule>
    <cfRule type="cellIs" dxfId="185" priority="177" operator="equal">
      <formula>" ?"</formula>
    </cfRule>
  </conditionalFormatting>
  <conditionalFormatting sqref="C419:V451">
    <cfRule type="cellIs" dxfId="184" priority="172" operator="equal">
      <formula>"√"</formula>
    </cfRule>
    <cfRule type="cellIs" dxfId="183" priority="173" operator="equal">
      <formula>"X"</formula>
    </cfRule>
    <cfRule type="cellIs" dxfId="182" priority="174" operator="equal">
      <formula>" ?"</formula>
    </cfRule>
  </conditionalFormatting>
  <conditionalFormatting sqref="C407:V409">
    <cfRule type="cellIs" dxfId="181" priority="169" operator="equal">
      <formula>"√"</formula>
    </cfRule>
    <cfRule type="cellIs" dxfId="180" priority="170" operator="equal">
      <formula>"X"</formula>
    </cfRule>
    <cfRule type="cellIs" dxfId="179" priority="171" operator="equal">
      <formula>" ?"</formula>
    </cfRule>
  </conditionalFormatting>
  <conditionalFormatting sqref="AD347:AW451">
    <cfRule type="cellIs" dxfId="178" priority="166" operator="equal">
      <formula>"√"</formula>
    </cfRule>
    <cfRule type="cellIs" dxfId="177" priority="167" operator="equal">
      <formula>"X"</formula>
    </cfRule>
    <cfRule type="cellIs" dxfId="176" priority="168" operator="equal">
      <formula>" ?"</formula>
    </cfRule>
  </conditionalFormatting>
  <conditionalFormatting sqref="AD383:AW418">
    <cfRule type="cellIs" dxfId="175" priority="163" operator="equal">
      <formula>"√"</formula>
    </cfRule>
    <cfRule type="cellIs" dxfId="174" priority="164" operator="equal">
      <formula>"X"</formula>
    </cfRule>
    <cfRule type="cellIs" dxfId="173" priority="165" operator="equal">
      <formula>" ?"</formula>
    </cfRule>
  </conditionalFormatting>
  <conditionalFormatting sqref="AD419:AW451">
    <cfRule type="cellIs" dxfId="172" priority="160" operator="equal">
      <formula>"√"</formula>
    </cfRule>
    <cfRule type="cellIs" dxfId="171" priority="161" operator="equal">
      <formula>"X"</formula>
    </cfRule>
    <cfRule type="cellIs" dxfId="170" priority="162" operator="equal">
      <formula>" ?"</formula>
    </cfRule>
  </conditionalFormatting>
  <conditionalFormatting sqref="AD407:AW409">
    <cfRule type="cellIs" dxfId="169" priority="157" operator="equal">
      <formula>"√"</formula>
    </cfRule>
    <cfRule type="cellIs" dxfId="168" priority="158" operator="equal">
      <formula>"X"</formula>
    </cfRule>
    <cfRule type="cellIs" dxfId="167" priority="159" operator="equal">
      <formula>" ?"</formula>
    </cfRule>
  </conditionalFormatting>
  <conditionalFormatting sqref="AD11:AW115">
    <cfRule type="cellIs" dxfId="166" priority="154" operator="equal">
      <formula>"√"</formula>
    </cfRule>
    <cfRule type="cellIs" dxfId="165" priority="155" operator="equal">
      <formula>"X"</formula>
    </cfRule>
    <cfRule type="cellIs" dxfId="164" priority="156" operator="equal">
      <formula>" ?"</formula>
    </cfRule>
  </conditionalFormatting>
  <conditionalFormatting sqref="AD47:AW82">
    <cfRule type="cellIs" dxfId="163" priority="151" operator="equal">
      <formula>"√"</formula>
    </cfRule>
    <cfRule type="cellIs" dxfId="162" priority="152" operator="equal">
      <formula>"X"</formula>
    </cfRule>
    <cfRule type="cellIs" dxfId="161" priority="153" operator="equal">
      <formula>" ?"</formula>
    </cfRule>
  </conditionalFormatting>
  <conditionalFormatting sqref="AD83:AW115">
    <cfRule type="cellIs" dxfId="160" priority="148" operator="equal">
      <formula>"√"</formula>
    </cfRule>
    <cfRule type="cellIs" dxfId="159" priority="149" operator="equal">
      <formula>"X"</formula>
    </cfRule>
    <cfRule type="cellIs" dxfId="158" priority="150" operator="equal">
      <formula>" ?"</formula>
    </cfRule>
  </conditionalFormatting>
  <conditionalFormatting sqref="AD71:AW73">
    <cfRule type="cellIs" dxfId="157" priority="145" operator="equal">
      <formula>"√"</formula>
    </cfRule>
    <cfRule type="cellIs" dxfId="156" priority="146" operator="equal">
      <formula>"X"</formula>
    </cfRule>
    <cfRule type="cellIs" dxfId="155" priority="147" operator="equal">
      <formula>" ?"</formula>
    </cfRule>
  </conditionalFormatting>
  <conditionalFormatting sqref="C123:V227">
    <cfRule type="cellIs" dxfId="154" priority="142" operator="equal">
      <formula>"√"</formula>
    </cfRule>
    <cfRule type="cellIs" dxfId="153" priority="143" operator="equal">
      <formula>"X"</formula>
    </cfRule>
    <cfRule type="cellIs" dxfId="152" priority="144" operator="equal">
      <formula>" ?"</formula>
    </cfRule>
  </conditionalFormatting>
  <conditionalFormatting sqref="C159:V194">
    <cfRule type="cellIs" dxfId="151" priority="139" operator="equal">
      <formula>"√"</formula>
    </cfRule>
    <cfRule type="cellIs" dxfId="150" priority="140" operator="equal">
      <formula>"X"</formula>
    </cfRule>
    <cfRule type="cellIs" dxfId="149" priority="141" operator="equal">
      <formula>" ?"</formula>
    </cfRule>
  </conditionalFormatting>
  <conditionalFormatting sqref="C195:V227">
    <cfRule type="cellIs" dxfId="148" priority="136" operator="equal">
      <formula>"√"</formula>
    </cfRule>
    <cfRule type="cellIs" dxfId="147" priority="137" operator="equal">
      <formula>"X"</formula>
    </cfRule>
    <cfRule type="cellIs" dxfId="146" priority="138" operator="equal">
      <formula>" ?"</formula>
    </cfRule>
  </conditionalFormatting>
  <conditionalFormatting sqref="C183:V185">
    <cfRule type="cellIs" dxfId="145" priority="133" operator="equal">
      <formula>"√"</formula>
    </cfRule>
    <cfRule type="cellIs" dxfId="144" priority="134" operator="equal">
      <formula>"X"</formula>
    </cfRule>
    <cfRule type="cellIs" dxfId="143" priority="135" operator="equal">
      <formula>" ?"</formula>
    </cfRule>
  </conditionalFormatting>
  <conditionalFormatting sqref="AD123:AW227">
    <cfRule type="cellIs" dxfId="142" priority="130" operator="equal">
      <formula>"√"</formula>
    </cfRule>
    <cfRule type="cellIs" dxfId="141" priority="131" operator="equal">
      <formula>"X"</formula>
    </cfRule>
    <cfRule type="cellIs" dxfId="140" priority="132" operator="equal">
      <formula>" ?"</formula>
    </cfRule>
  </conditionalFormatting>
  <conditionalFormatting sqref="AD159:AW194">
    <cfRule type="cellIs" dxfId="139" priority="127" operator="equal">
      <formula>"√"</formula>
    </cfRule>
    <cfRule type="cellIs" dxfId="138" priority="128" operator="equal">
      <formula>"X"</formula>
    </cfRule>
    <cfRule type="cellIs" dxfId="137" priority="129" operator="equal">
      <formula>" ?"</formula>
    </cfRule>
  </conditionalFormatting>
  <conditionalFormatting sqref="AD195:AW227">
    <cfRule type="cellIs" dxfId="136" priority="124" operator="equal">
      <formula>"√"</formula>
    </cfRule>
    <cfRule type="cellIs" dxfId="135" priority="125" operator="equal">
      <formula>"X"</formula>
    </cfRule>
    <cfRule type="cellIs" dxfId="134" priority="126" operator="equal">
      <formula>" ?"</formula>
    </cfRule>
  </conditionalFormatting>
  <conditionalFormatting sqref="AD183:AW185">
    <cfRule type="cellIs" dxfId="133" priority="121" operator="equal">
      <formula>"√"</formula>
    </cfRule>
    <cfRule type="cellIs" dxfId="132" priority="122" operator="equal">
      <formula>"X"</formula>
    </cfRule>
    <cfRule type="cellIs" dxfId="131" priority="123" operator="equal">
      <formula>" ?"</formula>
    </cfRule>
  </conditionalFormatting>
  <conditionalFormatting sqref="C235:V339">
    <cfRule type="cellIs" dxfId="130" priority="118" operator="equal">
      <formula>"√"</formula>
    </cfRule>
    <cfRule type="cellIs" dxfId="129" priority="119" operator="equal">
      <formula>"X"</formula>
    </cfRule>
    <cfRule type="cellIs" dxfId="128" priority="120" operator="equal">
      <formula>" ?"</formula>
    </cfRule>
  </conditionalFormatting>
  <conditionalFormatting sqref="C271:V306">
    <cfRule type="cellIs" dxfId="127" priority="115" operator="equal">
      <formula>"√"</formula>
    </cfRule>
    <cfRule type="cellIs" dxfId="126" priority="116" operator="equal">
      <formula>"X"</formula>
    </cfRule>
    <cfRule type="cellIs" dxfId="125" priority="117" operator="equal">
      <formula>" ?"</formula>
    </cfRule>
  </conditionalFormatting>
  <conditionalFormatting sqref="C307:V339">
    <cfRule type="cellIs" dxfId="124" priority="112" operator="equal">
      <formula>"√"</formula>
    </cfRule>
    <cfRule type="cellIs" dxfId="123" priority="113" operator="equal">
      <formula>"X"</formula>
    </cfRule>
    <cfRule type="cellIs" dxfId="122" priority="114" operator="equal">
      <formula>" ?"</formula>
    </cfRule>
  </conditionalFormatting>
  <conditionalFormatting sqref="C295:V297">
    <cfRule type="cellIs" dxfId="121" priority="109" operator="equal">
      <formula>"√"</formula>
    </cfRule>
    <cfRule type="cellIs" dxfId="120" priority="110" operator="equal">
      <formula>"X"</formula>
    </cfRule>
    <cfRule type="cellIs" dxfId="119" priority="111" operator="equal">
      <formula>" ?"</formula>
    </cfRule>
  </conditionalFormatting>
  <conditionalFormatting sqref="AD235:AW339">
    <cfRule type="cellIs" dxfId="118" priority="106" operator="equal">
      <formula>"√"</formula>
    </cfRule>
    <cfRule type="cellIs" dxfId="117" priority="107" operator="equal">
      <formula>"X"</formula>
    </cfRule>
    <cfRule type="cellIs" dxfId="116" priority="108" operator="equal">
      <formula>" ?"</formula>
    </cfRule>
  </conditionalFormatting>
  <conditionalFormatting sqref="AD271:AW306">
    <cfRule type="cellIs" dxfId="115" priority="103" operator="equal">
      <formula>"√"</formula>
    </cfRule>
    <cfRule type="cellIs" dxfId="114" priority="104" operator="equal">
      <formula>"X"</formula>
    </cfRule>
    <cfRule type="cellIs" dxfId="113" priority="105" operator="equal">
      <formula>" ?"</formula>
    </cfRule>
  </conditionalFormatting>
  <conditionalFormatting sqref="AD307:AW339">
    <cfRule type="cellIs" dxfId="112" priority="100" operator="equal">
      <formula>"√"</formula>
    </cfRule>
    <cfRule type="cellIs" dxfId="111" priority="101" operator="equal">
      <formula>"X"</formula>
    </cfRule>
    <cfRule type="cellIs" dxfId="110" priority="102" operator="equal">
      <formula>" ?"</formula>
    </cfRule>
  </conditionalFormatting>
  <conditionalFormatting sqref="AD295:AW297">
    <cfRule type="cellIs" dxfId="109" priority="97" operator="equal">
      <formula>"√"</formula>
    </cfRule>
    <cfRule type="cellIs" dxfId="108" priority="98" operator="equal">
      <formula>"X"</formula>
    </cfRule>
    <cfRule type="cellIs" dxfId="107" priority="99" operator="equal">
      <formula>" ?"</formula>
    </cfRule>
  </conditionalFormatting>
  <conditionalFormatting sqref="C347:V451">
    <cfRule type="cellIs" dxfId="106" priority="94" operator="equal">
      <formula>"√"</formula>
    </cfRule>
    <cfRule type="cellIs" dxfId="105" priority="95" operator="equal">
      <formula>"X"</formula>
    </cfRule>
    <cfRule type="cellIs" dxfId="104" priority="96" operator="equal">
      <formula>" ?"</formula>
    </cfRule>
  </conditionalFormatting>
  <conditionalFormatting sqref="C383:V418">
    <cfRule type="cellIs" dxfId="103" priority="91" operator="equal">
      <formula>"√"</formula>
    </cfRule>
    <cfRule type="cellIs" dxfId="102" priority="92" operator="equal">
      <formula>"X"</formula>
    </cfRule>
    <cfRule type="cellIs" dxfId="101" priority="93" operator="equal">
      <formula>" ?"</formula>
    </cfRule>
  </conditionalFormatting>
  <conditionalFormatting sqref="C419:V451">
    <cfRule type="cellIs" dxfId="100" priority="88" operator="equal">
      <formula>"√"</formula>
    </cfRule>
    <cfRule type="cellIs" dxfId="99" priority="89" operator="equal">
      <formula>"X"</formula>
    </cfRule>
    <cfRule type="cellIs" dxfId="98" priority="90" operator="equal">
      <formula>" ?"</formula>
    </cfRule>
  </conditionalFormatting>
  <conditionalFormatting sqref="C407:V409">
    <cfRule type="cellIs" dxfId="97" priority="85" operator="equal">
      <formula>"√"</formula>
    </cfRule>
    <cfRule type="cellIs" dxfId="96" priority="86" operator="equal">
      <formula>"X"</formula>
    </cfRule>
    <cfRule type="cellIs" dxfId="95" priority="87" operator="equal">
      <formula>" ?"</formula>
    </cfRule>
  </conditionalFormatting>
  <conditionalFormatting sqref="AD347:AW451">
    <cfRule type="cellIs" dxfId="94" priority="82" operator="equal">
      <formula>"√"</formula>
    </cfRule>
    <cfRule type="cellIs" dxfId="93" priority="83" operator="equal">
      <formula>"X"</formula>
    </cfRule>
    <cfRule type="cellIs" dxfId="92" priority="84" operator="equal">
      <formula>" ?"</formula>
    </cfRule>
  </conditionalFormatting>
  <conditionalFormatting sqref="AD383:AW418">
    <cfRule type="cellIs" dxfId="91" priority="79" operator="equal">
      <formula>"√"</formula>
    </cfRule>
    <cfRule type="cellIs" dxfId="90" priority="80" operator="equal">
      <formula>"X"</formula>
    </cfRule>
    <cfRule type="cellIs" dxfId="89" priority="81" operator="equal">
      <formula>" ?"</formula>
    </cfRule>
  </conditionalFormatting>
  <conditionalFormatting sqref="AD419:AW451">
    <cfRule type="cellIs" dxfId="88" priority="76" operator="equal">
      <formula>"√"</formula>
    </cfRule>
    <cfRule type="cellIs" dxfId="87" priority="77" operator="equal">
      <formula>"X"</formula>
    </cfRule>
    <cfRule type="cellIs" dxfId="86" priority="78" operator="equal">
      <formula>" ?"</formula>
    </cfRule>
  </conditionalFormatting>
  <conditionalFormatting sqref="AD407:AW409">
    <cfRule type="cellIs" dxfId="85" priority="73" operator="equal">
      <formula>"√"</formula>
    </cfRule>
    <cfRule type="cellIs" dxfId="84" priority="74" operator="equal">
      <formula>"X"</formula>
    </cfRule>
    <cfRule type="cellIs" dxfId="83" priority="75" operator="equal">
      <formula>" ?"</formula>
    </cfRule>
  </conditionalFormatting>
  <conditionalFormatting sqref="C459:V563">
    <cfRule type="cellIs" dxfId="82" priority="70" operator="equal">
      <formula>"√"</formula>
    </cfRule>
    <cfRule type="cellIs" dxfId="81" priority="71" operator="equal">
      <formula>"X"</formula>
    </cfRule>
    <cfRule type="cellIs" dxfId="80" priority="72" operator="equal">
      <formula>" ?"</formula>
    </cfRule>
  </conditionalFormatting>
  <conditionalFormatting sqref="C495:V530">
    <cfRule type="cellIs" dxfId="79" priority="67" operator="equal">
      <formula>"√"</formula>
    </cfRule>
    <cfRule type="cellIs" dxfId="78" priority="68" operator="equal">
      <formula>"X"</formula>
    </cfRule>
    <cfRule type="cellIs" dxfId="77" priority="69" operator="equal">
      <formula>" ?"</formula>
    </cfRule>
  </conditionalFormatting>
  <conditionalFormatting sqref="C531:V563">
    <cfRule type="cellIs" dxfId="76" priority="64" operator="equal">
      <formula>"√"</formula>
    </cfRule>
    <cfRule type="cellIs" dxfId="75" priority="65" operator="equal">
      <formula>"X"</formula>
    </cfRule>
    <cfRule type="cellIs" dxfId="74" priority="66" operator="equal">
      <formula>" ?"</formula>
    </cfRule>
  </conditionalFormatting>
  <conditionalFormatting sqref="C519:V521">
    <cfRule type="cellIs" dxfId="73" priority="61" operator="equal">
      <formula>"√"</formula>
    </cfRule>
    <cfRule type="cellIs" dxfId="72" priority="62" operator="equal">
      <formula>"X"</formula>
    </cfRule>
    <cfRule type="cellIs" dxfId="71" priority="63" operator="equal">
      <formula>" ?"</formula>
    </cfRule>
  </conditionalFormatting>
  <conditionalFormatting sqref="AD459:AW563">
    <cfRule type="cellIs" dxfId="70" priority="58" operator="equal">
      <formula>"√"</formula>
    </cfRule>
    <cfRule type="cellIs" dxfId="69" priority="59" operator="equal">
      <formula>"X"</formula>
    </cfRule>
    <cfRule type="cellIs" dxfId="68" priority="60" operator="equal">
      <formula>" ?"</formula>
    </cfRule>
  </conditionalFormatting>
  <conditionalFormatting sqref="AD495:AW530">
    <cfRule type="cellIs" dxfId="67" priority="55" operator="equal">
      <formula>"√"</formula>
    </cfRule>
    <cfRule type="cellIs" dxfId="66" priority="56" operator="equal">
      <formula>"X"</formula>
    </cfRule>
    <cfRule type="cellIs" dxfId="65" priority="57" operator="equal">
      <formula>" ?"</formula>
    </cfRule>
  </conditionalFormatting>
  <conditionalFormatting sqref="AD531:AW563">
    <cfRule type="cellIs" dxfId="64" priority="52" operator="equal">
      <formula>"√"</formula>
    </cfRule>
    <cfRule type="cellIs" dxfId="63" priority="53" operator="equal">
      <formula>"X"</formula>
    </cfRule>
    <cfRule type="cellIs" dxfId="62" priority="54" operator="equal">
      <formula>" ?"</formula>
    </cfRule>
  </conditionalFormatting>
  <conditionalFormatting sqref="AD519:AW521">
    <cfRule type="cellIs" dxfId="61" priority="49" operator="equal">
      <formula>"√"</formula>
    </cfRule>
    <cfRule type="cellIs" dxfId="60" priority="50" operator="equal">
      <formula>"X"</formula>
    </cfRule>
    <cfRule type="cellIs" dxfId="59" priority="51" operator="equal">
      <formula>" ?"</formula>
    </cfRule>
  </conditionalFormatting>
  <conditionalFormatting sqref="C571:V675">
    <cfRule type="cellIs" dxfId="58" priority="46" operator="equal">
      <formula>"√"</formula>
    </cfRule>
    <cfRule type="cellIs" dxfId="57" priority="47" operator="equal">
      <formula>"X"</formula>
    </cfRule>
    <cfRule type="cellIs" dxfId="56" priority="48" operator="equal">
      <formula>" ?"</formula>
    </cfRule>
  </conditionalFormatting>
  <conditionalFormatting sqref="C607:V642">
    <cfRule type="cellIs" dxfId="55" priority="43" operator="equal">
      <formula>"√"</formula>
    </cfRule>
    <cfRule type="cellIs" dxfId="54" priority="44" operator="equal">
      <formula>"X"</formula>
    </cfRule>
    <cfRule type="cellIs" dxfId="53" priority="45" operator="equal">
      <formula>" ?"</formula>
    </cfRule>
  </conditionalFormatting>
  <conditionalFormatting sqref="C643:V675">
    <cfRule type="cellIs" dxfId="52" priority="40" operator="equal">
      <formula>"√"</formula>
    </cfRule>
    <cfRule type="cellIs" dxfId="51" priority="41" operator="equal">
      <formula>"X"</formula>
    </cfRule>
    <cfRule type="cellIs" dxfId="50" priority="42" operator="equal">
      <formula>" ?"</formula>
    </cfRule>
  </conditionalFormatting>
  <conditionalFormatting sqref="C631:V633">
    <cfRule type="cellIs" dxfId="49" priority="37" operator="equal">
      <formula>"√"</formula>
    </cfRule>
    <cfRule type="cellIs" dxfId="48" priority="38" operator="equal">
      <formula>"X"</formula>
    </cfRule>
    <cfRule type="cellIs" dxfId="47" priority="39" operator="equal">
      <formula>" ?"</formula>
    </cfRule>
  </conditionalFormatting>
  <conditionalFormatting sqref="AD571:AW675">
    <cfRule type="cellIs" dxfId="46" priority="34" operator="equal">
      <formula>"√"</formula>
    </cfRule>
    <cfRule type="cellIs" dxfId="45" priority="35" operator="equal">
      <formula>"X"</formula>
    </cfRule>
    <cfRule type="cellIs" dxfId="44" priority="36" operator="equal">
      <formula>" ?"</formula>
    </cfRule>
  </conditionalFormatting>
  <conditionalFormatting sqref="AD607:AW642">
    <cfRule type="cellIs" dxfId="43" priority="31" operator="equal">
      <formula>"√"</formula>
    </cfRule>
    <cfRule type="cellIs" dxfId="42" priority="32" operator="equal">
      <formula>"X"</formula>
    </cfRule>
    <cfRule type="cellIs" dxfId="41" priority="33" operator="equal">
      <formula>" ?"</formula>
    </cfRule>
  </conditionalFormatting>
  <conditionalFormatting sqref="AD643:AW675">
    <cfRule type="cellIs" dxfId="40" priority="28" operator="equal">
      <formula>"√"</formula>
    </cfRule>
    <cfRule type="cellIs" dxfId="39" priority="29" operator="equal">
      <formula>"X"</formula>
    </cfRule>
    <cfRule type="cellIs" dxfId="38" priority="30" operator="equal">
      <formula>" ?"</formula>
    </cfRule>
  </conditionalFormatting>
  <conditionalFormatting sqref="AD631:AW633">
    <cfRule type="cellIs" dxfId="37" priority="25" operator="equal">
      <formula>"√"</formula>
    </cfRule>
    <cfRule type="cellIs" dxfId="36" priority="26" operator="equal">
      <formula>"X"</formula>
    </cfRule>
    <cfRule type="cellIs" dxfId="35" priority="27" operator="equal">
      <formula>" ?"</formula>
    </cfRule>
  </conditionalFormatting>
  <conditionalFormatting sqref="C683:V787">
    <cfRule type="cellIs" dxfId="34" priority="22" operator="equal">
      <formula>"√"</formula>
    </cfRule>
    <cfRule type="cellIs" dxfId="33" priority="23" operator="equal">
      <formula>"X"</formula>
    </cfRule>
    <cfRule type="cellIs" dxfId="32" priority="24" operator="equal">
      <formula>" ?"</formula>
    </cfRule>
  </conditionalFormatting>
  <conditionalFormatting sqref="C719:V754">
    <cfRule type="cellIs" dxfId="31" priority="19" operator="equal">
      <formula>"√"</formula>
    </cfRule>
    <cfRule type="cellIs" dxfId="30" priority="20" operator="equal">
      <formula>"X"</formula>
    </cfRule>
    <cfRule type="cellIs" dxfId="29" priority="21" operator="equal">
      <formula>" ?"</formula>
    </cfRule>
  </conditionalFormatting>
  <conditionalFormatting sqref="C755:V787">
    <cfRule type="cellIs" dxfId="28" priority="16" operator="equal">
      <formula>"√"</formula>
    </cfRule>
    <cfRule type="cellIs" dxfId="27" priority="17" operator="equal">
      <formula>"X"</formula>
    </cfRule>
    <cfRule type="cellIs" dxfId="26" priority="18" operator="equal">
      <formula>" ?"</formula>
    </cfRule>
  </conditionalFormatting>
  <conditionalFormatting sqref="C743:V745">
    <cfRule type="cellIs" dxfId="25" priority="13" operator="equal">
      <formula>"√"</formula>
    </cfRule>
    <cfRule type="cellIs" dxfId="24" priority="14" operator="equal">
      <formula>"X"</formula>
    </cfRule>
    <cfRule type="cellIs" dxfId="23" priority="15" operator="equal">
      <formula>" ?"</formula>
    </cfRule>
  </conditionalFormatting>
  <conditionalFormatting sqref="AD683:AW787">
    <cfRule type="cellIs" dxfId="22" priority="10" operator="equal">
      <formula>"√"</formula>
    </cfRule>
    <cfRule type="cellIs" dxfId="21" priority="11" operator="equal">
      <formula>"X"</formula>
    </cfRule>
    <cfRule type="cellIs" dxfId="20" priority="12" operator="equal">
      <formula>" ?"</formula>
    </cfRule>
  </conditionalFormatting>
  <conditionalFormatting sqref="AD719:AW754">
    <cfRule type="cellIs" dxfId="19" priority="7" operator="equal">
      <formula>"√"</formula>
    </cfRule>
    <cfRule type="cellIs" dxfId="18" priority="8" operator="equal">
      <formula>"X"</formula>
    </cfRule>
    <cfRule type="cellIs" dxfId="17" priority="9" operator="equal">
      <formula>" ?"</formula>
    </cfRule>
  </conditionalFormatting>
  <conditionalFormatting sqref="AD755:AW787">
    <cfRule type="cellIs" dxfId="16" priority="4" operator="equal">
      <formula>"√"</formula>
    </cfRule>
    <cfRule type="cellIs" dxfId="15" priority="5" operator="equal">
      <formula>"X"</formula>
    </cfRule>
    <cfRule type="cellIs" dxfId="14" priority="6" operator="equal">
      <formula>" ?"</formula>
    </cfRule>
  </conditionalFormatting>
  <conditionalFormatting sqref="AD743:AW745">
    <cfRule type="cellIs" dxfId="13" priority="1" operator="equal">
      <formula>"√"</formula>
    </cfRule>
    <cfRule type="cellIs" dxfId="12" priority="2" operator="equal">
      <formula>"X"</formula>
    </cfRule>
    <cfRule type="cellIs" dxfId="11" priority="3" operator="equal">
      <formula>" ?"</formula>
    </cfRule>
  </conditionalFormatting>
  <dataValidations count="4">
    <dataValidation type="list" allowBlank="1" showInputMessage="1" showErrorMessage="1" sqref="C684:V684 C687:V687 C690:V690 C693:V693 C696:V696 C699:V699 C702:V702 C705:V705 C708:V708 C711:V711 C714:V714 C717:V717 C720:V720 C723:V723 C726:V726 C729:V729 C732:V732 C735:V735 C738:V738 C741:V741 C744:V744 C747:V747 C750:V750 C753:V753 C756:V756 C759:V759 C762:V762 C765:V765 C768:V768 C771:V771 C774:V774 C777:V777 C780:V780 C783:V783 C12:V12 C786:V786 C348:V348 C351:V351 C354:V354 C357:V357 C360:V360 C363:V363 C366:V366 C369:V369 C372:V372 C375:V375 C378:V378 C381:V381 C384:V384 C387:V387 C390:V390 C393:V393 C396:V396 C399:V399 C402:V402 C405:V405 C408:V408 C411:V411 C414:V414 C417:V417 C420:V420 C423:V423 C426:V426 C429:V429 C432:V432 C435:V435 C438:V438 C441:V441 C444:V444 C447:V447 C450:V450 C15:V15 C18:V18 C21:V21 C24:V24 C27:V27 C30:V30 C33:V33 C36:V36 C39:V39 C42:V42 C45:V45 C48:V48 C51:V51 C54:V54 C57:V57 C60:V60 C63:V63 C66:V66 C69:V69 C72:V72 C75:V75 C78:V78 C81:V81 C84:V84 C87:V87 C90:V90 C93:V93 C96:V96 C99:V99 C102:V102 C105:V105 C108:V108 C111:V111 C114:V114 AD12:AW12 AD15:AW15 AD18:AW18 AD21:AW21 AD24:AW24 AD27:AW27 AD30:AW30 AD33:AW33 AD36:AW36 AD39:AW39 AD42:AW42 AD45:AW45 AD48:AW48 AD51:AW51 AD54:AW54 AD57:AW57 AD60:AW60 AD63:AW63 AD66:AW66 AD69:AW69 AD72:AW72 AD75:AW75 AD78:AW78 AD81:AW81 AD84:AW84 AD87:AW87 AD90:AW90 AD93:AW93 AD96:AW96 AD99:AW99 AD102:AW102 AD105:AW105 AD108:AW108 AD111:AW111 AD114:AW114 C124:V124 C127:V127 C130:V130 C133:V133 C136:V136 C139:V139 C142:V142 C145:V145 C148:V148 C151:V151 C154:V154 C157:V157 C160:V160 C163:V163 C166:V166 C169:V169 C172:V172 C175:V175 C178:V178 C181:V181 C184:V184 C187:V187 C190:V190 C193:V193 C196:V196 C199:V199 C202:V202 C205:V205 C208:V208 C211:V211 C214:V214 C217:V217 C220:V220 C223:V223 C226:V226 AD124:AW124 AD127:AW127 AD130:AW130 AD133:AW133 AD136:AW136 AD139:AW139 AD142:AW142 AD145:AW145 AD148:AW148 AD151:AW151 AD154:AW154 AD157:AW157 AD160:AW160 AD163:AW163 AD166:AW166 AD169:AW169 AD172:AW172 AD175:AW175 AD178:AW178 AD181:AW181 AD184:AW184 AD187:AW187 AD190:AW190 AD193:AW193 AD196:AW196 AD199:AW199 AD202:AW202 AD205:AW205 AD208:AW208 AD211:AW211 AD214:AW214 AD217:AW217 AD220:AW220 AD223:AW223 AD226:AW226 C236:V236 C239:V239 C242:V242 C245:V245 C248:V248 C251:V251 C254:V254 C257:V257 C260:V260 C263:V263 C266:V266 C269:V269 C272:V272 C275:V275 C278:V278 C281:V281 C284:V284 C287:V287 C290:V290 C293:V293 C296:V296 C299:V299 C302:V302 C305:V305 C308:V308 C311:V311 C314:V314 C317:V317 C320:V320 C323:V323 C326:V326 C329:V329 C332:V332 C335:V335 C338:V338 AD236:AW236 AD239:AW239 AD242:AW242 AD245:AW245 AD248:AW248 AD251:AW251 AD254:AW254 AD257:AW257 AD260:AW260 AD263:AW263 AD266:AW266 AD269:AW269 AD272:AW272 AD275:AW275 AD278:AW278 AD281:AW281 AD284:AW284 AD287:AW287 AD290:AW290 AD293:AW293 AD296:AW296 AD299:AW299 AD302:AW302 AD305:AW305 AD308:AW308 AD311:AW311 AD314:AW314 AD317:AW317 AD320:AW320 AD323:AW323 AD326:AW326 AD329:AW329 AD332:AW332 AD335:AW335 AD338:AW338 AD348:AW348 AD351:AW351 AD354:AW354 AD357:AW357 AD360:AW360 AD363:AW363 AD366:AW366 AD369:AW369 AD372:AW372 AD375:AW375 AD378:AW378 AD381:AW381 AD384:AW384 AD387:AW387 AD390:AW390 AD393:AW393 AD396:AW396 AD399:AW399 AD402:AW402 AD405:AW405 AD408:AW408 AD411:AW411 AD414:AW414 AD417:AW417 AD420:AW420 AD423:AW423 AD426:AW426 AD429:AW429 AD432:AW432 AD435:AW435 AD438:AW438 AD441:AW441 AD444:AW444 AD447:AW447 AD450:AW450 C460:V460 C463:V463 C466:V466 C469:V469 C472:V472 C475:V475 C478:V478 C481:V481 C484:V484 C487:V487 C490:V490 C493:V493 C496:V496 C499:V499 C502:V502 C505:V505 C508:V508 C511:V511 C514:V514 C517:V517 C520:V520 C523:V523 C526:V526 C529:V529 C532:V532 C535:V535 C538:V538 C541:V541 C544:V544 C547:V547 C550:V550 C553:V553 C556:V556 C559:V559 C562:V562 AD460:AW460 AD463:AW463 AD466:AW466 AD469:AW469 AD472:AW472 AD475:AW475 AD478:AW478 AD481:AW481 AD484:AW484 AD487:AW487 AD490:AW490 AD493:AW493 AD496:AW496 AD499:AW499 AD502:AW502 AD505:AW505 AD508:AW508 AD511:AW511 AD514:AW514 AD517:AW517 AD520:AW520 AD523:AW523 AD526:AW526 AD529:AW529 AD532:AW532 AD535:AW535 AD538:AW538 AD541:AW541 AD544:AW544 AD547:AW547 AD550:AW550 AD553:AW553 AD556:AW556 AD559:AW559 AD562:AW562 C572:V572 C575:V575 C578:V578 C581:V581 C584:V584 C587:V587 C590:V590 C593:V593 C596:V596 C599:V599 C602:V602 C605:V605 C608:V608 C611:V611 C614:V614 C617:V617 C620:V620 C623:V623 C626:V626 C629:V629 C632:V632 C635:V635 C638:V638 C641:V641 C644:V644 C647:V647 C650:V650 C653:V653 C656:V656 C659:V659 C662:V662 C665:V665 C668:V668 C671:V671 C674:V674 AD572:AW572 AD575:AW575 AD578:AW578 AD581:AW581 AD584:AW584 AD587:AW587 AD590:AW590 AD593:AW593 AD596:AW596 AD599:AW599 AD602:AW602 AD605:AW605 AD608:AW608 AD611:AW611 AD614:AW614 AD617:AW617 AD620:AW620 AD623:AW623 AD626:AW626 AD629:AW629 AD632:AW632 AD635:AW635 AD638:AW638 AD641:AW641 AD644:AW644 AD647:AW647 AD650:AW650 AD653:AW653 AD656:AW656 AD659:AW659 AD662:AW662 AD665:AW665 AD668:AW668 AD671:AW671 AD674:AW674 AD684:AW684 AD687:AW687 AD690:AW690 AD693:AW693 AD696:AW696 AD699:AW699 AD702:AW702 AD705:AW705 AD708:AW708 AD711:AW711 AD714:AW714 AD717:AW717 AD720:AW720 AD723:AW723 AD726:AW726 AD729:AW729 AD732:AW732 AD735:AW735 AD738:AW738 AD741:AW741 AD744:AW744 AD747:AW747 AD750:AW750 AD753:AW753 AD756:AW756 AD759:AW759 AD762:AW762 AD765:AW765 AD768:AW768 AD771:AW771 AD774:AW774 AD777:AW777 AD780:AW780 AD783:AW783 AD786:AW786">
      <formula1>$X$10</formula1>
    </dataValidation>
    <dataValidation type="list" allowBlank="1" showInputMessage="1" showErrorMessage="1" sqref="C685:V685 C688:V688 C691:V691 C694:V694 C697:V697 C700:V700 C703:V703 C706:V706 C709:V709 C712:V712 C715:V715 C718:V718 C721:V721 C724:V724 C727:V727 C730:V730 C733:V733 C736:V736 C739:V739 C742:V742 C745:V745 C748:V748 C751:V751 C754:V754 C757:V757 C760:V760 C763:V763 C766:V766 C769:V769 C772:V772 C775:V775 C778:V778 C781:V781 C13:V13 C784:V784 C349:V349 C352:V352 C355:V355 C358:V358 C361:V361 C364:V364 C367:V367 C370:V370 C373:V373 C376:V376 C379:V379 C382:V382 C385:V385 C388:V388 C391:V391 C394:V394 C397:V397 C400:V400 C403:V403 C406:V406 C409:V409 C412:V412 C415:V415 C418:V418 C421:V421 C424:V424 C427:V427 C430:V430 C433:V433 C436:V436 C439:V439 C442:V442 C445:V445 C448:V448 C451:V451 C16:V16 C19:V19 C22:V22 C25:V25 C28:V28 C31:V31 C34:V34 C37:V37 C40:V40 C43:V43 C46:V46 C49:V49 C52:V52 C55:V55 C58:V58 C61:V61 C64:V64 C67:V67 C70:V70 C73:V73 C76:V76 C79:V79 C82:V82 C85:V85 C88:V88 C91:V91 C94:V94 C97:V97 C100:V100 C103:V103 C106:V106 C109:V109 C112:V112 C115:V115 AD13:AW13 AD16:AW16 AD19:AW19 AD22:AW22 AD25:AW25 AD28:AW28 AD31:AW31 AD34:AW34 AD37:AW37 AD40:AW40 AD43:AW43 AD46:AW46 AD49:AW49 AD52:AW52 AD55:AW55 AD58:AW58 AD61:AW61 AD64:AW64 AD67:AW67 AD70:AW70 AD73:AW73 AD76:AW76 AD79:AW79 AD82:AW82 AD85:AW85 AD88:AW88 AD91:AW91 AD94:AW94 AD97:AW97 AD100:AW100 AD103:AW103 AD106:AW106 AD109:AW109 AD112:AW112 AD115:AW115 C125:V125 C128:V128 C131:V131 C134:V134 C137:V137 C140:V140 C143:V143 C146:V146 C149:V149 C152:V152 C155:V155 C158:V158 C161:V161 C164:V164 C167:V167 C170:V170 C173:V173 C176:V176 C179:V179 C182:V182 C185:V185 C188:V188 C191:V191 C194:V194 C197:V197 C200:V200 C203:V203 C206:V206 C209:V209 C212:V212 C215:V215 C218:V218 C221:V221 C224:V224 C227:V227 AD125:AW125 AD128:AW128 AD131:AW131 AD134:AW134 AD137:AW137 AD140:AW140 AD143:AW143 AD146:AW146 AD149:AW149 AD152:AW152 AD155:AW155 AD158:AW158 AD161:AW161 AD164:AW164 AD167:AW167 AD170:AW170 AD173:AW173 AD176:AW176 AD179:AW179 AD182:AW182 AD185:AW185 AD188:AW188 AD191:AW191 AD194:AW194 AD197:AW197 AD200:AW200 AD203:AW203 AD206:AW206 AD209:AW209 AD212:AW212 AD215:AW215 AD218:AW218 AD221:AW221 AD224:AW224 AD227:AW227 C237:V237 C240:V240 C243:V243 C246:V246 C249:V249 C252:V252 C255:V255 C258:V258 C261:V261 C264:V264 C267:V267 C270:V270 C273:V273 C276:V276 C279:V279 C282:V282 C285:V285 C288:V288 C291:V291 C294:V294 C297:V297 C300:V300 C303:V303 C306:V306 C309:V309 C312:V312 C315:V315 C318:V318 C321:V321 C324:V324 C327:V327 C330:V330 C333:V333 C336:V336 C339:V339 AD237:AW237 AD240:AW240 AD243:AW243 AD246:AW246 AD249:AW249 AD252:AW252 AD255:AW255 AD258:AW258 AD261:AW261 AD264:AW264 AD267:AW267 AD270:AW270 AD273:AW273 AD276:AW276 AD279:AW279 AD282:AW282 AD285:AW285 AD288:AW288 AD291:AW291 AD294:AW294 AD297:AW297 AD300:AW300 AD303:AW303 AD306:AW306 AD309:AW309 AD312:AW312 AD315:AW315 AD318:AW318 AD321:AW321 AD324:AW324 AD327:AW327 AD330:AW330 AD333:AW333 AD336:AW336 AD339:AW339 AD349:AW349 AD352:AW352 AD355:AW355 AD358:AW358 AD361:AW361 AD364:AW364 AD367:AW367 AD370:AW370 AD373:AW373 AD376:AW376 AD379:AW379 AD382:AW382 AD385:AW385 AD388:AW388 AD391:AW391 AD394:AW394 AD397:AW397 AD400:AW400 AD403:AW403 AD406:AW406 AD409:AW409 AD412:AW412 AD415:AW415 AD418:AW418 AD421:AW421 AD424:AW424 AD427:AW427 AD430:AW430 AD433:AW433 AD436:AW436 AD439:AW439 AD442:AW442 AD445:AW445 AD448:AW448 AD451:AW451 C461:V461 C464:V464 C467:V467 C470:V470 C473:V473 C476:V476 C479:V479 C482:V482 C485:V485 C488:V488 C491:V491 C494:V494 C497:V497 C500:V500 C503:V503 C506:V506 C509:V509 C512:V512 C515:V515 C518:V518 C521:V521 C524:V524 C527:V527 C530:V530 C533:V533 C536:V536 C539:V539 C542:V542 C545:V545 C548:V548 C551:V551 C554:V554 C557:V557 C560:V560 C563:V563 AD461:AW461 AD464:AW464 AD467:AW467 AD470:AW470 AD473:AW473 AD476:AW476 AD479:AW479 AD482:AW482 AD485:AW485 AD488:AW488 AD491:AW491 AD494:AW494 AD497:AW497 AD500:AW500 AD503:AW503 AD506:AW506 AD509:AW509 AD512:AW512 AD515:AW515 AD518:AW518 AD521:AW521 AD524:AW524 AD527:AW527 AD530:AW530 AD533:AW533 AD536:AW536 AD539:AW539 AD542:AW542 AD545:AW545 AD548:AW548 AD551:AW551 AD554:AW554 AD557:AW557 AD560:AW560 AD563:AW563 C573:V573 C576:V576 C579:V579 C582:V582 C585:V585 C588:V588 C591:V591 C594:V594 C597:V597 C600:V600 C603:V603 C606:V606 C609:V609 C612:V612 C615:V615 C618:V618 C621:V621 C624:V624 C627:V627 C630:V630 C633:V633 C636:V636 C639:V639 C642:V642 C645:V645 C648:V648 C651:V651 C654:V654 C657:V657 C660:V660 C663:V663 C666:V666 C669:V669 C672:V672 C675:V675 AD573:AW573 AD576:AW576 AD579:AW579 AD582:AW582 AD585:AW585 AD588:AW588 AD591:AW591 AD594:AW594 AD597:AW597 AD600:AW600 AD603:AW603 AD606:AW606 AD609:AW609 AD612:AW612 AD615:AW615 AD618:AW618 AD621:AW621 AD624:AW624 AD627:AW627 AD630:AW630 AD633:AW633 AD636:AW636 AD639:AW639 AD642:AW642 AD645:AW645 AD648:AW648 AD651:AW651 AD654:AW654 AD657:AW657 AD660:AW660 AD663:AW663 AD666:AW666 AD669:AW669 AD672:AW672 AD675:AW675 C787:V787 AD685:AW685 AD688:AW688 AD691:AW691 AD694:AW694 AD697:AW697 AD700:AW700 AD703:AW703 AD706:AW706 AD709:AW709 AD712:AW712 AD715:AW715 AD718:AW718 AD721:AW721 AD724:AW724 AD727:AW727 AD730:AW730 AD733:AW733 AD736:AW736 AD739:AW739 AD742:AW742 AD745:AW745 AD748:AW748 AD751:AW751 AD754:AW754 AD757:AW757 AD760:AW760 AD763:AW763 AD766:AW766 AD769:AW769 AD772:AW772 AD775:AW775 AD778:AW778 AD781:AW781 AD784:AW784 AD787:AW787">
      <formula1>$W$10</formula1>
    </dataValidation>
    <dataValidation type="list" allowBlank="1" showInputMessage="1" showErrorMessage="1" sqref="C11:V11 C683:V683 C686:V686 C689:V689 C692:V692 C695:V695 C698:V698 C701:V701 C704:V704 C707:V707 C710:V710 C713:V713 C716:V716 C719:V719 C722:V722 C725:V725 C728:V728 C731:V731 C734:V734 C737:V737 C740:V740 C743:V743 C746:V746 C749:V749 C752:V752 C755:V755 C758:V758 C761:V761 C764:V764 C767:V767 C770:V770 C773:V773 C776:V776 C779:V779 C782:V782 C785:V785 C347:V347 C350:V350 C353:V353 C356:V356 C359:V359 C362:V362 C365:V365 C368:V368 C371:V371 C374:V374 C377:V377 C380:V380 C383:V383 C386:V386 C389:V389 C392:V392 C395:V395 C398:V398 C401:V401 C404:V404 C407:V407 C410:V410 C413:V413 C416:V416 C419:V419 C422:V422 C425:V425 C428:V428 C431:V431 C434:V434 C437:V437 C440:V440 C443:V443 C446:V446 C449:V449 C14:V14 C17:V17 C20:V20 C23:V23 C26:V26 C29:V29 C32:V32 C35:V35 C38:V38 C41:V41 C44:V44 C47:V47 C50:V50 C53:V53 C56:V56 C59:V59 C62:V62 C65:V65 C68:V68 C71:V71 C74:V74 C77:V77 C80:V80 C83:V83 C86:V86 C89:V89 C92:V92 C95:V95 C98:V98 C101:V101 C104:V104 C107:V107 C110:V110 C113:V113 AD11:AW11 AD14:AW14 AD17:AW17 AD20:AW20 AD23:AW23 AD26:AW26 AD29:AW29 AD32:AW32 AD35:AW35 AD38:AW38 AD41:AW41 AD44:AW44 AD47:AW47 AD50:AW50 AD53:AW53 AD56:AW56 AD59:AW59 AD62:AW62 AD65:AW65 AD68:AW68 AD71:AW71 AD74:AW74 AD77:AW77 AD80:AW80 AD83:AW83 AD86:AW86 AD89:AW89 AD92:AW92 AD95:AW95 AD98:AW98 AD101:AW101 AD104:AW104 AD107:AW107 AD110:AW110 AD113:AW113 C123:V123 C126:V126 C129:V129 C132:V132 C135:V135 C138:V138 C141:V141 C144:V144 C147:V147 C150:V150 C153:V153 C156:V156 C159:V159 C162:V162 C165:V165 C168:V168 C171:V171 C174:V174 C177:V177 C180:V180 C183:V183 C186:V186 C189:V189 C192:V192 C195:V195 C198:V198 C201:V201 C204:V204 C207:V207 C210:V210 C213:V213 C216:V216 C219:V219 C222:V222 C225:V225 AD123:AW123 AD126:AW126 AD129:AW129 AD132:AW132 AD135:AW135 AD138:AW138 AD141:AW141 AD144:AW144 AD147:AW147 AD150:AW150 AD153:AW153 AD156:AW156 AD159:AW159 AD162:AW162 AD165:AW165 AD168:AW168 AD171:AW171 AD174:AW174 AD177:AW177 AD180:AW180 AD183:AW183 AD186:AW186 AD189:AW189 AD192:AW192 AD195:AW195 AD198:AW198 AD201:AW201 AD204:AW204 AD207:AW207 AD210:AW210 AD213:AW213 AD216:AW216 AD219:AW219 AD222:AW222 AD225:AW225 C235:V235 C238:V238 C241:V241 C244:V244 C247:V247 C250:V250 C253:V253 C256:V256 C259:V259 C262:V262 C265:V265 C268:V268 C271:V271 C274:V274 C277:V277 C280:V280 C283:V283 C286:V286 C289:V289 C292:V292 C295:V295 C298:V298 C301:V301 C304:V304 C307:V307 C310:V310 C313:V313 C316:V316 C319:V319 C322:V322 C325:V325 C328:V328 C331:V331 C334:V334 C337:V337 AD235:AW235 AD238:AW238 AD241:AW241 AD244:AW244 AD247:AW247 AD250:AW250 AD253:AW253 AD256:AW256 AD259:AW259 AD262:AW262 AD265:AW265 AD268:AW268 AD271:AW271 AD274:AW274 AD277:AW277 AD280:AW280 AD283:AW283 AD286:AW286 AD289:AW289 AD292:AW292 AD295:AW295 AD298:AW298 AD301:AW301 AD304:AW304 AD307:AW307 AD310:AW310 AD313:AW313 AD316:AW316 AD319:AW319 AD322:AW322 AD325:AW325 AD328:AW328 AD331:AW331 AD334:AW334 AD337:AW337 AD347:AW347 AD350:AW350 AD353:AW353 AD356:AW356 AD359:AW359 AD362:AW362 AD365:AW365 AD368:AW368 AD371:AW371 AD374:AW374 AD377:AW377 AD380:AW380 AD383:AW383 AD386:AW386 AD389:AW389 AD392:AW392 AD395:AW395 AD398:AW398 AD401:AW401 AD404:AW404 AD407:AW407 AD410:AW410 AD413:AW413 AD416:AW416 AD419:AW419 AD422:AW422 AD425:AW425 AD428:AW428 AD431:AW431 AD434:AW434 AD437:AW437 AD440:AW440 AD443:AW443 AD446:AW446 AD449:AW449 C459:V459 C462:V462 C465:V465 C468:V468 C471:V471 C474:V474 C477:V477 C480:V480 C483:V483 C486:V486 C489:V489 C492:V492 C495:V495 C498:V498 C501:V501 C504:V504 C507:V507 C510:V510 C513:V513 C516:V516 C519:V519 C522:V522 C525:V525 C528:V528 C531:V531 C534:V534 C537:V537 C540:V540 C543:V543 C546:V546 C549:V549 C552:V552 C555:V555 C558:V558 C561:V561 AD459:AW459 AD462:AW462 AD465:AW465 AD468:AW468 AD471:AW471 AD474:AW474 AD477:AW477 AD480:AW480 AD483:AW483 AD486:AW486 AD489:AW489 AD492:AW492 AD495:AW495 AD498:AW498 AD501:AW501 AD504:AW504 AD507:AW507 AD510:AW510 AD513:AW513 AD516:AW516 AD519:AW519 AD522:AW522 AD525:AW525 AD528:AW528 AD531:AW531 AD534:AW534 AD537:AW537 AD540:AW540 AD543:AW543 AD546:AW546 AD549:AW549 AD552:AW552 AD555:AW555 AD558:AW558 AD561:AW561 C571:V571 C574:V574 C577:V577 C580:V580 C583:V583 C586:V586 C589:V589 C592:V592 C595:V595 C598:V598 C601:V601 C604:V604 C607:V607 C610:V610 C613:V613 C616:V616 C619:V619 C622:V622 C625:V625 C628:V628 C631:V631 C634:V634 C637:V637 C640:V640 C643:V643 C646:V646 C649:V649 C652:V652 C655:V655 C658:V658 C661:V661 C664:V664 C667:V667 C670:V670 C673:V673 AD571:AW571 AD574:AW574 AD577:AW577 AD580:AW580 AD583:AW583 AD586:AW586 AD589:AW589 AD592:AW592 AD595:AW595 AD598:AW598 AD601:AW601 AD604:AW604 AD607:AW607 AD610:AW610 AD613:AW613 AD616:AW616 AD619:AW619 AD622:AW622 AD625:AW625 AD628:AW628 AD631:AW631 AD634:AW634 AD637:AW637 AD640:AW640 AD643:AW643 AD646:AW646 AD649:AW649 AD652:AW652 AD655:AW655 AD658:AW658 AD661:AW661 AD664:AW664 AD667:AW667 AD670:AW670 AD673:AW673 AD683:AW683 AD686:AW686 AD689:AW689 AD692:AW692 AD695:AW695 AD698:AW698 AD701:AW701 AD704:AW704 AD707:AW707 AD710:AW710 AD713:AW713 AD716:AW716 AD719:AW719 AD722:AW722 AD725:AW725 AD728:AW728 AD731:AW731 AD734:AW734 AD737:AW737 AD740:AW740 AD743:AW743 AD746:AW746 AD749:AW749 AD752:AW752 AD755:AW755 AD758:AW758 AD761:AW761 AD764:AW764 AD767:AW767 AD770:AW770 AD773:AW773 AD776:AW776 AD779:AW779 AD782:AW782 AD785:AW785">
      <formula1>$Y$10</formula1>
    </dataValidation>
    <dataValidation type="list" allowBlank="1" showInputMessage="1" showErrorMessage="1" sqref="C340:V340 AD340:AW340">
      <formula1>$W$10:$Y$10</formula1>
    </dataValidation>
  </dataValidations>
  <hyperlinks>
    <hyperlink ref="C2:G2" location="AGUJ" display="ગુજરાતી"/>
    <hyperlink ref="C3:G3" location="sganit2" display="ગણિત"/>
    <hyperlink ref="H2:L2" location="svigyan" display="વિજ્ઞાન- ટેક્"/>
    <hyperlink ref="H3:L3" location="shindi" display="હિન્દી"/>
    <hyperlink ref="M2:Q2" location="sss" display="સામા. વિજ્ઞાન"/>
    <hyperlink ref="M3:Q3" location="seng" display="અંગ્રેજી"/>
    <hyperlink ref="R2:V2" location="ssanskut" display="સંસ્કૃત"/>
    <hyperlink ref="A5" location="'A-RACHNATMAK'!A1" display="^"/>
    <hyperlink ref="AB5" location="'A-RACHNATMAK'!A1" display="^"/>
    <hyperlink ref="AB117" location="'A-RACHNATMAK'!A1" display="^"/>
    <hyperlink ref="A117" location="'A-RACHNATMAK'!A1" display="^"/>
    <hyperlink ref="A229" location="'A-RACHNATMAK'!A1" display="^"/>
    <hyperlink ref="AB229" location="'A-RACHNATMAK'!A1" display="^"/>
    <hyperlink ref="AB341" location="'A-RACHNATMAK'!A1" display="^"/>
    <hyperlink ref="A341" location="'A-RACHNATMAK'!A1" display="^"/>
    <hyperlink ref="A453" location="'A-RACHNATMAK'!A1" display="^"/>
    <hyperlink ref="AB453" location="'A-RACHNATMAK'!A1" display="^"/>
    <hyperlink ref="AB565" location="'A-RACHNATMAK'!A1" display="^"/>
    <hyperlink ref="A565" location="'A-RACHNATMAK'!A1" display="^"/>
    <hyperlink ref="AB677" location="'A-RACHNATMAK'!A1" display="^"/>
    <hyperlink ref="A677" location="'A-RACHNATMAK'!A1" display="^"/>
    <hyperlink ref="A2:A3" location="INDEX!A1" display="INDEX"/>
  </hyperlinks>
  <pageMargins left="0.25" right="0.25" top="0.2" bottom="0.2" header="0" footer="0"/>
  <pageSetup paperSize="5" scale="86" orientation="portrait" horizontalDpi="4294967292" verticalDpi="300" r:id="rId1"/>
  <headerFooter>
    <oddFooter>&amp;Lવર્ગ શિક્ષકની સહી&amp;Rઆચાર્યની સહી</oddFooter>
  </headerFooter>
  <rowBreaks count="1" manualBreakCount="1">
    <brk id="115" max="16383" man="1"/>
  </rowBreaks>
  <colBreaks count="1" manualBreakCount="1">
    <brk id="27"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W748"/>
  <sheetViews>
    <sheetView workbookViewId="0">
      <selection activeCell="AA644" sqref="AA644:AA646"/>
    </sheetView>
  </sheetViews>
  <sheetFormatPr defaultRowHeight="15"/>
  <cols>
    <col min="1" max="1" width="5.140625" customWidth="1"/>
    <col min="2" max="21" width="3" customWidth="1"/>
    <col min="22" max="24" width="4.28515625" customWidth="1"/>
    <col min="25" max="25" width="9.140625" customWidth="1"/>
    <col min="26" max="26" width="4.28515625" customWidth="1"/>
    <col min="27" max="46" width="2.85546875" customWidth="1"/>
    <col min="47" max="49" width="3.85546875" customWidth="1"/>
  </cols>
  <sheetData>
    <row r="1" spans="1:49">
      <c r="A1" s="624" t="s">
        <v>318</v>
      </c>
      <c r="B1" s="624"/>
      <c r="C1" s="624"/>
      <c r="D1" s="624"/>
      <c r="E1" s="624"/>
      <c r="F1" s="624"/>
      <c r="G1" s="624"/>
      <c r="H1" s="624"/>
      <c r="I1" s="624"/>
      <c r="J1" s="624"/>
      <c r="K1" s="624"/>
      <c r="L1" s="624"/>
      <c r="M1" s="624"/>
      <c r="N1" s="624"/>
      <c r="O1" s="624"/>
      <c r="P1" s="624"/>
      <c r="Q1" s="624"/>
      <c r="R1" s="624"/>
      <c r="S1" s="624"/>
      <c r="T1" s="624"/>
      <c r="U1" s="624"/>
      <c r="V1" s="624"/>
      <c r="W1" s="624"/>
      <c r="X1" s="624"/>
      <c r="AA1" s="624" t="s">
        <v>319</v>
      </c>
      <c r="AB1" s="624"/>
      <c r="AC1" s="624"/>
      <c r="AD1" s="624"/>
      <c r="AE1" s="624"/>
      <c r="AF1" s="624"/>
      <c r="AG1" s="624"/>
      <c r="AH1" s="624"/>
      <c r="AI1" s="624"/>
      <c r="AJ1" s="624"/>
      <c r="AK1" s="624"/>
      <c r="AL1" s="624"/>
      <c r="AM1" s="624"/>
      <c r="AN1" s="624"/>
      <c r="AO1" s="624"/>
      <c r="AP1" s="624"/>
      <c r="AQ1" s="624"/>
      <c r="AR1" s="624"/>
      <c r="AS1" s="624"/>
      <c r="AT1" s="624"/>
      <c r="AU1" s="624"/>
      <c r="AV1" s="624"/>
      <c r="AW1" s="624"/>
    </row>
    <row r="2" spans="1:49" s="330" customFormat="1" ht="8.25" customHeight="1">
      <c r="A2" s="623">
        <v>1</v>
      </c>
      <c r="B2" s="622" t="str">
        <f>IF(NOT(ISBLANK('A-RACHNATMAK'!C13)),"A",IF(NOT(ISBLANK('A-RACHNATMAK'!C12)),"B",IF(NOT(ISBLANK('A-RACHNATMAK'!C11)),"C","")))</f>
        <v>C</v>
      </c>
      <c r="C2" s="622" t="str">
        <f>IF(NOT(ISBLANK('A-RACHNATMAK'!D13)),"A",IF(NOT(ISBLANK('A-RACHNATMAK'!D12)),"B",IF(NOT(ISBLANK('A-RACHNATMAK'!D11)),"C","")))</f>
        <v>B</v>
      </c>
      <c r="D2" s="622" t="str">
        <f>IF(NOT(ISBLANK('A-RACHNATMAK'!E13)),"A",IF(NOT(ISBLANK('A-RACHNATMAK'!E12)),"B",IF(NOT(ISBLANK('A-RACHNATMAK'!E11)),"C","")))</f>
        <v>A</v>
      </c>
      <c r="E2" s="622" t="str">
        <f>IF(NOT(ISBLANK('A-RACHNATMAK'!F13)),"A",IF(NOT(ISBLANK('A-RACHNATMAK'!F12)),"B",IF(NOT(ISBLANK('A-RACHNATMAK'!F11)),"C","")))</f>
        <v/>
      </c>
      <c r="F2" s="622" t="str">
        <f>IF(NOT(ISBLANK('A-RACHNATMAK'!G13)),"A",IF(NOT(ISBLANK('A-RACHNATMAK'!G12)),"B",IF(NOT(ISBLANK('A-RACHNATMAK'!G11)),"C","")))</f>
        <v>C</v>
      </c>
      <c r="G2" s="622" t="str">
        <f>IF(NOT(ISBLANK('A-RACHNATMAK'!H13)),"A",IF(NOT(ISBLANK('A-RACHNATMAK'!H12)),"B",IF(NOT(ISBLANK('A-RACHNATMAK'!H11)),"C","")))</f>
        <v/>
      </c>
      <c r="H2" s="622" t="str">
        <f>IF(NOT(ISBLANK('A-RACHNATMAK'!I13)),"A",IF(NOT(ISBLANK('A-RACHNATMAK'!I12)),"B",IF(NOT(ISBLANK('A-RACHNATMAK'!I11)),"C","")))</f>
        <v/>
      </c>
      <c r="I2" s="622" t="str">
        <f>IF(NOT(ISBLANK('A-RACHNATMAK'!J13)),"A",IF(NOT(ISBLANK('A-RACHNATMAK'!J12)),"B",IF(NOT(ISBLANK('A-RACHNATMAK'!J11)),"C","")))</f>
        <v/>
      </c>
      <c r="J2" s="622" t="str">
        <f>IF(NOT(ISBLANK('A-RACHNATMAK'!K13)),"A",IF(NOT(ISBLANK('A-RACHNATMAK'!K12)),"B",IF(NOT(ISBLANK('A-RACHNATMAK'!K11)),"C","")))</f>
        <v/>
      </c>
      <c r="K2" s="622" t="str">
        <f>IF(NOT(ISBLANK('A-RACHNATMAK'!L13)),"A",IF(NOT(ISBLANK('A-RACHNATMAK'!L12)),"B",IF(NOT(ISBLANK('A-RACHNATMAK'!L11)),"C","")))</f>
        <v/>
      </c>
      <c r="L2" s="622" t="str">
        <f>IF(NOT(ISBLANK('A-RACHNATMAK'!M13)),"A",IF(NOT(ISBLANK('A-RACHNATMAK'!M12)),"B",IF(NOT(ISBLANK('A-RACHNATMAK'!M11)),"C","")))</f>
        <v/>
      </c>
      <c r="M2" s="622" t="str">
        <f>IF(NOT(ISBLANK('A-RACHNATMAK'!N13)),"A",IF(NOT(ISBLANK('A-RACHNATMAK'!N12)),"B",IF(NOT(ISBLANK('A-RACHNATMAK'!N11)),"C","")))</f>
        <v/>
      </c>
      <c r="N2" s="622" t="str">
        <f>IF(NOT(ISBLANK('A-RACHNATMAK'!O13)),"A",IF(NOT(ISBLANK('A-RACHNATMAK'!O12)),"B",IF(NOT(ISBLANK('A-RACHNATMAK'!O11)),"C","")))</f>
        <v/>
      </c>
      <c r="O2" s="622" t="str">
        <f>IF(NOT(ISBLANK('A-RACHNATMAK'!P13)),"A",IF(NOT(ISBLANK('A-RACHNATMAK'!P12)),"B",IF(NOT(ISBLANK('A-RACHNATMAK'!P11)),"C","")))</f>
        <v/>
      </c>
      <c r="P2" s="622" t="str">
        <f>IF(NOT(ISBLANK('A-RACHNATMAK'!Q13)),"A",IF(NOT(ISBLANK('A-RACHNATMAK'!Q12)),"B",IF(NOT(ISBLANK('A-RACHNATMAK'!Q11)),"C","")))</f>
        <v/>
      </c>
      <c r="Q2" s="622" t="str">
        <f>IF(NOT(ISBLANK('A-RACHNATMAK'!R13)),"A",IF(NOT(ISBLANK('A-RACHNATMAK'!R12)),"B",IF(NOT(ISBLANK('A-RACHNATMAK'!R11)),"C","")))</f>
        <v/>
      </c>
      <c r="R2" s="622" t="str">
        <f>IF(NOT(ISBLANK('A-RACHNATMAK'!S13)),"A",IF(NOT(ISBLANK('A-RACHNATMAK'!S12)),"B",IF(NOT(ISBLANK('A-RACHNATMAK'!S11)),"C","")))</f>
        <v/>
      </c>
      <c r="S2" s="622" t="str">
        <f>IF(NOT(ISBLANK('A-RACHNATMAK'!T13)),"A",IF(NOT(ISBLANK('A-RACHNATMAK'!T12)),"B",IF(NOT(ISBLANK('A-RACHNATMAK'!T11)),"C","")))</f>
        <v/>
      </c>
      <c r="T2" s="622" t="str">
        <f>IF(NOT(ISBLANK('A-RACHNATMAK'!U13)),"A",IF(NOT(ISBLANK('A-RACHNATMAK'!U12)),"B",IF(NOT(ISBLANK('A-RACHNATMAK'!U11)),"C","")))</f>
        <v/>
      </c>
      <c r="U2" s="622" t="str">
        <f>IF(NOT(ISBLANK('A-RACHNATMAK'!V13)),"A",IF(NOT(ISBLANK('A-RACHNATMAK'!V12)),"B",IF(NOT(ISBLANK('A-RACHNATMAK'!V11)),"C","")))</f>
        <v/>
      </c>
      <c r="V2" s="622">
        <f>COUNTIF(B2:U2,"A")</f>
        <v>1</v>
      </c>
      <c r="W2" s="622">
        <f>COUNTIF(B2:U2,"B")</f>
        <v>1</v>
      </c>
      <c r="X2" s="622">
        <f>COUNTIF(B2:U2,"C")</f>
        <v>2</v>
      </c>
      <c r="Z2" s="623">
        <v>1</v>
      </c>
      <c r="AA2" s="622" t="str">
        <f>IF(NOT(ISBLANK('A-RACHNATMAK'!AD13)),"A",IF(NOT(ISBLANK('A-RACHNATMAK'!AD12)),"B",IF(NOT(ISBLANK('A-RACHNATMAK'!AD11)),"C","")))</f>
        <v>B</v>
      </c>
      <c r="AB2" s="622" t="str">
        <f>IF(NOT(ISBLANK('A-RACHNATMAK'!AE13)),"A",IF(NOT(ISBLANK('A-RACHNATMAK'!AE12)),"B",IF(NOT(ISBLANK('A-RACHNATMAK'!AE11)),"C","")))</f>
        <v>C</v>
      </c>
      <c r="AC2" s="622" t="str">
        <f>IF(NOT(ISBLANK('A-RACHNATMAK'!AF13)),"A",IF(NOT(ISBLANK('A-RACHNATMAK'!AF12)),"B",IF(NOT(ISBLANK('A-RACHNATMAK'!AF11)),"C","")))</f>
        <v/>
      </c>
      <c r="AD2" s="622" t="str">
        <f>IF(NOT(ISBLANK('A-RACHNATMAK'!AG13)),"A",IF(NOT(ISBLANK('A-RACHNATMAK'!AG12)),"B",IF(NOT(ISBLANK('A-RACHNATMAK'!AG11)),"C","")))</f>
        <v>A</v>
      </c>
      <c r="AE2" s="622" t="str">
        <f>IF(NOT(ISBLANK('A-RACHNATMAK'!AH13)),"A",IF(NOT(ISBLANK('A-RACHNATMAK'!AH12)),"B",IF(NOT(ISBLANK('A-RACHNATMAK'!AH11)),"C","")))</f>
        <v/>
      </c>
      <c r="AF2" s="622" t="str">
        <f>IF(NOT(ISBLANK('A-RACHNATMAK'!AI13)),"A",IF(NOT(ISBLANK('A-RACHNATMAK'!AI12)),"B",IF(NOT(ISBLANK('A-RACHNATMAK'!AI11)),"C","")))</f>
        <v/>
      </c>
      <c r="AG2" s="622" t="str">
        <f>IF(NOT(ISBLANK('A-RACHNATMAK'!AJ13)),"A",IF(NOT(ISBLANK('A-RACHNATMAK'!AJ12)),"B",IF(NOT(ISBLANK('A-RACHNATMAK'!AJ11)),"C","")))</f>
        <v/>
      </c>
      <c r="AH2" s="622" t="str">
        <f>IF(NOT(ISBLANK('A-RACHNATMAK'!AK13)),"A",IF(NOT(ISBLANK('A-RACHNATMAK'!AK12)),"B",IF(NOT(ISBLANK('A-RACHNATMAK'!AK11)),"C","")))</f>
        <v/>
      </c>
      <c r="AI2" s="622" t="str">
        <f>IF(NOT(ISBLANK('A-RACHNATMAK'!AL13)),"A",IF(NOT(ISBLANK('A-RACHNATMAK'!AL12)),"B",IF(NOT(ISBLANK('A-RACHNATMAK'!AL11)),"C","")))</f>
        <v/>
      </c>
      <c r="AJ2" s="622" t="str">
        <f>IF(NOT(ISBLANK('A-RACHNATMAK'!AM13)),"A",IF(NOT(ISBLANK('A-RACHNATMAK'!AM12)),"B",IF(NOT(ISBLANK('A-RACHNATMAK'!AM11)),"C","")))</f>
        <v/>
      </c>
      <c r="AK2" s="622" t="str">
        <f>IF(NOT(ISBLANK('A-RACHNATMAK'!AN13)),"A",IF(NOT(ISBLANK('A-RACHNATMAK'!AN12)),"B",IF(NOT(ISBLANK('A-RACHNATMAK'!AN11)),"C","")))</f>
        <v/>
      </c>
      <c r="AL2" s="622" t="str">
        <f>IF(NOT(ISBLANK('A-RACHNATMAK'!AO13)),"A",IF(NOT(ISBLANK('A-RACHNATMAK'!AO12)),"B",IF(NOT(ISBLANK('A-RACHNATMAK'!AO11)),"C","")))</f>
        <v/>
      </c>
      <c r="AM2" s="622" t="str">
        <f>IF(NOT(ISBLANK('A-RACHNATMAK'!AP13)),"A",IF(NOT(ISBLANK('A-RACHNATMAK'!AP12)),"B",IF(NOT(ISBLANK('A-RACHNATMAK'!AP11)),"C","")))</f>
        <v/>
      </c>
      <c r="AN2" s="622" t="str">
        <f>IF(NOT(ISBLANK('A-RACHNATMAK'!AQ13)),"A",IF(NOT(ISBLANK('A-RACHNATMAK'!AQ12)),"B",IF(NOT(ISBLANK('A-RACHNATMAK'!AQ11)),"C","")))</f>
        <v/>
      </c>
      <c r="AO2" s="622" t="str">
        <f>IF(NOT(ISBLANK('A-RACHNATMAK'!AR13)),"A",IF(NOT(ISBLANK('A-RACHNATMAK'!AR12)),"B",IF(NOT(ISBLANK('A-RACHNATMAK'!AR11)),"C","")))</f>
        <v/>
      </c>
      <c r="AP2" s="622" t="str">
        <f>IF(NOT(ISBLANK('A-RACHNATMAK'!AS13)),"A",IF(NOT(ISBLANK('A-RACHNATMAK'!AS12)),"B",IF(NOT(ISBLANK('A-RACHNATMAK'!AS11)),"C","")))</f>
        <v/>
      </c>
      <c r="AQ2" s="622" t="str">
        <f>IF(NOT(ISBLANK('A-RACHNATMAK'!AT13)),"A",IF(NOT(ISBLANK('A-RACHNATMAK'!AT12)),"B",IF(NOT(ISBLANK('A-RACHNATMAK'!AT11)),"C","")))</f>
        <v/>
      </c>
      <c r="AR2" s="622" t="str">
        <f>IF(NOT(ISBLANK('A-RACHNATMAK'!AU13)),"A",IF(NOT(ISBLANK('A-RACHNATMAK'!AU12)),"B",IF(NOT(ISBLANK('A-RACHNATMAK'!AU11)),"C","")))</f>
        <v/>
      </c>
      <c r="AS2" s="622" t="str">
        <f>IF(NOT(ISBLANK('A-RACHNATMAK'!AV13)),"A",IF(NOT(ISBLANK('A-RACHNATMAK'!AV12)),"B",IF(NOT(ISBLANK('A-RACHNATMAK'!AV11)),"C","")))</f>
        <v/>
      </c>
      <c r="AT2" s="622" t="str">
        <f>IF(NOT(ISBLANK('A-RACHNATMAK'!AW13)),"A",IF(NOT(ISBLANK('A-RACHNATMAK'!AW12)),"B",IF(NOT(ISBLANK('A-RACHNATMAK'!AW11)),"C","")))</f>
        <v/>
      </c>
      <c r="AU2" s="622">
        <f>COUNTIF(AA2:AT2,"A")</f>
        <v>1</v>
      </c>
      <c r="AV2" s="622">
        <f>COUNTIF(AA2:AT2,"B")</f>
        <v>1</v>
      </c>
      <c r="AW2" s="622">
        <f>COUNTIF(AA2:AT2,"C")</f>
        <v>1</v>
      </c>
    </row>
    <row r="3" spans="1:49" s="330" customFormat="1" ht="8.25" customHeight="1">
      <c r="A3" s="623"/>
      <c r="B3" s="622"/>
      <c r="C3" s="622"/>
      <c r="D3" s="622"/>
      <c r="E3" s="622"/>
      <c r="F3" s="622"/>
      <c r="G3" s="622"/>
      <c r="H3" s="622"/>
      <c r="I3" s="622"/>
      <c r="J3" s="622"/>
      <c r="K3" s="622"/>
      <c r="L3" s="622"/>
      <c r="M3" s="622"/>
      <c r="N3" s="622"/>
      <c r="O3" s="622"/>
      <c r="P3" s="622"/>
      <c r="Q3" s="622"/>
      <c r="R3" s="622"/>
      <c r="S3" s="622"/>
      <c r="T3" s="622"/>
      <c r="U3" s="622"/>
      <c r="V3" s="622"/>
      <c r="W3" s="622"/>
      <c r="X3" s="622"/>
      <c r="Z3" s="623"/>
      <c r="AA3" s="622"/>
      <c r="AB3" s="622"/>
      <c r="AC3" s="622"/>
      <c r="AD3" s="622"/>
      <c r="AE3" s="622"/>
      <c r="AF3" s="622"/>
      <c r="AG3" s="622"/>
      <c r="AH3" s="622"/>
      <c r="AI3" s="622"/>
      <c r="AJ3" s="622"/>
      <c r="AK3" s="622"/>
      <c r="AL3" s="622"/>
      <c r="AM3" s="622"/>
      <c r="AN3" s="622"/>
      <c r="AO3" s="622"/>
      <c r="AP3" s="622"/>
      <c r="AQ3" s="622"/>
      <c r="AR3" s="622"/>
      <c r="AS3" s="622"/>
      <c r="AT3" s="622"/>
      <c r="AU3" s="622"/>
      <c r="AV3" s="622"/>
      <c r="AW3" s="622"/>
    </row>
    <row r="4" spans="1:49" s="330" customFormat="1" ht="8.25" customHeight="1">
      <c r="A4" s="623"/>
      <c r="B4" s="622"/>
      <c r="C4" s="622"/>
      <c r="D4" s="622"/>
      <c r="E4" s="622"/>
      <c r="F4" s="622"/>
      <c r="G4" s="622"/>
      <c r="H4" s="622"/>
      <c r="I4" s="622"/>
      <c r="J4" s="622"/>
      <c r="K4" s="622"/>
      <c r="L4" s="622"/>
      <c r="M4" s="622"/>
      <c r="N4" s="622"/>
      <c r="O4" s="622"/>
      <c r="P4" s="622"/>
      <c r="Q4" s="622"/>
      <c r="R4" s="622"/>
      <c r="S4" s="622"/>
      <c r="T4" s="622"/>
      <c r="U4" s="622"/>
      <c r="V4" s="622"/>
      <c r="W4" s="622"/>
      <c r="X4" s="622"/>
      <c r="Z4" s="623"/>
      <c r="AA4" s="622"/>
      <c r="AB4" s="622"/>
      <c r="AC4" s="622"/>
      <c r="AD4" s="622"/>
      <c r="AE4" s="622"/>
      <c r="AF4" s="622"/>
      <c r="AG4" s="622"/>
      <c r="AH4" s="622"/>
      <c r="AI4" s="622"/>
      <c r="AJ4" s="622"/>
      <c r="AK4" s="622"/>
      <c r="AL4" s="622"/>
      <c r="AM4" s="622"/>
      <c r="AN4" s="622"/>
      <c r="AO4" s="622"/>
      <c r="AP4" s="622"/>
      <c r="AQ4" s="622"/>
      <c r="AR4" s="622"/>
      <c r="AS4" s="622"/>
      <c r="AT4" s="622"/>
      <c r="AU4" s="622"/>
      <c r="AV4" s="622"/>
      <c r="AW4" s="622"/>
    </row>
    <row r="5" spans="1:49" s="330" customFormat="1" ht="8.25" customHeight="1">
      <c r="A5" s="623">
        <v>2</v>
      </c>
      <c r="B5" s="622" t="str">
        <f>IF(NOT(ISBLANK('A-RACHNATMAK'!C16)),"A",IF(NOT(ISBLANK('A-RACHNATMAK'!C15)),"B",IF(NOT(ISBLANK('A-RACHNATMAK'!C14)),"C","")))</f>
        <v>C</v>
      </c>
      <c r="C5" s="622" t="str">
        <f>IF(NOT(ISBLANK('A-RACHNATMAK'!D16)),"A",IF(NOT(ISBLANK('A-RACHNATMAK'!D15)),"B",IF(NOT(ISBLANK('A-RACHNATMAK'!D14)),"C","")))</f>
        <v>A</v>
      </c>
      <c r="D5" s="622" t="str">
        <f>IF(NOT(ISBLANK('A-RACHNATMAK'!E16)),"A",IF(NOT(ISBLANK('A-RACHNATMAK'!E15)),"B",IF(NOT(ISBLANK('A-RACHNATMAK'!E14)),"C","")))</f>
        <v>B</v>
      </c>
      <c r="E5" s="622" t="str">
        <f>IF(NOT(ISBLANK('A-RACHNATMAK'!F16)),"A",IF(NOT(ISBLANK('A-RACHNATMAK'!F15)),"B",IF(NOT(ISBLANK('A-RACHNATMAK'!F14)),"C","")))</f>
        <v>A</v>
      </c>
      <c r="F5" s="622" t="str">
        <f>IF(NOT(ISBLANK('A-RACHNATMAK'!G16)),"A",IF(NOT(ISBLANK('A-RACHNATMAK'!G15)),"B",IF(NOT(ISBLANK('A-RACHNATMAK'!G14)),"C","")))</f>
        <v/>
      </c>
      <c r="G5" s="622" t="str">
        <f>IF(NOT(ISBLANK('A-RACHNATMAK'!H16)),"A",IF(NOT(ISBLANK('A-RACHNATMAK'!H15)),"B",IF(NOT(ISBLANK('A-RACHNATMAK'!H14)),"C","")))</f>
        <v/>
      </c>
      <c r="H5" s="622" t="str">
        <f>IF(NOT(ISBLANK('A-RACHNATMAK'!I16)),"A",IF(NOT(ISBLANK('A-RACHNATMAK'!I15)),"B",IF(NOT(ISBLANK('A-RACHNATMAK'!I14)),"C","")))</f>
        <v/>
      </c>
      <c r="I5" s="622" t="str">
        <f>IF(NOT(ISBLANK('A-RACHNATMAK'!J16)),"A",IF(NOT(ISBLANK('A-RACHNATMAK'!J15)),"B",IF(NOT(ISBLANK('A-RACHNATMAK'!J14)),"C","")))</f>
        <v>B</v>
      </c>
      <c r="J5" s="622" t="str">
        <f>IF(NOT(ISBLANK('A-RACHNATMAK'!K16)),"A",IF(NOT(ISBLANK('A-RACHNATMAK'!K15)),"B",IF(NOT(ISBLANK('A-RACHNATMAK'!K14)),"C","")))</f>
        <v/>
      </c>
      <c r="K5" s="622" t="str">
        <f>IF(NOT(ISBLANK('A-RACHNATMAK'!L16)),"A",IF(NOT(ISBLANK('A-RACHNATMAK'!L15)),"B",IF(NOT(ISBLANK('A-RACHNATMAK'!L14)),"C","")))</f>
        <v/>
      </c>
      <c r="L5" s="622" t="str">
        <f>IF(NOT(ISBLANK('A-RACHNATMAK'!M16)),"A",IF(NOT(ISBLANK('A-RACHNATMAK'!M15)),"B",IF(NOT(ISBLANK('A-RACHNATMAK'!M14)),"C","")))</f>
        <v/>
      </c>
      <c r="M5" s="622" t="str">
        <f>IF(NOT(ISBLANK('A-RACHNATMAK'!N16)),"A",IF(NOT(ISBLANK('A-RACHNATMAK'!N15)),"B",IF(NOT(ISBLANK('A-RACHNATMAK'!N14)),"C","")))</f>
        <v/>
      </c>
      <c r="N5" s="622" t="str">
        <f>IF(NOT(ISBLANK('A-RACHNATMAK'!O16)),"A",IF(NOT(ISBLANK('A-RACHNATMAK'!O15)),"B",IF(NOT(ISBLANK('A-RACHNATMAK'!O14)),"C","")))</f>
        <v/>
      </c>
      <c r="O5" s="622" t="str">
        <f>IF(NOT(ISBLANK('A-RACHNATMAK'!P16)),"A",IF(NOT(ISBLANK('A-RACHNATMAK'!P15)),"B",IF(NOT(ISBLANK('A-RACHNATMAK'!P14)),"C","")))</f>
        <v/>
      </c>
      <c r="P5" s="622" t="str">
        <f>IF(NOT(ISBLANK('A-RACHNATMAK'!Q16)),"A",IF(NOT(ISBLANK('A-RACHNATMAK'!Q15)),"B",IF(NOT(ISBLANK('A-RACHNATMAK'!Q14)),"C","")))</f>
        <v/>
      </c>
      <c r="Q5" s="622" t="str">
        <f>IF(NOT(ISBLANK('A-RACHNATMAK'!R16)),"A",IF(NOT(ISBLANK('A-RACHNATMAK'!R15)),"B",IF(NOT(ISBLANK('A-RACHNATMAK'!R14)),"C","")))</f>
        <v/>
      </c>
      <c r="R5" s="622" t="str">
        <f>IF(NOT(ISBLANK('A-RACHNATMAK'!S16)),"A",IF(NOT(ISBLANK('A-RACHNATMAK'!S15)),"B",IF(NOT(ISBLANK('A-RACHNATMAK'!S14)),"C","")))</f>
        <v/>
      </c>
      <c r="S5" s="622" t="str">
        <f>IF(NOT(ISBLANK('A-RACHNATMAK'!T16)),"A",IF(NOT(ISBLANK('A-RACHNATMAK'!T15)),"B",IF(NOT(ISBLANK('A-RACHNATMAK'!T14)),"C","")))</f>
        <v/>
      </c>
      <c r="T5" s="622" t="str">
        <f>IF(NOT(ISBLANK('A-RACHNATMAK'!U16)),"A",IF(NOT(ISBLANK('A-RACHNATMAK'!U15)),"B",IF(NOT(ISBLANK('A-RACHNATMAK'!U14)),"C","")))</f>
        <v/>
      </c>
      <c r="U5" s="622" t="str">
        <f>IF(NOT(ISBLANK('A-RACHNATMAK'!V16)),"A",IF(NOT(ISBLANK('A-RACHNATMAK'!V15)),"B",IF(NOT(ISBLANK('A-RACHNATMAK'!V14)),"C","")))</f>
        <v/>
      </c>
      <c r="V5" s="622">
        <f t="shared" ref="V5" si="0">COUNTIF(B5:U5,"A")</f>
        <v>2</v>
      </c>
      <c r="W5" s="622">
        <f t="shared" ref="W5" si="1">COUNTIF(B5:U5,"B")</f>
        <v>2</v>
      </c>
      <c r="X5" s="622">
        <f t="shared" ref="X5" si="2">COUNTIF(B5:U5,"C")</f>
        <v>1</v>
      </c>
      <c r="Z5" s="623">
        <v>2</v>
      </c>
      <c r="AA5" s="622" t="str">
        <f>IF(NOT(ISBLANK('A-RACHNATMAK'!AD16)),"A",IF(NOT(ISBLANK('A-RACHNATMAK'!AD15)),"B",IF(NOT(ISBLANK('A-RACHNATMAK'!AD14)),"C","")))</f>
        <v/>
      </c>
      <c r="AB5" s="622" t="str">
        <f>IF(NOT(ISBLANK('A-RACHNATMAK'!AE16)),"A",IF(NOT(ISBLANK('A-RACHNATMAK'!AE15)),"B",IF(NOT(ISBLANK('A-RACHNATMAK'!AE14)),"C","")))</f>
        <v/>
      </c>
      <c r="AC5" s="622" t="str">
        <f>IF(NOT(ISBLANK('A-RACHNATMAK'!AF16)),"A",IF(NOT(ISBLANK('A-RACHNATMAK'!AF15)),"B",IF(NOT(ISBLANK('A-RACHNATMAK'!AF14)),"C","")))</f>
        <v/>
      </c>
      <c r="AD5" s="622" t="str">
        <f>IF(NOT(ISBLANK('A-RACHNATMAK'!AG16)),"A",IF(NOT(ISBLANK('A-RACHNATMAK'!AG15)),"B",IF(NOT(ISBLANK('A-RACHNATMAK'!AG14)),"C","")))</f>
        <v/>
      </c>
      <c r="AE5" s="622" t="str">
        <f>IF(NOT(ISBLANK('A-RACHNATMAK'!AH16)),"A",IF(NOT(ISBLANK('A-RACHNATMAK'!AH15)),"B",IF(NOT(ISBLANK('A-RACHNATMAK'!AH14)),"C","")))</f>
        <v>A</v>
      </c>
      <c r="AF5" s="622" t="str">
        <f>IF(NOT(ISBLANK('A-RACHNATMAK'!AI16)),"A",IF(NOT(ISBLANK('A-RACHNATMAK'!AI15)),"B",IF(NOT(ISBLANK('A-RACHNATMAK'!AI14)),"C","")))</f>
        <v/>
      </c>
      <c r="AG5" s="622" t="str">
        <f>IF(NOT(ISBLANK('A-RACHNATMAK'!AJ16)),"A",IF(NOT(ISBLANK('A-RACHNATMAK'!AJ15)),"B",IF(NOT(ISBLANK('A-RACHNATMAK'!AJ14)),"C","")))</f>
        <v>A</v>
      </c>
      <c r="AH5" s="622" t="str">
        <f>IF(NOT(ISBLANK('A-RACHNATMAK'!AK16)),"A",IF(NOT(ISBLANK('A-RACHNATMAK'!AK15)),"B",IF(NOT(ISBLANK('A-RACHNATMAK'!AK14)),"C","")))</f>
        <v/>
      </c>
      <c r="AI5" s="622" t="str">
        <f>IF(NOT(ISBLANK('A-RACHNATMAK'!AL16)),"A",IF(NOT(ISBLANK('A-RACHNATMAK'!AL15)),"B",IF(NOT(ISBLANK('A-RACHNATMAK'!AL14)),"C","")))</f>
        <v/>
      </c>
      <c r="AJ5" s="622" t="str">
        <f>IF(NOT(ISBLANK('A-RACHNATMAK'!AM16)),"A",IF(NOT(ISBLANK('A-RACHNATMAK'!AM15)),"B",IF(NOT(ISBLANK('A-RACHNATMAK'!AM14)),"C","")))</f>
        <v/>
      </c>
      <c r="AK5" s="622" t="str">
        <f>IF(NOT(ISBLANK('A-RACHNATMAK'!AN16)),"A",IF(NOT(ISBLANK('A-RACHNATMAK'!AN15)),"B",IF(NOT(ISBLANK('A-RACHNATMAK'!AN14)),"C","")))</f>
        <v/>
      </c>
      <c r="AL5" s="622" t="str">
        <f>IF(NOT(ISBLANK('A-RACHNATMAK'!AO16)),"A",IF(NOT(ISBLANK('A-RACHNATMAK'!AO15)),"B",IF(NOT(ISBLANK('A-RACHNATMAK'!AO14)),"C","")))</f>
        <v/>
      </c>
      <c r="AM5" s="622" t="str">
        <f>IF(NOT(ISBLANK('A-RACHNATMAK'!AP16)),"A",IF(NOT(ISBLANK('A-RACHNATMAK'!AP15)),"B",IF(NOT(ISBLANK('A-RACHNATMAK'!AP14)),"C","")))</f>
        <v/>
      </c>
      <c r="AN5" s="622" t="str">
        <f>IF(NOT(ISBLANK('A-RACHNATMAK'!AQ16)),"A",IF(NOT(ISBLANK('A-RACHNATMAK'!AQ15)),"B",IF(NOT(ISBLANK('A-RACHNATMAK'!AQ14)),"C","")))</f>
        <v/>
      </c>
      <c r="AO5" s="622" t="str">
        <f>IF(NOT(ISBLANK('A-RACHNATMAK'!AR16)),"A",IF(NOT(ISBLANK('A-RACHNATMAK'!AR15)),"B",IF(NOT(ISBLANK('A-RACHNATMAK'!AR14)),"C","")))</f>
        <v/>
      </c>
      <c r="AP5" s="622" t="str">
        <f>IF(NOT(ISBLANK('A-RACHNATMAK'!AS16)),"A",IF(NOT(ISBLANK('A-RACHNATMAK'!AS15)),"B",IF(NOT(ISBLANK('A-RACHNATMAK'!AS14)),"C","")))</f>
        <v/>
      </c>
      <c r="AQ5" s="622" t="str">
        <f>IF(NOT(ISBLANK('A-RACHNATMAK'!AT16)),"A",IF(NOT(ISBLANK('A-RACHNATMAK'!AT15)),"B",IF(NOT(ISBLANK('A-RACHNATMAK'!AT14)),"C","")))</f>
        <v/>
      </c>
      <c r="AR5" s="622" t="str">
        <f>IF(NOT(ISBLANK('A-RACHNATMAK'!AU16)),"A",IF(NOT(ISBLANK('A-RACHNATMAK'!AU15)),"B",IF(NOT(ISBLANK('A-RACHNATMAK'!AU14)),"C","")))</f>
        <v/>
      </c>
      <c r="AS5" s="622" t="str">
        <f>IF(NOT(ISBLANK('A-RACHNATMAK'!AV16)),"A",IF(NOT(ISBLANK('A-RACHNATMAK'!AV15)),"B",IF(NOT(ISBLANK('A-RACHNATMAK'!AV14)),"C","")))</f>
        <v/>
      </c>
      <c r="AT5" s="622" t="str">
        <f>IF(NOT(ISBLANK('A-RACHNATMAK'!AW16)),"A",IF(NOT(ISBLANK('A-RACHNATMAK'!AW15)),"B",IF(NOT(ISBLANK('A-RACHNATMAK'!AW14)),"C","")))</f>
        <v/>
      </c>
      <c r="AU5" s="622">
        <f t="shared" ref="AU5" si="3">COUNTIF(AA5:AT5,"A")</f>
        <v>2</v>
      </c>
      <c r="AV5" s="622">
        <f t="shared" ref="AV5" si="4">COUNTIF(AA5:AT5,"B")</f>
        <v>0</v>
      </c>
      <c r="AW5" s="622">
        <f t="shared" ref="AW5" si="5">COUNTIF(AA5:AT5,"C")</f>
        <v>0</v>
      </c>
    </row>
    <row r="6" spans="1:49" s="330" customFormat="1" ht="8.25" customHeight="1">
      <c r="A6" s="623"/>
      <c r="B6" s="622"/>
      <c r="C6" s="622"/>
      <c r="D6" s="622"/>
      <c r="E6" s="622"/>
      <c r="F6" s="622"/>
      <c r="G6" s="622"/>
      <c r="H6" s="622"/>
      <c r="I6" s="622"/>
      <c r="J6" s="622"/>
      <c r="K6" s="622"/>
      <c r="L6" s="622"/>
      <c r="M6" s="622"/>
      <c r="N6" s="622"/>
      <c r="O6" s="622"/>
      <c r="P6" s="622"/>
      <c r="Q6" s="622"/>
      <c r="R6" s="622"/>
      <c r="S6" s="622"/>
      <c r="T6" s="622"/>
      <c r="U6" s="622"/>
      <c r="V6" s="622"/>
      <c r="W6" s="622"/>
      <c r="X6" s="622"/>
      <c r="Z6" s="623"/>
      <c r="AA6" s="622"/>
      <c r="AB6" s="622"/>
      <c r="AC6" s="622"/>
      <c r="AD6" s="622"/>
      <c r="AE6" s="622"/>
      <c r="AF6" s="622"/>
      <c r="AG6" s="622"/>
      <c r="AH6" s="622"/>
      <c r="AI6" s="622"/>
      <c r="AJ6" s="622"/>
      <c r="AK6" s="622"/>
      <c r="AL6" s="622"/>
      <c r="AM6" s="622"/>
      <c r="AN6" s="622"/>
      <c r="AO6" s="622"/>
      <c r="AP6" s="622"/>
      <c r="AQ6" s="622"/>
      <c r="AR6" s="622"/>
      <c r="AS6" s="622"/>
      <c r="AT6" s="622"/>
      <c r="AU6" s="622"/>
      <c r="AV6" s="622"/>
      <c r="AW6" s="622"/>
    </row>
    <row r="7" spans="1:49" s="330" customFormat="1" ht="8.25" customHeight="1">
      <c r="A7" s="623"/>
      <c r="B7" s="622"/>
      <c r="C7" s="622"/>
      <c r="D7" s="622"/>
      <c r="E7" s="622"/>
      <c r="F7" s="622"/>
      <c r="G7" s="622"/>
      <c r="H7" s="622"/>
      <c r="I7" s="622"/>
      <c r="J7" s="622"/>
      <c r="K7" s="622"/>
      <c r="L7" s="622"/>
      <c r="M7" s="622"/>
      <c r="N7" s="622"/>
      <c r="O7" s="622"/>
      <c r="P7" s="622"/>
      <c r="Q7" s="622"/>
      <c r="R7" s="622"/>
      <c r="S7" s="622"/>
      <c r="T7" s="622"/>
      <c r="U7" s="622"/>
      <c r="V7" s="622"/>
      <c r="W7" s="622"/>
      <c r="X7" s="622"/>
      <c r="Z7" s="623"/>
      <c r="AA7" s="622"/>
      <c r="AB7" s="622"/>
      <c r="AC7" s="622"/>
      <c r="AD7" s="622"/>
      <c r="AE7" s="622"/>
      <c r="AF7" s="622"/>
      <c r="AG7" s="622"/>
      <c r="AH7" s="622"/>
      <c r="AI7" s="622"/>
      <c r="AJ7" s="622"/>
      <c r="AK7" s="622"/>
      <c r="AL7" s="622"/>
      <c r="AM7" s="622"/>
      <c r="AN7" s="622"/>
      <c r="AO7" s="622"/>
      <c r="AP7" s="622"/>
      <c r="AQ7" s="622"/>
      <c r="AR7" s="622"/>
      <c r="AS7" s="622"/>
      <c r="AT7" s="622"/>
      <c r="AU7" s="622"/>
      <c r="AV7" s="622"/>
      <c r="AW7" s="622"/>
    </row>
    <row r="8" spans="1:49" s="330" customFormat="1" ht="8.25" customHeight="1">
      <c r="A8" s="623">
        <v>3</v>
      </c>
      <c r="B8" s="622" t="str">
        <f>IF(NOT(ISBLANK('A-RACHNATMAK'!C19)),"A",IF(NOT(ISBLANK('A-RACHNATMAK'!C18)),"B",IF(NOT(ISBLANK('A-RACHNATMAK'!C17)),"C","")))</f>
        <v>C</v>
      </c>
      <c r="C8" s="622" t="str">
        <f>IF(NOT(ISBLANK('A-RACHNATMAK'!D19)),"A",IF(NOT(ISBLANK('A-RACHNATMAK'!D18)),"B",IF(NOT(ISBLANK('A-RACHNATMAK'!D17)),"C","")))</f>
        <v/>
      </c>
      <c r="D8" s="622" t="str">
        <f>IF(NOT(ISBLANK('A-RACHNATMAK'!E19)),"A",IF(NOT(ISBLANK('A-RACHNATMAK'!E18)),"B",IF(NOT(ISBLANK('A-RACHNATMAK'!E17)),"C","")))</f>
        <v/>
      </c>
      <c r="E8" s="622" t="str">
        <f>IF(NOT(ISBLANK('A-RACHNATMAK'!F19)),"A",IF(NOT(ISBLANK('A-RACHNATMAK'!F18)),"B",IF(NOT(ISBLANK('A-RACHNATMAK'!F17)),"C","")))</f>
        <v/>
      </c>
      <c r="F8" s="622" t="str">
        <f>IF(NOT(ISBLANK('A-RACHNATMAK'!G19)),"A",IF(NOT(ISBLANK('A-RACHNATMAK'!G18)),"B",IF(NOT(ISBLANK('A-RACHNATMAK'!G17)),"C","")))</f>
        <v/>
      </c>
      <c r="G8" s="622" t="str">
        <f>IF(NOT(ISBLANK('A-RACHNATMAK'!H19)),"A",IF(NOT(ISBLANK('A-RACHNATMAK'!H18)),"B",IF(NOT(ISBLANK('A-RACHNATMAK'!H17)),"C","")))</f>
        <v/>
      </c>
      <c r="H8" s="622" t="str">
        <f>IF(NOT(ISBLANK('A-RACHNATMAK'!I19)),"A",IF(NOT(ISBLANK('A-RACHNATMAK'!I18)),"B",IF(NOT(ISBLANK('A-RACHNATMAK'!I17)),"C","")))</f>
        <v/>
      </c>
      <c r="I8" s="622" t="str">
        <f>IF(NOT(ISBLANK('A-RACHNATMAK'!J19)),"A",IF(NOT(ISBLANK('A-RACHNATMAK'!J18)),"B",IF(NOT(ISBLANK('A-RACHNATMAK'!J17)),"C","")))</f>
        <v/>
      </c>
      <c r="J8" s="622" t="str">
        <f>IF(NOT(ISBLANK('A-RACHNATMAK'!K19)),"A",IF(NOT(ISBLANK('A-RACHNATMAK'!K18)),"B",IF(NOT(ISBLANK('A-RACHNATMAK'!K17)),"C","")))</f>
        <v/>
      </c>
      <c r="K8" s="622" t="str">
        <f>IF(NOT(ISBLANK('A-RACHNATMAK'!L19)),"A",IF(NOT(ISBLANK('A-RACHNATMAK'!L18)),"B",IF(NOT(ISBLANK('A-RACHNATMAK'!L17)),"C","")))</f>
        <v/>
      </c>
      <c r="L8" s="622" t="str">
        <f>IF(NOT(ISBLANK('A-RACHNATMAK'!M19)),"A",IF(NOT(ISBLANK('A-RACHNATMAK'!M18)),"B",IF(NOT(ISBLANK('A-RACHNATMAK'!M17)),"C","")))</f>
        <v/>
      </c>
      <c r="M8" s="622" t="str">
        <f>IF(NOT(ISBLANK('A-RACHNATMAK'!N19)),"A",IF(NOT(ISBLANK('A-RACHNATMAK'!N18)),"B",IF(NOT(ISBLANK('A-RACHNATMAK'!N17)),"C","")))</f>
        <v/>
      </c>
      <c r="N8" s="622" t="str">
        <f>IF(NOT(ISBLANK('A-RACHNATMAK'!O19)),"A",IF(NOT(ISBLANK('A-RACHNATMAK'!O18)),"B",IF(NOT(ISBLANK('A-RACHNATMAK'!O17)),"C","")))</f>
        <v/>
      </c>
      <c r="O8" s="622" t="str">
        <f>IF(NOT(ISBLANK('A-RACHNATMAK'!P19)),"A",IF(NOT(ISBLANK('A-RACHNATMAK'!P18)),"B",IF(NOT(ISBLANK('A-RACHNATMAK'!P17)),"C","")))</f>
        <v/>
      </c>
      <c r="P8" s="622" t="str">
        <f>IF(NOT(ISBLANK('A-RACHNATMAK'!Q19)),"A",IF(NOT(ISBLANK('A-RACHNATMAK'!Q18)),"B",IF(NOT(ISBLANK('A-RACHNATMAK'!Q17)),"C","")))</f>
        <v/>
      </c>
      <c r="Q8" s="622" t="str">
        <f>IF(NOT(ISBLANK('A-RACHNATMAK'!R19)),"A",IF(NOT(ISBLANK('A-RACHNATMAK'!R18)),"B",IF(NOT(ISBLANK('A-RACHNATMAK'!R17)),"C","")))</f>
        <v/>
      </c>
      <c r="R8" s="622" t="str">
        <f>IF(NOT(ISBLANK('A-RACHNATMAK'!S19)),"A",IF(NOT(ISBLANK('A-RACHNATMAK'!S18)),"B",IF(NOT(ISBLANK('A-RACHNATMAK'!S17)),"C","")))</f>
        <v/>
      </c>
      <c r="S8" s="622" t="str">
        <f>IF(NOT(ISBLANK('A-RACHNATMAK'!T19)),"A",IF(NOT(ISBLANK('A-RACHNATMAK'!T18)),"B",IF(NOT(ISBLANK('A-RACHNATMAK'!T17)),"C","")))</f>
        <v/>
      </c>
      <c r="T8" s="622" t="str">
        <f>IF(NOT(ISBLANK('A-RACHNATMAK'!U19)),"A",IF(NOT(ISBLANK('A-RACHNATMAK'!U18)),"B",IF(NOT(ISBLANK('A-RACHNATMAK'!U17)),"C","")))</f>
        <v/>
      </c>
      <c r="U8" s="622" t="str">
        <f>IF(NOT(ISBLANK('A-RACHNATMAK'!V19)),"A",IF(NOT(ISBLANK('A-RACHNATMAK'!V18)),"B",IF(NOT(ISBLANK('A-RACHNATMAK'!V17)),"C","")))</f>
        <v/>
      </c>
      <c r="V8" s="622">
        <f t="shared" ref="V8" si="6">COUNTIF(B8:U8,"A")</f>
        <v>0</v>
      </c>
      <c r="W8" s="622">
        <f t="shared" ref="W8" si="7">COUNTIF(B8:U8,"B")</f>
        <v>0</v>
      </c>
      <c r="X8" s="622">
        <f t="shared" ref="X8" si="8">COUNTIF(B8:U8,"C")</f>
        <v>1</v>
      </c>
      <c r="Z8" s="623">
        <v>3</v>
      </c>
      <c r="AA8" s="622" t="str">
        <f>IF(NOT(ISBLANK('A-RACHNATMAK'!AD19)),"A",IF(NOT(ISBLANK('A-RACHNATMAK'!AD18)),"B",IF(NOT(ISBLANK('A-RACHNATMAK'!AD17)),"C","")))</f>
        <v/>
      </c>
      <c r="AB8" s="622" t="str">
        <f>IF(NOT(ISBLANK('A-RACHNATMAK'!AE19)),"A",IF(NOT(ISBLANK('A-RACHNATMAK'!AE18)),"B",IF(NOT(ISBLANK('A-RACHNATMAK'!AE17)),"C","")))</f>
        <v/>
      </c>
      <c r="AC8" s="622" t="str">
        <f>IF(NOT(ISBLANK('A-RACHNATMAK'!AF19)),"A",IF(NOT(ISBLANK('A-RACHNATMAK'!AF18)),"B",IF(NOT(ISBLANK('A-RACHNATMAK'!AF17)),"C","")))</f>
        <v>B</v>
      </c>
      <c r="AD8" s="622" t="str">
        <f>IF(NOT(ISBLANK('A-RACHNATMAK'!AG19)),"A",IF(NOT(ISBLANK('A-RACHNATMAK'!AG18)),"B",IF(NOT(ISBLANK('A-RACHNATMAK'!AG17)),"C","")))</f>
        <v>A</v>
      </c>
      <c r="AE8" s="622" t="str">
        <f>IF(NOT(ISBLANK('A-RACHNATMAK'!AH19)),"A",IF(NOT(ISBLANK('A-RACHNATMAK'!AH18)),"B",IF(NOT(ISBLANK('A-RACHNATMAK'!AH17)),"C","")))</f>
        <v/>
      </c>
      <c r="AF8" s="622" t="str">
        <f>IF(NOT(ISBLANK('A-RACHNATMAK'!AI19)),"A",IF(NOT(ISBLANK('A-RACHNATMAK'!AI18)),"B",IF(NOT(ISBLANK('A-RACHNATMAK'!AI17)),"C","")))</f>
        <v>B</v>
      </c>
      <c r="AG8" s="622" t="str">
        <f>IF(NOT(ISBLANK('A-RACHNATMAK'!AJ19)),"A",IF(NOT(ISBLANK('A-RACHNATMAK'!AJ18)),"B",IF(NOT(ISBLANK('A-RACHNATMAK'!AJ17)),"C","")))</f>
        <v/>
      </c>
      <c r="AH8" s="622" t="str">
        <f>IF(NOT(ISBLANK('A-RACHNATMAK'!AK19)),"A",IF(NOT(ISBLANK('A-RACHNATMAK'!AK18)),"B",IF(NOT(ISBLANK('A-RACHNATMAK'!AK17)),"C","")))</f>
        <v/>
      </c>
      <c r="AI8" s="622" t="str">
        <f>IF(NOT(ISBLANK('A-RACHNATMAK'!AL19)),"A",IF(NOT(ISBLANK('A-RACHNATMAK'!AL18)),"B",IF(NOT(ISBLANK('A-RACHNATMAK'!AL17)),"C","")))</f>
        <v/>
      </c>
      <c r="AJ8" s="622" t="str">
        <f>IF(NOT(ISBLANK('A-RACHNATMAK'!AM19)),"A",IF(NOT(ISBLANK('A-RACHNATMAK'!AM18)),"B",IF(NOT(ISBLANK('A-RACHNATMAK'!AM17)),"C","")))</f>
        <v/>
      </c>
      <c r="AK8" s="622" t="str">
        <f>IF(NOT(ISBLANK('A-RACHNATMAK'!AN19)),"A",IF(NOT(ISBLANK('A-RACHNATMAK'!AN18)),"B",IF(NOT(ISBLANK('A-RACHNATMAK'!AN17)),"C","")))</f>
        <v/>
      </c>
      <c r="AL8" s="622" t="str">
        <f>IF(NOT(ISBLANK('A-RACHNATMAK'!AO19)),"A",IF(NOT(ISBLANK('A-RACHNATMAK'!AO18)),"B",IF(NOT(ISBLANK('A-RACHNATMAK'!AO17)),"C","")))</f>
        <v/>
      </c>
      <c r="AM8" s="622" t="str">
        <f>IF(NOT(ISBLANK('A-RACHNATMAK'!AP19)),"A",IF(NOT(ISBLANK('A-RACHNATMAK'!AP18)),"B",IF(NOT(ISBLANK('A-RACHNATMAK'!AP17)),"C","")))</f>
        <v/>
      </c>
      <c r="AN8" s="622" t="str">
        <f>IF(NOT(ISBLANK('A-RACHNATMAK'!AQ19)),"A",IF(NOT(ISBLANK('A-RACHNATMAK'!AQ18)),"B",IF(NOT(ISBLANK('A-RACHNATMAK'!AQ17)),"C","")))</f>
        <v/>
      </c>
      <c r="AO8" s="622" t="str">
        <f>IF(NOT(ISBLANK('A-RACHNATMAK'!AR19)),"A",IF(NOT(ISBLANK('A-RACHNATMAK'!AR18)),"B",IF(NOT(ISBLANK('A-RACHNATMAK'!AR17)),"C","")))</f>
        <v/>
      </c>
      <c r="AP8" s="622" t="str">
        <f>IF(NOT(ISBLANK('A-RACHNATMAK'!AS19)),"A",IF(NOT(ISBLANK('A-RACHNATMAK'!AS18)),"B",IF(NOT(ISBLANK('A-RACHNATMAK'!AS17)),"C","")))</f>
        <v/>
      </c>
      <c r="AQ8" s="622" t="str">
        <f>IF(NOT(ISBLANK('A-RACHNATMAK'!AT19)),"A",IF(NOT(ISBLANK('A-RACHNATMAK'!AT18)),"B",IF(NOT(ISBLANK('A-RACHNATMAK'!AT17)),"C","")))</f>
        <v/>
      </c>
      <c r="AR8" s="622" t="str">
        <f>IF(NOT(ISBLANK('A-RACHNATMAK'!AU19)),"A",IF(NOT(ISBLANK('A-RACHNATMAK'!AU18)),"B",IF(NOT(ISBLANK('A-RACHNATMAK'!AU17)),"C","")))</f>
        <v/>
      </c>
      <c r="AS8" s="622" t="str">
        <f>IF(NOT(ISBLANK('A-RACHNATMAK'!AV19)),"A",IF(NOT(ISBLANK('A-RACHNATMAK'!AV18)),"B",IF(NOT(ISBLANK('A-RACHNATMAK'!AV17)),"C","")))</f>
        <v/>
      </c>
      <c r="AT8" s="622" t="str">
        <f>IF(NOT(ISBLANK('A-RACHNATMAK'!AW19)),"A",IF(NOT(ISBLANK('A-RACHNATMAK'!AW18)),"B",IF(NOT(ISBLANK('A-RACHNATMAK'!AW17)),"C","")))</f>
        <v/>
      </c>
      <c r="AU8" s="622">
        <f t="shared" ref="AU8" si="9">COUNTIF(AA8:AT8,"A")</f>
        <v>1</v>
      </c>
      <c r="AV8" s="622">
        <f t="shared" ref="AV8" si="10">COUNTIF(AA8:AT8,"B")</f>
        <v>2</v>
      </c>
      <c r="AW8" s="622">
        <f t="shared" ref="AW8" si="11">COUNTIF(AA8:AT8,"C")</f>
        <v>0</v>
      </c>
    </row>
    <row r="9" spans="1:49" s="330" customFormat="1" ht="8.25" customHeight="1">
      <c r="A9" s="623"/>
      <c r="B9" s="622"/>
      <c r="C9" s="622"/>
      <c r="D9" s="622"/>
      <c r="E9" s="622"/>
      <c r="F9" s="622"/>
      <c r="G9" s="622"/>
      <c r="H9" s="622"/>
      <c r="I9" s="622"/>
      <c r="J9" s="622"/>
      <c r="K9" s="622"/>
      <c r="L9" s="622"/>
      <c r="M9" s="622"/>
      <c r="N9" s="622"/>
      <c r="O9" s="622"/>
      <c r="P9" s="622"/>
      <c r="Q9" s="622"/>
      <c r="R9" s="622"/>
      <c r="S9" s="622"/>
      <c r="T9" s="622"/>
      <c r="U9" s="622"/>
      <c r="V9" s="622"/>
      <c r="W9" s="622"/>
      <c r="X9" s="622"/>
      <c r="Z9" s="623"/>
      <c r="AA9" s="622"/>
      <c r="AB9" s="622"/>
      <c r="AC9" s="622"/>
      <c r="AD9" s="622"/>
      <c r="AE9" s="622"/>
      <c r="AF9" s="622"/>
      <c r="AG9" s="622"/>
      <c r="AH9" s="622"/>
      <c r="AI9" s="622"/>
      <c r="AJ9" s="622"/>
      <c r="AK9" s="622"/>
      <c r="AL9" s="622"/>
      <c r="AM9" s="622"/>
      <c r="AN9" s="622"/>
      <c r="AO9" s="622"/>
      <c r="AP9" s="622"/>
      <c r="AQ9" s="622"/>
      <c r="AR9" s="622"/>
      <c r="AS9" s="622"/>
      <c r="AT9" s="622"/>
      <c r="AU9" s="622"/>
      <c r="AV9" s="622"/>
      <c r="AW9" s="622"/>
    </row>
    <row r="10" spans="1:49" s="330" customFormat="1" ht="8.25" customHeight="1">
      <c r="A10" s="623"/>
      <c r="B10" s="622"/>
      <c r="C10" s="622"/>
      <c r="D10" s="622"/>
      <c r="E10" s="622"/>
      <c r="F10" s="622"/>
      <c r="G10" s="622"/>
      <c r="H10" s="622"/>
      <c r="I10" s="622"/>
      <c r="J10" s="622"/>
      <c r="K10" s="622"/>
      <c r="L10" s="622"/>
      <c r="M10" s="622"/>
      <c r="N10" s="622"/>
      <c r="O10" s="622"/>
      <c r="P10" s="622"/>
      <c r="Q10" s="622"/>
      <c r="R10" s="622"/>
      <c r="S10" s="622"/>
      <c r="T10" s="622"/>
      <c r="U10" s="622"/>
      <c r="V10" s="622"/>
      <c r="W10" s="622"/>
      <c r="X10" s="622"/>
      <c r="Z10" s="623"/>
      <c r="AA10" s="622"/>
      <c r="AB10" s="622"/>
      <c r="AC10" s="622"/>
      <c r="AD10" s="622"/>
      <c r="AE10" s="622"/>
      <c r="AF10" s="622"/>
      <c r="AG10" s="622"/>
      <c r="AH10" s="622"/>
      <c r="AI10" s="622"/>
      <c r="AJ10" s="622"/>
      <c r="AK10" s="622"/>
      <c r="AL10" s="622"/>
      <c r="AM10" s="622"/>
      <c r="AN10" s="622"/>
      <c r="AO10" s="622"/>
      <c r="AP10" s="622"/>
      <c r="AQ10" s="622"/>
      <c r="AR10" s="622"/>
      <c r="AS10" s="622"/>
      <c r="AT10" s="622"/>
      <c r="AU10" s="622"/>
      <c r="AV10" s="622"/>
      <c r="AW10" s="622"/>
    </row>
    <row r="11" spans="1:49" s="330" customFormat="1" ht="8.25" customHeight="1">
      <c r="A11" s="623">
        <v>4</v>
      </c>
      <c r="B11" s="622" t="str">
        <f>IF(NOT(ISBLANK('A-RACHNATMAK'!C22)),"A",IF(NOT(ISBLANK('A-RACHNATMAK'!C21)),"B",IF(NOT(ISBLANK('A-RACHNATMAK'!C20)),"C","")))</f>
        <v/>
      </c>
      <c r="C11" s="622" t="str">
        <f>IF(NOT(ISBLANK('A-RACHNATMAK'!D22)),"A",IF(NOT(ISBLANK('A-RACHNATMAK'!D21)),"B",IF(NOT(ISBLANK('A-RACHNATMAK'!D20)),"C","")))</f>
        <v/>
      </c>
      <c r="D11" s="622" t="str">
        <f>IF(NOT(ISBLANK('A-RACHNATMAK'!E22)),"A",IF(NOT(ISBLANK('A-RACHNATMAK'!E21)),"B",IF(NOT(ISBLANK('A-RACHNATMAK'!E20)),"C","")))</f>
        <v/>
      </c>
      <c r="E11" s="622" t="str">
        <f>IF(NOT(ISBLANK('A-RACHNATMAK'!F22)),"A",IF(NOT(ISBLANK('A-RACHNATMAK'!F21)),"B",IF(NOT(ISBLANK('A-RACHNATMAK'!F20)),"C","")))</f>
        <v/>
      </c>
      <c r="F11" s="622" t="str">
        <f>IF(NOT(ISBLANK('A-RACHNATMAK'!G22)),"A",IF(NOT(ISBLANK('A-RACHNATMAK'!G21)),"B",IF(NOT(ISBLANK('A-RACHNATMAK'!G20)),"C","")))</f>
        <v/>
      </c>
      <c r="G11" s="622" t="str">
        <f>IF(NOT(ISBLANK('A-RACHNATMAK'!H22)),"A",IF(NOT(ISBLANK('A-RACHNATMAK'!H21)),"B",IF(NOT(ISBLANK('A-RACHNATMAK'!H20)),"C","")))</f>
        <v/>
      </c>
      <c r="H11" s="622" t="str">
        <f>IF(NOT(ISBLANK('A-RACHNATMAK'!I22)),"A",IF(NOT(ISBLANK('A-RACHNATMAK'!I21)),"B",IF(NOT(ISBLANK('A-RACHNATMAK'!I20)),"C","")))</f>
        <v/>
      </c>
      <c r="I11" s="622" t="str">
        <f>IF(NOT(ISBLANK('A-RACHNATMAK'!J22)),"A",IF(NOT(ISBLANK('A-RACHNATMAK'!J21)),"B",IF(NOT(ISBLANK('A-RACHNATMAK'!J20)),"C","")))</f>
        <v/>
      </c>
      <c r="J11" s="622" t="str">
        <f>IF(NOT(ISBLANK('A-RACHNATMAK'!K22)),"A",IF(NOT(ISBLANK('A-RACHNATMAK'!K21)),"B",IF(NOT(ISBLANK('A-RACHNATMAK'!K20)),"C","")))</f>
        <v/>
      </c>
      <c r="K11" s="622" t="str">
        <f>IF(NOT(ISBLANK('A-RACHNATMAK'!L22)),"A",IF(NOT(ISBLANK('A-RACHNATMAK'!L21)),"B",IF(NOT(ISBLANK('A-RACHNATMAK'!L20)),"C","")))</f>
        <v/>
      </c>
      <c r="L11" s="622" t="str">
        <f>IF(NOT(ISBLANK('A-RACHNATMAK'!M22)),"A",IF(NOT(ISBLANK('A-RACHNATMAK'!M21)),"B",IF(NOT(ISBLANK('A-RACHNATMAK'!M20)),"C","")))</f>
        <v/>
      </c>
      <c r="M11" s="622" t="str">
        <f>IF(NOT(ISBLANK('A-RACHNATMAK'!N22)),"A",IF(NOT(ISBLANK('A-RACHNATMAK'!N21)),"B",IF(NOT(ISBLANK('A-RACHNATMAK'!N20)),"C","")))</f>
        <v/>
      </c>
      <c r="N11" s="622" t="str">
        <f>IF(NOT(ISBLANK('A-RACHNATMAK'!O22)),"A",IF(NOT(ISBLANK('A-RACHNATMAK'!O21)),"B",IF(NOT(ISBLANK('A-RACHNATMAK'!O20)),"C","")))</f>
        <v/>
      </c>
      <c r="O11" s="622" t="str">
        <f>IF(NOT(ISBLANK('A-RACHNATMAK'!P22)),"A",IF(NOT(ISBLANK('A-RACHNATMAK'!P21)),"B",IF(NOT(ISBLANK('A-RACHNATMAK'!P20)),"C","")))</f>
        <v/>
      </c>
      <c r="P11" s="622" t="str">
        <f>IF(NOT(ISBLANK('A-RACHNATMAK'!Q22)),"A",IF(NOT(ISBLANK('A-RACHNATMAK'!Q21)),"B",IF(NOT(ISBLANK('A-RACHNATMAK'!Q20)),"C","")))</f>
        <v/>
      </c>
      <c r="Q11" s="622" t="str">
        <f>IF(NOT(ISBLANK('A-RACHNATMAK'!R22)),"A",IF(NOT(ISBLANK('A-RACHNATMAK'!R21)),"B",IF(NOT(ISBLANK('A-RACHNATMAK'!R20)),"C","")))</f>
        <v/>
      </c>
      <c r="R11" s="622" t="str">
        <f>IF(NOT(ISBLANK('A-RACHNATMAK'!S22)),"A",IF(NOT(ISBLANK('A-RACHNATMAK'!S21)),"B",IF(NOT(ISBLANK('A-RACHNATMAK'!S20)),"C","")))</f>
        <v/>
      </c>
      <c r="S11" s="622" t="str">
        <f>IF(NOT(ISBLANK('A-RACHNATMAK'!T22)),"A",IF(NOT(ISBLANK('A-RACHNATMAK'!T21)),"B",IF(NOT(ISBLANK('A-RACHNATMAK'!T20)),"C","")))</f>
        <v/>
      </c>
      <c r="T11" s="622" t="str">
        <f>IF(NOT(ISBLANK('A-RACHNATMAK'!U22)),"A",IF(NOT(ISBLANK('A-RACHNATMAK'!U21)),"B",IF(NOT(ISBLANK('A-RACHNATMAK'!U20)),"C","")))</f>
        <v/>
      </c>
      <c r="U11" s="622" t="str">
        <f>IF(NOT(ISBLANK('A-RACHNATMAK'!V22)),"A",IF(NOT(ISBLANK('A-RACHNATMAK'!V21)),"B",IF(NOT(ISBLANK('A-RACHNATMAK'!V20)),"C","")))</f>
        <v/>
      </c>
      <c r="V11" s="622">
        <f t="shared" ref="V11" si="12">COUNTIF(B11:U11,"A")</f>
        <v>0</v>
      </c>
      <c r="W11" s="622">
        <f t="shared" ref="W11" si="13">COUNTIF(B11:U11,"B")</f>
        <v>0</v>
      </c>
      <c r="X11" s="622">
        <f t="shared" ref="X11" si="14">COUNTIF(B11:U11,"C")</f>
        <v>0</v>
      </c>
      <c r="Z11" s="623">
        <v>4</v>
      </c>
      <c r="AA11" s="622" t="str">
        <f>IF(NOT(ISBLANK('A-RACHNATMAK'!AD22)),"A",IF(NOT(ISBLANK('A-RACHNATMAK'!AD21)),"B",IF(NOT(ISBLANK('A-RACHNATMAK'!AD20)),"C","")))</f>
        <v/>
      </c>
      <c r="AB11" s="622" t="str">
        <f>IF(NOT(ISBLANK('A-RACHNATMAK'!AE22)),"A",IF(NOT(ISBLANK('A-RACHNATMAK'!AE21)),"B",IF(NOT(ISBLANK('A-RACHNATMAK'!AE20)),"C","")))</f>
        <v/>
      </c>
      <c r="AC11" s="622" t="str">
        <f>IF(NOT(ISBLANK('A-RACHNATMAK'!AF22)),"A",IF(NOT(ISBLANK('A-RACHNATMAK'!AF21)),"B",IF(NOT(ISBLANK('A-RACHNATMAK'!AF20)),"C","")))</f>
        <v/>
      </c>
      <c r="AD11" s="622" t="str">
        <f>IF(NOT(ISBLANK('A-RACHNATMAK'!AG22)),"A",IF(NOT(ISBLANK('A-RACHNATMAK'!AG21)),"B",IF(NOT(ISBLANK('A-RACHNATMAK'!AG20)),"C","")))</f>
        <v/>
      </c>
      <c r="AE11" s="622" t="str">
        <f>IF(NOT(ISBLANK('A-RACHNATMAK'!AH22)),"A",IF(NOT(ISBLANK('A-RACHNATMAK'!AH21)),"B",IF(NOT(ISBLANK('A-RACHNATMAK'!AH20)),"C","")))</f>
        <v/>
      </c>
      <c r="AF11" s="622" t="str">
        <f>IF(NOT(ISBLANK('A-RACHNATMAK'!AI22)),"A",IF(NOT(ISBLANK('A-RACHNATMAK'!AI21)),"B",IF(NOT(ISBLANK('A-RACHNATMAK'!AI20)),"C","")))</f>
        <v/>
      </c>
      <c r="AG11" s="622" t="str">
        <f>IF(NOT(ISBLANK('A-RACHNATMAK'!AJ22)),"A",IF(NOT(ISBLANK('A-RACHNATMAK'!AJ21)),"B",IF(NOT(ISBLANK('A-RACHNATMAK'!AJ20)),"C","")))</f>
        <v/>
      </c>
      <c r="AH11" s="622" t="str">
        <f>IF(NOT(ISBLANK('A-RACHNATMAK'!AK22)),"A",IF(NOT(ISBLANK('A-RACHNATMAK'!AK21)),"B",IF(NOT(ISBLANK('A-RACHNATMAK'!AK20)),"C","")))</f>
        <v/>
      </c>
      <c r="AI11" s="622" t="str">
        <f>IF(NOT(ISBLANK('A-RACHNATMAK'!AL22)),"A",IF(NOT(ISBLANK('A-RACHNATMAK'!AL21)),"B",IF(NOT(ISBLANK('A-RACHNATMAK'!AL20)),"C","")))</f>
        <v/>
      </c>
      <c r="AJ11" s="622" t="str">
        <f>IF(NOT(ISBLANK('A-RACHNATMAK'!AM22)),"A",IF(NOT(ISBLANK('A-RACHNATMAK'!AM21)),"B",IF(NOT(ISBLANK('A-RACHNATMAK'!AM20)),"C","")))</f>
        <v/>
      </c>
      <c r="AK11" s="622" t="str">
        <f>IF(NOT(ISBLANK('A-RACHNATMAK'!AN22)),"A",IF(NOT(ISBLANK('A-RACHNATMAK'!AN21)),"B",IF(NOT(ISBLANK('A-RACHNATMAK'!AN20)),"C","")))</f>
        <v/>
      </c>
      <c r="AL11" s="622" t="str">
        <f>IF(NOT(ISBLANK('A-RACHNATMAK'!AO22)),"A",IF(NOT(ISBLANK('A-RACHNATMAK'!AO21)),"B",IF(NOT(ISBLANK('A-RACHNATMAK'!AO20)),"C","")))</f>
        <v/>
      </c>
      <c r="AM11" s="622" t="str">
        <f>IF(NOT(ISBLANK('A-RACHNATMAK'!AP22)),"A",IF(NOT(ISBLANK('A-RACHNATMAK'!AP21)),"B",IF(NOT(ISBLANK('A-RACHNATMAK'!AP20)),"C","")))</f>
        <v/>
      </c>
      <c r="AN11" s="622" t="str">
        <f>IF(NOT(ISBLANK('A-RACHNATMAK'!AQ22)),"A",IF(NOT(ISBLANK('A-RACHNATMAK'!AQ21)),"B",IF(NOT(ISBLANK('A-RACHNATMAK'!AQ20)),"C","")))</f>
        <v/>
      </c>
      <c r="AO11" s="622" t="str">
        <f>IF(NOT(ISBLANK('A-RACHNATMAK'!AR22)),"A",IF(NOT(ISBLANK('A-RACHNATMAK'!AR21)),"B",IF(NOT(ISBLANK('A-RACHNATMAK'!AR20)),"C","")))</f>
        <v/>
      </c>
      <c r="AP11" s="622" t="str">
        <f>IF(NOT(ISBLANK('A-RACHNATMAK'!AS22)),"A",IF(NOT(ISBLANK('A-RACHNATMAK'!AS21)),"B",IF(NOT(ISBLANK('A-RACHNATMAK'!AS20)),"C","")))</f>
        <v/>
      </c>
      <c r="AQ11" s="622" t="str">
        <f>IF(NOT(ISBLANK('A-RACHNATMAK'!AT22)),"A",IF(NOT(ISBLANK('A-RACHNATMAK'!AT21)),"B",IF(NOT(ISBLANK('A-RACHNATMAK'!AT20)),"C","")))</f>
        <v/>
      </c>
      <c r="AR11" s="622" t="str">
        <f>IF(NOT(ISBLANK('A-RACHNATMAK'!AU22)),"A",IF(NOT(ISBLANK('A-RACHNATMAK'!AU21)),"B",IF(NOT(ISBLANK('A-RACHNATMAK'!AU20)),"C","")))</f>
        <v/>
      </c>
      <c r="AS11" s="622" t="str">
        <f>IF(NOT(ISBLANK('A-RACHNATMAK'!AV22)),"A",IF(NOT(ISBLANK('A-RACHNATMAK'!AV21)),"B",IF(NOT(ISBLANK('A-RACHNATMAK'!AV20)),"C","")))</f>
        <v/>
      </c>
      <c r="AT11" s="622" t="str">
        <f>IF(NOT(ISBLANK('A-RACHNATMAK'!AW22)),"A",IF(NOT(ISBLANK('A-RACHNATMAK'!AW21)),"B",IF(NOT(ISBLANK('A-RACHNATMAK'!AW20)),"C","")))</f>
        <v/>
      </c>
      <c r="AU11" s="622">
        <f t="shared" ref="AU11" si="15">COUNTIF(AA11:AT11,"A")</f>
        <v>0</v>
      </c>
      <c r="AV11" s="622">
        <f t="shared" ref="AV11" si="16">COUNTIF(AA11:AT11,"B")</f>
        <v>0</v>
      </c>
      <c r="AW11" s="622">
        <f t="shared" ref="AW11" si="17">COUNTIF(AA11:AT11,"C")</f>
        <v>0</v>
      </c>
    </row>
    <row r="12" spans="1:49" s="330" customFormat="1" ht="8.25" customHeight="1">
      <c r="A12" s="623"/>
      <c r="B12" s="622"/>
      <c r="C12" s="622"/>
      <c r="D12" s="622"/>
      <c r="E12" s="622"/>
      <c r="F12" s="622"/>
      <c r="G12" s="622"/>
      <c r="H12" s="622"/>
      <c r="I12" s="622"/>
      <c r="J12" s="622"/>
      <c r="K12" s="622"/>
      <c r="L12" s="622"/>
      <c r="M12" s="622"/>
      <c r="N12" s="622"/>
      <c r="O12" s="622"/>
      <c r="P12" s="622"/>
      <c r="Q12" s="622"/>
      <c r="R12" s="622"/>
      <c r="S12" s="622"/>
      <c r="T12" s="622"/>
      <c r="U12" s="622"/>
      <c r="V12" s="622"/>
      <c r="W12" s="622"/>
      <c r="X12" s="622"/>
      <c r="Z12" s="623"/>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row>
    <row r="13" spans="1:49" s="330" customFormat="1" ht="8.25" customHeight="1">
      <c r="A13" s="623"/>
      <c r="B13" s="622"/>
      <c r="C13" s="622"/>
      <c r="D13" s="622"/>
      <c r="E13" s="622"/>
      <c r="F13" s="622"/>
      <c r="G13" s="622"/>
      <c r="H13" s="622"/>
      <c r="I13" s="622"/>
      <c r="J13" s="622"/>
      <c r="K13" s="622"/>
      <c r="L13" s="622"/>
      <c r="M13" s="622"/>
      <c r="N13" s="622"/>
      <c r="O13" s="622"/>
      <c r="P13" s="622"/>
      <c r="Q13" s="622"/>
      <c r="R13" s="622"/>
      <c r="S13" s="622"/>
      <c r="T13" s="622"/>
      <c r="U13" s="622"/>
      <c r="V13" s="622"/>
      <c r="W13" s="622"/>
      <c r="X13" s="622"/>
      <c r="Z13" s="623"/>
      <c r="AA13" s="622"/>
      <c r="AB13" s="622"/>
      <c r="AC13" s="622"/>
      <c r="AD13" s="622"/>
      <c r="AE13" s="622"/>
      <c r="AF13" s="622"/>
      <c r="AG13" s="622"/>
      <c r="AH13" s="622"/>
      <c r="AI13" s="622"/>
      <c r="AJ13" s="622"/>
      <c r="AK13" s="622"/>
      <c r="AL13" s="622"/>
      <c r="AM13" s="622"/>
      <c r="AN13" s="622"/>
      <c r="AO13" s="622"/>
      <c r="AP13" s="622"/>
      <c r="AQ13" s="622"/>
      <c r="AR13" s="622"/>
      <c r="AS13" s="622"/>
      <c r="AT13" s="622"/>
      <c r="AU13" s="622"/>
      <c r="AV13" s="622"/>
      <c r="AW13" s="622"/>
    </row>
    <row r="14" spans="1:49" s="330" customFormat="1" ht="8.25" customHeight="1">
      <c r="A14" s="623">
        <v>5</v>
      </c>
      <c r="B14" s="622" t="str">
        <f>IF(NOT(ISBLANK('A-RACHNATMAK'!C25)),"A",IF(NOT(ISBLANK('A-RACHNATMAK'!C24)),"B",IF(NOT(ISBLANK('A-RACHNATMAK'!C23)),"C","")))</f>
        <v/>
      </c>
      <c r="C14" s="622" t="str">
        <f>IF(NOT(ISBLANK('A-RACHNATMAK'!D25)),"A",IF(NOT(ISBLANK('A-RACHNATMAK'!D24)),"B",IF(NOT(ISBLANK('A-RACHNATMAK'!D23)),"C","")))</f>
        <v/>
      </c>
      <c r="D14" s="622" t="str">
        <f>IF(NOT(ISBLANK('A-RACHNATMAK'!E25)),"A",IF(NOT(ISBLANK('A-RACHNATMAK'!E24)),"B",IF(NOT(ISBLANK('A-RACHNATMAK'!E23)),"C","")))</f>
        <v/>
      </c>
      <c r="E14" s="622" t="str">
        <f>IF(NOT(ISBLANK('A-RACHNATMAK'!F25)),"A",IF(NOT(ISBLANK('A-RACHNATMAK'!F24)),"B",IF(NOT(ISBLANK('A-RACHNATMAK'!F23)),"C","")))</f>
        <v/>
      </c>
      <c r="F14" s="622" t="str">
        <f>IF(NOT(ISBLANK('A-RACHNATMAK'!G25)),"A",IF(NOT(ISBLANK('A-RACHNATMAK'!G24)),"B",IF(NOT(ISBLANK('A-RACHNATMAK'!G23)),"C","")))</f>
        <v>A</v>
      </c>
      <c r="G14" s="622" t="str">
        <f>IF(NOT(ISBLANK('A-RACHNATMAK'!H25)),"A",IF(NOT(ISBLANK('A-RACHNATMAK'!H24)),"B",IF(NOT(ISBLANK('A-RACHNATMAK'!H23)),"C","")))</f>
        <v/>
      </c>
      <c r="H14" s="622" t="str">
        <f>IF(NOT(ISBLANK('A-RACHNATMAK'!I25)),"A",IF(NOT(ISBLANK('A-RACHNATMAK'!I24)),"B",IF(NOT(ISBLANK('A-RACHNATMAK'!I23)),"C","")))</f>
        <v/>
      </c>
      <c r="I14" s="622" t="str">
        <f>IF(NOT(ISBLANK('A-RACHNATMAK'!J25)),"A",IF(NOT(ISBLANK('A-RACHNATMAK'!J24)),"B",IF(NOT(ISBLANK('A-RACHNATMAK'!J23)),"C","")))</f>
        <v/>
      </c>
      <c r="J14" s="622" t="str">
        <f>IF(NOT(ISBLANK('A-RACHNATMAK'!K25)),"A",IF(NOT(ISBLANK('A-RACHNATMAK'!K24)),"B",IF(NOT(ISBLANK('A-RACHNATMAK'!K23)),"C","")))</f>
        <v/>
      </c>
      <c r="K14" s="622" t="str">
        <f>IF(NOT(ISBLANK('A-RACHNATMAK'!L25)),"A",IF(NOT(ISBLANK('A-RACHNATMAK'!L24)),"B",IF(NOT(ISBLANK('A-RACHNATMAK'!L23)),"C","")))</f>
        <v/>
      </c>
      <c r="L14" s="622" t="str">
        <f>IF(NOT(ISBLANK('A-RACHNATMAK'!M25)),"A",IF(NOT(ISBLANK('A-RACHNATMAK'!M24)),"B",IF(NOT(ISBLANK('A-RACHNATMAK'!M23)),"C","")))</f>
        <v/>
      </c>
      <c r="M14" s="622" t="str">
        <f>IF(NOT(ISBLANK('A-RACHNATMAK'!N25)),"A",IF(NOT(ISBLANK('A-RACHNATMAK'!N24)),"B",IF(NOT(ISBLANK('A-RACHNATMAK'!N23)),"C","")))</f>
        <v/>
      </c>
      <c r="N14" s="622" t="str">
        <f>IF(NOT(ISBLANK('A-RACHNATMAK'!O25)),"A",IF(NOT(ISBLANK('A-RACHNATMAK'!O24)),"B",IF(NOT(ISBLANK('A-RACHNATMAK'!O23)),"C","")))</f>
        <v/>
      </c>
      <c r="O14" s="622" t="str">
        <f>IF(NOT(ISBLANK('A-RACHNATMAK'!P25)),"A",IF(NOT(ISBLANK('A-RACHNATMAK'!P24)),"B",IF(NOT(ISBLANK('A-RACHNATMAK'!P23)),"C","")))</f>
        <v/>
      </c>
      <c r="P14" s="622" t="str">
        <f>IF(NOT(ISBLANK('A-RACHNATMAK'!Q25)),"A",IF(NOT(ISBLANK('A-RACHNATMAK'!Q24)),"B",IF(NOT(ISBLANK('A-RACHNATMAK'!Q23)),"C","")))</f>
        <v/>
      </c>
      <c r="Q14" s="622" t="str">
        <f>IF(NOT(ISBLANK('A-RACHNATMAK'!R25)),"A",IF(NOT(ISBLANK('A-RACHNATMAK'!R24)),"B",IF(NOT(ISBLANK('A-RACHNATMAK'!R23)),"C","")))</f>
        <v/>
      </c>
      <c r="R14" s="622" t="str">
        <f>IF(NOT(ISBLANK('A-RACHNATMAK'!S25)),"A",IF(NOT(ISBLANK('A-RACHNATMAK'!S24)),"B",IF(NOT(ISBLANK('A-RACHNATMAK'!S23)),"C","")))</f>
        <v/>
      </c>
      <c r="S14" s="622" t="str">
        <f>IF(NOT(ISBLANK('A-RACHNATMAK'!T25)),"A",IF(NOT(ISBLANK('A-RACHNATMAK'!T24)),"B",IF(NOT(ISBLANK('A-RACHNATMAK'!T23)),"C","")))</f>
        <v/>
      </c>
      <c r="T14" s="622" t="str">
        <f>IF(NOT(ISBLANK('A-RACHNATMAK'!U25)),"A",IF(NOT(ISBLANK('A-RACHNATMAK'!U24)),"B",IF(NOT(ISBLANK('A-RACHNATMAK'!U23)),"C","")))</f>
        <v/>
      </c>
      <c r="U14" s="622" t="str">
        <f>IF(NOT(ISBLANK('A-RACHNATMAK'!V25)),"A",IF(NOT(ISBLANK('A-RACHNATMAK'!V24)),"B",IF(NOT(ISBLANK('A-RACHNATMAK'!V23)),"C","")))</f>
        <v/>
      </c>
      <c r="V14" s="622">
        <f t="shared" ref="V14" si="18">COUNTIF(B14:U14,"A")</f>
        <v>1</v>
      </c>
      <c r="W14" s="622">
        <f t="shared" ref="W14" si="19">COUNTIF(B14:U14,"B")</f>
        <v>0</v>
      </c>
      <c r="X14" s="622">
        <f t="shared" ref="X14" si="20">COUNTIF(B14:U14,"C")</f>
        <v>0</v>
      </c>
      <c r="Z14" s="623">
        <v>5</v>
      </c>
      <c r="AA14" s="622" t="str">
        <f>IF(NOT(ISBLANK('A-RACHNATMAK'!AD25)),"A",IF(NOT(ISBLANK('A-RACHNATMAK'!AD24)),"B",IF(NOT(ISBLANK('A-RACHNATMAK'!AD23)),"C","")))</f>
        <v/>
      </c>
      <c r="AB14" s="622" t="str">
        <f>IF(NOT(ISBLANK('A-RACHNATMAK'!AE25)),"A",IF(NOT(ISBLANK('A-RACHNATMAK'!AE24)),"B",IF(NOT(ISBLANK('A-RACHNATMAK'!AE23)),"C","")))</f>
        <v/>
      </c>
      <c r="AC14" s="622" t="str">
        <f>IF(NOT(ISBLANK('A-RACHNATMAK'!AF25)),"A",IF(NOT(ISBLANK('A-RACHNATMAK'!AF24)),"B",IF(NOT(ISBLANK('A-RACHNATMAK'!AF23)),"C","")))</f>
        <v/>
      </c>
      <c r="AD14" s="622" t="str">
        <f>IF(NOT(ISBLANK('A-RACHNATMAK'!AG25)),"A",IF(NOT(ISBLANK('A-RACHNATMAK'!AG24)),"B",IF(NOT(ISBLANK('A-RACHNATMAK'!AG23)),"C","")))</f>
        <v/>
      </c>
      <c r="AE14" s="622" t="str">
        <f>IF(NOT(ISBLANK('A-RACHNATMAK'!AH25)),"A",IF(NOT(ISBLANK('A-RACHNATMAK'!AH24)),"B",IF(NOT(ISBLANK('A-RACHNATMAK'!AH23)),"C","")))</f>
        <v/>
      </c>
      <c r="AF14" s="622" t="str">
        <f>IF(NOT(ISBLANK('A-RACHNATMAK'!AI25)),"A",IF(NOT(ISBLANK('A-RACHNATMAK'!AI24)),"B",IF(NOT(ISBLANK('A-RACHNATMAK'!AI23)),"C","")))</f>
        <v/>
      </c>
      <c r="AG14" s="622" t="str">
        <f>IF(NOT(ISBLANK('A-RACHNATMAK'!AJ25)),"A",IF(NOT(ISBLANK('A-RACHNATMAK'!AJ24)),"B",IF(NOT(ISBLANK('A-RACHNATMAK'!AJ23)),"C","")))</f>
        <v/>
      </c>
      <c r="AH14" s="622" t="str">
        <f>IF(NOT(ISBLANK('A-RACHNATMAK'!AK25)),"A",IF(NOT(ISBLANK('A-RACHNATMAK'!AK24)),"B",IF(NOT(ISBLANK('A-RACHNATMAK'!AK23)),"C","")))</f>
        <v/>
      </c>
      <c r="AI14" s="622" t="str">
        <f>IF(NOT(ISBLANK('A-RACHNATMAK'!AL25)),"A",IF(NOT(ISBLANK('A-RACHNATMAK'!AL24)),"B",IF(NOT(ISBLANK('A-RACHNATMAK'!AL23)),"C","")))</f>
        <v/>
      </c>
      <c r="AJ14" s="622" t="str">
        <f>IF(NOT(ISBLANK('A-RACHNATMAK'!AM25)),"A",IF(NOT(ISBLANK('A-RACHNATMAK'!AM24)),"B",IF(NOT(ISBLANK('A-RACHNATMAK'!AM23)),"C","")))</f>
        <v/>
      </c>
      <c r="AK14" s="622" t="str">
        <f>IF(NOT(ISBLANK('A-RACHNATMAK'!AN25)),"A",IF(NOT(ISBLANK('A-RACHNATMAK'!AN24)),"B",IF(NOT(ISBLANK('A-RACHNATMAK'!AN23)),"C","")))</f>
        <v/>
      </c>
      <c r="AL14" s="622" t="str">
        <f>IF(NOT(ISBLANK('A-RACHNATMAK'!AO25)),"A",IF(NOT(ISBLANK('A-RACHNATMAK'!AO24)),"B",IF(NOT(ISBLANK('A-RACHNATMAK'!AO23)),"C","")))</f>
        <v/>
      </c>
      <c r="AM14" s="622" t="str">
        <f>IF(NOT(ISBLANK('A-RACHNATMAK'!AP25)),"A",IF(NOT(ISBLANK('A-RACHNATMAK'!AP24)),"B",IF(NOT(ISBLANK('A-RACHNATMAK'!AP23)),"C","")))</f>
        <v/>
      </c>
      <c r="AN14" s="622" t="str">
        <f>IF(NOT(ISBLANK('A-RACHNATMAK'!AQ25)),"A",IF(NOT(ISBLANK('A-RACHNATMAK'!AQ24)),"B",IF(NOT(ISBLANK('A-RACHNATMAK'!AQ23)),"C","")))</f>
        <v/>
      </c>
      <c r="AO14" s="622" t="str">
        <f>IF(NOT(ISBLANK('A-RACHNATMAK'!AR25)),"A",IF(NOT(ISBLANK('A-RACHNATMAK'!AR24)),"B",IF(NOT(ISBLANK('A-RACHNATMAK'!AR23)),"C","")))</f>
        <v/>
      </c>
      <c r="AP14" s="622" t="str">
        <f>IF(NOT(ISBLANK('A-RACHNATMAK'!AS25)),"A",IF(NOT(ISBLANK('A-RACHNATMAK'!AS24)),"B",IF(NOT(ISBLANK('A-RACHNATMAK'!AS23)),"C","")))</f>
        <v/>
      </c>
      <c r="AQ14" s="622" t="str">
        <f>IF(NOT(ISBLANK('A-RACHNATMAK'!AT25)),"A",IF(NOT(ISBLANK('A-RACHNATMAK'!AT24)),"B",IF(NOT(ISBLANK('A-RACHNATMAK'!AT23)),"C","")))</f>
        <v/>
      </c>
      <c r="AR14" s="622" t="str">
        <f>IF(NOT(ISBLANK('A-RACHNATMAK'!AU25)),"A",IF(NOT(ISBLANK('A-RACHNATMAK'!AU24)),"B",IF(NOT(ISBLANK('A-RACHNATMAK'!AU23)),"C","")))</f>
        <v/>
      </c>
      <c r="AS14" s="622" t="str">
        <f>IF(NOT(ISBLANK('A-RACHNATMAK'!AV25)),"A",IF(NOT(ISBLANK('A-RACHNATMAK'!AV24)),"B",IF(NOT(ISBLANK('A-RACHNATMAK'!AV23)),"C","")))</f>
        <v/>
      </c>
      <c r="AT14" s="622" t="str">
        <f>IF(NOT(ISBLANK('A-RACHNATMAK'!AW25)),"A",IF(NOT(ISBLANK('A-RACHNATMAK'!AW24)),"B",IF(NOT(ISBLANK('A-RACHNATMAK'!AW23)),"C","")))</f>
        <v/>
      </c>
      <c r="AU14" s="622">
        <f t="shared" ref="AU14" si="21">COUNTIF(AA14:AT14,"A")</f>
        <v>0</v>
      </c>
      <c r="AV14" s="622">
        <f t="shared" ref="AV14" si="22">COUNTIF(AA14:AT14,"B")</f>
        <v>0</v>
      </c>
      <c r="AW14" s="622">
        <f t="shared" ref="AW14" si="23">COUNTIF(AA14:AT14,"C")</f>
        <v>0</v>
      </c>
    </row>
    <row r="15" spans="1:49" s="330" customFormat="1" ht="8.25" customHeight="1">
      <c r="A15" s="623"/>
      <c r="B15" s="622"/>
      <c r="C15" s="622"/>
      <c r="D15" s="622"/>
      <c r="E15" s="622"/>
      <c r="F15" s="622"/>
      <c r="G15" s="622"/>
      <c r="H15" s="622"/>
      <c r="I15" s="622"/>
      <c r="J15" s="622"/>
      <c r="K15" s="622"/>
      <c r="L15" s="622"/>
      <c r="M15" s="622"/>
      <c r="N15" s="622"/>
      <c r="O15" s="622"/>
      <c r="P15" s="622"/>
      <c r="Q15" s="622"/>
      <c r="R15" s="622"/>
      <c r="S15" s="622"/>
      <c r="T15" s="622"/>
      <c r="U15" s="622"/>
      <c r="V15" s="622"/>
      <c r="W15" s="622"/>
      <c r="X15" s="622"/>
      <c r="Z15" s="623"/>
      <c r="AA15" s="622"/>
      <c r="AB15" s="622"/>
      <c r="AC15" s="622"/>
      <c r="AD15" s="622"/>
      <c r="AE15" s="622"/>
      <c r="AF15" s="622"/>
      <c r="AG15" s="622"/>
      <c r="AH15" s="622"/>
      <c r="AI15" s="622"/>
      <c r="AJ15" s="622"/>
      <c r="AK15" s="622"/>
      <c r="AL15" s="622"/>
      <c r="AM15" s="622"/>
      <c r="AN15" s="622"/>
      <c r="AO15" s="622"/>
      <c r="AP15" s="622"/>
      <c r="AQ15" s="622"/>
      <c r="AR15" s="622"/>
      <c r="AS15" s="622"/>
      <c r="AT15" s="622"/>
      <c r="AU15" s="622"/>
      <c r="AV15" s="622"/>
      <c r="AW15" s="622"/>
    </row>
    <row r="16" spans="1:49" s="330" customFormat="1" ht="8.25" customHeight="1">
      <c r="A16" s="623"/>
      <c r="B16" s="622"/>
      <c r="C16" s="622"/>
      <c r="D16" s="622"/>
      <c r="E16" s="622"/>
      <c r="F16" s="622"/>
      <c r="G16" s="622"/>
      <c r="H16" s="622"/>
      <c r="I16" s="622"/>
      <c r="J16" s="622"/>
      <c r="K16" s="622"/>
      <c r="L16" s="622"/>
      <c r="M16" s="622"/>
      <c r="N16" s="622"/>
      <c r="O16" s="622"/>
      <c r="P16" s="622"/>
      <c r="Q16" s="622"/>
      <c r="R16" s="622"/>
      <c r="S16" s="622"/>
      <c r="T16" s="622"/>
      <c r="U16" s="622"/>
      <c r="V16" s="622"/>
      <c r="W16" s="622"/>
      <c r="X16" s="622"/>
      <c r="Z16" s="623"/>
      <c r="AA16" s="622"/>
      <c r="AB16" s="622"/>
      <c r="AC16" s="622"/>
      <c r="AD16" s="622"/>
      <c r="AE16" s="622"/>
      <c r="AF16" s="622"/>
      <c r="AG16" s="622"/>
      <c r="AH16" s="622"/>
      <c r="AI16" s="622"/>
      <c r="AJ16" s="622"/>
      <c r="AK16" s="622"/>
      <c r="AL16" s="622"/>
      <c r="AM16" s="622"/>
      <c r="AN16" s="622"/>
      <c r="AO16" s="622"/>
      <c r="AP16" s="622"/>
      <c r="AQ16" s="622"/>
      <c r="AR16" s="622"/>
      <c r="AS16" s="622"/>
      <c r="AT16" s="622"/>
      <c r="AU16" s="622"/>
      <c r="AV16" s="622"/>
      <c r="AW16" s="622"/>
    </row>
    <row r="17" spans="1:49" s="330" customFormat="1" ht="8.25" customHeight="1">
      <c r="A17" s="623">
        <v>6</v>
      </c>
      <c r="B17" s="622" t="str">
        <f>IF(NOT(ISBLANK('A-RACHNATMAK'!C28)),"A",IF(NOT(ISBLANK('A-RACHNATMAK'!C27)),"B",IF(NOT(ISBLANK('A-RACHNATMAK'!C26)),"C","")))</f>
        <v/>
      </c>
      <c r="C17" s="622" t="str">
        <f>IF(NOT(ISBLANK('A-RACHNATMAK'!D28)),"A",IF(NOT(ISBLANK('A-RACHNATMAK'!D27)),"B",IF(NOT(ISBLANK('A-RACHNATMAK'!D26)),"C","")))</f>
        <v/>
      </c>
      <c r="D17" s="622" t="str">
        <f>IF(NOT(ISBLANK('A-RACHNATMAK'!E28)),"A",IF(NOT(ISBLANK('A-RACHNATMAK'!E27)),"B",IF(NOT(ISBLANK('A-RACHNATMAK'!E26)),"C","")))</f>
        <v/>
      </c>
      <c r="E17" s="622" t="str">
        <f>IF(NOT(ISBLANK('A-RACHNATMAK'!F28)),"A",IF(NOT(ISBLANK('A-RACHNATMAK'!F27)),"B",IF(NOT(ISBLANK('A-RACHNATMAK'!F26)),"C","")))</f>
        <v/>
      </c>
      <c r="F17" s="622" t="str">
        <f>IF(NOT(ISBLANK('A-RACHNATMAK'!G28)),"A",IF(NOT(ISBLANK('A-RACHNATMAK'!G27)),"B",IF(NOT(ISBLANK('A-RACHNATMAK'!G26)),"C","")))</f>
        <v/>
      </c>
      <c r="G17" s="622" t="str">
        <f>IF(NOT(ISBLANK('A-RACHNATMAK'!H28)),"A",IF(NOT(ISBLANK('A-RACHNATMAK'!H27)),"B",IF(NOT(ISBLANK('A-RACHNATMAK'!H26)),"C","")))</f>
        <v/>
      </c>
      <c r="H17" s="622" t="str">
        <f>IF(NOT(ISBLANK('A-RACHNATMAK'!I28)),"A",IF(NOT(ISBLANK('A-RACHNATMAK'!I27)),"B",IF(NOT(ISBLANK('A-RACHNATMAK'!I26)),"C","")))</f>
        <v/>
      </c>
      <c r="I17" s="622" t="str">
        <f>IF(NOT(ISBLANK('A-RACHNATMAK'!J28)),"A",IF(NOT(ISBLANK('A-RACHNATMAK'!J27)),"B",IF(NOT(ISBLANK('A-RACHNATMAK'!J26)),"C","")))</f>
        <v/>
      </c>
      <c r="J17" s="622" t="str">
        <f>IF(NOT(ISBLANK('A-RACHNATMAK'!K28)),"A",IF(NOT(ISBLANK('A-RACHNATMAK'!K27)),"B",IF(NOT(ISBLANK('A-RACHNATMAK'!K26)),"C","")))</f>
        <v/>
      </c>
      <c r="K17" s="622" t="str">
        <f>IF(NOT(ISBLANK('A-RACHNATMAK'!L28)),"A",IF(NOT(ISBLANK('A-RACHNATMAK'!L27)),"B",IF(NOT(ISBLANK('A-RACHNATMAK'!L26)),"C","")))</f>
        <v/>
      </c>
      <c r="L17" s="622" t="str">
        <f>IF(NOT(ISBLANK('A-RACHNATMAK'!M28)),"A",IF(NOT(ISBLANK('A-RACHNATMAK'!M27)),"B",IF(NOT(ISBLANK('A-RACHNATMAK'!M26)),"C","")))</f>
        <v/>
      </c>
      <c r="M17" s="622" t="str">
        <f>IF(NOT(ISBLANK('A-RACHNATMAK'!N28)),"A",IF(NOT(ISBLANK('A-RACHNATMAK'!N27)),"B",IF(NOT(ISBLANK('A-RACHNATMAK'!N26)),"C","")))</f>
        <v/>
      </c>
      <c r="N17" s="622" t="str">
        <f>IF(NOT(ISBLANK('A-RACHNATMAK'!O28)),"A",IF(NOT(ISBLANK('A-RACHNATMAK'!O27)),"B",IF(NOT(ISBLANK('A-RACHNATMAK'!O26)),"C","")))</f>
        <v/>
      </c>
      <c r="O17" s="622" t="str">
        <f>IF(NOT(ISBLANK('A-RACHNATMAK'!P28)),"A",IF(NOT(ISBLANK('A-RACHNATMAK'!P27)),"B",IF(NOT(ISBLANK('A-RACHNATMAK'!P26)),"C","")))</f>
        <v/>
      </c>
      <c r="P17" s="622" t="str">
        <f>IF(NOT(ISBLANK('A-RACHNATMAK'!Q28)),"A",IF(NOT(ISBLANK('A-RACHNATMAK'!Q27)),"B",IF(NOT(ISBLANK('A-RACHNATMAK'!Q26)),"C","")))</f>
        <v/>
      </c>
      <c r="Q17" s="622" t="str">
        <f>IF(NOT(ISBLANK('A-RACHNATMAK'!R28)),"A",IF(NOT(ISBLANK('A-RACHNATMAK'!R27)),"B",IF(NOT(ISBLANK('A-RACHNATMAK'!R26)),"C","")))</f>
        <v/>
      </c>
      <c r="R17" s="622" t="str">
        <f>IF(NOT(ISBLANK('A-RACHNATMAK'!S28)),"A",IF(NOT(ISBLANK('A-RACHNATMAK'!S27)),"B",IF(NOT(ISBLANK('A-RACHNATMAK'!S26)),"C","")))</f>
        <v/>
      </c>
      <c r="S17" s="622" t="str">
        <f>IF(NOT(ISBLANK('A-RACHNATMAK'!T28)),"A",IF(NOT(ISBLANK('A-RACHNATMAK'!T27)),"B",IF(NOT(ISBLANK('A-RACHNATMAK'!T26)),"C","")))</f>
        <v/>
      </c>
      <c r="T17" s="622" t="str">
        <f>IF(NOT(ISBLANK('A-RACHNATMAK'!U28)),"A",IF(NOT(ISBLANK('A-RACHNATMAK'!U27)),"B",IF(NOT(ISBLANK('A-RACHNATMAK'!U26)),"C","")))</f>
        <v/>
      </c>
      <c r="U17" s="622" t="str">
        <f>IF(NOT(ISBLANK('A-RACHNATMAK'!V28)),"A",IF(NOT(ISBLANK('A-RACHNATMAK'!V27)),"B",IF(NOT(ISBLANK('A-RACHNATMAK'!V26)),"C","")))</f>
        <v/>
      </c>
      <c r="V17" s="622">
        <f t="shared" ref="V17" si="24">COUNTIF(B17:U17,"A")</f>
        <v>0</v>
      </c>
      <c r="W17" s="622">
        <f t="shared" ref="W17" si="25">COUNTIF(B17:U17,"B")</f>
        <v>0</v>
      </c>
      <c r="X17" s="622">
        <f t="shared" ref="X17" si="26">COUNTIF(B17:U17,"C")</f>
        <v>0</v>
      </c>
      <c r="Z17" s="623">
        <v>6</v>
      </c>
      <c r="AA17" s="622" t="str">
        <f>IF(NOT(ISBLANK('A-RACHNATMAK'!AD28)),"A",IF(NOT(ISBLANK('A-RACHNATMAK'!AD27)),"B",IF(NOT(ISBLANK('A-RACHNATMAK'!AD26)),"C","")))</f>
        <v/>
      </c>
      <c r="AB17" s="622" t="str">
        <f>IF(NOT(ISBLANK('A-RACHNATMAK'!AE28)),"A",IF(NOT(ISBLANK('A-RACHNATMAK'!AE27)),"B",IF(NOT(ISBLANK('A-RACHNATMAK'!AE26)),"C","")))</f>
        <v/>
      </c>
      <c r="AC17" s="622" t="str">
        <f>IF(NOT(ISBLANK('A-RACHNATMAK'!AF28)),"A",IF(NOT(ISBLANK('A-RACHNATMAK'!AF27)),"B",IF(NOT(ISBLANK('A-RACHNATMAK'!AF26)),"C","")))</f>
        <v/>
      </c>
      <c r="AD17" s="622" t="str">
        <f>IF(NOT(ISBLANK('A-RACHNATMAK'!AG28)),"A",IF(NOT(ISBLANK('A-RACHNATMAK'!AG27)),"B",IF(NOT(ISBLANK('A-RACHNATMAK'!AG26)),"C","")))</f>
        <v/>
      </c>
      <c r="AE17" s="622" t="str">
        <f>IF(NOT(ISBLANK('A-RACHNATMAK'!AH28)),"A",IF(NOT(ISBLANK('A-RACHNATMAK'!AH27)),"B",IF(NOT(ISBLANK('A-RACHNATMAK'!AH26)),"C","")))</f>
        <v/>
      </c>
      <c r="AF17" s="622" t="str">
        <f>IF(NOT(ISBLANK('A-RACHNATMAK'!AI28)),"A",IF(NOT(ISBLANK('A-RACHNATMAK'!AI27)),"B",IF(NOT(ISBLANK('A-RACHNATMAK'!AI26)),"C","")))</f>
        <v/>
      </c>
      <c r="AG17" s="622" t="str">
        <f>IF(NOT(ISBLANK('A-RACHNATMAK'!AJ28)),"A",IF(NOT(ISBLANK('A-RACHNATMAK'!AJ27)),"B",IF(NOT(ISBLANK('A-RACHNATMAK'!AJ26)),"C","")))</f>
        <v/>
      </c>
      <c r="AH17" s="622" t="str">
        <f>IF(NOT(ISBLANK('A-RACHNATMAK'!AK28)),"A",IF(NOT(ISBLANK('A-RACHNATMAK'!AK27)),"B",IF(NOT(ISBLANK('A-RACHNATMAK'!AK26)),"C","")))</f>
        <v/>
      </c>
      <c r="AI17" s="622" t="str">
        <f>IF(NOT(ISBLANK('A-RACHNATMAK'!AL28)),"A",IF(NOT(ISBLANK('A-RACHNATMAK'!AL27)),"B",IF(NOT(ISBLANK('A-RACHNATMAK'!AL26)),"C","")))</f>
        <v/>
      </c>
      <c r="AJ17" s="622" t="str">
        <f>IF(NOT(ISBLANK('A-RACHNATMAK'!AM28)),"A",IF(NOT(ISBLANK('A-RACHNATMAK'!AM27)),"B",IF(NOT(ISBLANK('A-RACHNATMAK'!AM26)),"C","")))</f>
        <v/>
      </c>
      <c r="AK17" s="622" t="str">
        <f>IF(NOT(ISBLANK('A-RACHNATMAK'!AN28)),"A",IF(NOT(ISBLANK('A-RACHNATMAK'!AN27)),"B",IF(NOT(ISBLANK('A-RACHNATMAK'!AN26)),"C","")))</f>
        <v/>
      </c>
      <c r="AL17" s="622" t="str">
        <f>IF(NOT(ISBLANK('A-RACHNATMAK'!AO28)),"A",IF(NOT(ISBLANK('A-RACHNATMAK'!AO27)),"B",IF(NOT(ISBLANK('A-RACHNATMAK'!AO26)),"C","")))</f>
        <v/>
      </c>
      <c r="AM17" s="622" t="str">
        <f>IF(NOT(ISBLANK('A-RACHNATMAK'!AP28)),"A",IF(NOT(ISBLANK('A-RACHNATMAK'!AP27)),"B",IF(NOT(ISBLANK('A-RACHNATMAK'!AP26)),"C","")))</f>
        <v/>
      </c>
      <c r="AN17" s="622" t="str">
        <f>IF(NOT(ISBLANK('A-RACHNATMAK'!AQ28)),"A",IF(NOT(ISBLANK('A-RACHNATMAK'!AQ27)),"B",IF(NOT(ISBLANK('A-RACHNATMAK'!AQ26)),"C","")))</f>
        <v/>
      </c>
      <c r="AO17" s="622" t="str">
        <f>IF(NOT(ISBLANK('A-RACHNATMAK'!AR28)),"A",IF(NOT(ISBLANK('A-RACHNATMAK'!AR27)),"B",IF(NOT(ISBLANK('A-RACHNATMAK'!AR26)),"C","")))</f>
        <v/>
      </c>
      <c r="AP17" s="622" t="str">
        <f>IF(NOT(ISBLANK('A-RACHNATMAK'!AS28)),"A",IF(NOT(ISBLANK('A-RACHNATMAK'!AS27)),"B",IF(NOT(ISBLANK('A-RACHNATMAK'!AS26)),"C","")))</f>
        <v/>
      </c>
      <c r="AQ17" s="622" t="str">
        <f>IF(NOT(ISBLANK('A-RACHNATMAK'!AT28)),"A",IF(NOT(ISBLANK('A-RACHNATMAK'!AT27)),"B",IF(NOT(ISBLANK('A-RACHNATMAK'!AT26)),"C","")))</f>
        <v/>
      </c>
      <c r="AR17" s="622" t="str">
        <f>IF(NOT(ISBLANK('A-RACHNATMAK'!AU28)),"A",IF(NOT(ISBLANK('A-RACHNATMAK'!AU27)),"B",IF(NOT(ISBLANK('A-RACHNATMAK'!AU26)),"C","")))</f>
        <v/>
      </c>
      <c r="AS17" s="622" t="str">
        <f>IF(NOT(ISBLANK('A-RACHNATMAK'!AV28)),"A",IF(NOT(ISBLANK('A-RACHNATMAK'!AV27)),"B",IF(NOT(ISBLANK('A-RACHNATMAK'!AV26)),"C","")))</f>
        <v/>
      </c>
      <c r="AT17" s="622" t="str">
        <f>IF(NOT(ISBLANK('A-RACHNATMAK'!AW28)),"A",IF(NOT(ISBLANK('A-RACHNATMAK'!AW27)),"B",IF(NOT(ISBLANK('A-RACHNATMAK'!AW26)),"C","")))</f>
        <v/>
      </c>
      <c r="AU17" s="622">
        <f t="shared" ref="AU17" si="27">COUNTIF(AA17:AT17,"A")</f>
        <v>0</v>
      </c>
      <c r="AV17" s="622">
        <f t="shared" ref="AV17" si="28">COUNTIF(AA17:AT17,"B")</f>
        <v>0</v>
      </c>
      <c r="AW17" s="622">
        <f t="shared" ref="AW17" si="29">COUNTIF(AA17:AT17,"C")</f>
        <v>0</v>
      </c>
    </row>
    <row r="18" spans="1:49" s="330" customFormat="1" ht="8.25" customHeight="1">
      <c r="A18" s="623"/>
      <c r="B18" s="622"/>
      <c r="C18" s="622"/>
      <c r="D18" s="622"/>
      <c r="E18" s="622"/>
      <c r="F18" s="622"/>
      <c r="G18" s="622"/>
      <c r="H18" s="622"/>
      <c r="I18" s="622"/>
      <c r="J18" s="622"/>
      <c r="K18" s="622"/>
      <c r="L18" s="622"/>
      <c r="M18" s="622"/>
      <c r="N18" s="622"/>
      <c r="O18" s="622"/>
      <c r="P18" s="622"/>
      <c r="Q18" s="622"/>
      <c r="R18" s="622"/>
      <c r="S18" s="622"/>
      <c r="T18" s="622"/>
      <c r="U18" s="622"/>
      <c r="V18" s="622"/>
      <c r="W18" s="622"/>
      <c r="X18" s="622"/>
      <c r="Z18" s="623"/>
      <c r="AA18" s="622"/>
      <c r="AB18" s="622"/>
      <c r="AC18" s="622"/>
      <c r="AD18" s="622"/>
      <c r="AE18" s="622"/>
      <c r="AF18" s="622"/>
      <c r="AG18" s="622"/>
      <c r="AH18" s="622"/>
      <c r="AI18" s="622"/>
      <c r="AJ18" s="622"/>
      <c r="AK18" s="622"/>
      <c r="AL18" s="622"/>
      <c r="AM18" s="622"/>
      <c r="AN18" s="622"/>
      <c r="AO18" s="622"/>
      <c r="AP18" s="622"/>
      <c r="AQ18" s="622"/>
      <c r="AR18" s="622"/>
      <c r="AS18" s="622"/>
      <c r="AT18" s="622"/>
      <c r="AU18" s="622"/>
      <c r="AV18" s="622"/>
      <c r="AW18" s="622"/>
    </row>
    <row r="19" spans="1:49" s="330" customFormat="1" ht="8.25" customHeight="1">
      <c r="A19" s="623"/>
      <c r="B19" s="622"/>
      <c r="C19" s="622"/>
      <c r="D19" s="622"/>
      <c r="E19" s="622"/>
      <c r="F19" s="622"/>
      <c r="G19" s="622"/>
      <c r="H19" s="622"/>
      <c r="I19" s="622"/>
      <c r="J19" s="622"/>
      <c r="K19" s="622"/>
      <c r="L19" s="622"/>
      <c r="M19" s="622"/>
      <c r="N19" s="622"/>
      <c r="O19" s="622"/>
      <c r="P19" s="622"/>
      <c r="Q19" s="622"/>
      <c r="R19" s="622"/>
      <c r="S19" s="622"/>
      <c r="T19" s="622"/>
      <c r="U19" s="622"/>
      <c r="V19" s="622"/>
      <c r="W19" s="622"/>
      <c r="X19" s="622"/>
      <c r="Z19" s="623"/>
      <c r="AA19" s="622"/>
      <c r="AB19" s="622"/>
      <c r="AC19" s="622"/>
      <c r="AD19" s="622"/>
      <c r="AE19" s="622"/>
      <c r="AF19" s="622"/>
      <c r="AG19" s="622"/>
      <c r="AH19" s="622"/>
      <c r="AI19" s="622"/>
      <c r="AJ19" s="622"/>
      <c r="AK19" s="622"/>
      <c r="AL19" s="622"/>
      <c r="AM19" s="622"/>
      <c r="AN19" s="622"/>
      <c r="AO19" s="622"/>
      <c r="AP19" s="622"/>
      <c r="AQ19" s="622"/>
      <c r="AR19" s="622"/>
      <c r="AS19" s="622"/>
      <c r="AT19" s="622"/>
      <c r="AU19" s="622"/>
      <c r="AV19" s="622"/>
      <c r="AW19" s="622"/>
    </row>
    <row r="20" spans="1:49" s="330" customFormat="1" ht="8.25" customHeight="1">
      <c r="A20" s="623">
        <v>7</v>
      </c>
      <c r="B20" s="622" t="str">
        <f>IF(NOT(ISBLANK('A-RACHNATMAK'!C31)),"A",IF(NOT(ISBLANK('A-RACHNATMAK'!C30)),"B",IF(NOT(ISBLANK('A-RACHNATMAK'!C29)),"C","")))</f>
        <v/>
      </c>
      <c r="C20" s="622" t="str">
        <f>IF(NOT(ISBLANK('A-RACHNATMAK'!D31)),"A",IF(NOT(ISBLANK('A-RACHNATMAK'!D30)),"B",IF(NOT(ISBLANK('A-RACHNATMAK'!D29)),"C","")))</f>
        <v/>
      </c>
      <c r="D20" s="622" t="str">
        <f>IF(NOT(ISBLANK('A-RACHNATMAK'!E31)),"A",IF(NOT(ISBLANK('A-RACHNATMAK'!E30)),"B",IF(NOT(ISBLANK('A-RACHNATMAK'!E29)),"C","")))</f>
        <v/>
      </c>
      <c r="E20" s="622" t="str">
        <f>IF(NOT(ISBLANK('A-RACHNATMAK'!F31)),"A",IF(NOT(ISBLANK('A-RACHNATMAK'!F30)),"B",IF(NOT(ISBLANK('A-RACHNATMAK'!F29)),"C","")))</f>
        <v/>
      </c>
      <c r="F20" s="622" t="str">
        <f>IF(NOT(ISBLANK('A-RACHNATMAK'!G31)),"A",IF(NOT(ISBLANK('A-RACHNATMAK'!G30)),"B",IF(NOT(ISBLANK('A-RACHNATMAK'!G29)),"C","")))</f>
        <v/>
      </c>
      <c r="G20" s="622" t="str">
        <f>IF(NOT(ISBLANK('A-RACHNATMAK'!H31)),"A",IF(NOT(ISBLANK('A-RACHNATMAK'!H30)),"B",IF(NOT(ISBLANK('A-RACHNATMAK'!H29)),"C","")))</f>
        <v/>
      </c>
      <c r="H20" s="622" t="str">
        <f>IF(NOT(ISBLANK('A-RACHNATMAK'!I31)),"A",IF(NOT(ISBLANK('A-RACHNATMAK'!I30)),"B",IF(NOT(ISBLANK('A-RACHNATMAK'!I29)),"C","")))</f>
        <v/>
      </c>
      <c r="I20" s="622" t="str">
        <f>IF(NOT(ISBLANK('A-RACHNATMAK'!J31)),"A",IF(NOT(ISBLANK('A-RACHNATMAK'!J30)),"B",IF(NOT(ISBLANK('A-RACHNATMAK'!J29)),"C","")))</f>
        <v/>
      </c>
      <c r="J20" s="622" t="str">
        <f>IF(NOT(ISBLANK('A-RACHNATMAK'!K31)),"A",IF(NOT(ISBLANK('A-RACHNATMAK'!K30)),"B",IF(NOT(ISBLANK('A-RACHNATMAK'!K29)),"C","")))</f>
        <v/>
      </c>
      <c r="K20" s="622" t="str">
        <f>IF(NOT(ISBLANK('A-RACHNATMAK'!L31)),"A",IF(NOT(ISBLANK('A-RACHNATMAK'!L30)),"B",IF(NOT(ISBLANK('A-RACHNATMAK'!L29)),"C","")))</f>
        <v/>
      </c>
      <c r="L20" s="622" t="str">
        <f>IF(NOT(ISBLANK('A-RACHNATMAK'!M31)),"A",IF(NOT(ISBLANK('A-RACHNATMAK'!M30)),"B",IF(NOT(ISBLANK('A-RACHNATMAK'!M29)),"C","")))</f>
        <v/>
      </c>
      <c r="M20" s="622" t="str">
        <f>IF(NOT(ISBLANK('A-RACHNATMAK'!N31)),"A",IF(NOT(ISBLANK('A-RACHNATMAK'!N30)),"B",IF(NOT(ISBLANK('A-RACHNATMAK'!N29)),"C","")))</f>
        <v/>
      </c>
      <c r="N20" s="622" t="str">
        <f>IF(NOT(ISBLANK('A-RACHNATMAK'!O31)),"A",IF(NOT(ISBLANK('A-RACHNATMAK'!O30)),"B",IF(NOT(ISBLANK('A-RACHNATMAK'!O29)),"C","")))</f>
        <v/>
      </c>
      <c r="O20" s="622" t="str">
        <f>IF(NOT(ISBLANK('A-RACHNATMAK'!P31)),"A",IF(NOT(ISBLANK('A-RACHNATMAK'!P30)),"B",IF(NOT(ISBLANK('A-RACHNATMAK'!P29)),"C","")))</f>
        <v/>
      </c>
      <c r="P20" s="622" t="str">
        <f>IF(NOT(ISBLANK('A-RACHNATMAK'!Q31)),"A",IF(NOT(ISBLANK('A-RACHNATMAK'!Q30)),"B",IF(NOT(ISBLANK('A-RACHNATMAK'!Q29)),"C","")))</f>
        <v/>
      </c>
      <c r="Q20" s="622" t="str">
        <f>IF(NOT(ISBLANK('A-RACHNATMAK'!R31)),"A",IF(NOT(ISBLANK('A-RACHNATMAK'!R30)),"B",IF(NOT(ISBLANK('A-RACHNATMAK'!R29)),"C","")))</f>
        <v/>
      </c>
      <c r="R20" s="622" t="str">
        <f>IF(NOT(ISBLANK('A-RACHNATMAK'!S31)),"A",IF(NOT(ISBLANK('A-RACHNATMAK'!S30)),"B",IF(NOT(ISBLANK('A-RACHNATMAK'!S29)),"C","")))</f>
        <v/>
      </c>
      <c r="S20" s="622" t="str">
        <f>IF(NOT(ISBLANK('A-RACHNATMAK'!T31)),"A",IF(NOT(ISBLANK('A-RACHNATMAK'!T30)),"B",IF(NOT(ISBLANK('A-RACHNATMAK'!T29)),"C","")))</f>
        <v/>
      </c>
      <c r="T20" s="622" t="str">
        <f>IF(NOT(ISBLANK('A-RACHNATMAK'!U31)),"A",IF(NOT(ISBLANK('A-RACHNATMAK'!U30)),"B",IF(NOT(ISBLANK('A-RACHNATMAK'!U29)),"C","")))</f>
        <v/>
      </c>
      <c r="U20" s="622" t="str">
        <f>IF(NOT(ISBLANK('A-RACHNATMAK'!V31)),"A",IF(NOT(ISBLANK('A-RACHNATMAK'!V30)),"B",IF(NOT(ISBLANK('A-RACHNATMAK'!V29)),"C","")))</f>
        <v/>
      </c>
      <c r="V20" s="622">
        <f t="shared" ref="V20" si="30">COUNTIF(B20:U20,"A")</f>
        <v>0</v>
      </c>
      <c r="W20" s="622">
        <f t="shared" ref="W20" si="31">COUNTIF(B20:U20,"B")</f>
        <v>0</v>
      </c>
      <c r="X20" s="622">
        <f t="shared" ref="X20" si="32">COUNTIF(B20:U20,"C")</f>
        <v>0</v>
      </c>
      <c r="Z20" s="623">
        <v>7</v>
      </c>
      <c r="AA20" s="622" t="str">
        <f>IF(NOT(ISBLANK('A-RACHNATMAK'!AD31)),"A",IF(NOT(ISBLANK('A-RACHNATMAK'!AD30)),"B",IF(NOT(ISBLANK('A-RACHNATMAK'!AD29)),"C","")))</f>
        <v/>
      </c>
      <c r="AB20" s="622" t="str">
        <f>IF(NOT(ISBLANK('A-RACHNATMAK'!AE31)),"A",IF(NOT(ISBLANK('A-RACHNATMAK'!AE30)),"B",IF(NOT(ISBLANK('A-RACHNATMAK'!AE29)),"C","")))</f>
        <v/>
      </c>
      <c r="AC20" s="622" t="str">
        <f>IF(NOT(ISBLANK('A-RACHNATMAK'!AF31)),"A",IF(NOT(ISBLANK('A-RACHNATMAK'!AF30)),"B",IF(NOT(ISBLANK('A-RACHNATMAK'!AF29)),"C","")))</f>
        <v/>
      </c>
      <c r="AD20" s="622" t="str">
        <f>IF(NOT(ISBLANK('A-RACHNATMAK'!AG31)),"A",IF(NOT(ISBLANK('A-RACHNATMAK'!AG30)),"B",IF(NOT(ISBLANK('A-RACHNATMAK'!AG29)),"C","")))</f>
        <v/>
      </c>
      <c r="AE20" s="622" t="str">
        <f>IF(NOT(ISBLANK('A-RACHNATMAK'!AH31)),"A",IF(NOT(ISBLANK('A-RACHNATMAK'!AH30)),"B",IF(NOT(ISBLANK('A-RACHNATMAK'!AH29)),"C","")))</f>
        <v/>
      </c>
      <c r="AF20" s="622" t="str">
        <f>IF(NOT(ISBLANK('A-RACHNATMAK'!AI31)),"A",IF(NOT(ISBLANK('A-RACHNATMAK'!AI30)),"B",IF(NOT(ISBLANK('A-RACHNATMAK'!AI29)),"C","")))</f>
        <v/>
      </c>
      <c r="AG20" s="622" t="str">
        <f>IF(NOT(ISBLANK('A-RACHNATMAK'!AJ31)),"A",IF(NOT(ISBLANK('A-RACHNATMAK'!AJ30)),"B",IF(NOT(ISBLANK('A-RACHNATMAK'!AJ29)),"C","")))</f>
        <v/>
      </c>
      <c r="AH20" s="622" t="str">
        <f>IF(NOT(ISBLANK('A-RACHNATMAK'!AK31)),"A",IF(NOT(ISBLANK('A-RACHNATMAK'!AK30)),"B",IF(NOT(ISBLANK('A-RACHNATMAK'!AK29)),"C","")))</f>
        <v/>
      </c>
      <c r="AI20" s="622" t="str">
        <f>IF(NOT(ISBLANK('A-RACHNATMAK'!AL31)),"A",IF(NOT(ISBLANK('A-RACHNATMAK'!AL30)),"B",IF(NOT(ISBLANK('A-RACHNATMAK'!AL29)),"C","")))</f>
        <v/>
      </c>
      <c r="AJ20" s="622" t="str">
        <f>IF(NOT(ISBLANK('A-RACHNATMAK'!AM31)),"A",IF(NOT(ISBLANK('A-RACHNATMAK'!AM30)),"B",IF(NOT(ISBLANK('A-RACHNATMAK'!AM29)),"C","")))</f>
        <v/>
      </c>
      <c r="AK20" s="622" t="str">
        <f>IF(NOT(ISBLANK('A-RACHNATMAK'!AN31)),"A",IF(NOT(ISBLANK('A-RACHNATMAK'!AN30)),"B",IF(NOT(ISBLANK('A-RACHNATMAK'!AN29)),"C","")))</f>
        <v/>
      </c>
      <c r="AL20" s="622" t="str">
        <f>IF(NOT(ISBLANK('A-RACHNATMAK'!AO31)),"A",IF(NOT(ISBLANK('A-RACHNATMAK'!AO30)),"B",IF(NOT(ISBLANK('A-RACHNATMAK'!AO29)),"C","")))</f>
        <v/>
      </c>
      <c r="AM20" s="622" t="str">
        <f>IF(NOT(ISBLANK('A-RACHNATMAK'!AP31)),"A",IF(NOT(ISBLANK('A-RACHNATMAK'!AP30)),"B",IF(NOT(ISBLANK('A-RACHNATMAK'!AP29)),"C","")))</f>
        <v/>
      </c>
      <c r="AN20" s="622" t="str">
        <f>IF(NOT(ISBLANK('A-RACHNATMAK'!AQ31)),"A",IF(NOT(ISBLANK('A-RACHNATMAK'!AQ30)),"B",IF(NOT(ISBLANK('A-RACHNATMAK'!AQ29)),"C","")))</f>
        <v/>
      </c>
      <c r="AO20" s="622" t="str">
        <f>IF(NOT(ISBLANK('A-RACHNATMAK'!AR31)),"A",IF(NOT(ISBLANK('A-RACHNATMAK'!AR30)),"B",IF(NOT(ISBLANK('A-RACHNATMAK'!AR29)),"C","")))</f>
        <v/>
      </c>
      <c r="AP20" s="622" t="str">
        <f>IF(NOT(ISBLANK('A-RACHNATMAK'!AS31)),"A",IF(NOT(ISBLANK('A-RACHNATMAK'!AS30)),"B",IF(NOT(ISBLANK('A-RACHNATMAK'!AS29)),"C","")))</f>
        <v/>
      </c>
      <c r="AQ20" s="622" t="str">
        <f>IF(NOT(ISBLANK('A-RACHNATMAK'!AT31)),"A",IF(NOT(ISBLANK('A-RACHNATMAK'!AT30)),"B",IF(NOT(ISBLANK('A-RACHNATMAK'!AT29)),"C","")))</f>
        <v/>
      </c>
      <c r="AR20" s="622" t="str">
        <f>IF(NOT(ISBLANK('A-RACHNATMAK'!AU31)),"A",IF(NOT(ISBLANK('A-RACHNATMAK'!AU30)),"B",IF(NOT(ISBLANK('A-RACHNATMAK'!AU29)),"C","")))</f>
        <v/>
      </c>
      <c r="AS20" s="622" t="str">
        <f>IF(NOT(ISBLANK('A-RACHNATMAK'!AV31)),"A",IF(NOT(ISBLANK('A-RACHNATMAK'!AV30)),"B",IF(NOT(ISBLANK('A-RACHNATMAK'!AV29)),"C","")))</f>
        <v/>
      </c>
      <c r="AT20" s="622" t="str">
        <f>IF(NOT(ISBLANK('A-RACHNATMAK'!AW31)),"A",IF(NOT(ISBLANK('A-RACHNATMAK'!AW30)),"B",IF(NOT(ISBLANK('A-RACHNATMAK'!AW29)),"C","")))</f>
        <v/>
      </c>
      <c r="AU20" s="622">
        <f t="shared" ref="AU20" si="33">COUNTIF(AA20:AT20,"A")</f>
        <v>0</v>
      </c>
      <c r="AV20" s="622">
        <f t="shared" ref="AV20" si="34">COUNTIF(AA20:AT20,"B")</f>
        <v>0</v>
      </c>
      <c r="AW20" s="622">
        <f t="shared" ref="AW20" si="35">COUNTIF(AA20:AT20,"C")</f>
        <v>0</v>
      </c>
    </row>
    <row r="21" spans="1:49" s="330" customFormat="1" ht="8.25" customHeight="1">
      <c r="A21" s="623"/>
      <c r="B21" s="622"/>
      <c r="C21" s="622"/>
      <c r="D21" s="622"/>
      <c r="E21" s="622"/>
      <c r="F21" s="622"/>
      <c r="G21" s="622"/>
      <c r="H21" s="622"/>
      <c r="I21" s="622"/>
      <c r="J21" s="622"/>
      <c r="K21" s="622"/>
      <c r="L21" s="622"/>
      <c r="M21" s="622"/>
      <c r="N21" s="622"/>
      <c r="O21" s="622"/>
      <c r="P21" s="622"/>
      <c r="Q21" s="622"/>
      <c r="R21" s="622"/>
      <c r="S21" s="622"/>
      <c r="T21" s="622"/>
      <c r="U21" s="622"/>
      <c r="V21" s="622"/>
      <c r="W21" s="622"/>
      <c r="X21" s="622"/>
      <c r="Z21" s="623"/>
      <c r="AA21" s="622"/>
      <c r="AB21" s="622"/>
      <c r="AC21" s="622"/>
      <c r="AD21" s="622"/>
      <c r="AE21" s="622"/>
      <c r="AF21" s="622"/>
      <c r="AG21" s="622"/>
      <c r="AH21" s="622"/>
      <c r="AI21" s="622"/>
      <c r="AJ21" s="622"/>
      <c r="AK21" s="622"/>
      <c r="AL21" s="622"/>
      <c r="AM21" s="622"/>
      <c r="AN21" s="622"/>
      <c r="AO21" s="622"/>
      <c r="AP21" s="622"/>
      <c r="AQ21" s="622"/>
      <c r="AR21" s="622"/>
      <c r="AS21" s="622"/>
      <c r="AT21" s="622"/>
      <c r="AU21" s="622"/>
      <c r="AV21" s="622"/>
      <c r="AW21" s="622"/>
    </row>
    <row r="22" spans="1:49" s="330" customFormat="1" ht="8.25" customHeight="1">
      <c r="A22" s="623"/>
      <c r="B22" s="622"/>
      <c r="C22" s="622"/>
      <c r="D22" s="622"/>
      <c r="E22" s="622"/>
      <c r="F22" s="622"/>
      <c r="G22" s="622"/>
      <c r="H22" s="622"/>
      <c r="I22" s="622"/>
      <c r="J22" s="622"/>
      <c r="K22" s="622"/>
      <c r="L22" s="622"/>
      <c r="M22" s="622"/>
      <c r="N22" s="622"/>
      <c r="O22" s="622"/>
      <c r="P22" s="622"/>
      <c r="Q22" s="622"/>
      <c r="R22" s="622"/>
      <c r="S22" s="622"/>
      <c r="T22" s="622"/>
      <c r="U22" s="622"/>
      <c r="V22" s="622"/>
      <c r="W22" s="622"/>
      <c r="X22" s="622"/>
      <c r="Z22" s="623"/>
      <c r="AA22" s="622"/>
      <c r="AB22" s="622"/>
      <c r="AC22" s="622"/>
      <c r="AD22" s="622"/>
      <c r="AE22" s="622"/>
      <c r="AF22" s="622"/>
      <c r="AG22" s="622"/>
      <c r="AH22" s="622"/>
      <c r="AI22" s="622"/>
      <c r="AJ22" s="622"/>
      <c r="AK22" s="622"/>
      <c r="AL22" s="622"/>
      <c r="AM22" s="622"/>
      <c r="AN22" s="622"/>
      <c r="AO22" s="622"/>
      <c r="AP22" s="622"/>
      <c r="AQ22" s="622"/>
      <c r="AR22" s="622"/>
      <c r="AS22" s="622"/>
      <c r="AT22" s="622"/>
      <c r="AU22" s="622"/>
      <c r="AV22" s="622"/>
      <c r="AW22" s="622"/>
    </row>
    <row r="23" spans="1:49" s="330" customFormat="1" ht="8.25" customHeight="1">
      <c r="A23" s="623">
        <v>8</v>
      </c>
      <c r="B23" s="622" t="str">
        <f>IF(NOT(ISBLANK('A-RACHNATMAK'!C34)),"A",IF(NOT(ISBLANK('A-RACHNATMAK'!C33)),"B",IF(NOT(ISBLANK('A-RACHNATMAK'!C32)),"C","")))</f>
        <v/>
      </c>
      <c r="C23" s="622" t="str">
        <f>IF(NOT(ISBLANK('A-RACHNATMAK'!D34)),"A",IF(NOT(ISBLANK('A-RACHNATMAK'!D33)),"B",IF(NOT(ISBLANK('A-RACHNATMAK'!D32)),"C","")))</f>
        <v/>
      </c>
      <c r="D23" s="622" t="str">
        <f>IF(NOT(ISBLANK('A-RACHNATMAK'!E34)),"A",IF(NOT(ISBLANK('A-RACHNATMAK'!E33)),"B",IF(NOT(ISBLANK('A-RACHNATMAK'!E32)),"C","")))</f>
        <v/>
      </c>
      <c r="E23" s="622" t="str">
        <f>IF(NOT(ISBLANK('A-RACHNATMAK'!F34)),"A",IF(NOT(ISBLANK('A-RACHNATMAK'!F33)),"B",IF(NOT(ISBLANK('A-RACHNATMAK'!F32)),"C","")))</f>
        <v/>
      </c>
      <c r="F23" s="622" t="str">
        <f>IF(NOT(ISBLANK('A-RACHNATMAK'!G34)),"A",IF(NOT(ISBLANK('A-RACHNATMAK'!G33)),"B",IF(NOT(ISBLANK('A-RACHNATMAK'!G32)),"C","")))</f>
        <v/>
      </c>
      <c r="G23" s="622" t="str">
        <f>IF(NOT(ISBLANK('A-RACHNATMAK'!H34)),"A",IF(NOT(ISBLANK('A-RACHNATMAK'!H33)),"B",IF(NOT(ISBLANK('A-RACHNATMAK'!H32)),"C","")))</f>
        <v>B</v>
      </c>
      <c r="H23" s="622" t="str">
        <f>IF(NOT(ISBLANK('A-RACHNATMAK'!I34)),"A",IF(NOT(ISBLANK('A-RACHNATMAK'!I33)),"B",IF(NOT(ISBLANK('A-RACHNATMAK'!I32)),"C","")))</f>
        <v/>
      </c>
      <c r="I23" s="622" t="str">
        <f>IF(NOT(ISBLANK('A-RACHNATMAK'!J34)),"A",IF(NOT(ISBLANK('A-RACHNATMAK'!J33)),"B",IF(NOT(ISBLANK('A-RACHNATMAK'!J32)),"C","")))</f>
        <v>A</v>
      </c>
      <c r="J23" s="622" t="str">
        <f>IF(NOT(ISBLANK('A-RACHNATMAK'!K34)),"A",IF(NOT(ISBLANK('A-RACHNATMAK'!K33)),"B",IF(NOT(ISBLANK('A-RACHNATMAK'!K32)),"C","")))</f>
        <v/>
      </c>
      <c r="K23" s="622" t="str">
        <f>IF(NOT(ISBLANK('A-RACHNATMAK'!L34)),"A",IF(NOT(ISBLANK('A-RACHNATMAK'!L33)),"B",IF(NOT(ISBLANK('A-RACHNATMAK'!L32)),"C","")))</f>
        <v/>
      </c>
      <c r="L23" s="622" t="str">
        <f>IF(NOT(ISBLANK('A-RACHNATMAK'!M34)),"A",IF(NOT(ISBLANK('A-RACHNATMAK'!M33)),"B",IF(NOT(ISBLANK('A-RACHNATMAK'!M32)),"C","")))</f>
        <v/>
      </c>
      <c r="M23" s="622" t="str">
        <f>IF(NOT(ISBLANK('A-RACHNATMAK'!N34)),"A",IF(NOT(ISBLANK('A-RACHNATMAK'!N33)),"B",IF(NOT(ISBLANK('A-RACHNATMAK'!N32)),"C","")))</f>
        <v/>
      </c>
      <c r="N23" s="622" t="str">
        <f>IF(NOT(ISBLANK('A-RACHNATMAK'!O34)),"A",IF(NOT(ISBLANK('A-RACHNATMAK'!O33)),"B",IF(NOT(ISBLANK('A-RACHNATMAK'!O32)),"C","")))</f>
        <v/>
      </c>
      <c r="O23" s="622" t="str">
        <f>IF(NOT(ISBLANK('A-RACHNATMAK'!P34)),"A",IF(NOT(ISBLANK('A-RACHNATMAK'!P33)),"B",IF(NOT(ISBLANK('A-RACHNATMAK'!P32)),"C","")))</f>
        <v/>
      </c>
      <c r="P23" s="622" t="str">
        <f>IF(NOT(ISBLANK('A-RACHNATMAK'!Q34)),"A",IF(NOT(ISBLANK('A-RACHNATMAK'!Q33)),"B",IF(NOT(ISBLANK('A-RACHNATMAK'!Q32)),"C","")))</f>
        <v/>
      </c>
      <c r="Q23" s="622" t="str">
        <f>IF(NOT(ISBLANK('A-RACHNATMAK'!R34)),"A",IF(NOT(ISBLANK('A-RACHNATMAK'!R33)),"B",IF(NOT(ISBLANK('A-RACHNATMAK'!R32)),"C","")))</f>
        <v/>
      </c>
      <c r="R23" s="622" t="str">
        <f>IF(NOT(ISBLANK('A-RACHNATMAK'!S34)),"A",IF(NOT(ISBLANK('A-RACHNATMAK'!S33)),"B",IF(NOT(ISBLANK('A-RACHNATMAK'!S32)),"C","")))</f>
        <v/>
      </c>
      <c r="S23" s="622" t="str">
        <f>IF(NOT(ISBLANK('A-RACHNATMAK'!T34)),"A",IF(NOT(ISBLANK('A-RACHNATMAK'!T33)),"B",IF(NOT(ISBLANK('A-RACHNATMAK'!T32)),"C","")))</f>
        <v/>
      </c>
      <c r="T23" s="622" t="str">
        <f>IF(NOT(ISBLANK('A-RACHNATMAK'!U34)),"A",IF(NOT(ISBLANK('A-RACHNATMAK'!U33)),"B",IF(NOT(ISBLANK('A-RACHNATMAK'!U32)),"C","")))</f>
        <v/>
      </c>
      <c r="U23" s="622" t="str">
        <f>IF(NOT(ISBLANK('A-RACHNATMAK'!V34)),"A",IF(NOT(ISBLANK('A-RACHNATMAK'!V33)),"B",IF(NOT(ISBLANK('A-RACHNATMAK'!V32)),"C","")))</f>
        <v/>
      </c>
      <c r="V23" s="622">
        <f t="shared" ref="V23" si="36">COUNTIF(B23:U23,"A")</f>
        <v>1</v>
      </c>
      <c r="W23" s="622">
        <f t="shared" ref="W23" si="37">COUNTIF(B23:U23,"B")</f>
        <v>1</v>
      </c>
      <c r="X23" s="622">
        <f t="shared" ref="X23" si="38">COUNTIF(B23:U23,"C")</f>
        <v>0</v>
      </c>
      <c r="Z23" s="623">
        <v>8</v>
      </c>
      <c r="AA23" s="622" t="str">
        <f>IF(NOT(ISBLANK('A-RACHNATMAK'!AD34)),"A",IF(NOT(ISBLANK('A-RACHNATMAK'!AD33)),"B",IF(NOT(ISBLANK('A-RACHNATMAK'!AD32)),"C","")))</f>
        <v/>
      </c>
      <c r="AB23" s="622" t="str">
        <f>IF(NOT(ISBLANK('A-RACHNATMAK'!AE34)),"A",IF(NOT(ISBLANK('A-RACHNATMAK'!AE33)),"B",IF(NOT(ISBLANK('A-RACHNATMAK'!AE32)),"C","")))</f>
        <v/>
      </c>
      <c r="AC23" s="622" t="str">
        <f>IF(NOT(ISBLANK('A-RACHNATMAK'!AF34)),"A",IF(NOT(ISBLANK('A-RACHNATMAK'!AF33)),"B",IF(NOT(ISBLANK('A-RACHNATMAK'!AF32)),"C","")))</f>
        <v/>
      </c>
      <c r="AD23" s="622" t="str">
        <f>IF(NOT(ISBLANK('A-RACHNATMAK'!AG34)),"A",IF(NOT(ISBLANK('A-RACHNATMAK'!AG33)),"B",IF(NOT(ISBLANK('A-RACHNATMAK'!AG32)),"C","")))</f>
        <v/>
      </c>
      <c r="AE23" s="622" t="str">
        <f>IF(NOT(ISBLANK('A-RACHNATMAK'!AH34)),"A",IF(NOT(ISBLANK('A-RACHNATMAK'!AH33)),"B",IF(NOT(ISBLANK('A-RACHNATMAK'!AH32)),"C","")))</f>
        <v/>
      </c>
      <c r="AF23" s="622" t="str">
        <f>IF(NOT(ISBLANK('A-RACHNATMAK'!AI34)),"A",IF(NOT(ISBLANK('A-RACHNATMAK'!AI33)),"B",IF(NOT(ISBLANK('A-RACHNATMAK'!AI32)),"C","")))</f>
        <v/>
      </c>
      <c r="AG23" s="622" t="str">
        <f>IF(NOT(ISBLANK('A-RACHNATMAK'!AJ34)),"A",IF(NOT(ISBLANK('A-RACHNATMAK'!AJ33)),"B",IF(NOT(ISBLANK('A-RACHNATMAK'!AJ32)),"C","")))</f>
        <v/>
      </c>
      <c r="AH23" s="622" t="str">
        <f>IF(NOT(ISBLANK('A-RACHNATMAK'!AK34)),"A",IF(NOT(ISBLANK('A-RACHNATMAK'!AK33)),"B",IF(NOT(ISBLANK('A-RACHNATMAK'!AK32)),"C","")))</f>
        <v/>
      </c>
      <c r="AI23" s="622" t="str">
        <f>IF(NOT(ISBLANK('A-RACHNATMAK'!AL34)),"A",IF(NOT(ISBLANK('A-RACHNATMAK'!AL33)),"B",IF(NOT(ISBLANK('A-RACHNATMAK'!AL32)),"C","")))</f>
        <v/>
      </c>
      <c r="AJ23" s="622" t="str">
        <f>IF(NOT(ISBLANK('A-RACHNATMAK'!AM34)),"A",IF(NOT(ISBLANK('A-RACHNATMAK'!AM33)),"B",IF(NOT(ISBLANK('A-RACHNATMAK'!AM32)),"C","")))</f>
        <v/>
      </c>
      <c r="AK23" s="622" t="str">
        <f>IF(NOT(ISBLANK('A-RACHNATMAK'!AN34)),"A",IF(NOT(ISBLANK('A-RACHNATMAK'!AN33)),"B",IF(NOT(ISBLANK('A-RACHNATMAK'!AN32)),"C","")))</f>
        <v/>
      </c>
      <c r="AL23" s="622" t="str">
        <f>IF(NOT(ISBLANK('A-RACHNATMAK'!AO34)),"A",IF(NOT(ISBLANK('A-RACHNATMAK'!AO33)),"B",IF(NOT(ISBLANK('A-RACHNATMAK'!AO32)),"C","")))</f>
        <v/>
      </c>
      <c r="AM23" s="622" t="str">
        <f>IF(NOT(ISBLANK('A-RACHNATMAK'!AP34)),"A",IF(NOT(ISBLANK('A-RACHNATMAK'!AP33)),"B",IF(NOT(ISBLANK('A-RACHNATMAK'!AP32)),"C","")))</f>
        <v/>
      </c>
      <c r="AN23" s="622" t="str">
        <f>IF(NOT(ISBLANK('A-RACHNATMAK'!AQ34)),"A",IF(NOT(ISBLANK('A-RACHNATMAK'!AQ33)),"B",IF(NOT(ISBLANK('A-RACHNATMAK'!AQ32)),"C","")))</f>
        <v/>
      </c>
      <c r="AO23" s="622" t="str">
        <f>IF(NOT(ISBLANK('A-RACHNATMAK'!AR34)),"A",IF(NOT(ISBLANK('A-RACHNATMAK'!AR33)),"B",IF(NOT(ISBLANK('A-RACHNATMAK'!AR32)),"C","")))</f>
        <v/>
      </c>
      <c r="AP23" s="622" t="str">
        <f>IF(NOT(ISBLANK('A-RACHNATMAK'!AS34)),"A",IF(NOT(ISBLANK('A-RACHNATMAK'!AS33)),"B",IF(NOT(ISBLANK('A-RACHNATMAK'!AS32)),"C","")))</f>
        <v/>
      </c>
      <c r="AQ23" s="622" t="str">
        <f>IF(NOT(ISBLANK('A-RACHNATMAK'!AT34)),"A",IF(NOT(ISBLANK('A-RACHNATMAK'!AT33)),"B",IF(NOT(ISBLANK('A-RACHNATMAK'!AT32)),"C","")))</f>
        <v/>
      </c>
      <c r="AR23" s="622" t="str">
        <f>IF(NOT(ISBLANK('A-RACHNATMAK'!AU34)),"A",IF(NOT(ISBLANK('A-RACHNATMAK'!AU33)),"B",IF(NOT(ISBLANK('A-RACHNATMAK'!AU32)),"C","")))</f>
        <v/>
      </c>
      <c r="AS23" s="622" t="str">
        <f>IF(NOT(ISBLANK('A-RACHNATMAK'!AV34)),"A",IF(NOT(ISBLANK('A-RACHNATMAK'!AV33)),"B",IF(NOT(ISBLANK('A-RACHNATMAK'!AV32)),"C","")))</f>
        <v/>
      </c>
      <c r="AT23" s="622" t="str">
        <f>IF(NOT(ISBLANK('A-RACHNATMAK'!AW34)),"A",IF(NOT(ISBLANK('A-RACHNATMAK'!AW33)),"B",IF(NOT(ISBLANK('A-RACHNATMAK'!AW32)),"C","")))</f>
        <v/>
      </c>
      <c r="AU23" s="622">
        <f t="shared" ref="AU23" si="39">COUNTIF(AA23:AT23,"A")</f>
        <v>0</v>
      </c>
      <c r="AV23" s="622">
        <f t="shared" ref="AV23" si="40">COUNTIF(AA23:AT23,"B")</f>
        <v>0</v>
      </c>
      <c r="AW23" s="622">
        <f t="shared" ref="AW23" si="41">COUNTIF(AA23:AT23,"C")</f>
        <v>0</v>
      </c>
    </row>
    <row r="24" spans="1:49" s="330" customFormat="1" ht="8.25" customHeight="1">
      <c r="A24" s="623"/>
      <c r="B24" s="622"/>
      <c r="C24" s="622"/>
      <c r="D24" s="622"/>
      <c r="E24" s="622"/>
      <c r="F24" s="622"/>
      <c r="G24" s="622"/>
      <c r="H24" s="622"/>
      <c r="I24" s="622"/>
      <c r="J24" s="622"/>
      <c r="K24" s="622"/>
      <c r="L24" s="622"/>
      <c r="M24" s="622"/>
      <c r="N24" s="622"/>
      <c r="O24" s="622"/>
      <c r="P24" s="622"/>
      <c r="Q24" s="622"/>
      <c r="R24" s="622"/>
      <c r="S24" s="622"/>
      <c r="T24" s="622"/>
      <c r="U24" s="622"/>
      <c r="V24" s="622"/>
      <c r="W24" s="622"/>
      <c r="X24" s="622"/>
      <c r="Z24" s="623"/>
      <c r="AA24" s="622"/>
      <c r="AB24" s="622"/>
      <c r="AC24" s="622"/>
      <c r="AD24" s="622"/>
      <c r="AE24" s="622"/>
      <c r="AF24" s="622"/>
      <c r="AG24" s="622"/>
      <c r="AH24" s="622"/>
      <c r="AI24" s="622"/>
      <c r="AJ24" s="622"/>
      <c r="AK24" s="622"/>
      <c r="AL24" s="622"/>
      <c r="AM24" s="622"/>
      <c r="AN24" s="622"/>
      <c r="AO24" s="622"/>
      <c r="AP24" s="622"/>
      <c r="AQ24" s="622"/>
      <c r="AR24" s="622"/>
      <c r="AS24" s="622"/>
      <c r="AT24" s="622"/>
      <c r="AU24" s="622"/>
      <c r="AV24" s="622"/>
      <c r="AW24" s="622"/>
    </row>
    <row r="25" spans="1:49" s="330" customFormat="1" ht="8.25" customHeight="1">
      <c r="A25" s="623"/>
      <c r="B25" s="622"/>
      <c r="C25" s="622"/>
      <c r="D25" s="622"/>
      <c r="E25" s="622"/>
      <c r="F25" s="622"/>
      <c r="G25" s="622"/>
      <c r="H25" s="622"/>
      <c r="I25" s="622"/>
      <c r="J25" s="622"/>
      <c r="K25" s="622"/>
      <c r="L25" s="622"/>
      <c r="M25" s="622"/>
      <c r="N25" s="622"/>
      <c r="O25" s="622"/>
      <c r="P25" s="622"/>
      <c r="Q25" s="622"/>
      <c r="R25" s="622"/>
      <c r="S25" s="622"/>
      <c r="T25" s="622"/>
      <c r="U25" s="622"/>
      <c r="V25" s="622"/>
      <c r="W25" s="622"/>
      <c r="X25" s="622"/>
      <c r="Z25" s="623"/>
      <c r="AA25" s="622"/>
      <c r="AB25" s="622"/>
      <c r="AC25" s="622"/>
      <c r="AD25" s="622"/>
      <c r="AE25" s="622"/>
      <c r="AF25" s="622"/>
      <c r="AG25" s="622"/>
      <c r="AH25" s="622"/>
      <c r="AI25" s="622"/>
      <c r="AJ25" s="622"/>
      <c r="AK25" s="622"/>
      <c r="AL25" s="622"/>
      <c r="AM25" s="622"/>
      <c r="AN25" s="622"/>
      <c r="AO25" s="622"/>
      <c r="AP25" s="622"/>
      <c r="AQ25" s="622"/>
      <c r="AR25" s="622"/>
      <c r="AS25" s="622"/>
      <c r="AT25" s="622"/>
      <c r="AU25" s="622"/>
      <c r="AV25" s="622"/>
      <c r="AW25" s="622"/>
    </row>
    <row r="26" spans="1:49" s="330" customFormat="1" ht="8.25" customHeight="1">
      <c r="A26" s="623">
        <v>9</v>
      </c>
      <c r="B26" s="622" t="str">
        <f>IF(NOT(ISBLANK('A-RACHNATMAK'!C37)),"A",IF(NOT(ISBLANK('A-RACHNATMAK'!C36)),"B",IF(NOT(ISBLANK('A-RACHNATMAK'!C35)),"C","")))</f>
        <v/>
      </c>
      <c r="C26" s="622" t="str">
        <f>IF(NOT(ISBLANK('A-RACHNATMAK'!D37)),"A",IF(NOT(ISBLANK('A-RACHNATMAK'!D36)),"B",IF(NOT(ISBLANK('A-RACHNATMAK'!D35)),"C","")))</f>
        <v/>
      </c>
      <c r="D26" s="622" t="str">
        <f>IF(NOT(ISBLANK('A-RACHNATMAK'!E37)),"A",IF(NOT(ISBLANK('A-RACHNATMAK'!E36)),"B",IF(NOT(ISBLANK('A-RACHNATMAK'!E35)),"C","")))</f>
        <v/>
      </c>
      <c r="E26" s="622" t="str">
        <f>IF(NOT(ISBLANK('A-RACHNATMAK'!F37)),"A",IF(NOT(ISBLANK('A-RACHNATMAK'!F36)),"B",IF(NOT(ISBLANK('A-RACHNATMAK'!F35)),"C","")))</f>
        <v/>
      </c>
      <c r="F26" s="622" t="str">
        <f>IF(NOT(ISBLANK('A-RACHNATMAK'!G37)),"A",IF(NOT(ISBLANK('A-RACHNATMAK'!G36)),"B",IF(NOT(ISBLANK('A-RACHNATMAK'!G35)),"C","")))</f>
        <v/>
      </c>
      <c r="G26" s="622" t="str">
        <f>IF(NOT(ISBLANK('A-RACHNATMAK'!H37)),"A",IF(NOT(ISBLANK('A-RACHNATMAK'!H36)),"B",IF(NOT(ISBLANK('A-RACHNATMAK'!H35)),"C","")))</f>
        <v/>
      </c>
      <c r="H26" s="622" t="str">
        <f>IF(NOT(ISBLANK('A-RACHNATMAK'!I37)),"A",IF(NOT(ISBLANK('A-RACHNATMAK'!I36)),"B",IF(NOT(ISBLANK('A-RACHNATMAK'!I35)),"C","")))</f>
        <v/>
      </c>
      <c r="I26" s="622" t="str">
        <f>IF(NOT(ISBLANK('A-RACHNATMAK'!J37)),"A",IF(NOT(ISBLANK('A-RACHNATMAK'!J36)),"B",IF(NOT(ISBLANK('A-RACHNATMAK'!J35)),"C","")))</f>
        <v/>
      </c>
      <c r="J26" s="622" t="str">
        <f>IF(NOT(ISBLANK('A-RACHNATMAK'!K37)),"A",IF(NOT(ISBLANK('A-RACHNATMAK'!K36)),"B",IF(NOT(ISBLANK('A-RACHNATMAK'!K35)),"C","")))</f>
        <v/>
      </c>
      <c r="K26" s="622" t="str">
        <f>IF(NOT(ISBLANK('A-RACHNATMAK'!L37)),"A",IF(NOT(ISBLANK('A-RACHNATMAK'!L36)),"B",IF(NOT(ISBLANK('A-RACHNATMAK'!L35)),"C","")))</f>
        <v/>
      </c>
      <c r="L26" s="622" t="str">
        <f>IF(NOT(ISBLANK('A-RACHNATMAK'!M37)),"A",IF(NOT(ISBLANK('A-RACHNATMAK'!M36)),"B",IF(NOT(ISBLANK('A-RACHNATMAK'!M35)),"C","")))</f>
        <v/>
      </c>
      <c r="M26" s="622" t="str">
        <f>IF(NOT(ISBLANK('A-RACHNATMAK'!N37)),"A",IF(NOT(ISBLANK('A-RACHNATMAK'!N36)),"B",IF(NOT(ISBLANK('A-RACHNATMAK'!N35)),"C","")))</f>
        <v/>
      </c>
      <c r="N26" s="622" t="str">
        <f>IF(NOT(ISBLANK('A-RACHNATMAK'!O37)),"A",IF(NOT(ISBLANK('A-RACHNATMAK'!O36)),"B",IF(NOT(ISBLANK('A-RACHNATMAK'!O35)),"C","")))</f>
        <v/>
      </c>
      <c r="O26" s="622" t="str">
        <f>IF(NOT(ISBLANK('A-RACHNATMAK'!P37)),"A",IF(NOT(ISBLANK('A-RACHNATMAK'!P36)),"B",IF(NOT(ISBLANK('A-RACHNATMAK'!P35)),"C","")))</f>
        <v/>
      </c>
      <c r="P26" s="622" t="str">
        <f>IF(NOT(ISBLANK('A-RACHNATMAK'!Q37)),"A",IF(NOT(ISBLANK('A-RACHNATMAK'!Q36)),"B",IF(NOT(ISBLANK('A-RACHNATMAK'!Q35)),"C","")))</f>
        <v/>
      </c>
      <c r="Q26" s="622" t="str">
        <f>IF(NOT(ISBLANK('A-RACHNATMAK'!R37)),"A",IF(NOT(ISBLANK('A-RACHNATMAK'!R36)),"B",IF(NOT(ISBLANK('A-RACHNATMAK'!R35)),"C","")))</f>
        <v/>
      </c>
      <c r="R26" s="622" t="str">
        <f>IF(NOT(ISBLANK('A-RACHNATMAK'!S37)),"A",IF(NOT(ISBLANK('A-RACHNATMAK'!S36)),"B",IF(NOT(ISBLANK('A-RACHNATMAK'!S35)),"C","")))</f>
        <v/>
      </c>
      <c r="S26" s="622" t="str">
        <f>IF(NOT(ISBLANK('A-RACHNATMAK'!T37)),"A",IF(NOT(ISBLANK('A-RACHNATMAK'!T36)),"B",IF(NOT(ISBLANK('A-RACHNATMAK'!T35)),"C","")))</f>
        <v/>
      </c>
      <c r="T26" s="622" t="str">
        <f>IF(NOT(ISBLANK('A-RACHNATMAK'!U37)),"A",IF(NOT(ISBLANK('A-RACHNATMAK'!U36)),"B",IF(NOT(ISBLANK('A-RACHNATMAK'!U35)),"C","")))</f>
        <v/>
      </c>
      <c r="U26" s="622" t="str">
        <f>IF(NOT(ISBLANK('A-RACHNATMAK'!V37)),"A",IF(NOT(ISBLANK('A-RACHNATMAK'!V36)),"B",IF(NOT(ISBLANK('A-RACHNATMAK'!V35)),"C","")))</f>
        <v/>
      </c>
      <c r="V26" s="622">
        <f t="shared" ref="V26" si="42">COUNTIF(B26:U26,"A")</f>
        <v>0</v>
      </c>
      <c r="W26" s="622">
        <f t="shared" ref="W26" si="43">COUNTIF(B26:U26,"B")</f>
        <v>0</v>
      </c>
      <c r="X26" s="622">
        <f t="shared" ref="X26" si="44">COUNTIF(B26:U26,"C")</f>
        <v>0</v>
      </c>
      <c r="Z26" s="623">
        <v>9</v>
      </c>
      <c r="AA26" s="622" t="str">
        <f>IF(NOT(ISBLANK('A-RACHNATMAK'!AD37)),"A",IF(NOT(ISBLANK('A-RACHNATMAK'!AD36)),"B",IF(NOT(ISBLANK('A-RACHNATMAK'!AD35)),"C","")))</f>
        <v/>
      </c>
      <c r="AB26" s="622" t="str">
        <f>IF(NOT(ISBLANK('A-RACHNATMAK'!AE37)),"A",IF(NOT(ISBLANK('A-RACHNATMAK'!AE36)),"B",IF(NOT(ISBLANK('A-RACHNATMAK'!AE35)),"C","")))</f>
        <v/>
      </c>
      <c r="AC26" s="622" t="str">
        <f>IF(NOT(ISBLANK('A-RACHNATMAK'!AF37)),"A",IF(NOT(ISBLANK('A-RACHNATMAK'!AF36)),"B",IF(NOT(ISBLANK('A-RACHNATMAK'!AF35)),"C","")))</f>
        <v/>
      </c>
      <c r="AD26" s="622" t="str">
        <f>IF(NOT(ISBLANK('A-RACHNATMAK'!AG37)),"A",IF(NOT(ISBLANK('A-RACHNATMAK'!AG36)),"B",IF(NOT(ISBLANK('A-RACHNATMAK'!AG35)),"C","")))</f>
        <v/>
      </c>
      <c r="AE26" s="622" t="str">
        <f>IF(NOT(ISBLANK('A-RACHNATMAK'!AH37)),"A",IF(NOT(ISBLANK('A-RACHNATMAK'!AH36)),"B",IF(NOT(ISBLANK('A-RACHNATMAK'!AH35)),"C","")))</f>
        <v/>
      </c>
      <c r="AF26" s="622" t="str">
        <f>IF(NOT(ISBLANK('A-RACHNATMAK'!AI37)),"A",IF(NOT(ISBLANK('A-RACHNATMAK'!AI36)),"B",IF(NOT(ISBLANK('A-RACHNATMAK'!AI35)),"C","")))</f>
        <v/>
      </c>
      <c r="AG26" s="622" t="str">
        <f>IF(NOT(ISBLANK('A-RACHNATMAK'!AJ37)),"A",IF(NOT(ISBLANK('A-RACHNATMAK'!AJ36)),"B",IF(NOT(ISBLANK('A-RACHNATMAK'!AJ35)),"C","")))</f>
        <v/>
      </c>
      <c r="AH26" s="622" t="str">
        <f>IF(NOT(ISBLANK('A-RACHNATMAK'!AK37)),"A",IF(NOT(ISBLANK('A-RACHNATMAK'!AK36)),"B",IF(NOT(ISBLANK('A-RACHNATMAK'!AK35)),"C","")))</f>
        <v/>
      </c>
      <c r="AI26" s="622" t="str">
        <f>IF(NOT(ISBLANK('A-RACHNATMAK'!AL37)),"A",IF(NOT(ISBLANK('A-RACHNATMAK'!AL36)),"B",IF(NOT(ISBLANK('A-RACHNATMAK'!AL35)),"C","")))</f>
        <v/>
      </c>
      <c r="AJ26" s="622" t="str">
        <f>IF(NOT(ISBLANK('A-RACHNATMAK'!AM37)),"A",IF(NOT(ISBLANK('A-RACHNATMAK'!AM36)),"B",IF(NOT(ISBLANK('A-RACHNATMAK'!AM35)),"C","")))</f>
        <v/>
      </c>
      <c r="AK26" s="622" t="str">
        <f>IF(NOT(ISBLANK('A-RACHNATMAK'!AN37)),"A",IF(NOT(ISBLANK('A-RACHNATMAK'!AN36)),"B",IF(NOT(ISBLANK('A-RACHNATMAK'!AN35)),"C","")))</f>
        <v/>
      </c>
      <c r="AL26" s="622" t="str">
        <f>IF(NOT(ISBLANK('A-RACHNATMAK'!AO37)),"A",IF(NOT(ISBLANK('A-RACHNATMAK'!AO36)),"B",IF(NOT(ISBLANK('A-RACHNATMAK'!AO35)),"C","")))</f>
        <v/>
      </c>
      <c r="AM26" s="622" t="str">
        <f>IF(NOT(ISBLANK('A-RACHNATMAK'!AP37)),"A",IF(NOT(ISBLANK('A-RACHNATMAK'!AP36)),"B",IF(NOT(ISBLANK('A-RACHNATMAK'!AP35)),"C","")))</f>
        <v/>
      </c>
      <c r="AN26" s="622" t="str">
        <f>IF(NOT(ISBLANK('A-RACHNATMAK'!AQ37)),"A",IF(NOT(ISBLANK('A-RACHNATMAK'!AQ36)),"B",IF(NOT(ISBLANK('A-RACHNATMAK'!AQ35)),"C","")))</f>
        <v/>
      </c>
      <c r="AO26" s="622" t="str">
        <f>IF(NOT(ISBLANK('A-RACHNATMAK'!AR37)),"A",IF(NOT(ISBLANK('A-RACHNATMAK'!AR36)),"B",IF(NOT(ISBLANK('A-RACHNATMAK'!AR35)),"C","")))</f>
        <v/>
      </c>
      <c r="AP26" s="622" t="str">
        <f>IF(NOT(ISBLANK('A-RACHNATMAK'!AS37)),"A",IF(NOT(ISBLANK('A-RACHNATMAK'!AS36)),"B",IF(NOT(ISBLANK('A-RACHNATMAK'!AS35)),"C","")))</f>
        <v/>
      </c>
      <c r="AQ26" s="622" t="str">
        <f>IF(NOT(ISBLANK('A-RACHNATMAK'!AT37)),"A",IF(NOT(ISBLANK('A-RACHNATMAK'!AT36)),"B",IF(NOT(ISBLANK('A-RACHNATMAK'!AT35)),"C","")))</f>
        <v/>
      </c>
      <c r="AR26" s="622" t="str">
        <f>IF(NOT(ISBLANK('A-RACHNATMAK'!AU37)),"A",IF(NOT(ISBLANK('A-RACHNATMAK'!AU36)),"B",IF(NOT(ISBLANK('A-RACHNATMAK'!AU35)),"C","")))</f>
        <v/>
      </c>
      <c r="AS26" s="622" t="str">
        <f>IF(NOT(ISBLANK('A-RACHNATMAK'!AV37)),"A",IF(NOT(ISBLANK('A-RACHNATMAK'!AV36)),"B",IF(NOT(ISBLANK('A-RACHNATMAK'!AV35)),"C","")))</f>
        <v/>
      </c>
      <c r="AT26" s="622" t="str">
        <f>IF(NOT(ISBLANK('A-RACHNATMAK'!AW37)),"A",IF(NOT(ISBLANK('A-RACHNATMAK'!AW36)),"B",IF(NOT(ISBLANK('A-RACHNATMAK'!AW35)),"C","")))</f>
        <v/>
      </c>
      <c r="AU26" s="622">
        <f t="shared" ref="AU26" si="45">COUNTIF(AA26:AT26,"A")</f>
        <v>0</v>
      </c>
      <c r="AV26" s="622">
        <f t="shared" ref="AV26" si="46">COUNTIF(AA26:AT26,"B")</f>
        <v>0</v>
      </c>
      <c r="AW26" s="622">
        <f t="shared" ref="AW26" si="47">COUNTIF(AA26:AT26,"C")</f>
        <v>0</v>
      </c>
    </row>
    <row r="27" spans="1:49" s="330" customFormat="1" ht="8.25" customHeight="1">
      <c r="A27" s="623"/>
      <c r="B27" s="622"/>
      <c r="C27" s="622"/>
      <c r="D27" s="622"/>
      <c r="E27" s="622"/>
      <c r="F27" s="622"/>
      <c r="G27" s="622"/>
      <c r="H27" s="622"/>
      <c r="I27" s="622"/>
      <c r="J27" s="622"/>
      <c r="K27" s="622"/>
      <c r="L27" s="622"/>
      <c r="M27" s="622"/>
      <c r="N27" s="622"/>
      <c r="O27" s="622"/>
      <c r="P27" s="622"/>
      <c r="Q27" s="622"/>
      <c r="R27" s="622"/>
      <c r="S27" s="622"/>
      <c r="T27" s="622"/>
      <c r="U27" s="622"/>
      <c r="V27" s="622"/>
      <c r="W27" s="622"/>
      <c r="X27" s="622"/>
      <c r="Z27" s="623"/>
      <c r="AA27" s="622"/>
      <c r="AB27" s="622"/>
      <c r="AC27" s="622"/>
      <c r="AD27" s="622"/>
      <c r="AE27" s="622"/>
      <c r="AF27" s="622"/>
      <c r="AG27" s="622"/>
      <c r="AH27" s="622"/>
      <c r="AI27" s="622"/>
      <c r="AJ27" s="622"/>
      <c r="AK27" s="622"/>
      <c r="AL27" s="622"/>
      <c r="AM27" s="622"/>
      <c r="AN27" s="622"/>
      <c r="AO27" s="622"/>
      <c r="AP27" s="622"/>
      <c r="AQ27" s="622"/>
      <c r="AR27" s="622"/>
      <c r="AS27" s="622"/>
      <c r="AT27" s="622"/>
      <c r="AU27" s="622"/>
      <c r="AV27" s="622"/>
      <c r="AW27" s="622"/>
    </row>
    <row r="28" spans="1:49" s="330" customFormat="1" ht="8.25" customHeight="1">
      <c r="A28" s="623"/>
      <c r="B28" s="622"/>
      <c r="C28" s="622"/>
      <c r="D28" s="622"/>
      <c r="E28" s="622"/>
      <c r="F28" s="622"/>
      <c r="G28" s="622"/>
      <c r="H28" s="622"/>
      <c r="I28" s="622"/>
      <c r="J28" s="622"/>
      <c r="K28" s="622"/>
      <c r="L28" s="622"/>
      <c r="M28" s="622"/>
      <c r="N28" s="622"/>
      <c r="O28" s="622"/>
      <c r="P28" s="622"/>
      <c r="Q28" s="622"/>
      <c r="R28" s="622"/>
      <c r="S28" s="622"/>
      <c r="T28" s="622"/>
      <c r="U28" s="622"/>
      <c r="V28" s="622"/>
      <c r="W28" s="622"/>
      <c r="X28" s="622"/>
      <c r="Z28" s="623"/>
      <c r="AA28" s="622"/>
      <c r="AB28" s="622"/>
      <c r="AC28" s="622"/>
      <c r="AD28" s="622"/>
      <c r="AE28" s="622"/>
      <c r="AF28" s="622"/>
      <c r="AG28" s="622"/>
      <c r="AH28" s="622"/>
      <c r="AI28" s="622"/>
      <c r="AJ28" s="622"/>
      <c r="AK28" s="622"/>
      <c r="AL28" s="622"/>
      <c r="AM28" s="622"/>
      <c r="AN28" s="622"/>
      <c r="AO28" s="622"/>
      <c r="AP28" s="622"/>
      <c r="AQ28" s="622"/>
      <c r="AR28" s="622"/>
      <c r="AS28" s="622"/>
      <c r="AT28" s="622"/>
      <c r="AU28" s="622"/>
      <c r="AV28" s="622"/>
      <c r="AW28" s="622"/>
    </row>
    <row r="29" spans="1:49" s="330" customFormat="1" ht="8.25" customHeight="1">
      <c r="A29" s="623">
        <v>10</v>
      </c>
      <c r="B29" s="622" t="str">
        <f>IF(NOT(ISBLANK('A-RACHNATMAK'!C40)),"A",IF(NOT(ISBLANK('A-RACHNATMAK'!C39)),"B",IF(NOT(ISBLANK('A-RACHNATMAK'!C38)),"C","")))</f>
        <v/>
      </c>
      <c r="C29" s="622" t="str">
        <f>IF(NOT(ISBLANK('A-RACHNATMAK'!D40)),"A",IF(NOT(ISBLANK('A-RACHNATMAK'!D39)),"B",IF(NOT(ISBLANK('A-RACHNATMAK'!D38)),"C","")))</f>
        <v/>
      </c>
      <c r="D29" s="622" t="str">
        <f>IF(NOT(ISBLANK('A-RACHNATMAK'!E40)),"A",IF(NOT(ISBLANK('A-RACHNATMAK'!E39)),"B",IF(NOT(ISBLANK('A-RACHNATMAK'!E38)),"C","")))</f>
        <v/>
      </c>
      <c r="E29" s="622" t="str">
        <f>IF(NOT(ISBLANK('A-RACHNATMAK'!F40)),"A",IF(NOT(ISBLANK('A-RACHNATMAK'!F39)),"B",IF(NOT(ISBLANK('A-RACHNATMAK'!F38)),"C","")))</f>
        <v/>
      </c>
      <c r="F29" s="622" t="str">
        <f>IF(NOT(ISBLANK('A-RACHNATMAK'!G40)),"A",IF(NOT(ISBLANK('A-RACHNATMAK'!G39)),"B",IF(NOT(ISBLANK('A-RACHNATMAK'!G38)),"C","")))</f>
        <v/>
      </c>
      <c r="G29" s="622" t="str">
        <f>IF(NOT(ISBLANK('A-RACHNATMAK'!H40)),"A",IF(NOT(ISBLANK('A-RACHNATMAK'!H39)),"B",IF(NOT(ISBLANK('A-RACHNATMAK'!H38)),"C","")))</f>
        <v/>
      </c>
      <c r="H29" s="622" t="str">
        <f>IF(NOT(ISBLANK('A-RACHNATMAK'!I40)),"A",IF(NOT(ISBLANK('A-RACHNATMAK'!I39)),"B",IF(NOT(ISBLANK('A-RACHNATMAK'!I38)),"C","")))</f>
        <v/>
      </c>
      <c r="I29" s="622" t="str">
        <f>IF(NOT(ISBLANK('A-RACHNATMAK'!J40)),"A",IF(NOT(ISBLANK('A-RACHNATMAK'!J39)),"B",IF(NOT(ISBLANK('A-RACHNATMAK'!J38)),"C","")))</f>
        <v/>
      </c>
      <c r="J29" s="622" t="str">
        <f>IF(NOT(ISBLANK('A-RACHNATMAK'!K40)),"A",IF(NOT(ISBLANK('A-RACHNATMAK'!K39)),"B",IF(NOT(ISBLANK('A-RACHNATMAK'!K38)),"C","")))</f>
        <v/>
      </c>
      <c r="K29" s="622" t="str">
        <f>IF(NOT(ISBLANK('A-RACHNATMAK'!L40)),"A",IF(NOT(ISBLANK('A-RACHNATMAK'!L39)),"B",IF(NOT(ISBLANK('A-RACHNATMAK'!L38)),"C","")))</f>
        <v/>
      </c>
      <c r="L29" s="622" t="str">
        <f>IF(NOT(ISBLANK('A-RACHNATMAK'!M40)),"A",IF(NOT(ISBLANK('A-RACHNATMAK'!M39)),"B",IF(NOT(ISBLANK('A-RACHNATMAK'!M38)),"C","")))</f>
        <v/>
      </c>
      <c r="M29" s="622" t="str">
        <f>IF(NOT(ISBLANK('A-RACHNATMAK'!N40)),"A",IF(NOT(ISBLANK('A-RACHNATMAK'!N39)),"B",IF(NOT(ISBLANK('A-RACHNATMAK'!N38)),"C","")))</f>
        <v/>
      </c>
      <c r="N29" s="622" t="str">
        <f>IF(NOT(ISBLANK('A-RACHNATMAK'!O40)),"A",IF(NOT(ISBLANK('A-RACHNATMAK'!O39)),"B",IF(NOT(ISBLANK('A-RACHNATMAK'!O38)),"C","")))</f>
        <v/>
      </c>
      <c r="O29" s="622" t="str">
        <f>IF(NOT(ISBLANK('A-RACHNATMAK'!P40)),"A",IF(NOT(ISBLANK('A-RACHNATMAK'!P39)),"B",IF(NOT(ISBLANK('A-RACHNATMAK'!P38)),"C","")))</f>
        <v/>
      </c>
      <c r="P29" s="622" t="str">
        <f>IF(NOT(ISBLANK('A-RACHNATMAK'!Q40)),"A",IF(NOT(ISBLANK('A-RACHNATMAK'!Q39)),"B",IF(NOT(ISBLANK('A-RACHNATMAK'!Q38)),"C","")))</f>
        <v/>
      </c>
      <c r="Q29" s="622" t="str">
        <f>IF(NOT(ISBLANK('A-RACHNATMAK'!R40)),"A",IF(NOT(ISBLANK('A-RACHNATMAK'!R39)),"B",IF(NOT(ISBLANK('A-RACHNATMAK'!R38)),"C","")))</f>
        <v/>
      </c>
      <c r="R29" s="622" t="str">
        <f>IF(NOT(ISBLANK('A-RACHNATMAK'!S40)),"A",IF(NOT(ISBLANK('A-RACHNATMAK'!S39)),"B",IF(NOT(ISBLANK('A-RACHNATMAK'!S38)),"C","")))</f>
        <v/>
      </c>
      <c r="S29" s="622" t="str">
        <f>IF(NOT(ISBLANK('A-RACHNATMAK'!T40)),"A",IF(NOT(ISBLANK('A-RACHNATMAK'!T39)),"B",IF(NOT(ISBLANK('A-RACHNATMAK'!T38)),"C","")))</f>
        <v/>
      </c>
      <c r="T29" s="622" t="str">
        <f>IF(NOT(ISBLANK('A-RACHNATMAK'!U40)),"A",IF(NOT(ISBLANK('A-RACHNATMAK'!U39)),"B",IF(NOT(ISBLANK('A-RACHNATMAK'!U38)),"C","")))</f>
        <v/>
      </c>
      <c r="U29" s="622" t="str">
        <f>IF(NOT(ISBLANK('A-RACHNATMAK'!V40)),"A",IF(NOT(ISBLANK('A-RACHNATMAK'!V39)),"B",IF(NOT(ISBLANK('A-RACHNATMAK'!V38)),"C","")))</f>
        <v/>
      </c>
      <c r="V29" s="622">
        <f t="shared" ref="V29" si="48">COUNTIF(B29:U29,"A")</f>
        <v>0</v>
      </c>
      <c r="W29" s="622">
        <f t="shared" ref="W29" si="49">COUNTIF(B29:U29,"B")</f>
        <v>0</v>
      </c>
      <c r="X29" s="622">
        <f t="shared" ref="X29" si="50">COUNTIF(B29:U29,"C")</f>
        <v>0</v>
      </c>
      <c r="Z29" s="623">
        <v>10</v>
      </c>
      <c r="AA29" s="622" t="str">
        <f>IF(NOT(ISBLANK('A-RACHNATMAK'!AD40)),"A",IF(NOT(ISBLANK('A-RACHNATMAK'!AD39)),"B",IF(NOT(ISBLANK('A-RACHNATMAK'!AD38)),"C","")))</f>
        <v/>
      </c>
      <c r="AB29" s="622" t="str">
        <f>IF(NOT(ISBLANK('A-RACHNATMAK'!AE40)),"A",IF(NOT(ISBLANK('A-RACHNATMAK'!AE39)),"B",IF(NOT(ISBLANK('A-RACHNATMAK'!AE38)),"C","")))</f>
        <v/>
      </c>
      <c r="AC29" s="622" t="str">
        <f>IF(NOT(ISBLANK('A-RACHNATMAK'!AF40)),"A",IF(NOT(ISBLANK('A-RACHNATMAK'!AF39)),"B",IF(NOT(ISBLANK('A-RACHNATMAK'!AF38)),"C","")))</f>
        <v/>
      </c>
      <c r="AD29" s="622" t="str">
        <f>IF(NOT(ISBLANK('A-RACHNATMAK'!AG40)),"A",IF(NOT(ISBLANK('A-RACHNATMAK'!AG39)),"B",IF(NOT(ISBLANK('A-RACHNATMAK'!AG38)),"C","")))</f>
        <v/>
      </c>
      <c r="AE29" s="622" t="str">
        <f>IF(NOT(ISBLANK('A-RACHNATMAK'!AH40)),"A",IF(NOT(ISBLANK('A-RACHNATMAK'!AH39)),"B",IF(NOT(ISBLANK('A-RACHNATMAK'!AH38)),"C","")))</f>
        <v/>
      </c>
      <c r="AF29" s="622" t="str">
        <f>IF(NOT(ISBLANK('A-RACHNATMAK'!AI40)),"A",IF(NOT(ISBLANK('A-RACHNATMAK'!AI39)),"B",IF(NOT(ISBLANK('A-RACHNATMAK'!AI38)),"C","")))</f>
        <v/>
      </c>
      <c r="AG29" s="622" t="str">
        <f>IF(NOT(ISBLANK('A-RACHNATMAK'!AJ40)),"A",IF(NOT(ISBLANK('A-RACHNATMAK'!AJ39)),"B",IF(NOT(ISBLANK('A-RACHNATMAK'!AJ38)),"C","")))</f>
        <v/>
      </c>
      <c r="AH29" s="622" t="str">
        <f>IF(NOT(ISBLANK('A-RACHNATMAK'!AK40)),"A",IF(NOT(ISBLANK('A-RACHNATMAK'!AK39)),"B",IF(NOT(ISBLANK('A-RACHNATMAK'!AK38)),"C","")))</f>
        <v/>
      </c>
      <c r="AI29" s="622" t="str">
        <f>IF(NOT(ISBLANK('A-RACHNATMAK'!AL40)),"A",IF(NOT(ISBLANK('A-RACHNATMAK'!AL39)),"B",IF(NOT(ISBLANK('A-RACHNATMAK'!AL38)),"C","")))</f>
        <v/>
      </c>
      <c r="AJ29" s="622" t="str">
        <f>IF(NOT(ISBLANK('A-RACHNATMAK'!AM40)),"A",IF(NOT(ISBLANK('A-RACHNATMAK'!AM39)),"B",IF(NOT(ISBLANK('A-RACHNATMAK'!AM38)),"C","")))</f>
        <v/>
      </c>
      <c r="AK29" s="622" t="str">
        <f>IF(NOT(ISBLANK('A-RACHNATMAK'!AN40)),"A",IF(NOT(ISBLANK('A-RACHNATMAK'!AN39)),"B",IF(NOT(ISBLANK('A-RACHNATMAK'!AN38)),"C","")))</f>
        <v/>
      </c>
      <c r="AL29" s="622" t="str">
        <f>IF(NOT(ISBLANK('A-RACHNATMAK'!AO40)),"A",IF(NOT(ISBLANK('A-RACHNATMAK'!AO39)),"B",IF(NOT(ISBLANK('A-RACHNATMAK'!AO38)),"C","")))</f>
        <v/>
      </c>
      <c r="AM29" s="622" t="str">
        <f>IF(NOT(ISBLANK('A-RACHNATMAK'!AP40)),"A",IF(NOT(ISBLANK('A-RACHNATMAK'!AP39)),"B",IF(NOT(ISBLANK('A-RACHNATMAK'!AP38)),"C","")))</f>
        <v/>
      </c>
      <c r="AN29" s="622" t="str">
        <f>IF(NOT(ISBLANK('A-RACHNATMAK'!AQ40)),"A",IF(NOT(ISBLANK('A-RACHNATMAK'!AQ39)),"B",IF(NOT(ISBLANK('A-RACHNATMAK'!AQ38)),"C","")))</f>
        <v/>
      </c>
      <c r="AO29" s="622" t="str">
        <f>IF(NOT(ISBLANK('A-RACHNATMAK'!AR40)),"A",IF(NOT(ISBLANK('A-RACHNATMAK'!AR39)),"B",IF(NOT(ISBLANK('A-RACHNATMAK'!AR38)),"C","")))</f>
        <v/>
      </c>
      <c r="AP29" s="622" t="str">
        <f>IF(NOT(ISBLANK('A-RACHNATMAK'!AS40)),"A",IF(NOT(ISBLANK('A-RACHNATMAK'!AS39)),"B",IF(NOT(ISBLANK('A-RACHNATMAK'!AS38)),"C","")))</f>
        <v/>
      </c>
      <c r="AQ29" s="622" t="str">
        <f>IF(NOT(ISBLANK('A-RACHNATMAK'!AT40)),"A",IF(NOT(ISBLANK('A-RACHNATMAK'!AT39)),"B",IF(NOT(ISBLANK('A-RACHNATMAK'!AT38)),"C","")))</f>
        <v/>
      </c>
      <c r="AR29" s="622" t="str">
        <f>IF(NOT(ISBLANK('A-RACHNATMAK'!AU40)),"A",IF(NOT(ISBLANK('A-RACHNATMAK'!AU39)),"B",IF(NOT(ISBLANK('A-RACHNATMAK'!AU38)),"C","")))</f>
        <v/>
      </c>
      <c r="AS29" s="622" t="str">
        <f>IF(NOT(ISBLANK('A-RACHNATMAK'!AV40)),"A",IF(NOT(ISBLANK('A-RACHNATMAK'!AV39)),"B",IF(NOT(ISBLANK('A-RACHNATMAK'!AV38)),"C","")))</f>
        <v/>
      </c>
      <c r="AT29" s="622" t="str">
        <f>IF(NOT(ISBLANK('A-RACHNATMAK'!AW40)),"A",IF(NOT(ISBLANK('A-RACHNATMAK'!AW39)),"B",IF(NOT(ISBLANK('A-RACHNATMAK'!AW38)),"C","")))</f>
        <v/>
      </c>
      <c r="AU29" s="622">
        <f t="shared" ref="AU29" si="51">COUNTIF(AA29:AT29,"A")</f>
        <v>0</v>
      </c>
      <c r="AV29" s="622">
        <f t="shared" ref="AV29" si="52">COUNTIF(AA29:AT29,"B")</f>
        <v>0</v>
      </c>
      <c r="AW29" s="622">
        <f t="shared" ref="AW29" si="53">COUNTIF(AA29:AT29,"C")</f>
        <v>0</v>
      </c>
    </row>
    <row r="30" spans="1:49" s="330" customFormat="1" ht="8.25" customHeight="1">
      <c r="A30" s="623"/>
      <c r="B30" s="622"/>
      <c r="C30" s="622"/>
      <c r="D30" s="622"/>
      <c r="E30" s="622"/>
      <c r="F30" s="622"/>
      <c r="G30" s="622"/>
      <c r="H30" s="622"/>
      <c r="I30" s="622"/>
      <c r="J30" s="622"/>
      <c r="K30" s="622"/>
      <c r="L30" s="622"/>
      <c r="M30" s="622"/>
      <c r="N30" s="622"/>
      <c r="O30" s="622"/>
      <c r="P30" s="622"/>
      <c r="Q30" s="622"/>
      <c r="R30" s="622"/>
      <c r="S30" s="622"/>
      <c r="T30" s="622"/>
      <c r="U30" s="622"/>
      <c r="V30" s="622"/>
      <c r="W30" s="622"/>
      <c r="X30" s="622"/>
      <c r="Z30" s="623"/>
      <c r="AA30" s="622"/>
      <c r="AB30" s="622"/>
      <c r="AC30" s="622"/>
      <c r="AD30" s="622"/>
      <c r="AE30" s="622"/>
      <c r="AF30" s="622"/>
      <c r="AG30" s="622"/>
      <c r="AH30" s="622"/>
      <c r="AI30" s="622"/>
      <c r="AJ30" s="622"/>
      <c r="AK30" s="622"/>
      <c r="AL30" s="622"/>
      <c r="AM30" s="622"/>
      <c r="AN30" s="622"/>
      <c r="AO30" s="622"/>
      <c r="AP30" s="622"/>
      <c r="AQ30" s="622"/>
      <c r="AR30" s="622"/>
      <c r="AS30" s="622"/>
      <c r="AT30" s="622"/>
      <c r="AU30" s="622"/>
      <c r="AV30" s="622"/>
      <c r="AW30" s="622"/>
    </row>
    <row r="31" spans="1:49" s="330" customFormat="1" ht="8.25" customHeight="1">
      <c r="A31" s="623"/>
      <c r="B31" s="622"/>
      <c r="C31" s="622"/>
      <c r="D31" s="622"/>
      <c r="E31" s="622"/>
      <c r="F31" s="622"/>
      <c r="G31" s="622"/>
      <c r="H31" s="622"/>
      <c r="I31" s="622"/>
      <c r="J31" s="622"/>
      <c r="K31" s="622"/>
      <c r="L31" s="622"/>
      <c r="M31" s="622"/>
      <c r="N31" s="622"/>
      <c r="O31" s="622"/>
      <c r="P31" s="622"/>
      <c r="Q31" s="622"/>
      <c r="R31" s="622"/>
      <c r="S31" s="622"/>
      <c r="T31" s="622"/>
      <c r="U31" s="622"/>
      <c r="V31" s="622"/>
      <c r="W31" s="622"/>
      <c r="X31" s="622"/>
      <c r="Z31" s="623"/>
      <c r="AA31" s="622"/>
      <c r="AB31" s="622"/>
      <c r="AC31" s="622"/>
      <c r="AD31" s="622"/>
      <c r="AE31" s="622"/>
      <c r="AF31" s="622"/>
      <c r="AG31" s="622"/>
      <c r="AH31" s="622"/>
      <c r="AI31" s="622"/>
      <c r="AJ31" s="622"/>
      <c r="AK31" s="622"/>
      <c r="AL31" s="622"/>
      <c r="AM31" s="622"/>
      <c r="AN31" s="622"/>
      <c r="AO31" s="622"/>
      <c r="AP31" s="622"/>
      <c r="AQ31" s="622"/>
      <c r="AR31" s="622"/>
      <c r="AS31" s="622"/>
      <c r="AT31" s="622"/>
      <c r="AU31" s="622"/>
      <c r="AV31" s="622"/>
      <c r="AW31" s="622"/>
    </row>
    <row r="32" spans="1:49" s="330" customFormat="1" ht="8.25" customHeight="1">
      <c r="A32" s="623">
        <v>11</v>
      </c>
      <c r="B32" s="622" t="str">
        <f>IF(NOT(ISBLANK('A-RACHNATMAK'!C43)),"A",IF(NOT(ISBLANK('A-RACHNATMAK'!C42)),"B",IF(NOT(ISBLANK('A-RACHNATMAK'!C41)),"C","")))</f>
        <v/>
      </c>
      <c r="C32" s="622" t="str">
        <f>IF(NOT(ISBLANK('A-RACHNATMAK'!D43)),"A",IF(NOT(ISBLANK('A-RACHNATMAK'!D42)),"B",IF(NOT(ISBLANK('A-RACHNATMAK'!D41)),"C","")))</f>
        <v/>
      </c>
      <c r="D32" s="622" t="str">
        <f>IF(NOT(ISBLANK('A-RACHNATMAK'!E43)),"A",IF(NOT(ISBLANK('A-RACHNATMAK'!E42)),"B",IF(NOT(ISBLANK('A-RACHNATMAK'!E41)),"C","")))</f>
        <v/>
      </c>
      <c r="E32" s="622" t="str">
        <f>IF(NOT(ISBLANK('A-RACHNATMAK'!F43)),"A",IF(NOT(ISBLANK('A-RACHNATMAK'!F42)),"B",IF(NOT(ISBLANK('A-RACHNATMAK'!F41)),"C","")))</f>
        <v/>
      </c>
      <c r="F32" s="622" t="str">
        <f>IF(NOT(ISBLANK('A-RACHNATMAK'!G43)),"A",IF(NOT(ISBLANK('A-RACHNATMAK'!G42)),"B",IF(NOT(ISBLANK('A-RACHNATMAK'!G41)),"C","")))</f>
        <v/>
      </c>
      <c r="G32" s="622" t="str">
        <f>IF(NOT(ISBLANK('A-RACHNATMAK'!H43)),"A",IF(NOT(ISBLANK('A-RACHNATMAK'!H42)),"B",IF(NOT(ISBLANK('A-RACHNATMAK'!H41)),"C","")))</f>
        <v/>
      </c>
      <c r="H32" s="622" t="str">
        <f>IF(NOT(ISBLANK('A-RACHNATMAK'!I43)),"A",IF(NOT(ISBLANK('A-RACHNATMAK'!I42)),"B",IF(NOT(ISBLANK('A-RACHNATMAK'!I41)),"C","")))</f>
        <v/>
      </c>
      <c r="I32" s="622" t="str">
        <f>IF(NOT(ISBLANK('A-RACHNATMAK'!J43)),"A",IF(NOT(ISBLANK('A-RACHNATMAK'!J42)),"B",IF(NOT(ISBLANK('A-RACHNATMAK'!J41)),"C","")))</f>
        <v/>
      </c>
      <c r="J32" s="622" t="str">
        <f>IF(NOT(ISBLANK('A-RACHNATMAK'!K43)),"A",IF(NOT(ISBLANK('A-RACHNATMAK'!K42)),"B",IF(NOT(ISBLANK('A-RACHNATMAK'!K41)),"C","")))</f>
        <v/>
      </c>
      <c r="K32" s="622" t="str">
        <f>IF(NOT(ISBLANK('A-RACHNATMAK'!L43)),"A",IF(NOT(ISBLANK('A-RACHNATMAK'!L42)),"B",IF(NOT(ISBLANK('A-RACHNATMAK'!L41)),"C","")))</f>
        <v/>
      </c>
      <c r="L32" s="622" t="str">
        <f>IF(NOT(ISBLANK('A-RACHNATMAK'!M43)),"A",IF(NOT(ISBLANK('A-RACHNATMAK'!M42)),"B",IF(NOT(ISBLANK('A-RACHNATMAK'!M41)),"C","")))</f>
        <v/>
      </c>
      <c r="M32" s="622" t="str">
        <f>IF(NOT(ISBLANK('A-RACHNATMAK'!N43)),"A",IF(NOT(ISBLANK('A-RACHNATMAK'!N42)),"B",IF(NOT(ISBLANK('A-RACHNATMAK'!N41)),"C","")))</f>
        <v/>
      </c>
      <c r="N32" s="622" t="str">
        <f>IF(NOT(ISBLANK('A-RACHNATMAK'!O43)),"A",IF(NOT(ISBLANK('A-RACHNATMAK'!O42)),"B",IF(NOT(ISBLANK('A-RACHNATMAK'!O41)),"C","")))</f>
        <v/>
      </c>
      <c r="O32" s="622" t="str">
        <f>IF(NOT(ISBLANK('A-RACHNATMAK'!P43)),"A",IF(NOT(ISBLANK('A-RACHNATMAK'!P42)),"B",IF(NOT(ISBLANK('A-RACHNATMAK'!P41)),"C","")))</f>
        <v/>
      </c>
      <c r="P32" s="622" t="str">
        <f>IF(NOT(ISBLANK('A-RACHNATMAK'!Q43)),"A",IF(NOT(ISBLANK('A-RACHNATMAK'!Q42)),"B",IF(NOT(ISBLANK('A-RACHNATMAK'!Q41)),"C","")))</f>
        <v/>
      </c>
      <c r="Q32" s="622" t="str">
        <f>IF(NOT(ISBLANK('A-RACHNATMAK'!R43)),"A",IF(NOT(ISBLANK('A-RACHNATMAK'!R42)),"B",IF(NOT(ISBLANK('A-RACHNATMAK'!R41)),"C","")))</f>
        <v/>
      </c>
      <c r="R32" s="622" t="str">
        <f>IF(NOT(ISBLANK('A-RACHNATMAK'!S43)),"A",IF(NOT(ISBLANK('A-RACHNATMAK'!S42)),"B",IF(NOT(ISBLANK('A-RACHNATMAK'!S41)),"C","")))</f>
        <v/>
      </c>
      <c r="S32" s="622" t="str">
        <f>IF(NOT(ISBLANK('A-RACHNATMAK'!T43)),"A",IF(NOT(ISBLANK('A-RACHNATMAK'!T42)),"B",IF(NOT(ISBLANK('A-RACHNATMAK'!T41)),"C","")))</f>
        <v/>
      </c>
      <c r="T32" s="622" t="str">
        <f>IF(NOT(ISBLANK('A-RACHNATMAK'!U43)),"A",IF(NOT(ISBLANK('A-RACHNATMAK'!U42)),"B",IF(NOT(ISBLANK('A-RACHNATMAK'!U41)),"C","")))</f>
        <v/>
      </c>
      <c r="U32" s="622" t="str">
        <f>IF(NOT(ISBLANK('A-RACHNATMAK'!V43)),"A",IF(NOT(ISBLANK('A-RACHNATMAK'!V42)),"B",IF(NOT(ISBLANK('A-RACHNATMAK'!V41)),"C","")))</f>
        <v/>
      </c>
      <c r="V32" s="622">
        <f t="shared" ref="V32" si="54">COUNTIF(B32:U32,"A")</f>
        <v>0</v>
      </c>
      <c r="W32" s="622">
        <f t="shared" ref="W32" si="55">COUNTIF(B32:U32,"B")</f>
        <v>0</v>
      </c>
      <c r="X32" s="622">
        <f t="shared" ref="X32" si="56">COUNTIF(B32:U32,"C")</f>
        <v>0</v>
      </c>
      <c r="Z32" s="623">
        <v>11</v>
      </c>
      <c r="AA32" s="622" t="str">
        <f>IF(NOT(ISBLANK('A-RACHNATMAK'!AD43)),"A",IF(NOT(ISBLANK('A-RACHNATMAK'!AD42)),"B",IF(NOT(ISBLANK('A-RACHNATMAK'!AD41)),"C","")))</f>
        <v/>
      </c>
      <c r="AB32" s="622" t="str">
        <f>IF(NOT(ISBLANK('A-RACHNATMAK'!AE43)),"A",IF(NOT(ISBLANK('A-RACHNATMAK'!AE42)),"B",IF(NOT(ISBLANK('A-RACHNATMAK'!AE41)),"C","")))</f>
        <v/>
      </c>
      <c r="AC32" s="622" t="str">
        <f>IF(NOT(ISBLANK('A-RACHNATMAK'!AF43)),"A",IF(NOT(ISBLANK('A-RACHNATMAK'!AF42)),"B",IF(NOT(ISBLANK('A-RACHNATMAK'!AF41)),"C","")))</f>
        <v/>
      </c>
      <c r="AD32" s="622" t="str">
        <f>IF(NOT(ISBLANK('A-RACHNATMAK'!AG43)),"A",IF(NOT(ISBLANK('A-RACHNATMAK'!AG42)),"B",IF(NOT(ISBLANK('A-RACHNATMAK'!AG41)),"C","")))</f>
        <v/>
      </c>
      <c r="AE32" s="622" t="str">
        <f>IF(NOT(ISBLANK('A-RACHNATMAK'!AH43)),"A",IF(NOT(ISBLANK('A-RACHNATMAK'!AH42)),"B",IF(NOT(ISBLANK('A-RACHNATMAK'!AH41)),"C","")))</f>
        <v/>
      </c>
      <c r="AF32" s="622" t="str">
        <f>IF(NOT(ISBLANK('A-RACHNATMAK'!AI43)),"A",IF(NOT(ISBLANK('A-RACHNATMAK'!AI42)),"B",IF(NOT(ISBLANK('A-RACHNATMAK'!AI41)),"C","")))</f>
        <v/>
      </c>
      <c r="AG32" s="622" t="str">
        <f>IF(NOT(ISBLANK('A-RACHNATMAK'!AJ43)),"A",IF(NOT(ISBLANK('A-RACHNATMAK'!AJ42)),"B",IF(NOT(ISBLANK('A-RACHNATMAK'!AJ41)),"C","")))</f>
        <v/>
      </c>
      <c r="AH32" s="622" t="str">
        <f>IF(NOT(ISBLANK('A-RACHNATMAK'!AK43)),"A",IF(NOT(ISBLANK('A-RACHNATMAK'!AK42)),"B",IF(NOT(ISBLANK('A-RACHNATMAK'!AK41)),"C","")))</f>
        <v/>
      </c>
      <c r="AI32" s="622" t="str">
        <f>IF(NOT(ISBLANK('A-RACHNATMAK'!AL43)),"A",IF(NOT(ISBLANK('A-RACHNATMAK'!AL42)),"B",IF(NOT(ISBLANK('A-RACHNATMAK'!AL41)),"C","")))</f>
        <v/>
      </c>
      <c r="AJ32" s="622" t="str">
        <f>IF(NOT(ISBLANK('A-RACHNATMAK'!AM43)),"A",IF(NOT(ISBLANK('A-RACHNATMAK'!AM42)),"B",IF(NOT(ISBLANK('A-RACHNATMAK'!AM41)),"C","")))</f>
        <v/>
      </c>
      <c r="AK32" s="622" t="str">
        <f>IF(NOT(ISBLANK('A-RACHNATMAK'!AN43)),"A",IF(NOT(ISBLANK('A-RACHNATMAK'!AN42)),"B",IF(NOT(ISBLANK('A-RACHNATMAK'!AN41)),"C","")))</f>
        <v/>
      </c>
      <c r="AL32" s="622" t="str">
        <f>IF(NOT(ISBLANK('A-RACHNATMAK'!AO43)),"A",IF(NOT(ISBLANK('A-RACHNATMAK'!AO42)),"B",IF(NOT(ISBLANK('A-RACHNATMAK'!AO41)),"C","")))</f>
        <v/>
      </c>
      <c r="AM32" s="622" t="str">
        <f>IF(NOT(ISBLANK('A-RACHNATMAK'!AP43)),"A",IF(NOT(ISBLANK('A-RACHNATMAK'!AP42)),"B",IF(NOT(ISBLANK('A-RACHNATMAK'!AP41)),"C","")))</f>
        <v/>
      </c>
      <c r="AN32" s="622" t="str">
        <f>IF(NOT(ISBLANK('A-RACHNATMAK'!AQ43)),"A",IF(NOT(ISBLANK('A-RACHNATMAK'!AQ42)),"B",IF(NOT(ISBLANK('A-RACHNATMAK'!AQ41)),"C","")))</f>
        <v/>
      </c>
      <c r="AO32" s="622" t="str">
        <f>IF(NOT(ISBLANK('A-RACHNATMAK'!AR43)),"A",IF(NOT(ISBLANK('A-RACHNATMAK'!AR42)),"B",IF(NOT(ISBLANK('A-RACHNATMAK'!AR41)),"C","")))</f>
        <v/>
      </c>
      <c r="AP32" s="622" t="str">
        <f>IF(NOT(ISBLANK('A-RACHNATMAK'!AS43)),"A",IF(NOT(ISBLANK('A-RACHNATMAK'!AS42)),"B",IF(NOT(ISBLANK('A-RACHNATMAK'!AS41)),"C","")))</f>
        <v/>
      </c>
      <c r="AQ32" s="622" t="str">
        <f>IF(NOT(ISBLANK('A-RACHNATMAK'!AT43)),"A",IF(NOT(ISBLANK('A-RACHNATMAK'!AT42)),"B",IF(NOT(ISBLANK('A-RACHNATMAK'!AT41)),"C","")))</f>
        <v/>
      </c>
      <c r="AR32" s="622" t="str">
        <f>IF(NOT(ISBLANK('A-RACHNATMAK'!AU43)),"A",IF(NOT(ISBLANK('A-RACHNATMAK'!AU42)),"B",IF(NOT(ISBLANK('A-RACHNATMAK'!AU41)),"C","")))</f>
        <v/>
      </c>
      <c r="AS32" s="622" t="str">
        <f>IF(NOT(ISBLANK('A-RACHNATMAK'!AV43)),"A",IF(NOT(ISBLANK('A-RACHNATMAK'!AV42)),"B",IF(NOT(ISBLANK('A-RACHNATMAK'!AV41)),"C","")))</f>
        <v/>
      </c>
      <c r="AT32" s="622" t="str">
        <f>IF(NOT(ISBLANK('A-RACHNATMAK'!AW43)),"A",IF(NOT(ISBLANK('A-RACHNATMAK'!AW42)),"B",IF(NOT(ISBLANK('A-RACHNATMAK'!AW41)),"C","")))</f>
        <v/>
      </c>
      <c r="AU32" s="622">
        <f t="shared" ref="AU32" si="57">COUNTIF(AA32:AT32,"A")</f>
        <v>0</v>
      </c>
      <c r="AV32" s="622">
        <f t="shared" ref="AV32" si="58">COUNTIF(AA32:AT32,"B")</f>
        <v>0</v>
      </c>
      <c r="AW32" s="622">
        <f t="shared" ref="AW32" si="59">COUNTIF(AA32:AT32,"C")</f>
        <v>0</v>
      </c>
    </row>
    <row r="33" spans="1:49" s="330" customFormat="1" ht="8.25" customHeight="1">
      <c r="A33" s="623"/>
      <c r="B33" s="622"/>
      <c r="C33" s="622"/>
      <c r="D33" s="622"/>
      <c r="E33" s="622"/>
      <c r="F33" s="622"/>
      <c r="G33" s="622"/>
      <c r="H33" s="622"/>
      <c r="I33" s="622"/>
      <c r="J33" s="622"/>
      <c r="K33" s="622"/>
      <c r="L33" s="622"/>
      <c r="M33" s="622"/>
      <c r="N33" s="622"/>
      <c r="O33" s="622"/>
      <c r="P33" s="622"/>
      <c r="Q33" s="622"/>
      <c r="R33" s="622"/>
      <c r="S33" s="622"/>
      <c r="T33" s="622"/>
      <c r="U33" s="622"/>
      <c r="V33" s="622"/>
      <c r="W33" s="622"/>
      <c r="X33" s="622"/>
      <c r="Z33" s="623"/>
      <c r="AA33" s="622"/>
      <c r="AB33" s="622"/>
      <c r="AC33" s="622"/>
      <c r="AD33" s="622"/>
      <c r="AE33" s="622"/>
      <c r="AF33" s="622"/>
      <c r="AG33" s="622"/>
      <c r="AH33" s="622"/>
      <c r="AI33" s="622"/>
      <c r="AJ33" s="622"/>
      <c r="AK33" s="622"/>
      <c r="AL33" s="622"/>
      <c r="AM33" s="622"/>
      <c r="AN33" s="622"/>
      <c r="AO33" s="622"/>
      <c r="AP33" s="622"/>
      <c r="AQ33" s="622"/>
      <c r="AR33" s="622"/>
      <c r="AS33" s="622"/>
      <c r="AT33" s="622"/>
      <c r="AU33" s="622"/>
      <c r="AV33" s="622"/>
      <c r="AW33" s="622"/>
    </row>
    <row r="34" spans="1:49" s="330" customFormat="1" ht="8.25" customHeight="1">
      <c r="A34" s="623"/>
      <c r="B34" s="622"/>
      <c r="C34" s="622"/>
      <c r="D34" s="622"/>
      <c r="E34" s="622"/>
      <c r="F34" s="622"/>
      <c r="G34" s="622"/>
      <c r="H34" s="622"/>
      <c r="I34" s="622"/>
      <c r="J34" s="622"/>
      <c r="K34" s="622"/>
      <c r="L34" s="622"/>
      <c r="M34" s="622"/>
      <c r="N34" s="622"/>
      <c r="O34" s="622"/>
      <c r="P34" s="622"/>
      <c r="Q34" s="622"/>
      <c r="R34" s="622"/>
      <c r="S34" s="622"/>
      <c r="T34" s="622"/>
      <c r="U34" s="622"/>
      <c r="V34" s="622"/>
      <c r="W34" s="622"/>
      <c r="X34" s="622"/>
      <c r="Z34" s="623"/>
      <c r="AA34" s="622"/>
      <c r="AB34" s="622"/>
      <c r="AC34" s="622"/>
      <c r="AD34" s="622"/>
      <c r="AE34" s="622"/>
      <c r="AF34" s="622"/>
      <c r="AG34" s="622"/>
      <c r="AH34" s="622"/>
      <c r="AI34" s="622"/>
      <c r="AJ34" s="622"/>
      <c r="AK34" s="622"/>
      <c r="AL34" s="622"/>
      <c r="AM34" s="622"/>
      <c r="AN34" s="622"/>
      <c r="AO34" s="622"/>
      <c r="AP34" s="622"/>
      <c r="AQ34" s="622"/>
      <c r="AR34" s="622"/>
      <c r="AS34" s="622"/>
      <c r="AT34" s="622"/>
      <c r="AU34" s="622"/>
      <c r="AV34" s="622"/>
      <c r="AW34" s="622"/>
    </row>
    <row r="35" spans="1:49" s="330" customFormat="1" ht="8.25" customHeight="1">
      <c r="A35" s="623">
        <v>12</v>
      </c>
      <c r="B35" s="622" t="str">
        <f>IF(NOT(ISBLANK('A-RACHNATMAK'!C46)),"A",IF(NOT(ISBLANK('A-RACHNATMAK'!C45)),"B",IF(NOT(ISBLANK('A-RACHNATMAK'!C44)),"C","")))</f>
        <v/>
      </c>
      <c r="C35" s="622" t="str">
        <f>IF(NOT(ISBLANK('A-RACHNATMAK'!D46)),"A",IF(NOT(ISBLANK('A-RACHNATMAK'!D45)),"B",IF(NOT(ISBLANK('A-RACHNATMAK'!D44)),"C","")))</f>
        <v/>
      </c>
      <c r="D35" s="622" t="str">
        <f>IF(NOT(ISBLANK('A-RACHNATMAK'!E46)),"A",IF(NOT(ISBLANK('A-RACHNATMAK'!E45)),"B",IF(NOT(ISBLANK('A-RACHNATMAK'!E44)),"C","")))</f>
        <v/>
      </c>
      <c r="E35" s="622" t="str">
        <f>IF(NOT(ISBLANK('A-RACHNATMAK'!F46)),"A",IF(NOT(ISBLANK('A-RACHNATMAK'!F45)),"B",IF(NOT(ISBLANK('A-RACHNATMAK'!F44)),"C","")))</f>
        <v/>
      </c>
      <c r="F35" s="622" t="str">
        <f>IF(NOT(ISBLANK('A-RACHNATMAK'!G46)),"A",IF(NOT(ISBLANK('A-RACHNATMAK'!G45)),"B",IF(NOT(ISBLANK('A-RACHNATMAK'!G44)),"C","")))</f>
        <v/>
      </c>
      <c r="G35" s="622" t="str">
        <f>IF(NOT(ISBLANK('A-RACHNATMAK'!H46)),"A",IF(NOT(ISBLANK('A-RACHNATMAK'!H45)),"B",IF(NOT(ISBLANK('A-RACHNATMAK'!H44)),"C","")))</f>
        <v/>
      </c>
      <c r="H35" s="622" t="str">
        <f>IF(NOT(ISBLANK('A-RACHNATMAK'!I46)),"A",IF(NOT(ISBLANK('A-RACHNATMAK'!I45)),"B",IF(NOT(ISBLANK('A-RACHNATMAK'!I44)),"C","")))</f>
        <v/>
      </c>
      <c r="I35" s="622" t="str">
        <f>IF(NOT(ISBLANK('A-RACHNATMAK'!J46)),"A",IF(NOT(ISBLANK('A-RACHNATMAK'!J45)),"B",IF(NOT(ISBLANK('A-RACHNATMAK'!J44)),"C","")))</f>
        <v/>
      </c>
      <c r="J35" s="622" t="str">
        <f>IF(NOT(ISBLANK('A-RACHNATMAK'!K46)),"A",IF(NOT(ISBLANK('A-RACHNATMAK'!K45)),"B",IF(NOT(ISBLANK('A-RACHNATMAK'!K44)),"C","")))</f>
        <v/>
      </c>
      <c r="K35" s="622" t="str">
        <f>IF(NOT(ISBLANK('A-RACHNATMAK'!L46)),"A",IF(NOT(ISBLANK('A-RACHNATMAK'!L45)),"B",IF(NOT(ISBLANK('A-RACHNATMAK'!L44)),"C","")))</f>
        <v/>
      </c>
      <c r="L35" s="622" t="str">
        <f>IF(NOT(ISBLANK('A-RACHNATMAK'!M46)),"A",IF(NOT(ISBLANK('A-RACHNATMAK'!M45)),"B",IF(NOT(ISBLANK('A-RACHNATMAK'!M44)),"C","")))</f>
        <v/>
      </c>
      <c r="M35" s="622" t="str">
        <f>IF(NOT(ISBLANK('A-RACHNATMAK'!N46)),"A",IF(NOT(ISBLANK('A-RACHNATMAK'!N45)),"B",IF(NOT(ISBLANK('A-RACHNATMAK'!N44)),"C","")))</f>
        <v/>
      </c>
      <c r="N35" s="622" t="str">
        <f>IF(NOT(ISBLANK('A-RACHNATMAK'!O46)),"A",IF(NOT(ISBLANK('A-RACHNATMAK'!O45)),"B",IF(NOT(ISBLANK('A-RACHNATMAK'!O44)),"C","")))</f>
        <v/>
      </c>
      <c r="O35" s="622" t="str">
        <f>IF(NOT(ISBLANK('A-RACHNATMAK'!P46)),"A",IF(NOT(ISBLANK('A-RACHNATMAK'!P45)),"B",IF(NOT(ISBLANK('A-RACHNATMAK'!P44)),"C","")))</f>
        <v/>
      </c>
      <c r="P35" s="622" t="str">
        <f>IF(NOT(ISBLANK('A-RACHNATMAK'!Q46)),"A",IF(NOT(ISBLANK('A-RACHNATMAK'!Q45)),"B",IF(NOT(ISBLANK('A-RACHNATMAK'!Q44)),"C","")))</f>
        <v/>
      </c>
      <c r="Q35" s="622" t="str">
        <f>IF(NOT(ISBLANK('A-RACHNATMAK'!R46)),"A",IF(NOT(ISBLANK('A-RACHNATMAK'!R45)),"B",IF(NOT(ISBLANK('A-RACHNATMAK'!R44)),"C","")))</f>
        <v/>
      </c>
      <c r="R35" s="622" t="str">
        <f>IF(NOT(ISBLANK('A-RACHNATMAK'!S46)),"A",IF(NOT(ISBLANK('A-RACHNATMAK'!S45)),"B",IF(NOT(ISBLANK('A-RACHNATMAK'!S44)),"C","")))</f>
        <v/>
      </c>
      <c r="S35" s="622" t="str">
        <f>IF(NOT(ISBLANK('A-RACHNATMAK'!T46)),"A",IF(NOT(ISBLANK('A-RACHNATMAK'!T45)),"B",IF(NOT(ISBLANK('A-RACHNATMAK'!T44)),"C","")))</f>
        <v/>
      </c>
      <c r="T35" s="622" t="str">
        <f>IF(NOT(ISBLANK('A-RACHNATMAK'!U46)),"A",IF(NOT(ISBLANK('A-RACHNATMAK'!U45)),"B",IF(NOT(ISBLANK('A-RACHNATMAK'!U44)),"C","")))</f>
        <v/>
      </c>
      <c r="U35" s="622" t="str">
        <f>IF(NOT(ISBLANK('A-RACHNATMAK'!V46)),"A",IF(NOT(ISBLANK('A-RACHNATMAK'!V45)),"B",IF(NOT(ISBLANK('A-RACHNATMAK'!V44)),"C","")))</f>
        <v/>
      </c>
      <c r="V35" s="622">
        <f t="shared" ref="V35" si="60">COUNTIF(B35:U35,"A")</f>
        <v>0</v>
      </c>
      <c r="W35" s="622">
        <f t="shared" ref="W35" si="61">COUNTIF(B35:U35,"B")</f>
        <v>0</v>
      </c>
      <c r="X35" s="622">
        <f t="shared" ref="X35" si="62">COUNTIF(B35:U35,"C")</f>
        <v>0</v>
      </c>
      <c r="Z35" s="623">
        <v>12</v>
      </c>
      <c r="AA35" s="622" t="str">
        <f>IF(NOT(ISBLANK('A-RACHNATMAK'!AD46)),"A",IF(NOT(ISBLANK('A-RACHNATMAK'!AD45)),"B",IF(NOT(ISBLANK('A-RACHNATMAK'!AD44)),"C","")))</f>
        <v/>
      </c>
      <c r="AB35" s="622" t="str">
        <f>IF(NOT(ISBLANK('A-RACHNATMAK'!AE46)),"A",IF(NOT(ISBLANK('A-RACHNATMAK'!AE45)),"B",IF(NOT(ISBLANK('A-RACHNATMAK'!AE44)),"C","")))</f>
        <v/>
      </c>
      <c r="AC35" s="622" t="str">
        <f>IF(NOT(ISBLANK('A-RACHNATMAK'!AF46)),"A",IF(NOT(ISBLANK('A-RACHNATMAK'!AF45)),"B",IF(NOT(ISBLANK('A-RACHNATMAK'!AF44)),"C","")))</f>
        <v/>
      </c>
      <c r="AD35" s="622" t="str">
        <f>IF(NOT(ISBLANK('A-RACHNATMAK'!AG46)),"A",IF(NOT(ISBLANK('A-RACHNATMAK'!AG45)),"B",IF(NOT(ISBLANK('A-RACHNATMAK'!AG44)),"C","")))</f>
        <v/>
      </c>
      <c r="AE35" s="622" t="str">
        <f>IF(NOT(ISBLANK('A-RACHNATMAK'!AH46)),"A",IF(NOT(ISBLANK('A-RACHNATMAK'!AH45)),"B",IF(NOT(ISBLANK('A-RACHNATMAK'!AH44)),"C","")))</f>
        <v/>
      </c>
      <c r="AF35" s="622" t="str">
        <f>IF(NOT(ISBLANK('A-RACHNATMAK'!AI46)),"A",IF(NOT(ISBLANK('A-RACHNATMAK'!AI45)),"B",IF(NOT(ISBLANK('A-RACHNATMAK'!AI44)),"C","")))</f>
        <v/>
      </c>
      <c r="AG35" s="622" t="str">
        <f>IF(NOT(ISBLANK('A-RACHNATMAK'!AJ46)),"A",IF(NOT(ISBLANK('A-RACHNATMAK'!AJ45)),"B",IF(NOT(ISBLANK('A-RACHNATMAK'!AJ44)),"C","")))</f>
        <v/>
      </c>
      <c r="AH35" s="622" t="str">
        <f>IF(NOT(ISBLANK('A-RACHNATMAK'!AK46)),"A",IF(NOT(ISBLANK('A-RACHNATMAK'!AK45)),"B",IF(NOT(ISBLANK('A-RACHNATMAK'!AK44)),"C","")))</f>
        <v/>
      </c>
      <c r="AI35" s="622" t="str">
        <f>IF(NOT(ISBLANK('A-RACHNATMAK'!AL46)),"A",IF(NOT(ISBLANK('A-RACHNATMAK'!AL45)),"B",IF(NOT(ISBLANK('A-RACHNATMAK'!AL44)),"C","")))</f>
        <v/>
      </c>
      <c r="AJ35" s="622" t="str">
        <f>IF(NOT(ISBLANK('A-RACHNATMAK'!AM46)),"A",IF(NOT(ISBLANK('A-RACHNATMAK'!AM45)),"B",IF(NOT(ISBLANK('A-RACHNATMAK'!AM44)),"C","")))</f>
        <v/>
      </c>
      <c r="AK35" s="622" t="str">
        <f>IF(NOT(ISBLANK('A-RACHNATMAK'!AN46)),"A",IF(NOT(ISBLANK('A-RACHNATMAK'!AN45)),"B",IF(NOT(ISBLANK('A-RACHNATMAK'!AN44)),"C","")))</f>
        <v/>
      </c>
      <c r="AL35" s="622" t="str">
        <f>IF(NOT(ISBLANK('A-RACHNATMAK'!AO46)),"A",IF(NOT(ISBLANK('A-RACHNATMAK'!AO45)),"B",IF(NOT(ISBLANK('A-RACHNATMAK'!AO44)),"C","")))</f>
        <v/>
      </c>
      <c r="AM35" s="622" t="str">
        <f>IF(NOT(ISBLANK('A-RACHNATMAK'!AP46)),"A",IF(NOT(ISBLANK('A-RACHNATMAK'!AP45)),"B",IF(NOT(ISBLANK('A-RACHNATMAK'!AP44)),"C","")))</f>
        <v/>
      </c>
      <c r="AN35" s="622" t="str">
        <f>IF(NOT(ISBLANK('A-RACHNATMAK'!AQ46)),"A",IF(NOT(ISBLANK('A-RACHNATMAK'!AQ45)),"B",IF(NOT(ISBLANK('A-RACHNATMAK'!AQ44)),"C","")))</f>
        <v/>
      </c>
      <c r="AO35" s="622" t="str">
        <f>IF(NOT(ISBLANK('A-RACHNATMAK'!AR46)),"A",IF(NOT(ISBLANK('A-RACHNATMAK'!AR45)),"B",IF(NOT(ISBLANK('A-RACHNATMAK'!AR44)),"C","")))</f>
        <v/>
      </c>
      <c r="AP35" s="622" t="str">
        <f>IF(NOT(ISBLANK('A-RACHNATMAK'!AS46)),"A",IF(NOT(ISBLANK('A-RACHNATMAK'!AS45)),"B",IF(NOT(ISBLANK('A-RACHNATMAK'!AS44)),"C","")))</f>
        <v/>
      </c>
      <c r="AQ35" s="622" t="str">
        <f>IF(NOT(ISBLANK('A-RACHNATMAK'!AT46)),"A",IF(NOT(ISBLANK('A-RACHNATMAK'!AT45)),"B",IF(NOT(ISBLANK('A-RACHNATMAK'!AT44)),"C","")))</f>
        <v/>
      </c>
      <c r="AR35" s="622" t="str">
        <f>IF(NOT(ISBLANK('A-RACHNATMAK'!AU46)),"A",IF(NOT(ISBLANK('A-RACHNATMAK'!AU45)),"B",IF(NOT(ISBLANK('A-RACHNATMAK'!AU44)),"C","")))</f>
        <v/>
      </c>
      <c r="AS35" s="622" t="str">
        <f>IF(NOT(ISBLANK('A-RACHNATMAK'!AV46)),"A",IF(NOT(ISBLANK('A-RACHNATMAK'!AV45)),"B",IF(NOT(ISBLANK('A-RACHNATMAK'!AV44)),"C","")))</f>
        <v/>
      </c>
      <c r="AT35" s="622" t="str">
        <f>IF(NOT(ISBLANK('A-RACHNATMAK'!AW46)),"A",IF(NOT(ISBLANK('A-RACHNATMAK'!AW45)),"B",IF(NOT(ISBLANK('A-RACHNATMAK'!AW44)),"C","")))</f>
        <v/>
      </c>
      <c r="AU35" s="622">
        <f t="shared" ref="AU35" si="63">COUNTIF(AA35:AT35,"A")</f>
        <v>0</v>
      </c>
      <c r="AV35" s="622">
        <f t="shared" ref="AV35" si="64">COUNTIF(AA35:AT35,"B")</f>
        <v>0</v>
      </c>
      <c r="AW35" s="622">
        <f t="shared" ref="AW35" si="65">COUNTIF(AA35:AT35,"C")</f>
        <v>0</v>
      </c>
    </row>
    <row r="36" spans="1:49" s="330" customFormat="1" ht="8.25" customHeight="1">
      <c r="A36" s="623"/>
      <c r="B36" s="622"/>
      <c r="C36" s="622"/>
      <c r="D36" s="622"/>
      <c r="E36" s="622"/>
      <c r="F36" s="622"/>
      <c r="G36" s="622"/>
      <c r="H36" s="622"/>
      <c r="I36" s="622"/>
      <c r="J36" s="622"/>
      <c r="K36" s="622"/>
      <c r="L36" s="622"/>
      <c r="M36" s="622"/>
      <c r="N36" s="622"/>
      <c r="O36" s="622"/>
      <c r="P36" s="622"/>
      <c r="Q36" s="622"/>
      <c r="R36" s="622"/>
      <c r="S36" s="622"/>
      <c r="T36" s="622"/>
      <c r="U36" s="622"/>
      <c r="V36" s="622"/>
      <c r="W36" s="622"/>
      <c r="X36" s="622"/>
      <c r="Z36" s="623"/>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row>
    <row r="37" spans="1:49" s="330" customFormat="1" ht="8.25" customHeight="1">
      <c r="A37" s="623"/>
      <c r="B37" s="622"/>
      <c r="C37" s="622"/>
      <c r="D37" s="622"/>
      <c r="E37" s="622"/>
      <c r="F37" s="622"/>
      <c r="G37" s="622"/>
      <c r="H37" s="622"/>
      <c r="I37" s="622"/>
      <c r="J37" s="622"/>
      <c r="K37" s="622"/>
      <c r="L37" s="622"/>
      <c r="M37" s="622"/>
      <c r="N37" s="622"/>
      <c r="O37" s="622"/>
      <c r="P37" s="622"/>
      <c r="Q37" s="622"/>
      <c r="R37" s="622"/>
      <c r="S37" s="622"/>
      <c r="T37" s="622"/>
      <c r="U37" s="622"/>
      <c r="V37" s="622"/>
      <c r="W37" s="622"/>
      <c r="X37" s="622"/>
      <c r="Z37" s="623"/>
      <c r="AA37" s="622"/>
      <c r="AB37" s="622"/>
      <c r="AC37" s="622"/>
      <c r="AD37" s="622"/>
      <c r="AE37" s="622"/>
      <c r="AF37" s="622"/>
      <c r="AG37" s="622"/>
      <c r="AH37" s="622"/>
      <c r="AI37" s="622"/>
      <c r="AJ37" s="622"/>
      <c r="AK37" s="622"/>
      <c r="AL37" s="622"/>
      <c r="AM37" s="622"/>
      <c r="AN37" s="622"/>
      <c r="AO37" s="622"/>
      <c r="AP37" s="622"/>
      <c r="AQ37" s="622"/>
      <c r="AR37" s="622"/>
      <c r="AS37" s="622"/>
      <c r="AT37" s="622"/>
      <c r="AU37" s="622"/>
      <c r="AV37" s="622"/>
      <c r="AW37" s="622"/>
    </row>
    <row r="38" spans="1:49" s="330" customFormat="1" ht="8.25" customHeight="1">
      <c r="A38" s="623">
        <v>13</v>
      </c>
      <c r="B38" s="622" t="str">
        <f>IF(NOT(ISBLANK('A-RACHNATMAK'!C49)),"A",IF(NOT(ISBLANK('A-RACHNATMAK'!C48)),"B",IF(NOT(ISBLANK('A-RACHNATMAK'!C47)),"C","")))</f>
        <v/>
      </c>
      <c r="C38" s="622" t="str">
        <f>IF(NOT(ISBLANK('A-RACHNATMAK'!D49)),"A",IF(NOT(ISBLANK('A-RACHNATMAK'!D48)),"B",IF(NOT(ISBLANK('A-RACHNATMAK'!D47)),"C","")))</f>
        <v/>
      </c>
      <c r="D38" s="622" t="str">
        <f>IF(NOT(ISBLANK('A-RACHNATMAK'!E49)),"A",IF(NOT(ISBLANK('A-RACHNATMAK'!E48)),"B",IF(NOT(ISBLANK('A-RACHNATMAK'!E47)),"C","")))</f>
        <v/>
      </c>
      <c r="E38" s="622" t="str">
        <f>IF(NOT(ISBLANK('A-RACHNATMAK'!F49)),"A",IF(NOT(ISBLANK('A-RACHNATMAK'!F48)),"B",IF(NOT(ISBLANK('A-RACHNATMAK'!F47)),"C","")))</f>
        <v/>
      </c>
      <c r="F38" s="622" t="str">
        <f>IF(NOT(ISBLANK('A-RACHNATMAK'!G49)),"A",IF(NOT(ISBLANK('A-RACHNATMAK'!G48)),"B",IF(NOT(ISBLANK('A-RACHNATMAK'!G47)),"C","")))</f>
        <v/>
      </c>
      <c r="G38" s="622" t="str">
        <f>IF(NOT(ISBLANK('A-RACHNATMAK'!H49)),"A",IF(NOT(ISBLANK('A-RACHNATMAK'!H48)),"B",IF(NOT(ISBLANK('A-RACHNATMAK'!H47)),"C","")))</f>
        <v/>
      </c>
      <c r="H38" s="622" t="str">
        <f>IF(NOT(ISBLANK('A-RACHNATMAK'!I49)),"A",IF(NOT(ISBLANK('A-RACHNATMAK'!I48)),"B",IF(NOT(ISBLANK('A-RACHNATMAK'!I47)),"C","")))</f>
        <v/>
      </c>
      <c r="I38" s="622" t="str">
        <f>IF(NOT(ISBLANK('A-RACHNATMAK'!J49)),"A",IF(NOT(ISBLANK('A-RACHNATMAK'!J48)),"B",IF(NOT(ISBLANK('A-RACHNATMAK'!J47)),"C","")))</f>
        <v/>
      </c>
      <c r="J38" s="622" t="str">
        <f>IF(NOT(ISBLANK('A-RACHNATMAK'!K49)),"A",IF(NOT(ISBLANK('A-RACHNATMAK'!K48)),"B",IF(NOT(ISBLANK('A-RACHNATMAK'!K47)),"C","")))</f>
        <v/>
      </c>
      <c r="K38" s="622" t="str">
        <f>IF(NOT(ISBLANK('A-RACHNATMAK'!L49)),"A",IF(NOT(ISBLANK('A-RACHNATMAK'!L48)),"B",IF(NOT(ISBLANK('A-RACHNATMAK'!L47)),"C","")))</f>
        <v/>
      </c>
      <c r="L38" s="622" t="str">
        <f>IF(NOT(ISBLANK('A-RACHNATMAK'!M49)),"A",IF(NOT(ISBLANK('A-RACHNATMAK'!M48)),"B",IF(NOT(ISBLANK('A-RACHNATMAK'!M47)),"C","")))</f>
        <v/>
      </c>
      <c r="M38" s="622" t="str">
        <f>IF(NOT(ISBLANK('A-RACHNATMAK'!N49)),"A",IF(NOT(ISBLANK('A-RACHNATMAK'!N48)),"B",IF(NOT(ISBLANK('A-RACHNATMAK'!N47)),"C","")))</f>
        <v/>
      </c>
      <c r="N38" s="622" t="str">
        <f>IF(NOT(ISBLANK('A-RACHNATMAK'!O49)),"A",IF(NOT(ISBLANK('A-RACHNATMAK'!O48)),"B",IF(NOT(ISBLANK('A-RACHNATMAK'!O47)),"C","")))</f>
        <v/>
      </c>
      <c r="O38" s="622" t="str">
        <f>IF(NOT(ISBLANK('A-RACHNATMAK'!P49)),"A",IF(NOT(ISBLANK('A-RACHNATMAK'!P48)),"B",IF(NOT(ISBLANK('A-RACHNATMAK'!P47)),"C","")))</f>
        <v/>
      </c>
      <c r="P38" s="622" t="str">
        <f>IF(NOT(ISBLANK('A-RACHNATMAK'!Q49)),"A",IF(NOT(ISBLANK('A-RACHNATMAK'!Q48)),"B",IF(NOT(ISBLANK('A-RACHNATMAK'!Q47)),"C","")))</f>
        <v/>
      </c>
      <c r="Q38" s="622" t="str">
        <f>IF(NOT(ISBLANK('A-RACHNATMAK'!R49)),"A",IF(NOT(ISBLANK('A-RACHNATMAK'!R48)),"B",IF(NOT(ISBLANK('A-RACHNATMAK'!R47)),"C","")))</f>
        <v/>
      </c>
      <c r="R38" s="622" t="str">
        <f>IF(NOT(ISBLANK('A-RACHNATMAK'!S49)),"A",IF(NOT(ISBLANK('A-RACHNATMAK'!S48)),"B",IF(NOT(ISBLANK('A-RACHNATMAK'!S47)),"C","")))</f>
        <v/>
      </c>
      <c r="S38" s="622" t="str">
        <f>IF(NOT(ISBLANK('A-RACHNATMAK'!T49)),"A",IF(NOT(ISBLANK('A-RACHNATMAK'!T48)),"B",IF(NOT(ISBLANK('A-RACHNATMAK'!T47)),"C","")))</f>
        <v/>
      </c>
      <c r="T38" s="622" t="str">
        <f>IF(NOT(ISBLANK('A-RACHNATMAK'!U49)),"A",IF(NOT(ISBLANK('A-RACHNATMAK'!U48)),"B",IF(NOT(ISBLANK('A-RACHNATMAK'!U47)),"C","")))</f>
        <v/>
      </c>
      <c r="U38" s="622" t="str">
        <f>IF(NOT(ISBLANK('A-RACHNATMAK'!V49)),"A",IF(NOT(ISBLANK('A-RACHNATMAK'!V48)),"B",IF(NOT(ISBLANK('A-RACHNATMAK'!V47)),"C","")))</f>
        <v/>
      </c>
      <c r="V38" s="622">
        <f t="shared" ref="V38" si="66">COUNTIF(B38:U38,"A")</f>
        <v>0</v>
      </c>
      <c r="W38" s="622">
        <f t="shared" ref="W38" si="67">COUNTIF(B38:U38,"B")</f>
        <v>0</v>
      </c>
      <c r="X38" s="622">
        <f t="shared" ref="X38" si="68">COUNTIF(B38:U38,"C")</f>
        <v>0</v>
      </c>
      <c r="Z38" s="623">
        <v>13</v>
      </c>
      <c r="AA38" s="622" t="str">
        <f>IF(NOT(ISBLANK('A-RACHNATMAK'!AD49)),"A",IF(NOT(ISBLANK('A-RACHNATMAK'!AD48)),"B",IF(NOT(ISBLANK('A-RACHNATMAK'!AD47)),"C","")))</f>
        <v/>
      </c>
      <c r="AB38" s="622" t="str">
        <f>IF(NOT(ISBLANK('A-RACHNATMAK'!AE49)),"A",IF(NOT(ISBLANK('A-RACHNATMAK'!AE48)),"B",IF(NOT(ISBLANK('A-RACHNATMAK'!AE47)),"C","")))</f>
        <v/>
      </c>
      <c r="AC38" s="622" t="str">
        <f>IF(NOT(ISBLANK('A-RACHNATMAK'!AF49)),"A",IF(NOT(ISBLANK('A-RACHNATMAK'!AF48)),"B",IF(NOT(ISBLANK('A-RACHNATMAK'!AF47)),"C","")))</f>
        <v/>
      </c>
      <c r="AD38" s="622" t="str">
        <f>IF(NOT(ISBLANK('A-RACHNATMAK'!AG49)),"A",IF(NOT(ISBLANK('A-RACHNATMAK'!AG48)),"B",IF(NOT(ISBLANK('A-RACHNATMAK'!AG47)),"C","")))</f>
        <v/>
      </c>
      <c r="AE38" s="622" t="str">
        <f>IF(NOT(ISBLANK('A-RACHNATMAK'!AH49)),"A",IF(NOT(ISBLANK('A-RACHNATMAK'!AH48)),"B",IF(NOT(ISBLANK('A-RACHNATMAK'!AH47)),"C","")))</f>
        <v/>
      </c>
      <c r="AF38" s="622" t="str">
        <f>IF(NOT(ISBLANK('A-RACHNATMAK'!AI49)),"A",IF(NOT(ISBLANK('A-RACHNATMAK'!AI48)),"B",IF(NOT(ISBLANK('A-RACHNATMAK'!AI47)),"C","")))</f>
        <v/>
      </c>
      <c r="AG38" s="622" t="str">
        <f>IF(NOT(ISBLANK('A-RACHNATMAK'!AJ49)),"A",IF(NOT(ISBLANK('A-RACHNATMAK'!AJ48)),"B",IF(NOT(ISBLANK('A-RACHNATMAK'!AJ47)),"C","")))</f>
        <v/>
      </c>
      <c r="AH38" s="622" t="str">
        <f>IF(NOT(ISBLANK('A-RACHNATMAK'!AK49)),"A",IF(NOT(ISBLANK('A-RACHNATMAK'!AK48)),"B",IF(NOT(ISBLANK('A-RACHNATMAK'!AK47)),"C","")))</f>
        <v/>
      </c>
      <c r="AI38" s="622" t="str">
        <f>IF(NOT(ISBLANK('A-RACHNATMAK'!AL49)),"A",IF(NOT(ISBLANK('A-RACHNATMAK'!AL48)),"B",IF(NOT(ISBLANK('A-RACHNATMAK'!AL47)),"C","")))</f>
        <v/>
      </c>
      <c r="AJ38" s="622" t="str">
        <f>IF(NOT(ISBLANK('A-RACHNATMAK'!AM49)),"A",IF(NOT(ISBLANK('A-RACHNATMAK'!AM48)),"B",IF(NOT(ISBLANK('A-RACHNATMAK'!AM47)),"C","")))</f>
        <v/>
      </c>
      <c r="AK38" s="622" t="str">
        <f>IF(NOT(ISBLANK('A-RACHNATMAK'!AN49)),"A",IF(NOT(ISBLANK('A-RACHNATMAK'!AN48)),"B",IF(NOT(ISBLANK('A-RACHNATMAK'!AN47)),"C","")))</f>
        <v/>
      </c>
      <c r="AL38" s="622" t="str">
        <f>IF(NOT(ISBLANK('A-RACHNATMAK'!AO49)),"A",IF(NOT(ISBLANK('A-RACHNATMAK'!AO48)),"B",IF(NOT(ISBLANK('A-RACHNATMAK'!AO47)),"C","")))</f>
        <v/>
      </c>
      <c r="AM38" s="622" t="str">
        <f>IF(NOT(ISBLANK('A-RACHNATMAK'!AP49)),"A",IF(NOT(ISBLANK('A-RACHNATMAK'!AP48)),"B",IF(NOT(ISBLANK('A-RACHNATMAK'!AP47)),"C","")))</f>
        <v/>
      </c>
      <c r="AN38" s="622" t="str">
        <f>IF(NOT(ISBLANK('A-RACHNATMAK'!AQ49)),"A",IF(NOT(ISBLANK('A-RACHNATMAK'!AQ48)),"B",IF(NOT(ISBLANK('A-RACHNATMAK'!AQ47)),"C","")))</f>
        <v/>
      </c>
      <c r="AO38" s="622" t="str">
        <f>IF(NOT(ISBLANK('A-RACHNATMAK'!AR49)),"A",IF(NOT(ISBLANK('A-RACHNATMAK'!AR48)),"B",IF(NOT(ISBLANK('A-RACHNATMAK'!AR47)),"C","")))</f>
        <v/>
      </c>
      <c r="AP38" s="622" t="str">
        <f>IF(NOT(ISBLANK('A-RACHNATMAK'!AS49)),"A",IF(NOT(ISBLANK('A-RACHNATMAK'!AS48)),"B",IF(NOT(ISBLANK('A-RACHNATMAK'!AS47)),"C","")))</f>
        <v/>
      </c>
      <c r="AQ38" s="622" t="str">
        <f>IF(NOT(ISBLANK('A-RACHNATMAK'!AT49)),"A",IF(NOT(ISBLANK('A-RACHNATMAK'!AT48)),"B",IF(NOT(ISBLANK('A-RACHNATMAK'!AT47)),"C","")))</f>
        <v/>
      </c>
      <c r="AR38" s="622" t="str">
        <f>IF(NOT(ISBLANK('A-RACHNATMAK'!AU49)),"A",IF(NOT(ISBLANK('A-RACHNATMAK'!AU48)),"B",IF(NOT(ISBLANK('A-RACHNATMAK'!AU47)),"C","")))</f>
        <v/>
      </c>
      <c r="AS38" s="622" t="str">
        <f>IF(NOT(ISBLANK('A-RACHNATMAK'!AV49)),"A",IF(NOT(ISBLANK('A-RACHNATMAK'!AV48)),"B",IF(NOT(ISBLANK('A-RACHNATMAK'!AV47)),"C","")))</f>
        <v/>
      </c>
      <c r="AT38" s="622" t="str">
        <f>IF(NOT(ISBLANK('A-RACHNATMAK'!AW49)),"A",IF(NOT(ISBLANK('A-RACHNATMAK'!AW48)),"B",IF(NOT(ISBLANK('A-RACHNATMAK'!AW47)),"C","")))</f>
        <v/>
      </c>
      <c r="AU38" s="622">
        <f t="shared" ref="AU38" si="69">COUNTIF(AA38:AT38,"A")</f>
        <v>0</v>
      </c>
      <c r="AV38" s="622">
        <f t="shared" ref="AV38" si="70">COUNTIF(AA38:AT38,"B")</f>
        <v>0</v>
      </c>
      <c r="AW38" s="622">
        <f t="shared" ref="AW38" si="71">COUNTIF(AA38:AT38,"C")</f>
        <v>0</v>
      </c>
    </row>
    <row r="39" spans="1:49" s="330" customFormat="1" ht="8.25" customHeight="1">
      <c r="A39" s="623"/>
      <c r="B39" s="622"/>
      <c r="C39" s="622"/>
      <c r="D39" s="622"/>
      <c r="E39" s="622"/>
      <c r="F39" s="622"/>
      <c r="G39" s="622"/>
      <c r="H39" s="622"/>
      <c r="I39" s="622"/>
      <c r="J39" s="622"/>
      <c r="K39" s="622"/>
      <c r="L39" s="622"/>
      <c r="M39" s="622"/>
      <c r="N39" s="622"/>
      <c r="O39" s="622"/>
      <c r="P39" s="622"/>
      <c r="Q39" s="622"/>
      <c r="R39" s="622"/>
      <c r="S39" s="622"/>
      <c r="T39" s="622"/>
      <c r="U39" s="622"/>
      <c r="V39" s="622"/>
      <c r="W39" s="622"/>
      <c r="X39" s="622"/>
      <c r="Z39" s="623"/>
      <c r="AA39" s="622"/>
      <c r="AB39" s="622"/>
      <c r="AC39" s="622"/>
      <c r="AD39" s="622"/>
      <c r="AE39" s="622"/>
      <c r="AF39" s="622"/>
      <c r="AG39" s="622"/>
      <c r="AH39" s="622"/>
      <c r="AI39" s="622"/>
      <c r="AJ39" s="622"/>
      <c r="AK39" s="622"/>
      <c r="AL39" s="622"/>
      <c r="AM39" s="622"/>
      <c r="AN39" s="622"/>
      <c r="AO39" s="622"/>
      <c r="AP39" s="622"/>
      <c r="AQ39" s="622"/>
      <c r="AR39" s="622"/>
      <c r="AS39" s="622"/>
      <c r="AT39" s="622"/>
      <c r="AU39" s="622"/>
      <c r="AV39" s="622"/>
      <c r="AW39" s="622"/>
    </row>
    <row r="40" spans="1:49" s="330" customFormat="1" ht="8.25" customHeight="1">
      <c r="A40" s="623"/>
      <c r="B40" s="622"/>
      <c r="C40" s="622"/>
      <c r="D40" s="622"/>
      <c r="E40" s="622"/>
      <c r="F40" s="622"/>
      <c r="G40" s="622"/>
      <c r="H40" s="622"/>
      <c r="I40" s="622"/>
      <c r="J40" s="622"/>
      <c r="K40" s="622"/>
      <c r="L40" s="622"/>
      <c r="M40" s="622"/>
      <c r="N40" s="622"/>
      <c r="O40" s="622"/>
      <c r="P40" s="622"/>
      <c r="Q40" s="622"/>
      <c r="R40" s="622"/>
      <c r="S40" s="622"/>
      <c r="T40" s="622"/>
      <c r="U40" s="622"/>
      <c r="V40" s="622"/>
      <c r="W40" s="622"/>
      <c r="X40" s="622"/>
      <c r="Z40" s="623"/>
      <c r="AA40" s="622"/>
      <c r="AB40" s="622"/>
      <c r="AC40" s="622"/>
      <c r="AD40" s="622"/>
      <c r="AE40" s="622"/>
      <c r="AF40" s="622"/>
      <c r="AG40" s="622"/>
      <c r="AH40" s="622"/>
      <c r="AI40" s="622"/>
      <c r="AJ40" s="622"/>
      <c r="AK40" s="622"/>
      <c r="AL40" s="622"/>
      <c r="AM40" s="622"/>
      <c r="AN40" s="622"/>
      <c r="AO40" s="622"/>
      <c r="AP40" s="622"/>
      <c r="AQ40" s="622"/>
      <c r="AR40" s="622"/>
      <c r="AS40" s="622"/>
      <c r="AT40" s="622"/>
      <c r="AU40" s="622"/>
      <c r="AV40" s="622"/>
      <c r="AW40" s="622"/>
    </row>
    <row r="41" spans="1:49" s="330" customFormat="1" ht="8.25" customHeight="1">
      <c r="A41" s="623">
        <v>14</v>
      </c>
      <c r="B41" s="622" t="str">
        <f>IF(NOT(ISBLANK('A-RACHNATMAK'!C52)),"A",IF(NOT(ISBLANK('A-RACHNATMAK'!C51)),"B",IF(NOT(ISBLANK('A-RACHNATMAK'!C50)),"C","")))</f>
        <v/>
      </c>
      <c r="C41" s="622" t="str">
        <f>IF(NOT(ISBLANK('A-RACHNATMAK'!D52)),"A",IF(NOT(ISBLANK('A-RACHNATMAK'!D51)),"B",IF(NOT(ISBLANK('A-RACHNATMAK'!D50)),"C","")))</f>
        <v/>
      </c>
      <c r="D41" s="622" t="str">
        <f>IF(NOT(ISBLANK('A-RACHNATMAK'!E52)),"A",IF(NOT(ISBLANK('A-RACHNATMAK'!E51)),"B",IF(NOT(ISBLANK('A-RACHNATMAK'!E50)),"C","")))</f>
        <v/>
      </c>
      <c r="E41" s="622" t="str">
        <f>IF(NOT(ISBLANK('A-RACHNATMAK'!F52)),"A",IF(NOT(ISBLANK('A-RACHNATMAK'!F51)),"B",IF(NOT(ISBLANK('A-RACHNATMAK'!F50)),"C","")))</f>
        <v/>
      </c>
      <c r="F41" s="622" t="str">
        <f>IF(NOT(ISBLANK('A-RACHNATMAK'!G52)),"A",IF(NOT(ISBLANK('A-RACHNATMAK'!G51)),"B",IF(NOT(ISBLANK('A-RACHNATMAK'!G50)),"C","")))</f>
        <v/>
      </c>
      <c r="G41" s="622" t="str">
        <f>IF(NOT(ISBLANK('A-RACHNATMAK'!H52)),"A",IF(NOT(ISBLANK('A-RACHNATMAK'!H51)),"B",IF(NOT(ISBLANK('A-RACHNATMAK'!H50)),"C","")))</f>
        <v/>
      </c>
      <c r="H41" s="622" t="str">
        <f>IF(NOT(ISBLANK('A-RACHNATMAK'!I52)),"A",IF(NOT(ISBLANK('A-RACHNATMAK'!I51)),"B",IF(NOT(ISBLANK('A-RACHNATMAK'!I50)),"C","")))</f>
        <v/>
      </c>
      <c r="I41" s="622" t="str">
        <f>IF(NOT(ISBLANK('A-RACHNATMAK'!J52)),"A",IF(NOT(ISBLANK('A-RACHNATMAK'!J51)),"B",IF(NOT(ISBLANK('A-RACHNATMAK'!J50)),"C","")))</f>
        <v/>
      </c>
      <c r="J41" s="622" t="str">
        <f>IF(NOT(ISBLANK('A-RACHNATMAK'!K52)),"A",IF(NOT(ISBLANK('A-RACHNATMAK'!K51)),"B",IF(NOT(ISBLANK('A-RACHNATMAK'!K50)),"C","")))</f>
        <v/>
      </c>
      <c r="K41" s="622" t="str">
        <f>IF(NOT(ISBLANK('A-RACHNATMAK'!L52)),"A",IF(NOT(ISBLANK('A-RACHNATMAK'!L51)),"B",IF(NOT(ISBLANK('A-RACHNATMAK'!L50)),"C","")))</f>
        <v/>
      </c>
      <c r="L41" s="622" t="str">
        <f>IF(NOT(ISBLANK('A-RACHNATMAK'!M52)),"A",IF(NOT(ISBLANK('A-RACHNATMAK'!M51)),"B",IF(NOT(ISBLANK('A-RACHNATMAK'!M50)),"C","")))</f>
        <v/>
      </c>
      <c r="M41" s="622" t="str">
        <f>IF(NOT(ISBLANK('A-RACHNATMAK'!N52)),"A",IF(NOT(ISBLANK('A-RACHNATMAK'!N51)),"B",IF(NOT(ISBLANK('A-RACHNATMAK'!N50)),"C","")))</f>
        <v/>
      </c>
      <c r="N41" s="622" t="str">
        <f>IF(NOT(ISBLANK('A-RACHNATMAK'!O52)),"A",IF(NOT(ISBLANK('A-RACHNATMAK'!O51)),"B",IF(NOT(ISBLANK('A-RACHNATMAK'!O50)),"C","")))</f>
        <v/>
      </c>
      <c r="O41" s="622" t="str">
        <f>IF(NOT(ISBLANK('A-RACHNATMAK'!P52)),"A",IF(NOT(ISBLANK('A-RACHNATMAK'!P51)),"B",IF(NOT(ISBLANK('A-RACHNATMAK'!P50)),"C","")))</f>
        <v/>
      </c>
      <c r="P41" s="622" t="str">
        <f>IF(NOT(ISBLANK('A-RACHNATMAK'!Q52)),"A",IF(NOT(ISBLANK('A-RACHNATMAK'!Q51)),"B",IF(NOT(ISBLANK('A-RACHNATMAK'!Q50)),"C","")))</f>
        <v/>
      </c>
      <c r="Q41" s="622" t="str">
        <f>IF(NOT(ISBLANK('A-RACHNATMAK'!R52)),"A",IF(NOT(ISBLANK('A-RACHNATMAK'!R51)),"B",IF(NOT(ISBLANK('A-RACHNATMAK'!R50)),"C","")))</f>
        <v/>
      </c>
      <c r="R41" s="622" t="str">
        <f>IF(NOT(ISBLANK('A-RACHNATMAK'!S52)),"A",IF(NOT(ISBLANK('A-RACHNATMAK'!S51)),"B",IF(NOT(ISBLANK('A-RACHNATMAK'!S50)),"C","")))</f>
        <v/>
      </c>
      <c r="S41" s="622" t="str">
        <f>IF(NOT(ISBLANK('A-RACHNATMAK'!T52)),"A",IF(NOT(ISBLANK('A-RACHNATMAK'!T51)),"B",IF(NOT(ISBLANK('A-RACHNATMAK'!T50)),"C","")))</f>
        <v/>
      </c>
      <c r="T41" s="622" t="str">
        <f>IF(NOT(ISBLANK('A-RACHNATMAK'!U52)),"A",IF(NOT(ISBLANK('A-RACHNATMAK'!U51)),"B",IF(NOT(ISBLANK('A-RACHNATMAK'!U50)),"C","")))</f>
        <v/>
      </c>
      <c r="U41" s="622" t="str">
        <f>IF(NOT(ISBLANK('A-RACHNATMAK'!V52)),"A",IF(NOT(ISBLANK('A-RACHNATMAK'!V51)),"B",IF(NOT(ISBLANK('A-RACHNATMAK'!V50)),"C","")))</f>
        <v/>
      </c>
      <c r="V41" s="622">
        <f t="shared" ref="V41" si="72">COUNTIF(B41:U41,"A")</f>
        <v>0</v>
      </c>
      <c r="W41" s="622">
        <f t="shared" ref="W41" si="73">COUNTIF(B41:U41,"B")</f>
        <v>0</v>
      </c>
      <c r="X41" s="622">
        <f t="shared" ref="X41" si="74">COUNTIF(B41:U41,"C")</f>
        <v>0</v>
      </c>
      <c r="Z41" s="623">
        <v>14</v>
      </c>
      <c r="AA41" s="622" t="str">
        <f>IF(NOT(ISBLANK('A-RACHNATMAK'!AD52)),"A",IF(NOT(ISBLANK('A-RACHNATMAK'!AD51)),"B",IF(NOT(ISBLANK('A-RACHNATMAK'!AD50)),"C","")))</f>
        <v/>
      </c>
      <c r="AB41" s="622" t="str">
        <f>IF(NOT(ISBLANK('A-RACHNATMAK'!AE52)),"A",IF(NOT(ISBLANK('A-RACHNATMAK'!AE51)),"B",IF(NOT(ISBLANK('A-RACHNATMAK'!AE50)),"C","")))</f>
        <v/>
      </c>
      <c r="AC41" s="622" t="str">
        <f>IF(NOT(ISBLANK('A-RACHNATMAK'!AF52)),"A",IF(NOT(ISBLANK('A-RACHNATMAK'!AF51)),"B",IF(NOT(ISBLANK('A-RACHNATMAK'!AF50)),"C","")))</f>
        <v/>
      </c>
      <c r="AD41" s="622" t="str">
        <f>IF(NOT(ISBLANK('A-RACHNATMAK'!AG52)),"A",IF(NOT(ISBLANK('A-RACHNATMAK'!AG51)),"B",IF(NOT(ISBLANK('A-RACHNATMAK'!AG50)),"C","")))</f>
        <v/>
      </c>
      <c r="AE41" s="622" t="str">
        <f>IF(NOT(ISBLANK('A-RACHNATMAK'!AH52)),"A",IF(NOT(ISBLANK('A-RACHNATMAK'!AH51)),"B",IF(NOT(ISBLANK('A-RACHNATMAK'!AH50)),"C","")))</f>
        <v/>
      </c>
      <c r="AF41" s="622" t="str">
        <f>IF(NOT(ISBLANK('A-RACHNATMAK'!AI52)),"A",IF(NOT(ISBLANK('A-RACHNATMAK'!AI51)),"B",IF(NOT(ISBLANK('A-RACHNATMAK'!AI50)),"C","")))</f>
        <v/>
      </c>
      <c r="AG41" s="622" t="str">
        <f>IF(NOT(ISBLANK('A-RACHNATMAK'!AJ52)),"A",IF(NOT(ISBLANK('A-RACHNATMAK'!AJ51)),"B",IF(NOT(ISBLANK('A-RACHNATMAK'!AJ50)),"C","")))</f>
        <v/>
      </c>
      <c r="AH41" s="622" t="str">
        <f>IF(NOT(ISBLANK('A-RACHNATMAK'!AK52)),"A",IF(NOT(ISBLANK('A-RACHNATMAK'!AK51)),"B",IF(NOT(ISBLANK('A-RACHNATMAK'!AK50)),"C","")))</f>
        <v/>
      </c>
      <c r="AI41" s="622" t="str">
        <f>IF(NOT(ISBLANK('A-RACHNATMAK'!AL52)),"A",IF(NOT(ISBLANK('A-RACHNATMAK'!AL51)),"B",IF(NOT(ISBLANK('A-RACHNATMAK'!AL50)),"C","")))</f>
        <v/>
      </c>
      <c r="AJ41" s="622" t="str">
        <f>IF(NOT(ISBLANK('A-RACHNATMAK'!AM52)),"A",IF(NOT(ISBLANK('A-RACHNATMAK'!AM51)),"B",IF(NOT(ISBLANK('A-RACHNATMAK'!AM50)),"C","")))</f>
        <v/>
      </c>
      <c r="AK41" s="622" t="str">
        <f>IF(NOT(ISBLANK('A-RACHNATMAK'!AN52)),"A",IF(NOT(ISBLANK('A-RACHNATMAK'!AN51)),"B",IF(NOT(ISBLANK('A-RACHNATMAK'!AN50)),"C","")))</f>
        <v/>
      </c>
      <c r="AL41" s="622" t="str">
        <f>IF(NOT(ISBLANK('A-RACHNATMAK'!AO52)),"A",IF(NOT(ISBLANK('A-RACHNATMAK'!AO51)),"B",IF(NOT(ISBLANK('A-RACHNATMAK'!AO50)),"C","")))</f>
        <v/>
      </c>
      <c r="AM41" s="622" t="str">
        <f>IF(NOT(ISBLANK('A-RACHNATMAK'!AP52)),"A",IF(NOT(ISBLANK('A-RACHNATMAK'!AP51)),"B",IF(NOT(ISBLANK('A-RACHNATMAK'!AP50)),"C","")))</f>
        <v/>
      </c>
      <c r="AN41" s="622" t="str">
        <f>IF(NOT(ISBLANK('A-RACHNATMAK'!AQ52)),"A",IF(NOT(ISBLANK('A-RACHNATMAK'!AQ51)),"B",IF(NOT(ISBLANK('A-RACHNATMAK'!AQ50)),"C","")))</f>
        <v/>
      </c>
      <c r="AO41" s="622" t="str">
        <f>IF(NOT(ISBLANK('A-RACHNATMAK'!AR52)),"A",IF(NOT(ISBLANK('A-RACHNATMAK'!AR51)),"B",IF(NOT(ISBLANK('A-RACHNATMAK'!AR50)),"C","")))</f>
        <v/>
      </c>
      <c r="AP41" s="622" t="str">
        <f>IF(NOT(ISBLANK('A-RACHNATMAK'!AS52)),"A",IF(NOT(ISBLANK('A-RACHNATMAK'!AS51)),"B",IF(NOT(ISBLANK('A-RACHNATMAK'!AS50)),"C","")))</f>
        <v/>
      </c>
      <c r="AQ41" s="622" t="str">
        <f>IF(NOT(ISBLANK('A-RACHNATMAK'!AT52)),"A",IF(NOT(ISBLANK('A-RACHNATMAK'!AT51)),"B",IF(NOT(ISBLANK('A-RACHNATMAK'!AT50)),"C","")))</f>
        <v/>
      </c>
      <c r="AR41" s="622" t="str">
        <f>IF(NOT(ISBLANK('A-RACHNATMAK'!AU52)),"A",IF(NOT(ISBLANK('A-RACHNATMAK'!AU51)),"B",IF(NOT(ISBLANK('A-RACHNATMAK'!AU50)),"C","")))</f>
        <v/>
      </c>
      <c r="AS41" s="622" t="str">
        <f>IF(NOT(ISBLANK('A-RACHNATMAK'!AV52)),"A",IF(NOT(ISBLANK('A-RACHNATMAK'!AV51)),"B",IF(NOT(ISBLANK('A-RACHNATMAK'!AV50)),"C","")))</f>
        <v/>
      </c>
      <c r="AT41" s="622" t="str">
        <f>IF(NOT(ISBLANK('A-RACHNATMAK'!AW52)),"A",IF(NOT(ISBLANK('A-RACHNATMAK'!AW51)),"B",IF(NOT(ISBLANK('A-RACHNATMAK'!AW50)),"C","")))</f>
        <v/>
      </c>
      <c r="AU41" s="622">
        <f t="shared" ref="AU41" si="75">COUNTIF(AA41:AT41,"A")</f>
        <v>0</v>
      </c>
      <c r="AV41" s="622">
        <f t="shared" ref="AV41" si="76">COUNTIF(AA41:AT41,"B")</f>
        <v>0</v>
      </c>
      <c r="AW41" s="622">
        <f t="shared" ref="AW41" si="77">COUNTIF(AA41:AT41,"C")</f>
        <v>0</v>
      </c>
    </row>
    <row r="42" spans="1:49" s="330" customFormat="1" ht="8.25" customHeight="1">
      <c r="A42" s="623"/>
      <c r="B42" s="622"/>
      <c r="C42" s="622"/>
      <c r="D42" s="622"/>
      <c r="E42" s="622"/>
      <c r="F42" s="622"/>
      <c r="G42" s="622"/>
      <c r="H42" s="622"/>
      <c r="I42" s="622"/>
      <c r="J42" s="622"/>
      <c r="K42" s="622"/>
      <c r="L42" s="622"/>
      <c r="M42" s="622"/>
      <c r="N42" s="622"/>
      <c r="O42" s="622"/>
      <c r="P42" s="622"/>
      <c r="Q42" s="622"/>
      <c r="R42" s="622"/>
      <c r="S42" s="622"/>
      <c r="T42" s="622"/>
      <c r="U42" s="622"/>
      <c r="V42" s="622"/>
      <c r="W42" s="622"/>
      <c r="X42" s="622"/>
      <c r="Z42" s="623"/>
      <c r="AA42" s="622"/>
      <c r="AB42" s="622"/>
      <c r="AC42" s="622"/>
      <c r="AD42" s="622"/>
      <c r="AE42" s="622"/>
      <c r="AF42" s="622"/>
      <c r="AG42" s="622"/>
      <c r="AH42" s="622"/>
      <c r="AI42" s="622"/>
      <c r="AJ42" s="622"/>
      <c r="AK42" s="622"/>
      <c r="AL42" s="622"/>
      <c r="AM42" s="622"/>
      <c r="AN42" s="622"/>
      <c r="AO42" s="622"/>
      <c r="AP42" s="622"/>
      <c r="AQ42" s="622"/>
      <c r="AR42" s="622"/>
      <c r="AS42" s="622"/>
      <c r="AT42" s="622"/>
      <c r="AU42" s="622"/>
      <c r="AV42" s="622"/>
      <c r="AW42" s="622"/>
    </row>
    <row r="43" spans="1:49" s="330" customFormat="1" ht="8.25" customHeight="1">
      <c r="A43" s="623"/>
      <c r="B43" s="622"/>
      <c r="C43" s="622"/>
      <c r="D43" s="622"/>
      <c r="E43" s="622"/>
      <c r="F43" s="622"/>
      <c r="G43" s="622"/>
      <c r="H43" s="622"/>
      <c r="I43" s="622"/>
      <c r="J43" s="622"/>
      <c r="K43" s="622"/>
      <c r="L43" s="622"/>
      <c r="M43" s="622"/>
      <c r="N43" s="622"/>
      <c r="O43" s="622"/>
      <c r="P43" s="622"/>
      <c r="Q43" s="622"/>
      <c r="R43" s="622"/>
      <c r="S43" s="622"/>
      <c r="T43" s="622"/>
      <c r="U43" s="622"/>
      <c r="V43" s="622"/>
      <c r="W43" s="622"/>
      <c r="X43" s="622"/>
      <c r="Z43" s="623"/>
      <c r="AA43" s="622"/>
      <c r="AB43" s="622"/>
      <c r="AC43" s="622"/>
      <c r="AD43" s="622"/>
      <c r="AE43" s="622"/>
      <c r="AF43" s="622"/>
      <c r="AG43" s="622"/>
      <c r="AH43" s="622"/>
      <c r="AI43" s="622"/>
      <c r="AJ43" s="622"/>
      <c r="AK43" s="622"/>
      <c r="AL43" s="622"/>
      <c r="AM43" s="622"/>
      <c r="AN43" s="622"/>
      <c r="AO43" s="622"/>
      <c r="AP43" s="622"/>
      <c r="AQ43" s="622"/>
      <c r="AR43" s="622"/>
      <c r="AS43" s="622"/>
      <c r="AT43" s="622"/>
      <c r="AU43" s="622"/>
      <c r="AV43" s="622"/>
      <c r="AW43" s="622"/>
    </row>
    <row r="44" spans="1:49" s="330" customFormat="1" ht="8.25" customHeight="1">
      <c r="A44" s="623">
        <v>15</v>
      </c>
      <c r="B44" s="622" t="str">
        <f>IF(NOT(ISBLANK('A-RACHNATMAK'!C55)),"A",IF(NOT(ISBLANK('A-RACHNATMAK'!C54)),"B",IF(NOT(ISBLANK('A-RACHNATMAK'!C53)),"C","")))</f>
        <v/>
      </c>
      <c r="C44" s="622" t="str">
        <f>IF(NOT(ISBLANK('A-RACHNATMAK'!D55)),"A",IF(NOT(ISBLANK('A-RACHNATMAK'!D54)),"B",IF(NOT(ISBLANK('A-RACHNATMAK'!D53)),"C","")))</f>
        <v/>
      </c>
      <c r="D44" s="622" t="str">
        <f>IF(NOT(ISBLANK('A-RACHNATMAK'!E55)),"A",IF(NOT(ISBLANK('A-RACHNATMAK'!E54)),"B",IF(NOT(ISBLANK('A-RACHNATMAK'!E53)),"C","")))</f>
        <v/>
      </c>
      <c r="E44" s="622" t="str">
        <f>IF(NOT(ISBLANK('A-RACHNATMAK'!F55)),"A",IF(NOT(ISBLANK('A-RACHNATMAK'!F54)),"B",IF(NOT(ISBLANK('A-RACHNATMAK'!F53)),"C","")))</f>
        <v/>
      </c>
      <c r="F44" s="622" t="str">
        <f>IF(NOT(ISBLANK('A-RACHNATMAK'!G55)),"A",IF(NOT(ISBLANK('A-RACHNATMAK'!G54)),"B",IF(NOT(ISBLANK('A-RACHNATMAK'!G53)),"C","")))</f>
        <v/>
      </c>
      <c r="G44" s="622" t="str">
        <f>IF(NOT(ISBLANK('A-RACHNATMAK'!H55)),"A",IF(NOT(ISBLANK('A-RACHNATMAK'!H54)),"B",IF(NOT(ISBLANK('A-RACHNATMAK'!H53)),"C","")))</f>
        <v/>
      </c>
      <c r="H44" s="622" t="str">
        <f>IF(NOT(ISBLANK('A-RACHNATMAK'!I55)),"A",IF(NOT(ISBLANK('A-RACHNATMAK'!I54)),"B",IF(NOT(ISBLANK('A-RACHNATMAK'!I53)),"C","")))</f>
        <v/>
      </c>
      <c r="I44" s="622" t="str">
        <f>IF(NOT(ISBLANK('A-RACHNATMAK'!J55)),"A",IF(NOT(ISBLANK('A-RACHNATMAK'!J54)),"B",IF(NOT(ISBLANK('A-RACHNATMAK'!J53)),"C","")))</f>
        <v/>
      </c>
      <c r="J44" s="622" t="str">
        <f>IF(NOT(ISBLANK('A-RACHNATMAK'!K55)),"A",IF(NOT(ISBLANK('A-RACHNATMAK'!K54)),"B",IF(NOT(ISBLANK('A-RACHNATMAK'!K53)),"C","")))</f>
        <v/>
      </c>
      <c r="K44" s="622" t="str">
        <f>IF(NOT(ISBLANK('A-RACHNATMAK'!L55)),"A",IF(NOT(ISBLANK('A-RACHNATMAK'!L54)),"B",IF(NOT(ISBLANK('A-RACHNATMAK'!L53)),"C","")))</f>
        <v/>
      </c>
      <c r="L44" s="622" t="str">
        <f>IF(NOT(ISBLANK('A-RACHNATMAK'!M55)),"A",IF(NOT(ISBLANK('A-RACHNATMAK'!M54)),"B",IF(NOT(ISBLANK('A-RACHNATMAK'!M53)),"C","")))</f>
        <v/>
      </c>
      <c r="M44" s="622" t="str">
        <f>IF(NOT(ISBLANK('A-RACHNATMAK'!N55)),"A",IF(NOT(ISBLANK('A-RACHNATMAK'!N54)),"B",IF(NOT(ISBLANK('A-RACHNATMAK'!N53)),"C","")))</f>
        <v/>
      </c>
      <c r="N44" s="622" t="str">
        <f>IF(NOT(ISBLANK('A-RACHNATMAK'!O55)),"A",IF(NOT(ISBLANK('A-RACHNATMAK'!O54)),"B",IF(NOT(ISBLANK('A-RACHNATMAK'!O53)),"C","")))</f>
        <v/>
      </c>
      <c r="O44" s="622" t="str">
        <f>IF(NOT(ISBLANK('A-RACHNATMAK'!P55)),"A",IF(NOT(ISBLANK('A-RACHNATMAK'!P54)),"B",IF(NOT(ISBLANK('A-RACHNATMAK'!P53)),"C","")))</f>
        <v/>
      </c>
      <c r="P44" s="622" t="str">
        <f>IF(NOT(ISBLANK('A-RACHNATMAK'!Q55)),"A",IF(NOT(ISBLANK('A-RACHNATMAK'!Q54)),"B",IF(NOT(ISBLANK('A-RACHNATMAK'!Q53)),"C","")))</f>
        <v/>
      </c>
      <c r="Q44" s="622" t="str">
        <f>IF(NOT(ISBLANK('A-RACHNATMAK'!R55)),"A",IF(NOT(ISBLANK('A-RACHNATMAK'!R54)),"B",IF(NOT(ISBLANK('A-RACHNATMAK'!R53)),"C","")))</f>
        <v/>
      </c>
      <c r="R44" s="622" t="str">
        <f>IF(NOT(ISBLANK('A-RACHNATMAK'!S55)),"A",IF(NOT(ISBLANK('A-RACHNATMAK'!S54)),"B",IF(NOT(ISBLANK('A-RACHNATMAK'!S53)),"C","")))</f>
        <v/>
      </c>
      <c r="S44" s="622" t="str">
        <f>IF(NOT(ISBLANK('A-RACHNATMAK'!T55)),"A",IF(NOT(ISBLANK('A-RACHNATMAK'!T54)),"B",IF(NOT(ISBLANK('A-RACHNATMAK'!T53)),"C","")))</f>
        <v/>
      </c>
      <c r="T44" s="622" t="str">
        <f>IF(NOT(ISBLANK('A-RACHNATMAK'!U55)),"A",IF(NOT(ISBLANK('A-RACHNATMAK'!U54)),"B",IF(NOT(ISBLANK('A-RACHNATMAK'!U53)),"C","")))</f>
        <v/>
      </c>
      <c r="U44" s="622" t="str">
        <f>IF(NOT(ISBLANK('A-RACHNATMAK'!V55)),"A",IF(NOT(ISBLANK('A-RACHNATMAK'!V54)),"B",IF(NOT(ISBLANK('A-RACHNATMAK'!V53)),"C","")))</f>
        <v/>
      </c>
      <c r="V44" s="622">
        <f t="shared" ref="V44" si="78">COUNTIF(B44:U44,"A")</f>
        <v>0</v>
      </c>
      <c r="W44" s="622">
        <f t="shared" ref="W44" si="79">COUNTIF(B44:U44,"B")</f>
        <v>0</v>
      </c>
      <c r="X44" s="622">
        <f t="shared" ref="X44" si="80">COUNTIF(B44:U44,"C")</f>
        <v>0</v>
      </c>
      <c r="Z44" s="623">
        <v>15</v>
      </c>
      <c r="AA44" s="622" t="str">
        <f>IF(NOT(ISBLANK('A-RACHNATMAK'!AD55)),"A",IF(NOT(ISBLANK('A-RACHNATMAK'!AD54)),"B",IF(NOT(ISBLANK('A-RACHNATMAK'!AD53)),"C","")))</f>
        <v/>
      </c>
      <c r="AB44" s="622" t="str">
        <f>IF(NOT(ISBLANK('A-RACHNATMAK'!AE55)),"A",IF(NOT(ISBLANK('A-RACHNATMAK'!AE54)),"B",IF(NOT(ISBLANK('A-RACHNATMAK'!AE53)),"C","")))</f>
        <v/>
      </c>
      <c r="AC44" s="622" t="str">
        <f>IF(NOT(ISBLANK('A-RACHNATMAK'!AF55)),"A",IF(NOT(ISBLANK('A-RACHNATMAK'!AF54)),"B",IF(NOT(ISBLANK('A-RACHNATMAK'!AF53)),"C","")))</f>
        <v/>
      </c>
      <c r="AD44" s="622" t="str">
        <f>IF(NOT(ISBLANK('A-RACHNATMAK'!AG55)),"A",IF(NOT(ISBLANK('A-RACHNATMAK'!AG54)),"B",IF(NOT(ISBLANK('A-RACHNATMAK'!AG53)),"C","")))</f>
        <v/>
      </c>
      <c r="AE44" s="622" t="str">
        <f>IF(NOT(ISBLANK('A-RACHNATMAK'!AH55)),"A",IF(NOT(ISBLANK('A-RACHNATMAK'!AH54)),"B",IF(NOT(ISBLANK('A-RACHNATMAK'!AH53)),"C","")))</f>
        <v/>
      </c>
      <c r="AF44" s="622" t="str">
        <f>IF(NOT(ISBLANK('A-RACHNATMAK'!AI55)),"A",IF(NOT(ISBLANK('A-RACHNATMAK'!AI54)),"B",IF(NOT(ISBLANK('A-RACHNATMAK'!AI53)),"C","")))</f>
        <v/>
      </c>
      <c r="AG44" s="622" t="str">
        <f>IF(NOT(ISBLANK('A-RACHNATMAK'!AJ55)),"A",IF(NOT(ISBLANK('A-RACHNATMAK'!AJ54)),"B",IF(NOT(ISBLANK('A-RACHNATMAK'!AJ53)),"C","")))</f>
        <v/>
      </c>
      <c r="AH44" s="622" t="str">
        <f>IF(NOT(ISBLANK('A-RACHNATMAK'!AK55)),"A",IF(NOT(ISBLANK('A-RACHNATMAK'!AK54)),"B",IF(NOT(ISBLANK('A-RACHNATMAK'!AK53)),"C","")))</f>
        <v/>
      </c>
      <c r="AI44" s="622" t="str">
        <f>IF(NOT(ISBLANK('A-RACHNATMAK'!AL55)),"A",IF(NOT(ISBLANK('A-RACHNATMAK'!AL54)),"B",IF(NOT(ISBLANK('A-RACHNATMAK'!AL53)),"C","")))</f>
        <v/>
      </c>
      <c r="AJ44" s="622" t="str">
        <f>IF(NOT(ISBLANK('A-RACHNATMAK'!AM55)),"A",IF(NOT(ISBLANK('A-RACHNATMAK'!AM54)),"B",IF(NOT(ISBLANK('A-RACHNATMAK'!AM53)),"C","")))</f>
        <v/>
      </c>
      <c r="AK44" s="622" t="str">
        <f>IF(NOT(ISBLANK('A-RACHNATMAK'!AN55)),"A",IF(NOT(ISBLANK('A-RACHNATMAK'!AN54)),"B",IF(NOT(ISBLANK('A-RACHNATMAK'!AN53)),"C","")))</f>
        <v/>
      </c>
      <c r="AL44" s="622" t="str">
        <f>IF(NOT(ISBLANK('A-RACHNATMAK'!AO55)),"A",IF(NOT(ISBLANK('A-RACHNATMAK'!AO54)),"B",IF(NOT(ISBLANK('A-RACHNATMAK'!AO53)),"C","")))</f>
        <v/>
      </c>
      <c r="AM44" s="622" t="str">
        <f>IF(NOT(ISBLANK('A-RACHNATMAK'!AP55)),"A",IF(NOT(ISBLANK('A-RACHNATMAK'!AP54)),"B",IF(NOT(ISBLANK('A-RACHNATMAK'!AP53)),"C","")))</f>
        <v/>
      </c>
      <c r="AN44" s="622" t="str">
        <f>IF(NOT(ISBLANK('A-RACHNATMAK'!AQ55)),"A",IF(NOT(ISBLANK('A-RACHNATMAK'!AQ54)),"B",IF(NOT(ISBLANK('A-RACHNATMAK'!AQ53)),"C","")))</f>
        <v/>
      </c>
      <c r="AO44" s="622" t="str">
        <f>IF(NOT(ISBLANK('A-RACHNATMAK'!AR55)),"A",IF(NOT(ISBLANK('A-RACHNATMAK'!AR54)),"B",IF(NOT(ISBLANK('A-RACHNATMAK'!AR53)),"C","")))</f>
        <v/>
      </c>
      <c r="AP44" s="622" t="str">
        <f>IF(NOT(ISBLANK('A-RACHNATMAK'!AS55)),"A",IF(NOT(ISBLANK('A-RACHNATMAK'!AS54)),"B",IF(NOT(ISBLANK('A-RACHNATMAK'!AS53)),"C","")))</f>
        <v/>
      </c>
      <c r="AQ44" s="622" t="str">
        <f>IF(NOT(ISBLANK('A-RACHNATMAK'!AT55)),"A",IF(NOT(ISBLANK('A-RACHNATMAK'!AT54)),"B",IF(NOT(ISBLANK('A-RACHNATMAK'!AT53)),"C","")))</f>
        <v/>
      </c>
      <c r="AR44" s="622" t="str">
        <f>IF(NOT(ISBLANK('A-RACHNATMAK'!AU55)),"A",IF(NOT(ISBLANK('A-RACHNATMAK'!AU54)),"B",IF(NOT(ISBLANK('A-RACHNATMAK'!AU53)),"C","")))</f>
        <v/>
      </c>
      <c r="AS44" s="622" t="str">
        <f>IF(NOT(ISBLANK('A-RACHNATMAK'!AV55)),"A",IF(NOT(ISBLANK('A-RACHNATMAK'!AV54)),"B",IF(NOT(ISBLANK('A-RACHNATMAK'!AV53)),"C","")))</f>
        <v/>
      </c>
      <c r="AT44" s="622" t="str">
        <f>IF(NOT(ISBLANK('A-RACHNATMAK'!AW55)),"A",IF(NOT(ISBLANK('A-RACHNATMAK'!AW54)),"B",IF(NOT(ISBLANK('A-RACHNATMAK'!AW53)),"C","")))</f>
        <v/>
      </c>
      <c r="AU44" s="622">
        <f t="shared" ref="AU44" si="81">COUNTIF(AA44:AT44,"A")</f>
        <v>0</v>
      </c>
      <c r="AV44" s="622">
        <f t="shared" ref="AV44" si="82">COUNTIF(AA44:AT44,"B")</f>
        <v>0</v>
      </c>
      <c r="AW44" s="622">
        <f t="shared" ref="AW44" si="83">COUNTIF(AA44:AT44,"C")</f>
        <v>0</v>
      </c>
    </row>
    <row r="45" spans="1:49" s="330" customFormat="1" ht="8.25" customHeight="1">
      <c r="A45" s="623"/>
      <c r="B45" s="622"/>
      <c r="C45" s="622"/>
      <c r="D45" s="622"/>
      <c r="E45" s="622"/>
      <c r="F45" s="622"/>
      <c r="G45" s="622"/>
      <c r="H45" s="622"/>
      <c r="I45" s="622"/>
      <c r="J45" s="622"/>
      <c r="K45" s="622"/>
      <c r="L45" s="622"/>
      <c r="M45" s="622"/>
      <c r="N45" s="622"/>
      <c r="O45" s="622"/>
      <c r="P45" s="622"/>
      <c r="Q45" s="622"/>
      <c r="R45" s="622"/>
      <c r="S45" s="622"/>
      <c r="T45" s="622"/>
      <c r="U45" s="622"/>
      <c r="V45" s="622"/>
      <c r="W45" s="622"/>
      <c r="X45" s="622"/>
      <c r="Z45" s="623"/>
      <c r="AA45" s="622"/>
      <c r="AB45" s="622"/>
      <c r="AC45" s="622"/>
      <c r="AD45" s="622"/>
      <c r="AE45" s="622"/>
      <c r="AF45" s="622"/>
      <c r="AG45" s="622"/>
      <c r="AH45" s="622"/>
      <c r="AI45" s="622"/>
      <c r="AJ45" s="622"/>
      <c r="AK45" s="622"/>
      <c r="AL45" s="622"/>
      <c r="AM45" s="622"/>
      <c r="AN45" s="622"/>
      <c r="AO45" s="622"/>
      <c r="AP45" s="622"/>
      <c r="AQ45" s="622"/>
      <c r="AR45" s="622"/>
      <c r="AS45" s="622"/>
      <c r="AT45" s="622"/>
      <c r="AU45" s="622"/>
      <c r="AV45" s="622"/>
      <c r="AW45" s="622"/>
    </row>
    <row r="46" spans="1:49" s="330" customFormat="1" ht="8.25" customHeight="1">
      <c r="A46" s="623"/>
      <c r="B46" s="622"/>
      <c r="C46" s="622"/>
      <c r="D46" s="622"/>
      <c r="E46" s="622"/>
      <c r="F46" s="622"/>
      <c r="G46" s="622"/>
      <c r="H46" s="622"/>
      <c r="I46" s="622"/>
      <c r="J46" s="622"/>
      <c r="K46" s="622"/>
      <c r="L46" s="622"/>
      <c r="M46" s="622"/>
      <c r="N46" s="622"/>
      <c r="O46" s="622"/>
      <c r="P46" s="622"/>
      <c r="Q46" s="622"/>
      <c r="R46" s="622"/>
      <c r="S46" s="622"/>
      <c r="T46" s="622"/>
      <c r="U46" s="622"/>
      <c r="V46" s="622"/>
      <c r="W46" s="622"/>
      <c r="X46" s="622"/>
      <c r="Z46" s="623"/>
      <c r="AA46" s="622"/>
      <c r="AB46" s="622"/>
      <c r="AC46" s="622"/>
      <c r="AD46" s="622"/>
      <c r="AE46" s="622"/>
      <c r="AF46" s="622"/>
      <c r="AG46" s="622"/>
      <c r="AH46" s="622"/>
      <c r="AI46" s="622"/>
      <c r="AJ46" s="622"/>
      <c r="AK46" s="622"/>
      <c r="AL46" s="622"/>
      <c r="AM46" s="622"/>
      <c r="AN46" s="622"/>
      <c r="AO46" s="622"/>
      <c r="AP46" s="622"/>
      <c r="AQ46" s="622"/>
      <c r="AR46" s="622"/>
      <c r="AS46" s="622"/>
      <c r="AT46" s="622"/>
      <c r="AU46" s="622"/>
      <c r="AV46" s="622"/>
      <c r="AW46" s="622"/>
    </row>
    <row r="47" spans="1:49" s="330" customFormat="1" ht="8.25" customHeight="1">
      <c r="A47" s="623">
        <v>16</v>
      </c>
      <c r="B47" s="622" t="str">
        <f>IF(NOT(ISBLANK('A-RACHNATMAK'!C58)),"A",IF(NOT(ISBLANK('A-RACHNATMAK'!C57)),"B",IF(NOT(ISBLANK('A-RACHNATMAK'!C56)),"C","")))</f>
        <v/>
      </c>
      <c r="C47" s="622" t="str">
        <f>IF(NOT(ISBLANK('A-RACHNATMAK'!D58)),"A",IF(NOT(ISBLANK('A-RACHNATMAK'!D57)),"B",IF(NOT(ISBLANK('A-RACHNATMAK'!D56)),"C","")))</f>
        <v/>
      </c>
      <c r="D47" s="622" t="str">
        <f>IF(NOT(ISBLANK('A-RACHNATMAK'!E58)),"A",IF(NOT(ISBLANK('A-RACHNATMAK'!E57)),"B",IF(NOT(ISBLANK('A-RACHNATMAK'!E56)),"C","")))</f>
        <v/>
      </c>
      <c r="E47" s="622" t="str">
        <f>IF(NOT(ISBLANK('A-RACHNATMAK'!F58)),"A",IF(NOT(ISBLANK('A-RACHNATMAK'!F57)),"B",IF(NOT(ISBLANK('A-RACHNATMAK'!F56)),"C","")))</f>
        <v/>
      </c>
      <c r="F47" s="622" t="str">
        <f>IF(NOT(ISBLANK('A-RACHNATMAK'!G58)),"A",IF(NOT(ISBLANK('A-RACHNATMAK'!G57)),"B",IF(NOT(ISBLANK('A-RACHNATMAK'!G56)),"C","")))</f>
        <v/>
      </c>
      <c r="G47" s="622" t="str">
        <f>IF(NOT(ISBLANK('A-RACHNATMAK'!H58)),"A",IF(NOT(ISBLANK('A-RACHNATMAK'!H57)),"B",IF(NOT(ISBLANK('A-RACHNATMAK'!H56)),"C","")))</f>
        <v/>
      </c>
      <c r="H47" s="622" t="str">
        <f>IF(NOT(ISBLANK('A-RACHNATMAK'!I58)),"A",IF(NOT(ISBLANK('A-RACHNATMAK'!I57)),"B",IF(NOT(ISBLANK('A-RACHNATMAK'!I56)),"C","")))</f>
        <v/>
      </c>
      <c r="I47" s="622" t="str">
        <f>IF(NOT(ISBLANK('A-RACHNATMAK'!J58)),"A",IF(NOT(ISBLANK('A-RACHNATMAK'!J57)),"B",IF(NOT(ISBLANK('A-RACHNATMAK'!J56)),"C","")))</f>
        <v/>
      </c>
      <c r="J47" s="622" t="str">
        <f>IF(NOT(ISBLANK('A-RACHNATMAK'!K58)),"A",IF(NOT(ISBLANK('A-RACHNATMAK'!K57)),"B",IF(NOT(ISBLANK('A-RACHNATMAK'!K56)),"C","")))</f>
        <v/>
      </c>
      <c r="K47" s="622" t="str">
        <f>IF(NOT(ISBLANK('A-RACHNATMAK'!L58)),"A",IF(NOT(ISBLANK('A-RACHNATMAK'!L57)),"B",IF(NOT(ISBLANK('A-RACHNATMAK'!L56)),"C","")))</f>
        <v/>
      </c>
      <c r="L47" s="622" t="str">
        <f>IF(NOT(ISBLANK('A-RACHNATMAK'!M58)),"A",IF(NOT(ISBLANK('A-RACHNATMAK'!M57)),"B",IF(NOT(ISBLANK('A-RACHNATMAK'!M56)),"C","")))</f>
        <v/>
      </c>
      <c r="M47" s="622" t="str">
        <f>IF(NOT(ISBLANK('A-RACHNATMAK'!N58)),"A",IF(NOT(ISBLANK('A-RACHNATMAK'!N57)),"B",IF(NOT(ISBLANK('A-RACHNATMAK'!N56)),"C","")))</f>
        <v/>
      </c>
      <c r="N47" s="622" t="str">
        <f>IF(NOT(ISBLANK('A-RACHNATMAK'!O58)),"A",IF(NOT(ISBLANK('A-RACHNATMAK'!O57)),"B",IF(NOT(ISBLANK('A-RACHNATMAK'!O56)),"C","")))</f>
        <v/>
      </c>
      <c r="O47" s="622" t="str">
        <f>IF(NOT(ISBLANK('A-RACHNATMAK'!P58)),"A",IF(NOT(ISBLANK('A-RACHNATMAK'!P57)),"B",IF(NOT(ISBLANK('A-RACHNATMAK'!P56)),"C","")))</f>
        <v/>
      </c>
      <c r="P47" s="622" t="str">
        <f>IF(NOT(ISBLANK('A-RACHNATMAK'!Q58)),"A",IF(NOT(ISBLANK('A-RACHNATMAK'!Q57)),"B",IF(NOT(ISBLANK('A-RACHNATMAK'!Q56)),"C","")))</f>
        <v/>
      </c>
      <c r="Q47" s="622" t="str">
        <f>IF(NOT(ISBLANK('A-RACHNATMAK'!R58)),"A",IF(NOT(ISBLANK('A-RACHNATMAK'!R57)),"B",IF(NOT(ISBLANK('A-RACHNATMAK'!R56)),"C","")))</f>
        <v/>
      </c>
      <c r="R47" s="622" t="str">
        <f>IF(NOT(ISBLANK('A-RACHNATMAK'!S58)),"A",IF(NOT(ISBLANK('A-RACHNATMAK'!S57)),"B",IF(NOT(ISBLANK('A-RACHNATMAK'!S56)),"C","")))</f>
        <v/>
      </c>
      <c r="S47" s="622" t="str">
        <f>IF(NOT(ISBLANK('A-RACHNATMAK'!T58)),"A",IF(NOT(ISBLANK('A-RACHNATMAK'!T57)),"B",IF(NOT(ISBLANK('A-RACHNATMAK'!T56)),"C","")))</f>
        <v/>
      </c>
      <c r="T47" s="622" t="str">
        <f>IF(NOT(ISBLANK('A-RACHNATMAK'!U58)),"A",IF(NOT(ISBLANK('A-RACHNATMAK'!U57)),"B",IF(NOT(ISBLANK('A-RACHNATMAK'!U56)),"C","")))</f>
        <v/>
      </c>
      <c r="U47" s="622" t="str">
        <f>IF(NOT(ISBLANK('A-RACHNATMAK'!V58)),"A",IF(NOT(ISBLANK('A-RACHNATMAK'!V57)),"B",IF(NOT(ISBLANK('A-RACHNATMAK'!V56)),"C","")))</f>
        <v/>
      </c>
      <c r="V47" s="622">
        <f t="shared" ref="V47" si="84">COUNTIF(B47:U47,"A")</f>
        <v>0</v>
      </c>
      <c r="W47" s="622">
        <f t="shared" ref="W47" si="85">COUNTIF(B47:U47,"B")</f>
        <v>0</v>
      </c>
      <c r="X47" s="622">
        <f t="shared" ref="X47" si="86">COUNTIF(B47:U47,"C")</f>
        <v>0</v>
      </c>
      <c r="Z47" s="623">
        <v>16</v>
      </c>
      <c r="AA47" s="622" t="str">
        <f>IF(NOT(ISBLANK('A-RACHNATMAK'!AD58)),"A",IF(NOT(ISBLANK('A-RACHNATMAK'!AD57)),"B",IF(NOT(ISBLANK('A-RACHNATMAK'!AD56)),"C","")))</f>
        <v/>
      </c>
      <c r="AB47" s="622" t="str">
        <f>IF(NOT(ISBLANK('A-RACHNATMAK'!AE58)),"A",IF(NOT(ISBLANK('A-RACHNATMAK'!AE57)),"B",IF(NOT(ISBLANK('A-RACHNATMAK'!AE56)),"C","")))</f>
        <v/>
      </c>
      <c r="AC47" s="622" t="str">
        <f>IF(NOT(ISBLANK('A-RACHNATMAK'!AF58)),"A",IF(NOT(ISBLANK('A-RACHNATMAK'!AF57)),"B",IF(NOT(ISBLANK('A-RACHNATMAK'!AF56)),"C","")))</f>
        <v/>
      </c>
      <c r="AD47" s="622" t="str">
        <f>IF(NOT(ISBLANK('A-RACHNATMAK'!AG58)),"A",IF(NOT(ISBLANK('A-RACHNATMAK'!AG57)),"B",IF(NOT(ISBLANK('A-RACHNATMAK'!AG56)),"C","")))</f>
        <v/>
      </c>
      <c r="AE47" s="622" t="str">
        <f>IF(NOT(ISBLANK('A-RACHNATMAK'!AH58)),"A",IF(NOT(ISBLANK('A-RACHNATMAK'!AH57)),"B",IF(NOT(ISBLANK('A-RACHNATMAK'!AH56)),"C","")))</f>
        <v/>
      </c>
      <c r="AF47" s="622" t="str">
        <f>IF(NOT(ISBLANK('A-RACHNATMAK'!AI58)),"A",IF(NOT(ISBLANK('A-RACHNATMAK'!AI57)),"B",IF(NOT(ISBLANK('A-RACHNATMAK'!AI56)),"C","")))</f>
        <v/>
      </c>
      <c r="AG47" s="622" t="str">
        <f>IF(NOT(ISBLANK('A-RACHNATMAK'!AJ58)),"A",IF(NOT(ISBLANK('A-RACHNATMAK'!AJ57)),"B",IF(NOT(ISBLANK('A-RACHNATMAK'!AJ56)),"C","")))</f>
        <v/>
      </c>
      <c r="AH47" s="622" t="str">
        <f>IF(NOT(ISBLANK('A-RACHNATMAK'!AK58)),"A",IF(NOT(ISBLANK('A-RACHNATMAK'!AK57)),"B",IF(NOT(ISBLANK('A-RACHNATMAK'!AK56)),"C","")))</f>
        <v/>
      </c>
      <c r="AI47" s="622" t="str">
        <f>IF(NOT(ISBLANK('A-RACHNATMAK'!AL58)),"A",IF(NOT(ISBLANK('A-RACHNATMAK'!AL57)),"B",IF(NOT(ISBLANK('A-RACHNATMAK'!AL56)),"C","")))</f>
        <v/>
      </c>
      <c r="AJ47" s="622" t="str">
        <f>IF(NOT(ISBLANK('A-RACHNATMAK'!AM58)),"A",IF(NOT(ISBLANK('A-RACHNATMAK'!AM57)),"B",IF(NOT(ISBLANK('A-RACHNATMAK'!AM56)),"C","")))</f>
        <v/>
      </c>
      <c r="AK47" s="622" t="str">
        <f>IF(NOT(ISBLANK('A-RACHNATMAK'!AN58)),"A",IF(NOT(ISBLANK('A-RACHNATMAK'!AN57)),"B",IF(NOT(ISBLANK('A-RACHNATMAK'!AN56)),"C","")))</f>
        <v/>
      </c>
      <c r="AL47" s="622" t="str">
        <f>IF(NOT(ISBLANK('A-RACHNATMAK'!AO58)),"A",IF(NOT(ISBLANK('A-RACHNATMAK'!AO57)),"B",IF(NOT(ISBLANK('A-RACHNATMAK'!AO56)),"C","")))</f>
        <v/>
      </c>
      <c r="AM47" s="622" t="str">
        <f>IF(NOT(ISBLANK('A-RACHNATMAK'!AP58)),"A",IF(NOT(ISBLANK('A-RACHNATMAK'!AP57)),"B",IF(NOT(ISBLANK('A-RACHNATMAK'!AP56)),"C","")))</f>
        <v/>
      </c>
      <c r="AN47" s="622" t="str">
        <f>IF(NOT(ISBLANK('A-RACHNATMAK'!AQ58)),"A",IF(NOT(ISBLANK('A-RACHNATMAK'!AQ57)),"B",IF(NOT(ISBLANK('A-RACHNATMAK'!AQ56)),"C","")))</f>
        <v/>
      </c>
      <c r="AO47" s="622" t="str">
        <f>IF(NOT(ISBLANK('A-RACHNATMAK'!AR58)),"A",IF(NOT(ISBLANK('A-RACHNATMAK'!AR57)),"B",IF(NOT(ISBLANK('A-RACHNATMAK'!AR56)),"C","")))</f>
        <v/>
      </c>
      <c r="AP47" s="622" t="str">
        <f>IF(NOT(ISBLANK('A-RACHNATMAK'!AS58)),"A",IF(NOT(ISBLANK('A-RACHNATMAK'!AS57)),"B",IF(NOT(ISBLANK('A-RACHNATMAK'!AS56)),"C","")))</f>
        <v/>
      </c>
      <c r="AQ47" s="622" t="str">
        <f>IF(NOT(ISBLANK('A-RACHNATMAK'!AT58)),"A",IF(NOT(ISBLANK('A-RACHNATMAK'!AT57)),"B",IF(NOT(ISBLANK('A-RACHNATMAK'!AT56)),"C","")))</f>
        <v/>
      </c>
      <c r="AR47" s="622" t="str">
        <f>IF(NOT(ISBLANK('A-RACHNATMAK'!AU58)),"A",IF(NOT(ISBLANK('A-RACHNATMAK'!AU57)),"B",IF(NOT(ISBLANK('A-RACHNATMAK'!AU56)),"C","")))</f>
        <v/>
      </c>
      <c r="AS47" s="622" t="str">
        <f>IF(NOT(ISBLANK('A-RACHNATMAK'!AV58)),"A",IF(NOT(ISBLANK('A-RACHNATMAK'!AV57)),"B",IF(NOT(ISBLANK('A-RACHNATMAK'!AV56)),"C","")))</f>
        <v/>
      </c>
      <c r="AT47" s="622" t="str">
        <f>IF(NOT(ISBLANK('A-RACHNATMAK'!AW58)),"A",IF(NOT(ISBLANK('A-RACHNATMAK'!AW57)),"B",IF(NOT(ISBLANK('A-RACHNATMAK'!AW56)),"C","")))</f>
        <v/>
      </c>
      <c r="AU47" s="622">
        <f t="shared" ref="AU47" si="87">COUNTIF(AA47:AT47,"A")</f>
        <v>0</v>
      </c>
      <c r="AV47" s="622">
        <f t="shared" ref="AV47" si="88">COUNTIF(AA47:AT47,"B")</f>
        <v>0</v>
      </c>
      <c r="AW47" s="622">
        <f t="shared" ref="AW47" si="89">COUNTIF(AA47:AT47,"C")</f>
        <v>0</v>
      </c>
    </row>
    <row r="48" spans="1:49" s="330" customFormat="1" ht="8.25" customHeight="1">
      <c r="A48" s="623"/>
      <c r="B48" s="622"/>
      <c r="C48" s="622"/>
      <c r="D48" s="622"/>
      <c r="E48" s="622"/>
      <c r="F48" s="622"/>
      <c r="G48" s="622"/>
      <c r="H48" s="622"/>
      <c r="I48" s="622"/>
      <c r="J48" s="622"/>
      <c r="K48" s="622"/>
      <c r="L48" s="622"/>
      <c r="M48" s="622"/>
      <c r="N48" s="622"/>
      <c r="O48" s="622"/>
      <c r="P48" s="622"/>
      <c r="Q48" s="622"/>
      <c r="R48" s="622"/>
      <c r="S48" s="622"/>
      <c r="T48" s="622"/>
      <c r="U48" s="622"/>
      <c r="V48" s="622"/>
      <c r="W48" s="622"/>
      <c r="X48" s="622"/>
      <c r="Z48" s="623"/>
      <c r="AA48" s="622"/>
      <c r="AB48" s="622"/>
      <c r="AC48" s="622"/>
      <c r="AD48" s="622"/>
      <c r="AE48" s="622"/>
      <c r="AF48" s="622"/>
      <c r="AG48" s="622"/>
      <c r="AH48" s="622"/>
      <c r="AI48" s="622"/>
      <c r="AJ48" s="622"/>
      <c r="AK48" s="622"/>
      <c r="AL48" s="622"/>
      <c r="AM48" s="622"/>
      <c r="AN48" s="622"/>
      <c r="AO48" s="622"/>
      <c r="AP48" s="622"/>
      <c r="AQ48" s="622"/>
      <c r="AR48" s="622"/>
      <c r="AS48" s="622"/>
      <c r="AT48" s="622"/>
      <c r="AU48" s="622"/>
      <c r="AV48" s="622"/>
      <c r="AW48" s="622"/>
    </row>
    <row r="49" spans="1:49" s="330" customFormat="1" ht="8.25" customHeight="1">
      <c r="A49" s="623"/>
      <c r="B49" s="622"/>
      <c r="C49" s="622"/>
      <c r="D49" s="622"/>
      <c r="E49" s="622"/>
      <c r="F49" s="622"/>
      <c r="G49" s="622"/>
      <c r="H49" s="622"/>
      <c r="I49" s="622"/>
      <c r="J49" s="622"/>
      <c r="K49" s="622"/>
      <c r="L49" s="622"/>
      <c r="M49" s="622"/>
      <c r="N49" s="622"/>
      <c r="O49" s="622"/>
      <c r="P49" s="622"/>
      <c r="Q49" s="622"/>
      <c r="R49" s="622"/>
      <c r="S49" s="622"/>
      <c r="T49" s="622"/>
      <c r="U49" s="622"/>
      <c r="V49" s="622"/>
      <c r="W49" s="622"/>
      <c r="X49" s="622"/>
      <c r="Z49" s="623"/>
      <c r="AA49" s="622"/>
      <c r="AB49" s="622"/>
      <c r="AC49" s="622"/>
      <c r="AD49" s="622"/>
      <c r="AE49" s="622"/>
      <c r="AF49" s="622"/>
      <c r="AG49" s="622"/>
      <c r="AH49" s="622"/>
      <c r="AI49" s="622"/>
      <c r="AJ49" s="622"/>
      <c r="AK49" s="622"/>
      <c r="AL49" s="622"/>
      <c r="AM49" s="622"/>
      <c r="AN49" s="622"/>
      <c r="AO49" s="622"/>
      <c r="AP49" s="622"/>
      <c r="AQ49" s="622"/>
      <c r="AR49" s="622"/>
      <c r="AS49" s="622"/>
      <c r="AT49" s="622"/>
      <c r="AU49" s="622"/>
      <c r="AV49" s="622"/>
      <c r="AW49" s="622"/>
    </row>
    <row r="50" spans="1:49" s="330" customFormat="1" ht="8.25" customHeight="1">
      <c r="A50" s="623">
        <v>17</v>
      </c>
      <c r="B50" s="622" t="str">
        <f>IF(NOT(ISBLANK('A-RACHNATMAK'!C61)),"A",IF(NOT(ISBLANK('A-RACHNATMAK'!C60)),"B",IF(NOT(ISBLANK('A-RACHNATMAK'!C59)),"C","")))</f>
        <v/>
      </c>
      <c r="C50" s="622" t="str">
        <f>IF(NOT(ISBLANK('A-RACHNATMAK'!D61)),"A",IF(NOT(ISBLANK('A-RACHNATMAK'!D60)),"B",IF(NOT(ISBLANK('A-RACHNATMAK'!D59)),"C","")))</f>
        <v/>
      </c>
      <c r="D50" s="622" t="str">
        <f>IF(NOT(ISBLANK('A-RACHNATMAK'!E61)),"A",IF(NOT(ISBLANK('A-RACHNATMAK'!E60)),"B",IF(NOT(ISBLANK('A-RACHNATMAK'!E59)),"C","")))</f>
        <v/>
      </c>
      <c r="E50" s="622" t="str">
        <f>IF(NOT(ISBLANK('A-RACHNATMAK'!F61)),"A",IF(NOT(ISBLANK('A-RACHNATMAK'!F60)),"B",IF(NOT(ISBLANK('A-RACHNATMAK'!F59)),"C","")))</f>
        <v/>
      </c>
      <c r="F50" s="622" t="str">
        <f>IF(NOT(ISBLANK('A-RACHNATMAK'!G61)),"A",IF(NOT(ISBLANK('A-RACHNATMAK'!G60)),"B",IF(NOT(ISBLANK('A-RACHNATMAK'!G59)),"C","")))</f>
        <v/>
      </c>
      <c r="G50" s="622" t="str">
        <f>IF(NOT(ISBLANK('A-RACHNATMAK'!H61)),"A",IF(NOT(ISBLANK('A-RACHNATMAK'!H60)),"B",IF(NOT(ISBLANK('A-RACHNATMAK'!H59)),"C","")))</f>
        <v/>
      </c>
      <c r="H50" s="622" t="str">
        <f>IF(NOT(ISBLANK('A-RACHNATMAK'!I61)),"A",IF(NOT(ISBLANK('A-RACHNATMAK'!I60)),"B",IF(NOT(ISBLANK('A-RACHNATMAK'!I59)),"C","")))</f>
        <v/>
      </c>
      <c r="I50" s="622" t="str">
        <f>IF(NOT(ISBLANK('A-RACHNATMAK'!J61)),"A",IF(NOT(ISBLANK('A-RACHNATMAK'!J60)),"B",IF(NOT(ISBLANK('A-RACHNATMAK'!J59)),"C","")))</f>
        <v/>
      </c>
      <c r="J50" s="622" t="str">
        <f>IF(NOT(ISBLANK('A-RACHNATMAK'!K61)),"A",IF(NOT(ISBLANK('A-RACHNATMAK'!K60)),"B",IF(NOT(ISBLANK('A-RACHNATMAK'!K59)),"C","")))</f>
        <v/>
      </c>
      <c r="K50" s="622" t="str">
        <f>IF(NOT(ISBLANK('A-RACHNATMAK'!L61)),"A",IF(NOT(ISBLANK('A-RACHNATMAK'!L60)),"B",IF(NOT(ISBLANK('A-RACHNATMAK'!L59)),"C","")))</f>
        <v/>
      </c>
      <c r="L50" s="622" t="str">
        <f>IF(NOT(ISBLANK('A-RACHNATMAK'!M61)),"A",IF(NOT(ISBLANK('A-RACHNATMAK'!M60)),"B",IF(NOT(ISBLANK('A-RACHNATMAK'!M59)),"C","")))</f>
        <v/>
      </c>
      <c r="M50" s="622" t="str">
        <f>IF(NOT(ISBLANK('A-RACHNATMAK'!N61)),"A",IF(NOT(ISBLANK('A-RACHNATMAK'!N60)),"B",IF(NOT(ISBLANK('A-RACHNATMAK'!N59)),"C","")))</f>
        <v/>
      </c>
      <c r="N50" s="622" t="str">
        <f>IF(NOT(ISBLANK('A-RACHNATMAK'!O61)),"A",IF(NOT(ISBLANK('A-RACHNATMAK'!O60)),"B",IF(NOT(ISBLANK('A-RACHNATMAK'!O59)),"C","")))</f>
        <v/>
      </c>
      <c r="O50" s="622" t="str">
        <f>IF(NOT(ISBLANK('A-RACHNATMAK'!P61)),"A",IF(NOT(ISBLANK('A-RACHNATMAK'!P60)),"B",IF(NOT(ISBLANK('A-RACHNATMAK'!P59)),"C","")))</f>
        <v/>
      </c>
      <c r="P50" s="622" t="str">
        <f>IF(NOT(ISBLANK('A-RACHNATMAK'!Q61)),"A",IF(NOT(ISBLANK('A-RACHNATMAK'!Q60)),"B",IF(NOT(ISBLANK('A-RACHNATMAK'!Q59)),"C","")))</f>
        <v/>
      </c>
      <c r="Q50" s="622" t="str">
        <f>IF(NOT(ISBLANK('A-RACHNATMAK'!R61)),"A",IF(NOT(ISBLANK('A-RACHNATMAK'!R60)),"B",IF(NOT(ISBLANK('A-RACHNATMAK'!R59)),"C","")))</f>
        <v/>
      </c>
      <c r="R50" s="622" t="str">
        <f>IF(NOT(ISBLANK('A-RACHNATMAK'!S61)),"A",IF(NOT(ISBLANK('A-RACHNATMAK'!S60)),"B",IF(NOT(ISBLANK('A-RACHNATMAK'!S59)),"C","")))</f>
        <v/>
      </c>
      <c r="S50" s="622" t="str">
        <f>IF(NOT(ISBLANK('A-RACHNATMAK'!T61)),"A",IF(NOT(ISBLANK('A-RACHNATMAK'!T60)),"B",IF(NOT(ISBLANK('A-RACHNATMAK'!T59)),"C","")))</f>
        <v/>
      </c>
      <c r="T50" s="622" t="str">
        <f>IF(NOT(ISBLANK('A-RACHNATMAK'!U61)),"A",IF(NOT(ISBLANK('A-RACHNATMAK'!U60)),"B",IF(NOT(ISBLANK('A-RACHNATMAK'!U59)),"C","")))</f>
        <v/>
      </c>
      <c r="U50" s="622" t="str">
        <f>IF(NOT(ISBLANK('A-RACHNATMAK'!V61)),"A",IF(NOT(ISBLANK('A-RACHNATMAK'!V60)),"B",IF(NOT(ISBLANK('A-RACHNATMAK'!V59)),"C","")))</f>
        <v/>
      </c>
      <c r="V50" s="622">
        <f t="shared" ref="V50" si="90">COUNTIF(B50:U50,"A")</f>
        <v>0</v>
      </c>
      <c r="W50" s="622">
        <f t="shared" ref="W50" si="91">COUNTIF(B50:U50,"B")</f>
        <v>0</v>
      </c>
      <c r="X50" s="622">
        <f t="shared" ref="X50" si="92">COUNTIF(B50:U50,"C")</f>
        <v>0</v>
      </c>
      <c r="Z50" s="623">
        <v>17</v>
      </c>
      <c r="AA50" s="622" t="str">
        <f>IF(NOT(ISBLANK('A-RACHNATMAK'!AD61)),"A",IF(NOT(ISBLANK('A-RACHNATMAK'!AD60)),"B",IF(NOT(ISBLANK('A-RACHNATMAK'!AD59)),"C","")))</f>
        <v/>
      </c>
      <c r="AB50" s="622" t="str">
        <f>IF(NOT(ISBLANK('A-RACHNATMAK'!AE61)),"A",IF(NOT(ISBLANK('A-RACHNATMAK'!AE60)),"B",IF(NOT(ISBLANK('A-RACHNATMAK'!AE59)),"C","")))</f>
        <v/>
      </c>
      <c r="AC50" s="622" t="str">
        <f>IF(NOT(ISBLANK('A-RACHNATMAK'!AF61)),"A",IF(NOT(ISBLANK('A-RACHNATMAK'!AF60)),"B",IF(NOT(ISBLANK('A-RACHNATMAK'!AF59)),"C","")))</f>
        <v/>
      </c>
      <c r="AD50" s="622" t="str">
        <f>IF(NOT(ISBLANK('A-RACHNATMAK'!AG61)),"A",IF(NOT(ISBLANK('A-RACHNATMAK'!AG60)),"B",IF(NOT(ISBLANK('A-RACHNATMAK'!AG59)),"C","")))</f>
        <v/>
      </c>
      <c r="AE50" s="622" t="str">
        <f>IF(NOT(ISBLANK('A-RACHNATMAK'!AH61)),"A",IF(NOT(ISBLANK('A-RACHNATMAK'!AH60)),"B",IF(NOT(ISBLANK('A-RACHNATMAK'!AH59)),"C","")))</f>
        <v/>
      </c>
      <c r="AF50" s="622" t="str">
        <f>IF(NOT(ISBLANK('A-RACHNATMAK'!AI61)),"A",IF(NOT(ISBLANK('A-RACHNATMAK'!AI60)),"B",IF(NOT(ISBLANK('A-RACHNATMAK'!AI59)),"C","")))</f>
        <v/>
      </c>
      <c r="AG50" s="622" t="str">
        <f>IF(NOT(ISBLANK('A-RACHNATMAK'!AJ61)),"A",IF(NOT(ISBLANK('A-RACHNATMAK'!AJ60)),"B",IF(NOT(ISBLANK('A-RACHNATMAK'!AJ59)),"C","")))</f>
        <v/>
      </c>
      <c r="AH50" s="622" t="str">
        <f>IF(NOT(ISBLANK('A-RACHNATMAK'!AK61)),"A",IF(NOT(ISBLANK('A-RACHNATMAK'!AK60)),"B",IF(NOT(ISBLANK('A-RACHNATMAK'!AK59)),"C","")))</f>
        <v/>
      </c>
      <c r="AI50" s="622" t="str">
        <f>IF(NOT(ISBLANK('A-RACHNATMAK'!AL61)),"A",IF(NOT(ISBLANK('A-RACHNATMAK'!AL60)),"B",IF(NOT(ISBLANK('A-RACHNATMAK'!AL59)),"C","")))</f>
        <v/>
      </c>
      <c r="AJ50" s="622" t="str">
        <f>IF(NOT(ISBLANK('A-RACHNATMAK'!AM61)),"A",IF(NOT(ISBLANK('A-RACHNATMAK'!AM60)),"B",IF(NOT(ISBLANK('A-RACHNATMAK'!AM59)),"C","")))</f>
        <v/>
      </c>
      <c r="AK50" s="622" t="str">
        <f>IF(NOT(ISBLANK('A-RACHNATMAK'!AN61)),"A",IF(NOT(ISBLANK('A-RACHNATMAK'!AN60)),"B",IF(NOT(ISBLANK('A-RACHNATMAK'!AN59)),"C","")))</f>
        <v/>
      </c>
      <c r="AL50" s="622" t="str">
        <f>IF(NOT(ISBLANK('A-RACHNATMAK'!AO61)),"A",IF(NOT(ISBLANK('A-RACHNATMAK'!AO60)),"B",IF(NOT(ISBLANK('A-RACHNATMAK'!AO59)),"C","")))</f>
        <v/>
      </c>
      <c r="AM50" s="622" t="str">
        <f>IF(NOT(ISBLANK('A-RACHNATMAK'!AP61)),"A",IF(NOT(ISBLANK('A-RACHNATMAK'!AP60)),"B",IF(NOT(ISBLANK('A-RACHNATMAK'!AP59)),"C","")))</f>
        <v/>
      </c>
      <c r="AN50" s="622" t="str">
        <f>IF(NOT(ISBLANK('A-RACHNATMAK'!AQ61)),"A",IF(NOT(ISBLANK('A-RACHNATMAK'!AQ60)),"B",IF(NOT(ISBLANK('A-RACHNATMAK'!AQ59)),"C","")))</f>
        <v/>
      </c>
      <c r="AO50" s="622" t="str">
        <f>IF(NOT(ISBLANK('A-RACHNATMAK'!AR61)),"A",IF(NOT(ISBLANK('A-RACHNATMAK'!AR60)),"B",IF(NOT(ISBLANK('A-RACHNATMAK'!AR59)),"C","")))</f>
        <v/>
      </c>
      <c r="AP50" s="622" t="str">
        <f>IF(NOT(ISBLANK('A-RACHNATMAK'!AS61)),"A",IF(NOT(ISBLANK('A-RACHNATMAK'!AS60)),"B",IF(NOT(ISBLANK('A-RACHNATMAK'!AS59)),"C","")))</f>
        <v/>
      </c>
      <c r="AQ50" s="622" t="str">
        <f>IF(NOT(ISBLANK('A-RACHNATMAK'!AT61)),"A",IF(NOT(ISBLANK('A-RACHNATMAK'!AT60)),"B",IF(NOT(ISBLANK('A-RACHNATMAK'!AT59)),"C","")))</f>
        <v/>
      </c>
      <c r="AR50" s="622" t="str">
        <f>IF(NOT(ISBLANK('A-RACHNATMAK'!AU61)),"A",IF(NOT(ISBLANK('A-RACHNATMAK'!AU60)),"B",IF(NOT(ISBLANK('A-RACHNATMAK'!AU59)),"C","")))</f>
        <v/>
      </c>
      <c r="AS50" s="622" t="str">
        <f>IF(NOT(ISBLANK('A-RACHNATMAK'!AV61)),"A",IF(NOT(ISBLANK('A-RACHNATMAK'!AV60)),"B",IF(NOT(ISBLANK('A-RACHNATMAK'!AV59)),"C","")))</f>
        <v/>
      </c>
      <c r="AT50" s="622" t="str">
        <f>IF(NOT(ISBLANK('A-RACHNATMAK'!AW61)),"A",IF(NOT(ISBLANK('A-RACHNATMAK'!AW60)),"B",IF(NOT(ISBLANK('A-RACHNATMAK'!AW59)),"C","")))</f>
        <v/>
      </c>
      <c r="AU50" s="622">
        <f t="shared" ref="AU50" si="93">COUNTIF(AA50:AT50,"A")</f>
        <v>0</v>
      </c>
      <c r="AV50" s="622">
        <f t="shared" ref="AV50" si="94">COUNTIF(AA50:AT50,"B")</f>
        <v>0</v>
      </c>
      <c r="AW50" s="622">
        <f t="shared" ref="AW50" si="95">COUNTIF(AA50:AT50,"C")</f>
        <v>0</v>
      </c>
    </row>
    <row r="51" spans="1:49" s="330" customFormat="1" ht="8.25" customHeight="1">
      <c r="A51" s="623"/>
      <c r="B51" s="622"/>
      <c r="C51" s="622"/>
      <c r="D51" s="622"/>
      <c r="E51" s="622"/>
      <c r="F51" s="622"/>
      <c r="G51" s="622"/>
      <c r="H51" s="622"/>
      <c r="I51" s="622"/>
      <c r="J51" s="622"/>
      <c r="K51" s="622"/>
      <c r="L51" s="622"/>
      <c r="M51" s="622"/>
      <c r="N51" s="622"/>
      <c r="O51" s="622"/>
      <c r="P51" s="622"/>
      <c r="Q51" s="622"/>
      <c r="R51" s="622"/>
      <c r="S51" s="622"/>
      <c r="T51" s="622"/>
      <c r="U51" s="622"/>
      <c r="V51" s="622"/>
      <c r="W51" s="622"/>
      <c r="X51" s="622"/>
      <c r="Z51" s="623"/>
      <c r="AA51" s="622"/>
      <c r="AB51" s="622"/>
      <c r="AC51" s="622"/>
      <c r="AD51" s="622"/>
      <c r="AE51" s="622"/>
      <c r="AF51" s="622"/>
      <c r="AG51" s="622"/>
      <c r="AH51" s="622"/>
      <c r="AI51" s="622"/>
      <c r="AJ51" s="622"/>
      <c r="AK51" s="622"/>
      <c r="AL51" s="622"/>
      <c r="AM51" s="622"/>
      <c r="AN51" s="622"/>
      <c r="AO51" s="622"/>
      <c r="AP51" s="622"/>
      <c r="AQ51" s="622"/>
      <c r="AR51" s="622"/>
      <c r="AS51" s="622"/>
      <c r="AT51" s="622"/>
      <c r="AU51" s="622"/>
      <c r="AV51" s="622"/>
      <c r="AW51" s="622"/>
    </row>
    <row r="52" spans="1:49" s="330" customFormat="1" ht="8.25" customHeight="1">
      <c r="A52" s="623"/>
      <c r="B52" s="622"/>
      <c r="C52" s="622"/>
      <c r="D52" s="622"/>
      <c r="E52" s="622"/>
      <c r="F52" s="622"/>
      <c r="G52" s="622"/>
      <c r="H52" s="622"/>
      <c r="I52" s="622"/>
      <c r="J52" s="622"/>
      <c r="K52" s="622"/>
      <c r="L52" s="622"/>
      <c r="M52" s="622"/>
      <c r="N52" s="622"/>
      <c r="O52" s="622"/>
      <c r="P52" s="622"/>
      <c r="Q52" s="622"/>
      <c r="R52" s="622"/>
      <c r="S52" s="622"/>
      <c r="T52" s="622"/>
      <c r="U52" s="622"/>
      <c r="V52" s="622"/>
      <c r="W52" s="622"/>
      <c r="X52" s="622"/>
      <c r="Z52" s="623"/>
      <c r="AA52" s="622"/>
      <c r="AB52" s="622"/>
      <c r="AC52" s="622"/>
      <c r="AD52" s="622"/>
      <c r="AE52" s="622"/>
      <c r="AF52" s="622"/>
      <c r="AG52" s="622"/>
      <c r="AH52" s="622"/>
      <c r="AI52" s="622"/>
      <c r="AJ52" s="622"/>
      <c r="AK52" s="622"/>
      <c r="AL52" s="622"/>
      <c r="AM52" s="622"/>
      <c r="AN52" s="622"/>
      <c r="AO52" s="622"/>
      <c r="AP52" s="622"/>
      <c r="AQ52" s="622"/>
      <c r="AR52" s="622"/>
      <c r="AS52" s="622"/>
      <c r="AT52" s="622"/>
      <c r="AU52" s="622"/>
      <c r="AV52" s="622"/>
      <c r="AW52" s="622"/>
    </row>
    <row r="53" spans="1:49" s="330" customFormat="1" ht="8.25" customHeight="1">
      <c r="A53" s="623">
        <v>18</v>
      </c>
      <c r="B53" s="622" t="str">
        <f>IF(NOT(ISBLANK('A-RACHNATMAK'!C64)),"A",IF(NOT(ISBLANK('A-RACHNATMAK'!C63)),"B",IF(NOT(ISBLANK('A-RACHNATMAK'!C62)),"C","")))</f>
        <v/>
      </c>
      <c r="C53" s="622" t="str">
        <f>IF(NOT(ISBLANK('A-RACHNATMAK'!D64)),"A",IF(NOT(ISBLANK('A-RACHNATMAK'!D63)),"B",IF(NOT(ISBLANK('A-RACHNATMAK'!D62)),"C","")))</f>
        <v/>
      </c>
      <c r="D53" s="622" t="str">
        <f>IF(NOT(ISBLANK('A-RACHNATMAK'!E64)),"A",IF(NOT(ISBLANK('A-RACHNATMAK'!E63)),"B",IF(NOT(ISBLANK('A-RACHNATMAK'!E62)),"C","")))</f>
        <v/>
      </c>
      <c r="E53" s="622" t="str">
        <f>IF(NOT(ISBLANK('A-RACHNATMAK'!F64)),"A",IF(NOT(ISBLANK('A-RACHNATMAK'!F63)),"B",IF(NOT(ISBLANK('A-RACHNATMAK'!F62)),"C","")))</f>
        <v/>
      </c>
      <c r="F53" s="622" t="str">
        <f>IF(NOT(ISBLANK('A-RACHNATMAK'!G64)),"A",IF(NOT(ISBLANK('A-RACHNATMAK'!G63)),"B",IF(NOT(ISBLANK('A-RACHNATMAK'!G62)),"C","")))</f>
        <v/>
      </c>
      <c r="G53" s="622" t="str">
        <f>IF(NOT(ISBLANK('A-RACHNATMAK'!H64)),"A",IF(NOT(ISBLANK('A-RACHNATMAK'!H63)),"B",IF(NOT(ISBLANK('A-RACHNATMAK'!H62)),"C","")))</f>
        <v/>
      </c>
      <c r="H53" s="622" t="str">
        <f>IF(NOT(ISBLANK('A-RACHNATMAK'!I64)),"A",IF(NOT(ISBLANK('A-RACHNATMAK'!I63)),"B",IF(NOT(ISBLANK('A-RACHNATMAK'!I62)),"C","")))</f>
        <v/>
      </c>
      <c r="I53" s="622" t="str">
        <f>IF(NOT(ISBLANK('A-RACHNATMAK'!J64)),"A",IF(NOT(ISBLANK('A-RACHNATMAK'!J63)),"B",IF(NOT(ISBLANK('A-RACHNATMAK'!J62)),"C","")))</f>
        <v/>
      </c>
      <c r="J53" s="622" t="str">
        <f>IF(NOT(ISBLANK('A-RACHNATMAK'!K64)),"A",IF(NOT(ISBLANK('A-RACHNATMAK'!K63)),"B",IF(NOT(ISBLANK('A-RACHNATMAK'!K62)),"C","")))</f>
        <v/>
      </c>
      <c r="K53" s="622" t="str">
        <f>IF(NOT(ISBLANK('A-RACHNATMAK'!L64)),"A",IF(NOT(ISBLANK('A-RACHNATMAK'!L63)),"B",IF(NOT(ISBLANK('A-RACHNATMAK'!L62)),"C","")))</f>
        <v/>
      </c>
      <c r="L53" s="622" t="str">
        <f>IF(NOT(ISBLANK('A-RACHNATMAK'!M64)),"A",IF(NOT(ISBLANK('A-RACHNATMAK'!M63)),"B",IF(NOT(ISBLANK('A-RACHNATMAK'!M62)),"C","")))</f>
        <v/>
      </c>
      <c r="M53" s="622" t="str">
        <f>IF(NOT(ISBLANK('A-RACHNATMAK'!N64)),"A",IF(NOT(ISBLANK('A-RACHNATMAK'!N63)),"B",IF(NOT(ISBLANK('A-RACHNATMAK'!N62)),"C","")))</f>
        <v/>
      </c>
      <c r="N53" s="622" t="str">
        <f>IF(NOT(ISBLANK('A-RACHNATMAK'!O64)),"A",IF(NOT(ISBLANK('A-RACHNATMAK'!O63)),"B",IF(NOT(ISBLANK('A-RACHNATMAK'!O62)),"C","")))</f>
        <v/>
      </c>
      <c r="O53" s="622" t="str">
        <f>IF(NOT(ISBLANK('A-RACHNATMAK'!P64)),"A",IF(NOT(ISBLANK('A-RACHNATMAK'!P63)),"B",IF(NOT(ISBLANK('A-RACHNATMAK'!P62)),"C","")))</f>
        <v/>
      </c>
      <c r="P53" s="622" t="str">
        <f>IF(NOT(ISBLANK('A-RACHNATMAK'!Q64)),"A",IF(NOT(ISBLANK('A-RACHNATMAK'!Q63)),"B",IF(NOT(ISBLANK('A-RACHNATMAK'!Q62)),"C","")))</f>
        <v/>
      </c>
      <c r="Q53" s="622" t="str">
        <f>IF(NOT(ISBLANK('A-RACHNATMAK'!R64)),"A",IF(NOT(ISBLANK('A-RACHNATMAK'!R63)),"B",IF(NOT(ISBLANK('A-RACHNATMAK'!R62)),"C","")))</f>
        <v/>
      </c>
      <c r="R53" s="622" t="str">
        <f>IF(NOT(ISBLANK('A-RACHNATMAK'!S64)),"A",IF(NOT(ISBLANK('A-RACHNATMAK'!S63)),"B",IF(NOT(ISBLANK('A-RACHNATMAK'!S62)),"C","")))</f>
        <v/>
      </c>
      <c r="S53" s="622" t="str">
        <f>IF(NOT(ISBLANK('A-RACHNATMAK'!T64)),"A",IF(NOT(ISBLANK('A-RACHNATMAK'!T63)),"B",IF(NOT(ISBLANK('A-RACHNATMAK'!T62)),"C","")))</f>
        <v/>
      </c>
      <c r="T53" s="622" t="str">
        <f>IF(NOT(ISBLANK('A-RACHNATMAK'!U64)),"A",IF(NOT(ISBLANK('A-RACHNATMAK'!U63)),"B",IF(NOT(ISBLANK('A-RACHNATMAK'!U62)),"C","")))</f>
        <v/>
      </c>
      <c r="U53" s="622" t="str">
        <f>IF(NOT(ISBLANK('A-RACHNATMAK'!V64)),"A",IF(NOT(ISBLANK('A-RACHNATMAK'!V63)),"B",IF(NOT(ISBLANK('A-RACHNATMAK'!V62)),"C","")))</f>
        <v/>
      </c>
      <c r="V53" s="622">
        <f t="shared" ref="V53" si="96">COUNTIF(B53:U53,"A")</f>
        <v>0</v>
      </c>
      <c r="W53" s="622">
        <f t="shared" ref="W53" si="97">COUNTIF(B53:U53,"B")</f>
        <v>0</v>
      </c>
      <c r="X53" s="622">
        <f t="shared" ref="X53" si="98">COUNTIF(B53:U53,"C")</f>
        <v>0</v>
      </c>
      <c r="Z53" s="623">
        <v>18</v>
      </c>
      <c r="AA53" s="622" t="str">
        <f>IF(NOT(ISBLANK('A-RACHNATMAK'!AD64)),"A",IF(NOT(ISBLANK('A-RACHNATMAK'!AD63)),"B",IF(NOT(ISBLANK('A-RACHNATMAK'!AD62)),"C","")))</f>
        <v/>
      </c>
      <c r="AB53" s="622" t="str">
        <f>IF(NOT(ISBLANK('A-RACHNATMAK'!AE64)),"A",IF(NOT(ISBLANK('A-RACHNATMAK'!AE63)),"B",IF(NOT(ISBLANK('A-RACHNATMAK'!AE62)),"C","")))</f>
        <v/>
      </c>
      <c r="AC53" s="622" t="str">
        <f>IF(NOT(ISBLANK('A-RACHNATMAK'!AF64)),"A",IF(NOT(ISBLANK('A-RACHNATMAK'!AF63)),"B",IF(NOT(ISBLANK('A-RACHNATMAK'!AF62)),"C","")))</f>
        <v/>
      </c>
      <c r="AD53" s="622" t="str">
        <f>IF(NOT(ISBLANK('A-RACHNATMAK'!AG64)),"A",IF(NOT(ISBLANK('A-RACHNATMAK'!AG63)),"B",IF(NOT(ISBLANK('A-RACHNATMAK'!AG62)),"C","")))</f>
        <v/>
      </c>
      <c r="AE53" s="622" t="str">
        <f>IF(NOT(ISBLANK('A-RACHNATMAK'!AH64)),"A",IF(NOT(ISBLANK('A-RACHNATMAK'!AH63)),"B",IF(NOT(ISBLANK('A-RACHNATMAK'!AH62)),"C","")))</f>
        <v/>
      </c>
      <c r="AF53" s="622" t="str">
        <f>IF(NOT(ISBLANK('A-RACHNATMAK'!AI64)),"A",IF(NOT(ISBLANK('A-RACHNATMAK'!AI63)),"B",IF(NOT(ISBLANK('A-RACHNATMAK'!AI62)),"C","")))</f>
        <v/>
      </c>
      <c r="AG53" s="622" t="str">
        <f>IF(NOT(ISBLANK('A-RACHNATMAK'!AJ64)),"A",IF(NOT(ISBLANK('A-RACHNATMAK'!AJ63)),"B",IF(NOT(ISBLANK('A-RACHNATMAK'!AJ62)),"C","")))</f>
        <v/>
      </c>
      <c r="AH53" s="622" t="str">
        <f>IF(NOT(ISBLANK('A-RACHNATMAK'!AK64)),"A",IF(NOT(ISBLANK('A-RACHNATMAK'!AK63)),"B",IF(NOT(ISBLANK('A-RACHNATMAK'!AK62)),"C","")))</f>
        <v/>
      </c>
      <c r="AI53" s="622" t="str">
        <f>IF(NOT(ISBLANK('A-RACHNATMAK'!AL64)),"A",IF(NOT(ISBLANK('A-RACHNATMAK'!AL63)),"B",IF(NOT(ISBLANK('A-RACHNATMAK'!AL62)),"C","")))</f>
        <v/>
      </c>
      <c r="AJ53" s="622" t="str">
        <f>IF(NOT(ISBLANK('A-RACHNATMAK'!AM64)),"A",IF(NOT(ISBLANK('A-RACHNATMAK'!AM63)),"B",IF(NOT(ISBLANK('A-RACHNATMAK'!AM62)),"C","")))</f>
        <v/>
      </c>
      <c r="AK53" s="622" t="str">
        <f>IF(NOT(ISBLANK('A-RACHNATMAK'!AN64)),"A",IF(NOT(ISBLANK('A-RACHNATMAK'!AN63)),"B",IF(NOT(ISBLANK('A-RACHNATMAK'!AN62)),"C","")))</f>
        <v/>
      </c>
      <c r="AL53" s="622" t="str">
        <f>IF(NOT(ISBLANK('A-RACHNATMAK'!AO64)),"A",IF(NOT(ISBLANK('A-RACHNATMAK'!AO63)),"B",IF(NOT(ISBLANK('A-RACHNATMAK'!AO62)),"C","")))</f>
        <v/>
      </c>
      <c r="AM53" s="622" t="str">
        <f>IF(NOT(ISBLANK('A-RACHNATMAK'!AP64)),"A",IF(NOT(ISBLANK('A-RACHNATMAK'!AP63)),"B",IF(NOT(ISBLANK('A-RACHNATMAK'!AP62)),"C","")))</f>
        <v/>
      </c>
      <c r="AN53" s="622" t="str">
        <f>IF(NOT(ISBLANK('A-RACHNATMAK'!AQ64)),"A",IF(NOT(ISBLANK('A-RACHNATMAK'!AQ63)),"B",IF(NOT(ISBLANK('A-RACHNATMAK'!AQ62)),"C","")))</f>
        <v/>
      </c>
      <c r="AO53" s="622" t="str">
        <f>IF(NOT(ISBLANK('A-RACHNATMAK'!AR64)),"A",IF(NOT(ISBLANK('A-RACHNATMAK'!AR63)),"B",IF(NOT(ISBLANK('A-RACHNATMAK'!AR62)),"C","")))</f>
        <v/>
      </c>
      <c r="AP53" s="622" t="str">
        <f>IF(NOT(ISBLANK('A-RACHNATMAK'!AS64)),"A",IF(NOT(ISBLANK('A-RACHNATMAK'!AS63)),"B",IF(NOT(ISBLANK('A-RACHNATMAK'!AS62)),"C","")))</f>
        <v/>
      </c>
      <c r="AQ53" s="622" t="str">
        <f>IF(NOT(ISBLANK('A-RACHNATMAK'!AT64)),"A",IF(NOT(ISBLANK('A-RACHNATMAK'!AT63)),"B",IF(NOT(ISBLANK('A-RACHNATMAK'!AT62)),"C","")))</f>
        <v/>
      </c>
      <c r="AR53" s="622" t="str">
        <f>IF(NOT(ISBLANK('A-RACHNATMAK'!AU64)),"A",IF(NOT(ISBLANK('A-RACHNATMAK'!AU63)),"B",IF(NOT(ISBLANK('A-RACHNATMAK'!AU62)),"C","")))</f>
        <v/>
      </c>
      <c r="AS53" s="622" t="str">
        <f>IF(NOT(ISBLANK('A-RACHNATMAK'!AV64)),"A",IF(NOT(ISBLANK('A-RACHNATMAK'!AV63)),"B",IF(NOT(ISBLANK('A-RACHNATMAK'!AV62)),"C","")))</f>
        <v/>
      </c>
      <c r="AT53" s="622" t="str">
        <f>IF(NOT(ISBLANK('A-RACHNATMAK'!AW64)),"A",IF(NOT(ISBLANK('A-RACHNATMAK'!AW63)),"B",IF(NOT(ISBLANK('A-RACHNATMAK'!AW62)),"C","")))</f>
        <v/>
      </c>
      <c r="AU53" s="622">
        <f t="shared" ref="AU53" si="99">COUNTIF(AA53:AT53,"A")</f>
        <v>0</v>
      </c>
      <c r="AV53" s="622">
        <f t="shared" ref="AV53" si="100">COUNTIF(AA53:AT53,"B")</f>
        <v>0</v>
      </c>
      <c r="AW53" s="622">
        <f t="shared" ref="AW53" si="101">COUNTIF(AA53:AT53,"C")</f>
        <v>0</v>
      </c>
    </row>
    <row r="54" spans="1:49" s="330" customFormat="1" ht="8.25" customHeight="1">
      <c r="A54" s="623"/>
      <c r="B54" s="622"/>
      <c r="C54" s="622"/>
      <c r="D54" s="622"/>
      <c r="E54" s="622"/>
      <c r="F54" s="622"/>
      <c r="G54" s="622"/>
      <c r="H54" s="622"/>
      <c r="I54" s="622"/>
      <c r="J54" s="622"/>
      <c r="K54" s="622"/>
      <c r="L54" s="622"/>
      <c r="M54" s="622"/>
      <c r="N54" s="622"/>
      <c r="O54" s="622"/>
      <c r="P54" s="622"/>
      <c r="Q54" s="622"/>
      <c r="R54" s="622"/>
      <c r="S54" s="622"/>
      <c r="T54" s="622"/>
      <c r="U54" s="622"/>
      <c r="V54" s="622"/>
      <c r="W54" s="622"/>
      <c r="X54" s="622"/>
      <c r="Z54" s="623"/>
      <c r="AA54" s="622"/>
      <c r="AB54" s="622"/>
      <c r="AC54" s="622"/>
      <c r="AD54" s="622"/>
      <c r="AE54" s="622"/>
      <c r="AF54" s="622"/>
      <c r="AG54" s="622"/>
      <c r="AH54" s="622"/>
      <c r="AI54" s="622"/>
      <c r="AJ54" s="622"/>
      <c r="AK54" s="622"/>
      <c r="AL54" s="622"/>
      <c r="AM54" s="622"/>
      <c r="AN54" s="622"/>
      <c r="AO54" s="622"/>
      <c r="AP54" s="622"/>
      <c r="AQ54" s="622"/>
      <c r="AR54" s="622"/>
      <c r="AS54" s="622"/>
      <c r="AT54" s="622"/>
      <c r="AU54" s="622"/>
      <c r="AV54" s="622"/>
      <c r="AW54" s="622"/>
    </row>
    <row r="55" spans="1:49" s="330" customFormat="1" ht="8.25" customHeight="1">
      <c r="A55" s="623"/>
      <c r="B55" s="622"/>
      <c r="C55" s="622"/>
      <c r="D55" s="622"/>
      <c r="E55" s="622"/>
      <c r="F55" s="622"/>
      <c r="G55" s="622"/>
      <c r="H55" s="622"/>
      <c r="I55" s="622"/>
      <c r="J55" s="622"/>
      <c r="K55" s="622"/>
      <c r="L55" s="622"/>
      <c r="M55" s="622"/>
      <c r="N55" s="622"/>
      <c r="O55" s="622"/>
      <c r="P55" s="622"/>
      <c r="Q55" s="622"/>
      <c r="R55" s="622"/>
      <c r="S55" s="622"/>
      <c r="T55" s="622"/>
      <c r="U55" s="622"/>
      <c r="V55" s="622"/>
      <c r="W55" s="622"/>
      <c r="X55" s="622"/>
      <c r="Z55" s="623"/>
      <c r="AA55" s="622"/>
      <c r="AB55" s="622"/>
      <c r="AC55" s="622"/>
      <c r="AD55" s="622"/>
      <c r="AE55" s="622"/>
      <c r="AF55" s="622"/>
      <c r="AG55" s="622"/>
      <c r="AH55" s="622"/>
      <c r="AI55" s="622"/>
      <c r="AJ55" s="622"/>
      <c r="AK55" s="622"/>
      <c r="AL55" s="622"/>
      <c r="AM55" s="622"/>
      <c r="AN55" s="622"/>
      <c r="AO55" s="622"/>
      <c r="AP55" s="622"/>
      <c r="AQ55" s="622"/>
      <c r="AR55" s="622"/>
      <c r="AS55" s="622"/>
      <c r="AT55" s="622"/>
      <c r="AU55" s="622"/>
      <c r="AV55" s="622"/>
      <c r="AW55" s="622"/>
    </row>
    <row r="56" spans="1:49" s="330" customFormat="1" ht="8.25" customHeight="1">
      <c r="A56" s="623">
        <v>19</v>
      </c>
      <c r="B56" s="622" t="str">
        <f>IF(NOT(ISBLANK('A-RACHNATMAK'!C67)),"A",IF(NOT(ISBLANK('A-RACHNATMAK'!C66)),"B",IF(NOT(ISBLANK('A-RACHNATMAK'!C65)),"C","")))</f>
        <v/>
      </c>
      <c r="C56" s="622" t="str">
        <f>IF(NOT(ISBLANK('A-RACHNATMAK'!D67)),"A",IF(NOT(ISBLANK('A-RACHNATMAK'!D66)),"B",IF(NOT(ISBLANK('A-RACHNATMAK'!D65)),"C","")))</f>
        <v/>
      </c>
      <c r="D56" s="622" t="str">
        <f>IF(NOT(ISBLANK('A-RACHNATMAK'!E67)),"A",IF(NOT(ISBLANK('A-RACHNATMAK'!E66)),"B",IF(NOT(ISBLANK('A-RACHNATMAK'!E65)),"C","")))</f>
        <v/>
      </c>
      <c r="E56" s="622" t="str">
        <f>IF(NOT(ISBLANK('A-RACHNATMAK'!F67)),"A",IF(NOT(ISBLANK('A-RACHNATMAK'!F66)),"B",IF(NOT(ISBLANK('A-RACHNATMAK'!F65)),"C","")))</f>
        <v/>
      </c>
      <c r="F56" s="622" t="str">
        <f>IF(NOT(ISBLANK('A-RACHNATMAK'!G67)),"A",IF(NOT(ISBLANK('A-RACHNATMAK'!G66)),"B",IF(NOT(ISBLANK('A-RACHNATMAK'!G65)),"C","")))</f>
        <v/>
      </c>
      <c r="G56" s="622" t="str">
        <f>IF(NOT(ISBLANK('A-RACHNATMAK'!H67)),"A",IF(NOT(ISBLANK('A-RACHNATMAK'!H66)),"B",IF(NOT(ISBLANK('A-RACHNATMAK'!H65)),"C","")))</f>
        <v/>
      </c>
      <c r="H56" s="622" t="str">
        <f>IF(NOT(ISBLANK('A-RACHNATMAK'!I67)),"A",IF(NOT(ISBLANK('A-RACHNATMAK'!I66)),"B",IF(NOT(ISBLANK('A-RACHNATMAK'!I65)),"C","")))</f>
        <v/>
      </c>
      <c r="I56" s="622" t="str">
        <f>IF(NOT(ISBLANK('A-RACHNATMAK'!J67)),"A",IF(NOT(ISBLANK('A-RACHNATMAK'!J66)),"B",IF(NOT(ISBLANK('A-RACHNATMAK'!J65)),"C","")))</f>
        <v/>
      </c>
      <c r="J56" s="622" t="str">
        <f>IF(NOT(ISBLANK('A-RACHNATMAK'!K67)),"A",IF(NOT(ISBLANK('A-RACHNATMAK'!K66)),"B",IF(NOT(ISBLANK('A-RACHNATMAK'!K65)),"C","")))</f>
        <v/>
      </c>
      <c r="K56" s="622" t="str">
        <f>IF(NOT(ISBLANK('A-RACHNATMAK'!L67)),"A",IF(NOT(ISBLANK('A-RACHNATMAK'!L66)),"B",IF(NOT(ISBLANK('A-RACHNATMAK'!L65)),"C","")))</f>
        <v/>
      </c>
      <c r="L56" s="622" t="str">
        <f>IF(NOT(ISBLANK('A-RACHNATMAK'!M67)),"A",IF(NOT(ISBLANK('A-RACHNATMAK'!M66)),"B",IF(NOT(ISBLANK('A-RACHNATMAK'!M65)),"C","")))</f>
        <v/>
      </c>
      <c r="M56" s="622" t="str">
        <f>IF(NOT(ISBLANK('A-RACHNATMAK'!N67)),"A",IF(NOT(ISBLANK('A-RACHNATMAK'!N66)),"B",IF(NOT(ISBLANK('A-RACHNATMAK'!N65)),"C","")))</f>
        <v/>
      </c>
      <c r="N56" s="622" t="str">
        <f>IF(NOT(ISBLANK('A-RACHNATMAK'!O67)),"A",IF(NOT(ISBLANK('A-RACHNATMAK'!O66)),"B",IF(NOT(ISBLANK('A-RACHNATMAK'!O65)),"C","")))</f>
        <v/>
      </c>
      <c r="O56" s="622" t="str">
        <f>IF(NOT(ISBLANK('A-RACHNATMAK'!P67)),"A",IF(NOT(ISBLANK('A-RACHNATMAK'!P66)),"B",IF(NOT(ISBLANK('A-RACHNATMAK'!P65)),"C","")))</f>
        <v/>
      </c>
      <c r="P56" s="622" t="str">
        <f>IF(NOT(ISBLANK('A-RACHNATMAK'!Q67)),"A",IF(NOT(ISBLANK('A-RACHNATMAK'!Q66)),"B",IF(NOT(ISBLANK('A-RACHNATMAK'!Q65)),"C","")))</f>
        <v/>
      </c>
      <c r="Q56" s="622" t="str">
        <f>IF(NOT(ISBLANK('A-RACHNATMAK'!R67)),"A",IF(NOT(ISBLANK('A-RACHNATMAK'!R66)),"B",IF(NOT(ISBLANK('A-RACHNATMAK'!R65)),"C","")))</f>
        <v/>
      </c>
      <c r="R56" s="622" t="str">
        <f>IF(NOT(ISBLANK('A-RACHNATMAK'!S67)),"A",IF(NOT(ISBLANK('A-RACHNATMAK'!S66)),"B",IF(NOT(ISBLANK('A-RACHNATMAK'!S65)),"C","")))</f>
        <v/>
      </c>
      <c r="S56" s="622" t="str">
        <f>IF(NOT(ISBLANK('A-RACHNATMAK'!T67)),"A",IF(NOT(ISBLANK('A-RACHNATMAK'!T66)),"B",IF(NOT(ISBLANK('A-RACHNATMAK'!T65)),"C","")))</f>
        <v/>
      </c>
      <c r="T56" s="622" t="str">
        <f>IF(NOT(ISBLANK('A-RACHNATMAK'!U67)),"A",IF(NOT(ISBLANK('A-RACHNATMAK'!U66)),"B",IF(NOT(ISBLANK('A-RACHNATMAK'!U65)),"C","")))</f>
        <v/>
      </c>
      <c r="U56" s="622" t="str">
        <f>IF(NOT(ISBLANK('A-RACHNATMAK'!V67)),"A",IF(NOT(ISBLANK('A-RACHNATMAK'!V66)),"B",IF(NOT(ISBLANK('A-RACHNATMAK'!V65)),"C","")))</f>
        <v/>
      </c>
      <c r="V56" s="622">
        <f t="shared" ref="V56" si="102">COUNTIF(B56:U56,"A")</f>
        <v>0</v>
      </c>
      <c r="W56" s="622">
        <f t="shared" ref="W56" si="103">COUNTIF(B56:U56,"B")</f>
        <v>0</v>
      </c>
      <c r="X56" s="622">
        <f t="shared" ref="X56" si="104">COUNTIF(B56:U56,"C")</f>
        <v>0</v>
      </c>
      <c r="Z56" s="623">
        <v>19</v>
      </c>
      <c r="AA56" s="622" t="str">
        <f>IF(NOT(ISBLANK('A-RACHNATMAK'!AD67)),"A",IF(NOT(ISBLANK('A-RACHNATMAK'!AD66)),"B",IF(NOT(ISBLANK('A-RACHNATMAK'!AD65)),"C","")))</f>
        <v/>
      </c>
      <c r="AB56" s="622" t="str">
        <f>IF(NOT(ISBLANK('A-RACHNATMAK'!AE67)),"A",IF(NOT(ISBLANK('A-RACHNATMAK'!AE66)),"B",IF(NOT(ISBLANK('A-RACHNATMAK'!AE65)),"C","")))</f>
        <v/>
      </c>
      <c r="AC56" s="622" t="str">
        <f>IF(NOT(ISBLANK('A-RACHNATMAK'!AF67)),"A",IF(NOT(ISBLANK('A-RACHNATMAK'!AF66)),"B",IF(NOT(ISBLANK('A-RACHNATMAK'!AF65)),"C","")))</f>
        <v/>
      </c>
      <c r="AD56" s="622" t="str">
        <f>IF(NOT(ISBLANK('A-RACHNATMAK'!AG67)),"A",IF(NOT(ISBLANK('A-RACHNATMAK'!AG66)),"B",IF(NOT(ISBLANK('A-RACHNATMAK'!AG65)),"C","")))</f>
        <v/>
      </c>
      <c r="AE56" s="622" t="str">
        <f>IF(NOT(ISBLANK('A-RACHNATMAK'!AH67)),"A",IF(NOT(ISBLANK('A-RACHNATMAK'!AH66)),"B",IF(NOT(ISBLANK('A-RACHNATMAK'!AH65)),"C","")))</f>
        <v/>
      </c>
      <c r="AF56" s="622" t="str">
        <f>IF(NOT(ISBLANK('A-RACHNATMAK'!AI67)),"A",IF(NOT(ISBLANK('A-RACHNATMAK'!AI66)),"B",IF(NOT(ISBLANK('A-RACHNATMAK'!AI65)),"C","")))</f>
        <v/>
      </c>
      <c r="AG56" s="622" t="str">
        <f>IF(NOT(ISBLANK('A-RACHNATMAK'!AJ67)),"A",IF(NOT(ISBLANK('A-RACHNATMAK'!AJ66)),"B",IF(NOT(ISBLANK('A-RACHNATMAK'!AJ65)),"C","")))</f>
        <v/>
      </c>
      <c r="AH56" s="622" t="str">
        <f>IF(NOT(ISBLANK('A-RACHNATMAK'!AK67)),"A",IF(NOT(ISBLANK('A-RACHNATMAK'!AK66)),"B",IF(NOT(ISBLANK('A-RACHNATMAK'!AK65)),"C","")))</f>
        <v/>
      </c>
      <c r="AI56" s="622" t="str">
        <f>IF(NOT(ISBLANK('A-RACHNATMAK'!AL67)),"A",IF(NOT(ISBLANK('A-RACHNATMAK'!AL66)),"B",IF(NOT(ISBLANK('A-RACHNATMAK'!AL65)),"C","")))</f>
        <v/>
      </c>
      <c r="AJ56" s="622" t="str">
        <f>IF(NOT(ISBLANK('A-RACHNATMAK'!AM67)),"A",IF(NOT(ISBLANK('A-RACHNATMAK'!AM66)),"B",IF(NOT(ISBLANK('A-RACHNATMAK'!AM65)),"C","")))</f>
        <v/>
      </c>
      <c r="AK56" s="622" t="str">
        <f>IF(NOT(ISBLANK('A-RACHNATMAK'!AN67)),"A",IF(NOT(ISBLANK('A-RACHNATMAK'!AN66)),"B",IF(NOT(ISBLANK('A-RACHNATMAK'!AN65)),"C","")))</f>
        <v/>
      </c>
      <c r="AL56" s="622" t="str">
        <f>IF(NOT(ISBLANK('A-RACHNATMAK'!AO67)),"A",IF(NOT(ISBLANK('A-RACHNATMAK'!AO66)),"B",IF(NOT(ISBLANK('A-RACHNATMAK'!AO65)),"C","")))</f>
        <v/>
      </c>
      <c r="AM56" s="622" t="str">
        <f>IF(NOT(ISBLANK('A-RACHNATMAK'!AP67)),"A",IF(NOT(ISBLANK('A-RACHNATMAK'!AP66)),"B",IF(NOT(ISBLANK('A-RACHNATMAK'!AP65)),"C","")))</f>
        <v/>
      </c>
      <c r="AN56" s="622" t="str">
        <f>IF(NOT(ISBLANK('A-RACHNATMAK'!AQ67)),"A",IF(NOT(ISBLANK('A-RACHNATMAK'!AQ66)),"B",IF(NOT(ISBLANK('A-RACHNATMAK'!AQ65)),"C","")))</f>
        <v/>
      </c>
      <c r="AO56" s="622" t="str">
        <f>IF(NOT(ISBLANK('A-RACHNATMAK'!AR67)),"A",IF(NOT(ISBLANK('A-RACHNATMAK'!AR66)),"B",IF(NOT(ISBLANK('A-RACHNATMAK'!AR65)),"C","")))</f>
        <v/>
      </c>
      <c r="AP56" s="622" t="str">
        <f>IF(NOT(ISBLANK('A-RACHNATMAK'!AS67)),"A",IF(NOT(ISBLANK('A-RACHNATMAK'!AS66)),"B",IF(NOT(ISBLANK('A-RACHNATMAK'!AS65)),"C","")))</f>
        <v/>
      </c>
      <c r="AQ56" s="622" t="str">
        <f>IF(NOT(ISBLANK('A-RACHNATMAK'!AT67)),"A",IF(NOT(ISBLANK('A-RACHNATMAK'!AT66)),"B",IF(NOT(ISBLANK('A-RACHNATMAK'!AT65)),"C","")))</f>
        <v/>
      </c>
      <c r="AR56" s="622" t="str">
        <f>IF(NOT(ISBLANK('A-RACHNATMAK'!AU67)),"A",IF(NOT(ISBLANK('A-RACHNATMAK'!AU66)),"B",IF(NOT(ISBLANK('A-RACHNATMAK'!AU65)),"C","")))</f>
        <v/>
      </c>
      <c r="AS56" s="622" t="str">
        <f>IF(NOT(ISBLANK('A-RACHNATMAK'!AV67)),"A",IF(NOT(ISBLANK('A-RACHNATMAK'!AV66)),"B",IF(NOT(ISBLANK('A-RACHNATMAK'!AV65)),"C","")))</f>
        <v/>
      </c>
      <c r="AT56" s="622" t="str">
        <f>IF(NOT(ISBLANK('A-RACHNATMAK'!AW67)),"A",IF(NOT(ISBLANK('A-RACHNATMAK'!AW66)),"B",IF(NOT(ISBLANK('A-RACHNATMAK'!AW65)),"C","")))</f>
        <v/>
      </c>
      <c r="AU56" s="622">
        <f t="shared" ref="AU56" si="105">COUNTIF(AA56:AT56,"A")</f>
        <v>0</v>
      </c>
      <c r="AV56" s="622">
        <f t="shared" ref="AV56" si="106">COUNTIF(AA56:AT56,"B")</f>
        <v>0</v>
      </c>
      <c r="AW56" s="622">
        <f t="shared" ref="AW56" si="107">COUNTIF(AA56:AT56,"C")</f>
        <v>0</v>
      </c>
    </row>
    <row r="57" spans="1:49" s="330" customFormat="1" ht="8.25" customHeight="1">
      <c r="A57" s="623"/>
      <c r="B57" s="622"/>
      <c r="C57" s="622"/>
      <c r="D57" s="622"/>
      <c r="E57" s="622"/>
      <c r="F57" s="622"/>
      <c r="G57" s="622"/>
      <c r="H57" s="622"/>
      <c r="I57" s="622"/>
      <c r="J57" s="622"/>
      <c r="K57" s="622"/>
      <c r="L57" s="622"/>
      <c r="M57" s="622"/>
      <c r="N57" s="622"/>
      <c r="O57" s="622"/>
      <c r="P57" s="622"/>
      <c r="Q57" s="622"/>
      <c r="R57" s="622"/>
      <c r="S57" s="622"/>
      <c r="T57" s="622"/>
      <c r="U57" s="622"/>
      <c r="V57" s="622"/>
      <c r="W57" s="622"/>
      <c r="X57" s="622"/>
      <c r="Z57" s="623"/>
      <c r="AA57" s="622"/>
      <c r="AB57" s="622"/>
      <c r="AC57" s="622"/>
      <c r="AD57" s="622"/>
      <c r="AE57" s="622"/>
      <c r="AF57" s="622"/>
      <c r="AG57" s="622"/>
      <c r="AH57" s="622"/>
      <c r="AI57" s="622"/>
      <c r="AJ57" s="622"/>
      <c r="AK57" s="622"/>
      <c r="AL57" s="622"/>
      <c r="AM57" s="622"/>
      <c r="AN57" s="622"/>
      <c r="AO57" s="622"/>
      <c r="AP57" s="622"/>
      <c r="AQ57" s="622"/>
      <c r="AR57" s="622"/>
      <c r="AS57" s="622"/>
      <c r="AT57" s="622"/>
      <c r="AU57" s="622"/>
      <c r="AV57" s="622"/>
      <c r="AW57" s="622"/>
    </row>
    <row r="58" spans="1:49" s="330" customFormat="1" ht="8.25" customHeight="1">
      <c r="A58" s="623"/>
      <c r="B58" s="622"/>
      <c r="C58" s="622"/>
      <c r="D58" s="622"/>
      <c r="E58" s="622"/>
      <c r="F58" s="622"/>
      <c r="G58" s="622"/>
      <c r="H58" s="622"/>
      <c r="I58" s="622"/>
      <c r="J58" s="622"/>
      <c r="K58" s="622"/>
      <c r="L58" s="622"/>
      <c r="M58" s="622"/>
      <c r="N58" s="622"/>
      <c r="O58" s="622"/>
      <c r="P58" s="622"/>
      <c r="Q58" s="622"/>
      <c r="R58" s="622"/>
      <c r="S58" s="622"/>
      <c r="T58" s="622"/>
      <c r="U58" s="622"/>
      <c r="V58" s="622"/>
      <c r="W58" s="622"/>
      <c r="X58" s="622"/>
      <c r="Z58" s="623"/>
      <c r="AA58" s="622"/>
      <c r="AB58" s="622"/>
      <c r="AC58" s="622"/>
      <c r="AD58" s="622"/>
      <c r="AE58" s="622"/>
      <c r="AF58" s="622"/>
      <c r="AG58" s="622"/>
      <c r="AH58" s="622"/>
      <c r="AI58" s="622"/>
      <c r="AJ58" s="622"/>
      <c r="AK58" s="622"/>
      <c r="AL58" s="622"/>
      <c r="AM58" s="622"/>
      <c r="AN58" s="622"/>
      <c r="AO58" s="622"/>
      <c r="AP58" s="622"/>
      <c r="AQ58" s="622"/>
      <c r="AR58" s="622"/>
      <c r="AS58" s="622"/>
      <c r="AT58" s="622"/>
      <c r="AU58" s="622"/>
      <c r="AV58" s="622"/>
      <c r="AW58" s="622"/>
    </row>
    <row r="59" spans="1:49" s="330" customFormat="1" ht="8.25" customHeight="1">
      <c r="A59" s="623">
        <v>20</v>
      </c>
      <c r="B59" s="622" t="str">
        <f>IF(NOT(ISBLANK('A-RACHNATMAK'!C70)),"A",IF(NOT(ISBLANK('A-RACHNATMAK'!C69)),"B",IF(NOT(ISBLANK('A-RACHNATMAK'!C68)),"C","")))</f>
        <v/>
      </c>
      <c r="C59" s="622" t="str">
        <f>IF(NOT(ISBLANK('A-RACHNATMAK'!D70)),"A",IF(NOT(ISBLANK('A-RACHNATMAK'!D69)),"B",IF(NOT(ISBLANK('A-RACHNATMAK'!D68)),"C","")))</f>
        <v/>
      </c>
      <c r="D59" s="622" t="str">
        <f>IF(NOT(ISBLANK('A-RACHNATMAK'!E70)),"A",IF(NOT(ISBLANK('A-RACHNATMAK'!E69)),"B",IF(NOT(ISBLANK('A-RACHNATMAK'!E68)),"C","")))</f>
        <v/>
      </c>
      <c r="E59" s="622" t="str">
        <f>IF(NOT(ISBLANK('A-RACHNATMAK'!F70)),"A",IF(NOT(ISBLANK('A-RACHNATMAK'!F69)),"B",IF(NOT(ISBLANK('A-RACHNATMAK'!F68)),"C","")))</f>
        <v/>
      </c>
      <c r="F59" s="622" t="str">
        <f>IF(NOT(ISBLANK('A-RACHNATMAK'!G70)),"A",IF(NOT(ISBLANK('A-RACHNATMAK'!G69)),"B",IF(NOT(ISBLANK('A-RACHNATMAK'!G68)),"C","")))</f>
        <v/>
      </c>
      <c r="G59" s="622" t="str">
        <f>IF(NOT(ISBLANK('A-RACHNATMAK'!H70)),"A",IF(NOT(ISBLANK('A-RACHNATMAK'!H69)),"B",IF(NOT(ISBLANK('A-RACHNATMAK'!H68)),"C","")))</f>
        <v/>
      </c>
      <c r="H59" s="622" t="str">
        <f>IF(NOT(ISBLANK('A-RACHNATMAK'!I70)),"A",IF(NOT(ISBLANK('A-RACHNATMAK'!I69)),"B",IF(NOT(ISBLANK('A-RACHNATMAK'!I68)),"C","")))</f>
        <v/>
      </c>
      <c r="I59" s="622" t="str">
        <f>IF(NOT(ISBLANK('A-RACHNATMAK'!J70)),"A",IF(NOT(ISBLANK('A-RACHNATMAK'!J69)),"B",IF(NOT(ISBLANK('A-RACHNATMAK'!J68)),"C","")))</f>
        <v/>
      </c>
      <c r="J59" s="622" t="str">
        <f>IF(NOT(ISBLANK('A-RACHNATMAK'!K70)),"A",IF(NOT(ISBLANK('A-RACHNATMAK'!K69)),"B",IF(NOT(ISBLANK('A-RACHNATMAK'!K68)),"C","")))</f>
        <v/>
      </c>
      <c r="K59" s="622" t="str">
        <f>IF(NOT(ISBLANK('A-RACHNATMAK'!L70)),"A",IF(NOT(ISBLANK('A-RACHNATMAK'!L69)),"B",IF(NOT(ISBLANK('A-RACHNATMAK'!L68)),"C","")))</f>
        <v/>
      </c>
      <c r="L59" s="622" t="str">
        <f>IF(NOT(ISBLANK('A-RACHNATMAK'!M70)),"A",IF(NOT(ISBLANK('A-RACHNATMAK'!M69)),"B",IF(NOT(ISBLANK('A-RACHNATMAK'!M68)),"C","")))</f>
        <v/>
      </c>
      <c r="M59" s="622" t="str">
        <f>IF(NOT(ISBLANK('A-RACHNATMAK'!N70)),"A",IF(NOT(ISBLANK('A-RACHNATMAK'!N69)),"B",IF(NOT(ISBLANK('A-RACHNATMAK'!N68)),"C","")))</f>
        <v/>
      </c>
      <c r="N59" s="622" t="str">
        <f>IF(NOT(ISBLANK('A-RACHNATMAK'!O70)),"A",IF(NOT(ISBLANK('A-RACHNATMAK'!O69)),"B",IF(NOT(ISBLANK('A-RACHNATMAK'!O68)),"C","")))</f>
        <v/>
      </c>
      <c r="O59" s="622" t="str">
        <f>IF(NOT(ISBLANK('A-RACHNATMAK'!P70)),"A",IF(NOT(ISBLANK('A-RACHNATMAK'!P69)),"B",IF(NOT(ISBLANK('A-RACHNATMAK'!P68)),"C","")))</f>
        <v/>
      </c>
      <c r="P59" s="622" t="str">
        <f>IF(NOT(ISBLANK('A-RACHNATMAK'!Q70)),"A",IF(NOT(ISBLANK('A-RACHNATMAK'!Q69)),"B",IF(NOT(ISBLANK('A-RACHNATMAK'!Q68)),"C","")))</f>
        <v/>
      </c>
      <c r="Q59" s="622" t="str">
        <f>IF(NOT(ISBLANK('A-RACHNATMAK'!R70)),"A",IF(NOT(ISBLANK('A-RACHNATMAK'!R69)),"B",IF(NOT(ISBLANK('A-RACHNATMAK'!R68)),"C","")))</f>
        <v/>
      </c>
      <c r="R59" s="622" t="str">
        <f>IF(NOT(ISBLANK('A-RACHNATMAK'!S70)),"A",IF(NOT(ISBLANK('A-RACHNATMAK'!S69)),"B",IF(NOT(ISBLANK('A-RACHNATMAK'!S68)),"C","")))</f>
        <v/>
      </c>
      <c r="S59" s="622" t="str">
        <f>IF(NOT(ISBLANK('A-RACHNATMAK'!T70)),"A",IF(NOT(ISBLANK('A-RACHNATMAK'!T69)),"B",IF(NOT(ISBLANK('A-RACHNATMAK'!T68)),"C","")))</f>
        <v/>
      </c>
      <c r="T59" s="622" t="str">
        <f>IF(NOT(ISBLANK('A-RACHNATMAK'!U70)),"A",IF(NOT(ISBLANK('A-RACHNATMAK'!U69)),"B",IF(NOT(ISBLANK('A-RACHNATMAK'!U68)),"C","")))</f>
        <v/>
      </c>
      <c r="U59" s="622" t="str">
        <f>IF(NOT(ISBLANK('A-RACHNATMAK'!V70)),"A",IF(NOT(ISBLANK('A-RACHNATMAK'!V69)),"B",IF(NOT(ISBLANK('A-RACHNATMAK'!V68)),"C","")))</f>
        <v/>
      </c>
      <c r="V59" s="622">
        <f t="shared" ref="V59" si="108">COUNTIF(B59:U59,"A")</f>
        <v>0</v>
      </c>
      <c r="W59" s="622">
        <f t="shared" ref="W59" si="109">COUNTIF(B59:U59,"B")</f>
        <v>0</v>
      </c>
      <c r="X59" s="622">
        <f t="shared" ref="X59" si="110">COUNTIF(B59:U59,"C")</f>
        <v>0</v>
      </c>
      <c r="Z59" s="623">
        <v>20</v>
      </c>
      <c r="AA59" s="622" t="str">
        <f>IF(NOT(ISBLANK('A-RACHNATMAK'!AD70)),"A",IF(NOT(ISBLANK('A-RACHNATMAK'!AD69)),"B",IF(NOT(ISBLANK('A-RACHNATMAK'!AD68)),"C","")))</f>
        <v/>
      </c>
      <c r="AB59" s="622" t="str">
        <f>IF(NOT(ISBLANK('A-RACHNATMAK'!AE70)),"A",IF(NOT(ISBLANK('A-RACHNATMAK'!AE69)),"B",IF(NOT(ISBLANK('A-RACHNATMAK'!AE68)),"C","")))</f>
        <v/>
      </c>
      <c r="AC59" s="622" t="str">
        <f>IF(NOT(ISBLANK('A-RACHNATMAK'!AF70)),"A",IF(NOT(ISBLANK('A-RACHNATMAK'!AF69)),"B",IF(NOT(ISBLANK('A-RACHNATMAK'!AF68)),"C","")))</f>
        <v/>
      </c>
      <c r="AD59" s="622" t="str">
        <f>IF(NOT(ISBLANK('A-RACHNATMAK'!AG70)),"A",IF(NOT(ISBLANK('A-RACHNATMAK'!AG69)),"B",IF(NOT(ISBLANK('A-RACHNATMAK'!AG68)),"C","")))</f>
        <v/>
      </c>
      <c r="AE59" s="622" t="str">
        <f>IF(NOT(ISBLANK('A-RACHNATMAK'!AH70)),"A",IF(NOT(ISBLANK('A-RACHNATMAK'!AH69)),"B",IF(NOT(ISBLANK('A-RACHNATMAK'!AH68)),"C","")))</f>
        <v/>
      </c>
      <c r="AF59" s="622" t="str">
        <f>IF(NOT(ISBLANK('A-RACHNATMAK'!AI70)),"A",IF(NOT(ISBLANK('A-RACHNATMAK'!AI69)),"B",IF(NOT(ISBLANK('A-RACHNATMAK'!AI68)),"C","")))</f>
        <v/>
      </c>
      <c r="AG59" s="622" t="str">
        <f>IF(NOT(ISBLANK('A-RACHNATMAK'!AJ70)),"A",IF(NOT(ISBLANK('A-RACHNATMAK'!AJ69)),"B",IF(NOT(ISBLANK('A-RACHNATMAK'!AJ68)),"C","")))</f>
        <v/>
      </c>
      <c r="AH59" s="622" t="str">
        <f>IF(NOT(ISBLANK('A-RACHNATMAK'!AK70)),"A",IF(NOT(ISBLANK('A-RACHNATMAK'!AK69)),"B",IF(NOT(ISBLANK('A-RACHNATMAK'!AK68)),"C","")))</f>
        <v/>
      </c>
      <c r="AI59" s="622" t="str">
        <f>IF(NOT(ISBLANK('A-RACHNATMAK'!AL70)),"A",IF(NOT(ISBLANK('A-RACHNATMAK'!AL69)),"B",IF(NOT(ISBLANK('A-RACHNATMAK'!AL68)),"C","")))</f>
        <v/>
      </c>
      <c r="AJ59" s="622" t="str">
        <f>IF(NOT(ISBLANK('A-RACHNATMAK'!AM70)),"A",IF(NOT(ISBLANK('A-RACHNATMAK'!AM69)),"B",IF(NOT(ISBLANK('A-RACHNATMAK'!AM68)),"C","")))</f>
        <v/>
      </c>
      <c r="AK59" s="622" t="str">
        <f>IF(NOT(ISBLANK('A-RACHNATMAK'!AN70)),"A",IF(NOT(ISBLANK('A-RACHNATMAK'!AN69)),"B",IF(NOT(ISBLANK('A-RACHNATMAK'!AN68)),"C","")))</f>
        <v/>
      </c>
      <c r="AL59" s="622" t="str">
        <f>IF(NOT(ISBLANK('A-RACHNATMAK'!AO70)),"A",IF(NOT(ISBLANK('A-RACHNATMAK'!AO69)),"B",IF(NOT(ISBLANK('A-RACHNATMAK'!AO68)),"C","")))</f>
        <v/>
      </c>
      <c r="AM59" s="622" t="str">
        <f>IF(NOT(ISBLANK('A-RACHNATMAK'!AP70)),"A",IF(NOT(ISBLANK('A-RACHNATMAK'!AP69)),"B",IF(NOT(ISBLANK('A-RACHNATMAK'!AP68)),"C","")))</f>
        <v/>
      </c>
      <c r="AN59" s="622" t="str">
        <f>IF(NOT(ISBLANK('A-RACHNATMAK'!AQ70)),"A",IF(NOT(ISBLANK('A-RACHNATMAK'!AQ69)),"B",IF(NOT(ISBLANK('A-RACHNATMAK'!AQ68)),"C","")))</f>
        <v/>
      </c>
      <c r="AO59" s="622" t="str">
        <f>IF(NOT(ISBLANK('A-RACHNATMAK'!AR70)),"A",IF(NOT(ISBLANK('A-RACHNATMAK'!AR69)),"B",IF(NOT(ISBLANK('A-RACHNATMAK'!AR68)),"C","")))</f>
        <v/>
      </c>
      <c r="AP59" s="622" t="str">
        <f>IF(NOT(ISBLANK('A-RACHNATMAK'!AS70)),"A",IF(NOT(ISBLANK('A-RACHNATMAK'!AS69)),"B",IF(NOT(ISBLANK('A-RACHNATMAK'!AS68)),"C","")))</f>
        <v/>
      </c>
      <c r="AQ59" s="622" t="str">
        <f>IF(NOT(ISBLANK('A-RACHNATMAK'!AT70)),"A",IF(NOT(ISBLANK('A-RACHNATMAK'!AT69)),"B",IF(NOT(ISBLANK('A-RACHNATMAK'!AT68)),"C","")))</f>
        <v/>
      </c>
      <c r="AR59" s="622" t="str">
        <f>IF(NOT(ISBLANK('A-RACHNATMAK'!AU70)),"A",IF(NOT(ISBLANK('A-RACHNATMAK'!AU69)),"B",IF(NOT(ISBLANK('A-RACHNATMAK'!AU68)),"C","")))</f>
        <v/>
      </c>
      <c r="AS59" s="622" t="str">
        <f>IF(NOT(ISBLANK('A-RACHNATMAK'!AV70)),"A",IF(NOT(ISBLANK('A-RACHNATMAK'!AV69)),"B",IF(NOT(ISBLANK('A-RACHNATMAK'!AV68)),"C","")))</f>
        <v/>
      </c>
      <c r="AT59" s="622" t="str">
        <f>IF(NOT(ISBLANK('A-RACHNATMAK'!AW70)),"A",IF(NOT(ISBLANK('A-RACHNATMAK'!AW69)),"B",IF(NOT(ISBLANK('A-RACHNATMAK'!AW68)),"C","")))</f>
        <v/>
      </c>
      <c r="AU59" s="622">
        <f t="shared" ref="AU59" si="111">COUNTIF(AA59:AT59,"A")</f>
        <v>0</v>
      </c>
      <c r="AV59" s="622">
        <f t="shared" ref="AV59" si="112">COUNTIF(AA59:AT59,"B")</f>
        <v>0</v>
      </c>
      <c r="AW59" s="622">
        <f t="shared" ref="AW59" si="113">COUNTIF(AA59:AT59,"C")</f>
        <v>0</v>
      </c>
    </row>
    <row r="60" spans="1:49" s="330" customFormat="1" ht="8.25" customHeight="1">
      <c r="A60" s="623"/>
      <c r="B60" s="622"/>
      <c r="C60" s="622"/>
      <c r="D60" s="622"/>
      <c r="E60" s="622"/>
      <c r="F60" s="622"/>
      <c r="G60" s="622"/>
      <c r="H60" s="622"/>
      <c r="I60" s="622"/>
      <c r="J60" s="622"/>
      <c r="K60" s="622"/>
      <c r="L60" s="622"/>
      <c r="M60" s="622"/>
      <c r="N60" s="622"/>
      <c r="O60" s="622"/>
      <c r="P60" s="622"/>
      <c r="Q60" s="622"/>
      <c r="R60" s="622"/>
      <c r="S60" s="622"/>
      <c r="T60" s="622"/>
      <c r="U60" s="622"/>
      <c r="V60" s="622"/>
      <c r="W60" s="622"/>
      <c r="X60" s="622"/>
      <c r="Z60" s="623"/>
      <c r="AA60" s="622"/>
      <c r="AB60" s="622"/>
      <c r="AC60" s="622"/>
      <c r="AD60" s="622"/>
      <c r="AE60" s="622"/>
      <c r="AF60" s="622"/>
      <c r="AG60" s="622"/>
      <c r="AH60" s="622"/>
      <c r="AI60" s="622"/>
      <c r="AJ60" s="622"/>
      <c r="AK60" s="622"/>
      <c r="AL60" s="622"/>
      <c r="AM60" s="622"/>
      <c r="AN60" s="622"/>
      <c r="AO60" s="622"/>
      <c r="AP60" s="622"/>
      <c r="AQ60" s="622"/>
      <c r="AR60" s="622"/>
      <c r="AS60" s="622"/>
      <c r="AT60" s="622"/>
      <c r="AU60" s="622"/>
      <c r="AV60" s="622"/>
      <c r="AW60" s="622"/>
    </row>
    <row r="61" spans="1:49" s="330" customFormat="1" ht="8.25" customHeight="1">
      <c r="A61" s="623"/>
      <c r="B61" s="622"/>
      <c r="C61" s="622"/>
      <c r="D61" s="622"/>
      <c r="E61" s="622"/>
      <c r="F61" s="622"/>
      <c r="G61" s="622"/>
      <c r="H61" s="622"/>
      <c r="I61" s="622"/>
      <c r="J61" s="622"/>
      <c r="K61" s="622"/>
      <c r="L61" s="622"/>
      <c r="M61" s="622"/>
      <c r="N61" s="622"/>
      <c r="O61" s="622"/>
      <c r="P61" s="622"/>
      <c r="Q61" s="622"/>
      <c r="R61" s="622"/>
      <c r="S61" s="622"/>
      <c r="T61" s="622"/>
      <c r="U61" s="622"/>
      <c r="V61" s="622"/>
      <c r="W61" s="622"/>
      <c r="X61" s="622"/>
      <c r="Z61" s="623"/>
      <c r="AA61" s="622"/>
      <c r="AB61" s="622"/>
      <c r="AC61" s="622"/>
      <c r="AD61" s="622"/>
      <c r="AE61" s="622"/>
      <c r="AF61" s="622"/>
      <c r="AG61" s="622"/>
      <c r="AH61" s="622"/>
      <c r="AI61" s="622"/>
      <c r="AJ61" s="622"/>
      <c r="AK61" s="622"/>
      <c r="AL61" s="622"/>
      <c r="AM61" s="622"/>
      <c r="AN61" s="622"/>
      <c r="AO61" s="622"/>
      <c r="AP61" s="622"/>
      <c r="AQ61" s="622"/>
      <c r="AR61" s="622"/>
      <c r="AS61" s="622"/>
      <c r="AT61" s="622"/>
      <c r="AU61" s="622"/>
      <c r="AV61" s="622"/>
      <c r="AW61" s="622"/>
    </row>
    <row r="62" spans="1:49" s="330" customFormat="1" ht="8.25" customHeight="1">
      <c r="A62" s="623">
        <v>21</v>
      </c>
      <c r="B62" s="622" t="str">
        <f>IF(NOT(ISBLANK('A-RACHNATMAK'!C73)),"A",IF(NOT(ISBLANK('A-RACHNATMAK'!C72)),"B",IF(NOT(ISBLANK('A-RACHNATMAK'!C71)),"C","")))</f>
        <v/>
      </c>
      <c r="C62" s="622" t="str">
        <f>IF(NOT(ISBLANK('A-RACHNATMAK'!D73)),"A",IF(NOT(ISBLANK('A-RACHNATMAK'!D72)),"B",IF(NOT(ISBLANK('A-RACHNATMAK'!D71)),"C","")))</f>
        <v/>
      </c>
      <c r="D62" s="622" t="str">
        <f>IF(NOT(ISBLANK('A-RACHNATMAK'!E73)),"A",IF(NOT(ISBLANK('A-RACHNATMAK'!E72)),"B",IF(NOT(ISBLANK('A-RACHNATMAK'!E71)),"C","")))</f>
        <v/>
      </c>
      <c r="E62" s="622" t="str">
        <f>IF(NOT(ISBLANK('A-RACHNATMAK'!F73)),"A",IF(NOT(ISBLANK('A-RACHNATMAK'!F72)),"B",IF(NOT(ISBLANK('A-RACHNATMAK'!F71)),"C","")))</f>
        <v/>
      </c>
      <c r="F62" s="622" t="str">
        <f>IF(NOT(ISBLANK('A-RACHNATMAK'!G73)),"A",IF(NOT(ISBLANK('A-RACHNATMAK'!G72)),"B",IF(NOT(ISBLANK('A-RACHNATMAK'!G71)),"C","")))</f>
        <v/>
      </c>
      <c r="G62" s="622" t="str">
        <f>IF(NOT(ISBLANK('A-RACHNATMAK'!H73)),"A",IF(NOT(ISBLANK('A-RACHNATMAK'!H72)),"B",IF(NOT(ISBLANK('A-RACHNATMAK'!H71)),"C","")))</f>
        <v/>
      </c>
      <c r="H62" s="622" t="str">
        <f>IF(NOT(ISBLANK('A-RACHNATMAK'!I73)),"A",IF(NOT(ISBLANK('A-RACHNATMAK'!I72)),"B",IF(NOT(ISBLANK('A-RACHNATMAK'!I71)),"C","")))</f>
        <v/>
      </c>
      <c r="I62" s="622" t="str">
        <f>IF(NOT(ISBLANK('A-RACHNATMAK'!J73)),"A",IF(NOT(ISBLANK('A-RACHNATMAK'!J72)),"B",IF(NOT(ISBLANK('A-RACHNATMAK'!J71)),"C","")))</f>
        <v/>
      </c>
      <c r="J62" s="622" t="str">
        <f>IF(NOT(ISBLANK('A-RACHNATMAK'!K73)),"A",IF(NOT(ISBLANK('A-RACHNATMAK'!K72)),"B",IF(NOT(ISBLANK('A-RACHNATMAK'!K71)),"C","")))</f>
        <v/>
      </c>
      <c r="K62" s="622" t="str">
        <f>IF(NOT(ISBLANK('A-RACHNATMAK'!L73)),"A",IF(NOT(ISBLANK('A-RACHNATMAK'!L72)),"B",IF(NOT(ISBLANK('A-RACHNATMAK'!L71)),"C","")))</f>
        <v/>
      </c>
      <c r="L62" s="622" t="str">
        <f>IF(NOT(ISBLANK('A-RACHNATMAK'!M73)),"A",IF(NOT(ISBLANK('A-RACHNATMAK'!M72)),"B",IF(NOT(ISBLANK('A-RACHNATMAK'!M71)),"C","")))</f>
        <v/>
      </c>
      <c r="M62" s="622" t="str">
        <f>IF(NOT(ISBLANK('A-RACHNATMAK'!N73)),"A",IF(NOT(ISBLANK('A-RACHNATMAK'!N72)),"B",IF(NOT(ISBLANK('A-RACHNATMAK'!N71)),"C","")))</f>
        <v/>
      </c>
      <c r="N62" s="622" t="str">
        <f>IF(NOT(ISBLANK('A-RACHNATMAK'!O73)),"A",IF(NOT(ISBLANK('A-RACHNATMAK'!O72)),"B",IF(NOT(ISBLANK('A-RACHNATMAK'!O71)),"C","")))</f>
        <v/>
      </c>
      <c r="O62" s="622" t="str">
        <f>IF(NOT(ISBLANK('A-RACHNATMAK'!P73)),"A",IF(NOT(ISBLANK('A-RACHNATMAK'!P72)),"B",IF(NOT(ISBLANK('A-RACHNATMAK'!P71)),"C","")))</f>
        <v/>
      </c>
      <c r="P62" s="622" t="str">
        <f>IF(NOT(ISBLANK('A-RACHNATMAK'!Q73)),"A",IF(NOT(ISBLANK('A-RACHNATMAK'!Q72)),"B",IF(NOT(ISBLANK('A-RACHNATMAK'!Q71)),"C","")))</f>
        <v/>
      </c>
      <c r="Q62" s="622" t="str">
        <f>IF(NOT(ISBLANK('A-RACHNATMAK'!R73)),"A",IF(NOT(ISBLANK('A-RACHNATMAK'!R72)),"B",IF(NOT(ISBLANK('A-RACHNATMAK'!R71)),"C","")))</f>
        <v/>
      </c>
      <c r="R62" s="622" t="str">
        <f>IF(NOT(ISBLANK('A-RACHNATMAK'!S73)),"A",IF(NOT(ISBLANK('A-RACHNATMAK'!S72)),"B",IF(NOT(ISBLANK('A-RACHNATMAK'!S71)),"C","")))</f>
        <v/>
      </c>
      <c r="S62" s="622" t="str">
        <f>IF(NOT(ISBLANK('A-RACHNATMAK'!T73)),"A",IF(NOT(ISBLANK('A-RACHNATMAK'!T72)),"B",IF(NOT(ISBLANK('A-RACHNATMAK'!T71)),"C","")))</f>
        <v/>
      </c>
      <c r="T62" s="622" t="str">
        <f>IF(NOT(ISBLANK('A-RACHNATMAK'!U73)),"A",IF(NOT(ISBLANK('A-RACHNATMAK'!U72)),"B",IF(NOT(ISBLANK('A-RACHNATMAK'!U71)),"C","")))</f>
        <v/>
      </c>
      <c r="U62" s="622" t="str">
        <f>IF(NOT(ISBLANK('A-RACHNATMAK'!V73)),"A",IF(NOT(ISBLANK('A-RACHNATMAK'!V72)),"B",IF(NOT(ISBLANK('A-RACHNATMAK'!V71)),"C","")))</f>
        <v/>
      </c>
      <c r="V62" s="622">
        <f t="shared" ref="V62" si="114">COUNTIF(B62:U62,"A")</f>
        <v>0</v>
      </c>
      <c r="W62" s="622">
        <f t="shared" ref="W62" si="115">COUNTIF(B62:U62,"B")</f>
        <v>0</v>
      </c>
      <c r="X62" s="622">
        <f t="shared" ref="X62" si="116">COUNTIF(B62:U62,"C")</f>
        <v>0</v>
      </c>
      <c r="Z62" s="623">
        <v>21</v>
      </c>
      <c r="AA62" s="622" t="str">
        <f>IF(NOT(ISBLANK('A-RACHNATMAK'!AD73)),"A",IF(NOT(ISBLANK('A-RACHNATMAK'!AD72)),"B",IF(NOT(ISBLANK('A-RACHNATMAK'!AD71)),"C","")))</f>
        <v/>
      </c>
      <c r="AB62" s="622" t="str">
        <f>IF(NOT(ISBLANK('A-RACHNATMAK'!AE73)),"A",IF(NOT(ISBLANK('A-RACHNATMAK'!AE72)),"B",IF(NOT(ISBLANK('A-RACHNATMAK'!AE71)),"C","")))</f>
        <v/>
      </c>
      <c r="AC62" s="622" t="str">
        <f>IF(NOT(ISBLANK('A-RACHNATMAK'!AF73)),"A",IF(NOT(ISBLANK('A-RACHNATMAK'!AF72)),"B",IF(NOT(ISBLANK('A-RACHNATMAK'!AF71)),"C","")))</f>
        <v/>
      </c>
      <c r="AD62" s="622" t="str">
        <f>IF(NOT(ISBLANK('A-RACHNATMAK'!AG73)),"A",IF(NOT(ISBLANK('A-RACHNATMAK'!AG72)),"B",IF(NOT(ISBLANK('A-RACHNATMAK'!AG71)),"C","")))</f>
        <v/>
      </c>
      <c r="AE62" s="622" t="str">
        <f>IF(NOT(ISBLANK('A-RACHNATMAK'!AH73)),"A",IF(NOT(ISBLANK('A-RACHNATMAK'!AH72)),"B",IF(NOT(ISBLANK('A-RACHNATMAK'!AH71)),"C","")))</f>
        <v/>
      </c>
      <c r="AF62" s="622" t="str">
        <f>IF(NOT(ISBLANK('A-RACHNATMAK'!AI73)),"A",IF(NOT(ISBLANK('A-RACHNATMAK'!AI72)),"B",IF(NOT(ISBLANK('A-RACHNATMAK'!AI71)),"C","")))</f>
        <v/>
      </c>
      <c r="AG62" s="622" t="str">
        <f>IF(NOT(ISBLANK('A-RACHNATMAK'!AJ73)),"A",IF(NOT(ISBLANK('A-RACHNATMAK'!AJ72)),"B",IF(NOT(ISBLANK('A-RACHNATMAK'!AJ71)),"C","")))</f>
        <v/>
      </c>
      <c r="AH62" s="622" t="str">
        <f>IF(NOT(ISBLANK('A-RACHNATMAK'!AK73)),"A",IF(NOT(ISBLANK('A-RACHNATMAK'!AK72)),"B",IF(NOT(ISBLANK('A-RACHNATMAK'!AK71)),"C","")))</f>
        <v/>
      </c>
      <c r="AI62" s="622" t="str">
        <f>IF(NOT(ISBLANK('A-RACHNATMAK'!AL73)),"A",IF(NOT(ISBLANK('A-RACHNATMAK'!AL72)),"B",IF(NOT(ISBLANK('A-RACHNATMAK'!AL71)),"C","")))</f>
        <v/>
      </c>
      <c r="AJ62" s="622" t="str">
        <f>IF(NOT(ISBLANK('A-RACHNATMAK'!AM73)),"A",IF(NOT(ISBLANK('A-RACHNATMAK'!AM72)),"B",IF(NOT(ISBLANK('A-RACHNATMAK'!AM71)),"C","")))</f>
        <v/>
      </c>
      <c r="AK62" s="622" t="str">
        <f>IF(NOT(ISBLANK('A-RACHNATMAK'!AN73)),"A",IF(NOT(ISBLANK('A-RACHNATMAK'!AN72)),"B",IF(NOT(ISBLANK('A-RACHNATMAK'!AN71)),"C","")))</f>
        <v/>
      </c>
      <c r="AL62" s="622" t="str">
        <f>IF(NOT(ISBLANK('A-RACHNATMAK'!AO73)),"A",IF(NOT(ISBLANK('A-RACHNATMAK'!AO72)),"B",IF(NOT(ISBLANK('A-RACHNATMAK'!AO71)),"C","")))</f>
        <v/>
      </c>
      <c r="AM62" s="622" t="str">
        <f>IF(NOT(ISBLANK('A-RACHNATMAK'!AP73)),"A",IF(NOT(ISBLANK('A-RACHNATMAK'!AP72)),"B",IF(NOT(ISBLANK('A-RACHNATMAK'!AP71)),"C","")))</f>
        <v/>
      </c>
      <c r="AN62" s="622" t="str">
        <f>IF(NOT(ISBLANK('A-RACHNATMAK'!AQ73)),"A",IF(NOT(ISBLANK('A-RACHNATMAK'!AQ72)),"B",IF(NOT(ISBLANK('A-RACHNATMAK'!AQ71)),"C","")))</f>
        <v/>
      </c>
      <c r="AO62" s="622" t="str">
        <f>IF(NOT(ISBLANK('A-RACHNATMAK'!AR73)),"A",IF(NOT(ISBLANK('A-RACHNATMAK'!AR72)),"B",IF(NOT(ISBLANK('A-RACHNATMAK'!AR71)),"C","")))</f>
        <v/>
      </c>
      <c r="AP62" s="622" t="str">
        <f>IF(NOT(ISBLANK('A-RACHNATMAK'!AS73)),"A",IF(NOT(ISBLANK('A-RACHNATMAK'!AS72)),"B",IF(NOT(ISBLANK('A-RACHNATMAK'!AS71)),"C","")))</f>
        <v/>
      </c>
      <c r="AQ62" s="622" t="str">
        <f>IF(NOT(ISBLANK('A-RACHNATMAK'!AT73)),"A",IF(NOT(ISBLANK('A-RACHNATMAK'!AT72)),"B",IF(NOT(ISBLANK('A-RACHNATMAK'!AT71)),"C","")))</f>
        <v/>
      </c>
      <c r="AR62" s="622" t="str">
        <f>IF(NOT(ISBLANK('A-RACHNATMAK'!AU73)),"A",IF(NOT(ISBLANK('A-RACHNATMAK'!AU72)),"B",IF(NOT(ISBLANK('A-RACHNATMAK'!AU71)),"C","")))</f>
        <v/>
      </c>
      <c r="AS62" s="622" t="str">
        <f>IF(NOT(ISBLANK('A-RACHNATMAK'!AV73)),"A",IF(NOT(ISBLANK('A-RACHNATMAK'!AV72)),"B",IF(NOT(ISBLANK('A-RACHNATMAK'!AV71)),"C","")))</f>
        <v/>
      </c>
      <c r="AT62" s="622" t="str">
        <f>IF(NOT(ISBLANK('A-RACHNATMAK'!AW73)),"A",IF(NOT(ISBLANK('A-RACHNATMAK'!AW72)),"B",IF(NOT(ISBLANK('A-RACHNATMAK'!AW71)),"C","")))</f>
        <v/>
      </c>
      <c r="AU62" s="622">
        <f t="shared" ref="AU62" si="117">COUNTIF(AA62:AT62,"A")</f>
        <v>0</v>
      </c>
      <c r="AV62" s="622">
        <f t="shared" ref="AV62" si="118">COUNTIF(AA62:AT62,"B")</f>
        <v>0</v>
      </c>
      <c r="AW62" s="622">
        <f t="shared" ref="AW62" si="119">COUNTIF(AA62:AT62,"C")</f>
        <v>0</v>
      </c>
    </row>
    <row r="63" spans="1:49" s="330" customFormat="1" ht="8.25" customHeight="1">
      <c r="A63" s="623"/>
      <c r="B63" s="622"/>
      <c r="C63" s="622"/>
      <c r="D63" s="622"/>
      <c r="E63" s="622"/>
      <c r="F63" s="622"/>
      <c r="G63" s="622"/>
      <c r="H63" s="622"/>
      <c r="I63" s="622"/>
      <c r="J63" s="622"/>
      <c r="K63" s="622"/>
      <c r="L63" s="622"/>
      <c r="M63" s="622"/>
      <c r="N63" s="622"/>
      <c r="O63" s="622"/>
      <c r="P63" s="622"/>
      <c r="Q63" s="622"/>
      <c r="R63" s="622"/>
      <c r="S63" s="622"/>
      <c r="T63" s="622"/>
      <c r="U63" s="622"/>
      <c r="V63" s="622"/>
      <c r="W63" s="622"/>
      <c r="X63" s="622"/>
      <c r="Z63" s="623"/>
      <c r="AA63" s="622"/>
      <c r="AB63" s="622"/>
      <c r="AC63" s="622"/>
      <c r="AD63" s="622"/>
      <c r="AE63" s="622"/>
      <c r="AF63" s="622"/>
      <c r="AG63" s="622"/>
      <c r="AH63" s="622"/>
      <c r="AI63" s="622"/>
      <c r="AJ63" s="622"/>
      <c r="AK63" s="622"/>
      <c r="AL63" s="622"/>
      <c r="AM63" s="622"/>
      <c r="AN63" s="622"/>
      <c r="AO63" s="622"/>
      <c r="AP63" s="622"/>
      <c r="AQ63" s="622"/>
      <c r="AR63" s="622"/>
      <c r="AS63" s="622"/>
      <c r="AT63" s="622"/>
      <c r="AU63" s="622"/>
      <c r="AV63" s="622"/>
      <c r="AW63" s="622"/>
    </row>
    <row r="64" spans="1:49" s="330" customFormat="1" ht="8.25" customHeight="1">
      <c r="A64" s="623"/>
      <c r="B64" s="622"/>
      <c r="C64" s="622"/>
      <c r="D64" s="622"/>
      <c r="E64" s="622"/>
      <c r="F64" s="622"/>
      <c r="G64" s="622"/>
      <c r="H64" s="622"/>
      <c r="I64" s="622"/>
      <c r="J64" s="622"/>
      <c r="K64" s="622"/>
      <c r="L64" s="622"/>
      <c r="M64" s="622"/>
      <c r="N64" s="622"/>
      <c r="O64" s="622"/>
      <c r="P64" s="622"/>
      <c r="Q64" s="622"/>
      <c r="R64" s="622"/>
      <c r="S64" s="622"/>
      <c r="T64" s="622"/>
      <c r="U64" s="622"/>
      <c r="V64" s="622"/>
      <c r="W64" s="622"/>
      <c r="X64" s="622"/>
      <c r="Z64" s="623"/>
      <c r="AA64" s="622"/>
      <c r="AB64" s="622"/>
      <c r="AC64" s="622"/>
      <c r="AD64" s="622"/>
      <c r="AE64" s="622"/>
      <c r="AF64" s="622"/>
      <c r="AG64" s="622"/>
      <c r="AH64" s="622"/>
      <c r="AI64" s="622"/>
      <c r="AJ64" s="622"/>
      <c r="AK64" s="622"/>
      <c r="AL64" s="622"/>
      <c r="AM64" s="622"/>
      <c r="AN64" s="622"/>
      <c r="AO64" s="622"/>
      <c r="AP64" s="622"/>
      <c r="AQ64" s="622"/>
      <c r="AR64" s="622"/>
      <c r="AS64" s="622"/>
      <c r="AT64" s="622"/>
      <c r="AU64" s="622"/>
      <c r="AV64" s="622"/>
      <c r="AW64" s="622"/>
    </row>
    <row r="65" spans="1:49" s="330" customFormat="1" ht="8.25" customHeight="1">
      <c r="A65" s="623">
        <v>22</v>
      </c>
      <c r="B65" s="622" t="str">
        <f>IF(NOT(ISBLANK('A-RACHNATMAK'!C76)),"A",IF(NOT(ISBLANK('A-RACHNATMAK'!C75)),"B",IF(NOT(ISBLANK('A-RACHNATMAK'!C74)),"C","")))</f>
        <v/>
      </c>
      <c r="C65" s="622" t="str">
        <f>IF(NOT(ISBLANK('A-RACHNATMAK'!D76)),"A",IF(NOT(ISBLANK('A-RACHNATMAK'!D75)),"B",IF(NOT(ISBLANK('A-RACHNATMAK'!D74)),"C","")))</f>
        <v/>
      </c>
      <c r="D65" s="622" t="str">
        <f>IF(NOT(ISBLANK('A-RACHNATMAK'!E76)),"A",IF(NOT(ISBLANK('A-RACHNATMAK'!E75)),"B",IF(NOT(ISBLANK('A-RACHNATMAK'!E74)),"C","")))</f>
        <v/>
      </c>
      <c r="E65" s="622" t="str">
        <f>IF(NOT(ISBLANK('A-RACHNATMAK'!F76)),"A",IF(NOT(ISBLANK('A-RACHNATMAK'!F75)),"B",IF(NOT(ISBLANK('A-RACHNATMAK'!F74)),"C","")))</f>
        <v/>
      </c>
      <c r="F65" s="622" t="str">
        <f>IF(NOT(ISBLANK('A-RACHNATMAK'!G76)),"A",IF(NOT(ISBLANK('A-RACHNATMAK'!G75)),"B",IF(NOT(ISBLANK('A-RACHNATMAK'!G74)),"C","")))</f>
        <v/>
      </c>
      <c r="G65" s="622" t="str">
        <f>IF(NOT(ISBLANK('A-RACHNATMAK'!H76)),"A",IF(NOT(ISBLANK('A-RACHNATMAK'!H75)),"B",IF(NOT(ISBLANK('A-RACHNATMAK'!H74)),"C","")))</f>
        <v/>
      </c>
      <c r="H65" s="622" t="str">
        <f>IF(NOT(ISBLANK('A-RACHNATMAK'!I76)),"A",IF(NOT(ISBLANK('A-RACHNATMAK'!I75)),"B",IF(NOT(ISBLANK('A-RACHNATMAK'!I74)),"C","")))</f>
        <v/>
      </c>
      <c r="I65" s="622" t="str">
        <f>IF(NOT(ISBLANK('A-RACHNATMAK'!J76)),"A",IF(NOT(ISBLANK('A-RACHNATMAK'!J75)),"B",IF(NOT(ISBLANK('A-RACHNATMAK'!J74)),"C","")))</f>
        <v/>
      </c>
      <c r="J65" s="622" t="str">
        <f>IF(NOT(ISBLANK('A-RACHNATMAK'!K76)),"A",IF(NOT(ISBLANK('A-RACHNATMAK'!K75)),"B",IF(NOT(ISBLANK('A-RACHNATMAK'!K74)),"C","")))</f>
        <v/>
      </c>
      <c r="K65" s="622" t="str">
        <f>IF(NOT(ISBLANK('A-RACHNATMAK'!L76)),"A",IF(NOT(ISBLANK('A-RACHNATMAK'!L75)),"B",IF(NOT(ISBLANK('A-RACHNATMAK'!L74)),"C","")))</f>
        <v/>
      </c>
      <c r="L65" s="622" t="str">
        <f>IF(NOT(ISBLANK('A-RACHNATMAK'!M76)),"A",IF(NOT(ISBLANK('A-RACHNATMAK'!M75)),"B",IF(NOT(ISBLANK('A-RACHNATMAK'!M74)),"C","")))</f>
        <v/>
      </c>
      <c r="M65" s="622" t="str">
        <f>IF(NOT(ISBLANK('A-RACHNATMAK'!N76)),"A",IF(NOT(ISBLANK('A-RACHNATMAK'!N75)),"B",IF(NOT(ISBLANK('A-RACHNATMAK'!N74)),"C","")))</f>
        <v/>
      </c>
      <c r="N65" s="622" t="str">
        <f>IF(NOT(ISBLANK('A-RACHNATMAK'!O76)),"A",IF(NOT(ISBLANK('A-RACHNATMAK'!O75)),"B",IF(NOT(ISBLANK('A-RACHNATMAK'!O74)),"C","")))</f>
        <v/>
      </c>
      <c r="O65" s="622" t="str">
        <f>IF(NOT(ISBLANK('A-RACHNATMAK'!P76)),"A",IF(NOT(ISBLANK('A-RACHNATMAK'!P75)),"B",IF(NOT(ISBLANK('A-RACHNATMAK'!P74)),"C","")))</f>
        <v/>
      </c>
      <c r="P65" s="622" t="str">
        <f>IF(NOT(ISBLANK('A-RACHNATMAK'!Q76)),"A",IF(NOT(ISBLANK('A-RACHNATMAK'!Q75)),"B",IF(NOT(ISBLANK('A-RACHNATMAK'!Q74)),"C","")))</f>
        <v/>
      </c>
      <c r="Q65" s="622" t="str">
        <f>IF(NOT(ISBLANK('A-RACHNATMAK'!R76)),"A",IF(NOT(ISBLANK('A-RACHNATMAK'!R75)),"B",IF(NOT(ISBLANK('A-RACHNATMAK'!R74)),"C","")))</f>
        <v/>
      </c>
      <c r="R65" s="622" t="str">
        <f>IF(NOT(ISBLANK('A-RACHNATMAK'!S76)),"A",IF(NOT(ISBLANK('A-RACHNATMAK'!S75)),"B",IF(NOT(ISBLANK('A-RACHNATMAK'!S74)),"C","")))</f>
        <v/>
      </c>
      <c r="S65" s="622" t="str">
        <f>IF(NOT(ISBLANK('A-RACHNATMAK'!T76)),"A",IF(NOT(ISBLANK('A-RACHNATMAK'!T75)),"B",IF(NOT(ISBLANK('A-RACHNATMAK'!T74)),"C","")))</f>
        <v/>
      </c>
      <c r="T65" s="622" t="str">
        <f>IF(NOT(ISBLANK('A-RACHNATMAK'!U76)),"A",IF(NOT(ISBLANK('A-RACHNATMAK'!U75)),"B",IF(NOT(ISBLANK('A-RACHNATMAK'!U74)),"C","")))</f>
        <v/>
      </c>
      <c r="U65" s="622" t="str">
        <f>IF(NOT(ISBLANK('A-RACHNATMAK'!V76)),"A",IF(NOT(ISBLANK('A-RACHNATMAK'!V75)),"B",IF(NOT(ISBLANK('A-RACHNATMAK'!V74)),"C","")))</f>
        <v/>
      </c>
      <c r="V65" s="622">
        <f t="shared" ref="V65" si="120">COUNTIF(B65:U65,"A")</f>
        <v>0</v>
      </c>
      <c r="W65" s="622">
        <f t="shared" ref="W65" si="121">COUNTIF(B65:U65,"B")</f>
        <v>0</v>
      </c>
      <c r="X65" s="622">
        <f t="shared" ref="X65" si="122">COUNTIF(B65:U65,"C")</f>
        <v>0</v>
      </c>
      <c r="Z65" s="623">
        <v>22</v>
      </c>
      <c r="AA65" s="622" t="str">
        <f>IF(NOT(ISBLANK('A-RACHNATMAK'!AD76)),"A",IF(NOT(ISBLANK('A-RACHNATMAK'!AD75)),"B",IF(NOT(ISBLANK('A-RACHNATMAK'!AD74)),"C","")))</f>
        <v/>
      </c>
      <c r="AB65" s="622" t="str">
        <f>IF(NOT(ISBLANK('A-RACHNATMAK'!AE76)),"A",IF(NOT(ISBLANK('A-RACHNATMAK'!AE75)),"B",IF(NOT(ISBLANK('A-RACHNATMAK'!AE74)),"C","")))</f>
        <v/>
      </c>
      <c r="AC65" s="622" t="str">
        <f>IF(NOT(ISBLANK('A-RACHNATMAK'!AF76)),"A",IF(NOT(ISBLANK('A-RACHNATMAK'!AF75)),"B",IF(NOT(ISBLANK('A-RACHNATMAK'!AF74)),"C","")))</f>
        <v/>
      </c>
      <c r="AD65" s="622" t="str">
        <f>IF(NOT(ISBLANK('A-RACHNATMAK'!AG76)),"A",IF(NOT(ISBLANK('A-RACHNATMAK'!AG75)),"B",IF(NOT(ISBLANK('A-RACHNATMAK'!AG74)),"C","")))</f>
        <v/>
      </c>
      <c r="AE65" s="622" t="str">
        <f>IF(NOT(ISBLANK('A-RACHNATMAK'!AH76)),"A",IF(NOT(ISBLANK('A-RACHNATMAK'!AH75)),"B",IF(NOT(ISBLANK('A-RACHNATMAK'!AH74)),"C","")))</f>
        <v/>
      </c>
      <c r="AF65" s="622" t="str">
        <f>IF(NOT(ISBLANK('A-RACHNATMAK'!AI76)),"A",IF(NOT(ISBLANK('A-RACHNATMAK'!AI75)),"B",IF(NOT(ISBLANK('A-RACHNATMAK'!AI74)),"C","")))</f>
        <v/>
      </c>
      <c r="AG65" s="622" t="str">
        <f>IF(NOT(ISBLANK('A-RACHNATMAK'!AJ76)),"A",IF(NOT(ISBLANK('A-RACHNATMAK'!AJ75)),"B",IF(NOT(ISBLANK('A-RACHNATMAK'!AJ74)),"C","")))</f>
        <v/>
      </c>
      <c r="AH65" s="622" t="str">
        <f>IF(NOT(ISBLANK('A-RACHNATMAK'!AK76)),"A",IF(NOT(ISBLANK('A-RACHNATMAK'!AK75)),"B",IF(NOT(ISBLANK('A-RACHNATMAK'!AK74)),"C","")))</f>
        <v/>
      </c>
      <c r="AI65" s="622" t="str">
        <f>IF(NOT(ISBLANK('A-RACHNATMAK'!AL76)),"A",IF(NOT(ISBLANK('A-RACHNATMAK'!AL75)),"B",IF(NOT(ISBLANK('A-RACHNATMAK'!AL74)),"C","")))</f>
        <v/>
      </c>
      <c r="AJ65" s="622" t="str">
        <f>IF(NOT(ISBLANK('A-RACHNATMAK'!AM76)),"A",IF(NOT(ISBLANK('A-RACHNATMAK'!AM75)),"B",IF(NOT(ISBLANK('A-RACHNATMAK'!AM74)),"C","")))</f>
        <v/>
      </c>
      <c r="AK65" s="622" t="str">
        <f>IF(NOT(ISBLANK('A-RACHNATMAK'!AN76)),"A",IF(NOT(ISBLANK('A-RACHNATMAK'!AN75)),"B",IF(NOT(ISBLANK('A-RACHNATMAK'!AN74)),"C","")))</f>
        <v/>
      </c>
      <c r="AL65" s="622" t="str">
        <f>IF(NOT(ISBLANK('A-RACHNATMAK'!AO76)),"A",IF(NOT(ISBLANK('A-RACHNATMAK'!AO75)),"B",IF(NOT(ISBLANK('A-RACHNATMAK'!AO74)),"C","")))</f>
        <v/>
      </c>
      <c r="AM65" s="622" t="str">
        <f>IF(NOT(ISBLANK('A-RACHNATMAK'!AP76)),"A",IF(NOT(ISBLANK('A-RACHNATMAK'!AP75)),"B",IF(NOT(ISBLANK('A-RACHNATMAK'!AP74)),"C","")))</f>
        <v/>
      </c>
      <c r="AN65" s="622" t="str">
        <f>IF(NOT(ISBLANK('A-RACHNATMAK'!AQ76)),"A",IF(NOT(ISBLANK('A-RACHNATMAK'!AQ75)),"B",IF(NOT(ISBLANK('A-RACHNATMAK'!AQ74)),"C","")))</f>
        <v/>
      </c>
      <c r="AO65" s="622" t="str">
        <f>IF(NOT(ISBLANK('A-RACHNATMAK'!AR76)),"A",IF(NOT(ISBLANK('A-RACHNATMAK'!AR75)),"B",IF(NOT(ISBLANK('A-RACHNATMAK'!AR74)),"C","")))</f>
        <v/>
      </c>
      <c r="AP65" s="622" t="str">
        <f>IF(NOT(ISBLANK('A-RACHNATMAK'!AS76)),"A",IF(NOT(ISBLANK('A-RACHNATMAK'!AS75)),"B",IF(NOT(ISBLANK('A-RACHNATMAK'!AS74)),"C","")))</f>
        <v/>
      </c>
      <c r="AQ65" s="622" t="str">
        <f>IF(NOT(ISBLANK('A-RACHNATMAK'!AT76)),"A",IF(NOT(ISBLANK('A-RACHNATMAK'!AT75)),"B",IF(NOT(ISBLANK('A-RACHNATMAK'!AT74)),"C","")))</f>
        <v/>
      </c>
      <c r="AR65" s="622" t="str">
        <f>IF(NOT(ISBLANK('A-RACHNATMAK'!AU76)),"A",IF(NOT(ISBLANK('A-RACHNATMAK'!AU75)),"B",IF(NOT(ISBLANK('A-RACHNATMAK'!AU74)),"C","")))</f>
        <v/>
      </c>
      <c r="AS65" s="622" t="str">
        <f>IF(NOT(ISBLANK('A-RACHNATMAK'!AV76)),"A",IF(NOT(ISBLANK('A-RACHNATMAK'!AV75)),"B",IF(NOT(ISBLANK('A-RACHNATMAK'!AV74)),"C","")))</f>
        <v/>
      </c>
      <c r="AT65" s="622" t="str">
        <f>IF(NOT(ISBLANK('A-RACHNATMAK'!AW76)),"A",IF(NOT(ISBLANK('A-RACHNATMAK'!AW75)),"B",IF(NOT(ISBLANK('A-RACHNATMAK'!AW74)),"C","")))</f>
        <v/>
      </c>
      <c r="AU65" s="622">
        <f t="shared" ref="AU65" si="123">COUNTIF(AA65:AT65,"A")</f>
        <v>0</v>
      </c>
      <c r="AV65" s="622">
        <f t="shared" ref="AV65" si="124">COUNTIF(AA65:AT65,"B")</f>
        <v>0</v>
      </c>
      <c r="AW65" s="622">
        <f t="shared" ref="AW65" si="125">COUNTIF(AA65:AT65,"C")</f>
        <v>0</v>
      </c>
    </row>
    <row r="66" spans="1:49" s="330" customFormat="1" ht="8.25" customHeight="1">
      <c r="A66" s="623"/>
      <c r="B66" s="622"/>
      <c r="C66" s="622"/>
      <c r="D66" s="622"/>
      <c r="E66" s="622"/>
      <c r="F66" s="622"/>
      <c r="G66" s="622"/>
      <c r="H66" s="622"/>
      <c r="I66" s="622"/>
      <c r="J66" s="622"/>
      <c r="K66" s="622"/>
      <c r="L66" s="622"/>
      <c r="M66" s="622"/>
      <c r="N66" s="622"/>
      <c r="O66" s="622"/>
      <c r="P66" s="622"/>
      <c r="Q66" s="622"/>
      <c r="R66" s="622"/>
      <c r="S66" s="622"/>
      <c r="T66" s="622"/>
      <c r="U66" s="622"/>
      <c r="V66" s="622"/>
      <c r="W66" s="622"/>
      <c r="X66" s="622"/>
      <c r="Z66" s="623"/>
      <c r="AA66" s="622"/>
      <c r="AB66" s="622"/>
      <c r="AC66" s="622"/>
      <c r="AD66" s="622"/>
      <c r="AE66" s="622"/>
      <c r="AF66" s="622"/>
      <c r="AG66" s="622"/>
      <c r="AH66" s="622"/>
      <c r="AI66" s="622"/>
      <c r="AJ66" s="622"/>
      <c r="AK66" s="622"/>
      <c r="AL66" s="622"/>
      <c r="AM66" s="622"/>
      <c r="AN66" s="622"/>
      <c r="AO66" s="622"/>
      <c r="AP66" s="622"/>
      <c r="AQ66" s="622"/>
      <c r="AR66" s="622"/>
      <c r="AS66" s="622"/>
      <c r="AT66" s="622"/>
      <c r="AU66" s="622"/>
      <c r="AV66" s="622"/>
      <c r="AW66" s="622"/>
    </row>
    <row r="67" spans="1:49" s="330" customFormat="1" ht="8.25" customHeight="1">
      <c r="A67" s="623"/>
      <c r="B67" s="622"/>
      <c r="C67" s="622"/>
      <c r="D67" s="622"/>
      <c r="E67" s="622"/>
      <c r="F67" s="622"/>
      <c r="G67" s="622"/>
      <c r="H67" s="622"/>
      <c r="I67" s="622"/>
      <c r="J67" s="622"/>
      <c r="K67" s="622"/>
      <c r="L67" s="622"/>
      <c r="M67" s="622"/>
      <c r="N67" s="622"/>
      <c r="O67" s="622"/>
      <c r="P67" s="622"/>
      <c r="Q67" s="622"/>
      <c r="R67" s="622"/>
      <c r="S67" s="622"/>
      <c r="T67" s="622"/>
      <c r="U67" s="622"/>
      <c r="V67" s="622"/>
      <c r="W67" s="622"/>
      <c r="X67" s="622"/>
      <c r="Z67" s="623"/>
      <c r="AA67" s="622"/>
      <c r="AB67" s="622"/>
      <c r="AC67" s="622"/>
      <c r="AD67" s="622"/>
      <c r="AE67" s="622"/>
      <c r="AF67" s="622"/>
      <c r="AG67" s="622"/>
      <c r="AH67" s="622"/>
      <c r="AI67" s="622"/>
      <c r="AJ67" s="622"/>
      <c r="AK67" s="622"/>
      <c r="AL67" s="622"/>
      <c r="AM67" s="622"/>
      <c r="AN67" s="622"/>
      <c r="AO67" s="622"/>
      <c r="AP67" s="622"/>
      <c r="AQ67" s="622"/>
      <c r="AR67" s="622"/>
      <c r="AS67" s="622"/>
      <c r="AT67" s="622"/>
      <c r="AU67" s="622"/>
      <c r="AV67" s="622"/>
      <c r="AW67" s="622"/>
    </row>
    <row r="68" spans="1:49" s="330" customFormat="1" ht="8.25" customHeight="1">
      <c r="A68" s="623">
        <v>23</v>
      </c>
      <c r="B68" s="622" t="str">
        <f>IF(NOT(ISBLANK('A-RACHNATMAK'!C79)),"A",IF(NOT(ISBLANK('A-RACHNATMAK'!C78)),"B",IF(NOT(ISBLANK('A-RACHNATMAK'!C77)),"C","")))</f>
        <v/>
      </c>
      <c r="C68" s="622" t="str">
        <f>IF(NOT(ISBLANK('A-RACHNATMAK'!D79)),"A",IF(NOT(ISBLANK('A-RACHNATMAK'!D78)),"B",IF(NOT(ISBLANK('A-RACHNATMAK'!D77)),"C","")))</f>
        <v/>
      </c>
      <c r="D68" s="622" t="str">
        <f>IF(NOT(ISBLANK('A-RACHNATMAK'!E79)),"A",IF(NOT(ISBLANK('A-RACHNATMAK'!E78)),"B",IF(NOT(ISBLANK('A-RACHNATMAK'!E77)),"C","")))</f>
        <v/>
      </c>
      <c r="E68" s="622" t="str">
        <f>IF(NOT(ISBLANK('A-RACHNATMAK'!F79)),"A",IF(NOT(ISBLANK('A-RACHNATMAK'!F78)),"B",IF(NOT(ISBLANK('A-RACHNATMAK'!F77)),"C","")))</f>
        <v/>
      </c>
      <c r="F68" s="622" t="str">
        <f>IF(NOT(ISBLANK('A-RACHNATMAK'!G79)),"A",IF(NOT(ISBLANK('A-RACHNATMAK'!G78)),"B",IF(NOT(ISBLANK('A-RACHNATMAK'!G77)),"C","")))</f>
        <v/>
      </c>
      <c r="G68" s="622" t="str">
        <f>IF(NOT(ISBLANK('A-RACHNATMAK'!H79)),"A",IF(NOT(ISBLANK('A-RACHNATMAK'!H78)),"B",IF(NOT(ISBLANK('A-RACHNATMAK'!H77)),"C","")))</f>
        <v/>
      </c>
      <c r="H68" s="622" t="str">
        <f>IF(NOT(ISBLANK('A-RACHNATMAK'!I79)),"A",IF(NOT(ISBLANK('A-RACHNATMAK'!I78)),"B",IF(NOT(ISBLANK('A-RACHNATMAK'!I77)),"C","")))</f>
        <v/>
      </c>
      <c r="I68" s="622" t="str">
        <f>IF(NOT(ISBLANK('A-RACHNATMAK'!J79)),"A",IF(NOT(ISBLANK('A-RACHNATMAK'!J78)),"B",IF(NOT(ISBLANK('A-RACHNATMAK'!J77)),"C","")))</f>
        <v/>
      </c>
      <c r="J68" s="622" t="str">
        <f>IF(NOT(ISBLANK('A-RACHNATMAK'!K79)),"A",IF(NOT(ISBLANK('A-RACHNATMAK'!K78)),"B",IF(NOT(ISBLANK('A-RACHNATMAK'!K77)),"C","")))</f>
        <v/>
      </c>
      <c r="K68" s="622" t="str">
        <f>IF(NOT(ISBLANK('A-RACHNATMAK'!L79)),"A",IF(NOT(ISBLANK('A-RACHNATMAK'!L78)),"B",IF(NOT(ISBLANK('A-RACHNATMAK'!L77)),"C","")))</f>
        <v/>
      </c>
      <c r="L68" s="622" t="str">
        <f>IF(NOT(ISBLANK('A-RACHNATMAK'!M79)),"A",IF(NOT(ISBLANK('A-RACHNATMAK'!M78)),"B",IF(NOT(ISBLANK('A-RACHNATMAK'!M77)),"C","")))</f>
        <v/>
      </c>
      <c r="M68" s="622" t="str">
        <f>IF(NOT(ISBLANK('A-RACHNATMAK'!N79)),"A",IF(NOT(ISBLANK('A-RACHNATMAK'!N78)),"B",IF(NOT(ISBLANK('A-RACHNATMAK'!N77)),"C","")))</f>
        <v/>
      </c>
      <c r="N68" s="622" t="str">
        <f>IF(NOT(ISBLANK('A-RACHNATMAK'!O79)),"A",IF(NOT(ISBLANK('A-RACHNATMAK'!O78)),"B",IF(NOT(ISBLANK('A-RACHNATMAK'!O77)),"C","")))</f>
        <v/>
      </c>
      <c r="O68" s="622" t="str">
        <f>IF(NOT(ISBLANK('A-RACHNATMAK'!P79)),"A",IF(NOT(ISBLANK('A-RACHNATMAK'!P78)),"B",IF(NOT(ISBLANK('A-RACHNATMAK'!P77)),"C","")))</f>
        <v/>
      </c>
      <c r="P68" s="622" t="str">
        <f>IF(NOT(ISBLANK('A-RACHNATMAK'!Q79)),"A",IF(NOT(ISBLANK('A-RACHNATMAK'!Q78)),"B",IF(NOT(ISBLANK('A-RACHNATMAK'!Q77)),"C","")))</f>
        <v/>
      </c>
      <c r="Q68" s="622" t="str">
        <f>IF(NOT(ISBLANK('A-RACHNATMAK'!R79)),"A",IF(NOT(ISBLANK('A-RACHNATMAK'!R78)),"B",IF(NOT(ISBLANK('A-RACHNATMAK'!R77)),"C","")))</f>
        <v/>
      </c>
      <c r="R68" s="622" t="str">
        <f>IF(NOT(ISBLANK('A-RACHNATMAK'!S79)),"A",IF(NOT(ISBLANK('A-RACHNATMAK'!S78)),"B",IF(NOT(ISBLANK('A-RACHNATMAK'!S77)),"C","")))</f>
        <v/>
      </c>
      <c r="S68" s="622" t="str">
        <f>IF(NOT(ISBLANK('A-RACHNATMAK'!T79)),"A",IF(NOT(ISBLANK('A-RACHNATMAK'!T78)),"B",IF(NOT(ISBLANK('A-RACHNATMAK'!T77)),"C","")))</f>
        <v/>
      </c>
      <c r="T68" s="622" t="str">
        <f>IF(NOT(ISBLANK('A-RACHNATMAK'!U79)),"A",IF(NOT(ISBLANK('A-RACHNATMAK'!U78)),"B",IF(NOT(ISBLANK('A-RACHNATMAK'!U77)),"C","")))</f>
        <v/>
      </c>
      <c r="U68" s="622" t="str">
        <f>IF(NOT(ISBLANK('A-RACHNATMAK'!V79)),"A",IF(NOT(ISBLANK('A-RACHNATMAK'!V78)),"B",IF(NOT(ISBLANK('A-RACHNATMAK'!V77)),"C","")))</f>
        <v/>
      </c>
      <c r="V68" s="622">
        <f t="shared" ref="V68" si="126">COUNTIF(B68:U68,"A")</f>
        <v>0</v>
      </c>
      <c r="W68" s="622">
        <f t="shared" ref="W68" si="127">COUNTIF(B68:U68,"B")</f>
        <v>0</v>
      </c>
      <c r="X68" s="622">
        <f t="shared" ref="X68" si="128">COUNTIF(B68:U68,"C")</f>
        <v>0</v>
      </c>
      <c r="Z68" s="623">
        <v>23</v>
      </c>
      <c r="AA68" s="622" t="str">
        <f>IF(NOT(ISBLANK('A-RACHNATMAK'!AD79)),"A",IF(NOT(ISBLANK('A-RACHNATMAK'!AD78)),"B",IF(NOT(ISBLANK('A-RACHNATMAK'!AD77)),"C","")))</f>
        <v/>
      </c>
      <c r="AB68" s="622" t="str">
        <f>IF(NOT(ISBLANK('A-RACHNATMAK'!AE79)),"A",IF(NOT(ISBLANK('A-RACHNATMAK'!AE78)),"B",IF(NOT(ISBLANK('A-RACHNATMAK'!AE77)),"C","")))</f>
        <v/>
      </c>
      <c r="AC68" s="622" t="str">
        <f>IF(NOT(ISBLANK('A-RACHNATMAK'!AF79)),"A",IF(NOT(ISBLANK('A-RACHNATMAK'!AF78)),"B",IF(NOT(ISBLANK('A-RACHNATMAK'!AF77)),"C","")))</f>
        <v/>
      </c>
      <c r="AD68" s="622" t="str">
        <f>IF(NOT(ISBLANK('A-RACHNATMAK'!AG79)),"A",IF(NOT(ISBLANK('A-RACHNATMAK'!AG78)),"B",IF(NOT(ISBLANK('A-RACHNATMAK'!AG77)),"C","")))</f>
        <v/>
      </c>
      <c r="AE68" s="622" t="str">
        <f>IF(NOT(ISBLANK('A-RACHNATMAK'!AH79)),"A",IF(NOT(ISBLANK('A-RACHNATMAK'!AH78)),"B",IF(NOT(ISBLANK('A-RACHNATMAK'!AH77)),"C","")))</f>
        <v/>
      </c>
      <c r="AF68" s="622" t="str">
        <f>IF(NOT(ISBLANK('A-RACHNATMAK'!AI79)),"A",IF(NOT(ISBLANK('A-RACHNATMAK'!AI78)),"B",IF(NOT(ISBLANK('A-RACHNATMAK'!AI77)),"C","")))</f>
        <v/>
      </c>
      <c r="AG68" s="622" t="str">
        <f>IF(NOT(ISBLANK('A-RACHNATMAK'!AJ79)),"A",IF(NOT(ISBLANK('A-RACHNATMAK'!AJ78)),"B",IF(NOT(ISBLANK('A-RACHNATMAK'!AJ77)),"C","")))</f>
        <v/>
      </c>
      <c r="AH68" s="622" t="str">
        <f>IF(NOT(ISBLANK('A-RACHNATMAK'!AK79)),"A",IF(NOT(ISBLANK('A-RACHNATMAK'!AK78)),"B",IF(NOT(ISBLANK('A-RACHNATMAK'!AK77)),"C","")))</f>
        <v/>
      </c>
      <c r="AI68" s="622" t="str">
        <f>IF(NOT(ISBLANK('A-RACHNATMAK'!AL79)),"A",IF(NOT(ISBLANK('A-RACHNATMAK'!AL78)),"B",IF(NOT(ISBLANK('A-RACHNATMAK'!AL77)),"C","")))</f>
        <v/>
      </c>
      <c r="AJ68" s="622" t="str">
        <f>IF(NOT(ISBLANK('A-RACHNATMAK'!AM79)),"A",IF(NOT(ISBLANK('A-RACHNATMAK'!AM78)),"B",IF(NOT(ISBLANK('A-RACHNATMAK'!AM77)),"C","")))</f>
        <v/>
      </c>
      <c r="AK68" s="622" t="str">
        <f>IF(NOT(ISBLANK('A-RACHNATMAK'!AN79)),"A",IF(NOT(ISBLANK('A-RACHNATMAK'!AN78)),"B",IF(NOT(ISBLANK('A-RACHNATMAK'!AN77)),"C","")))</f>
        <v/>
      </c>
      <c r="AL68" s="622" t="str">
        <f>IF(NOT(ISBLANK('A-RACHNATMAK'!AO79)),"A",IF(NOT(ISBLANK('A-RACHNATMAK'!AO78)),"B",IF(NOT(ISBLANK('A-RACHNATMAK'!AO77)),"C","")))</f>
        <v/>
      </c>
      <c r="AM68" s="622" t="str">
        <f>IF(NOT(ISBLANK('A-RACHNATMAK'!AP79)),"A",IF(NOT(ISBLANK('A-RACHNATMAK'!AP78)),"B",IF(NOT(ISBLANK('A-RACHNATMAK'!AP77)),"C","")))</f>
        <v/>
      </c>
      <c r="AN68" s="622" t="str">
        <f>IF(NOT(ISBLANK('A-RACHNATMAK'!AQ79)),"A",IF(NOT(ISBLANK('A-RACHNATMAK'!AQ78)),"B",IF(NOT(ISBLANK('A-RACHNATMAK'!AQ77)),"C","")))</f>
        <v/>
      </c>
      <c r="AO68" s="622" t="str">
        <f>IF(NOT(ISBLANK('A-RACHNATMAK'!AR79)),"A",IF(NOT(ISBLANK('A-RACHNATMAK'!AR78)),"B",IF(NOT(ISBLANK('A-RACHNATMAK'!AR77)),"C","")))</f>
        <v/>
      </c>
      <c r="AP68" s="622" t="str">
        <f>IF(NOT(ISBLANK('A-RACHNATMAK'!AS79)),"A",IF(NOT(ISBLANK('A-RACHNATMAK'!AS78)),"B",IF(NOT(ISBLANK('A-RACHNATMAK'!AS77)),"C","")))</f>
        <v/>
      </c>
      <c r="AQ68" s="622" t="str">
        <f>IF(NOT(ISBLANK('A-RACHNATMAK'!AT79)),"A",IF(NOT(ISBLANK('A-RACHNATMAK'!AT78)),"B",IF(NOT(ISBLANK('A-RACHNATMAK'!AT77)),"C","")))</f>
        <v/>
      </c>
      <c r="AR68" s="622" t="str">
        <f>IF(NOT(ISBLANK('A-RACHNATMAK'!AU79)),"A",IF(NOT(ISBLANK('A-RACHNATMAK'!AU78)),"B",IF(NOT(ISBLANK('A-RACHNATMAK'!AU77)),"C","")))</f>
        <v/>
      </c>
      <c r="AS68" s="622" t="str">
        <f>IF(NOT(ISBLANK('A-RACHNATMAK'!AV79)),"A",IF(NOT(ISBLANK('A-RACHNATMAK'!AV78)),"B",IF(NOT(ISBLANK('A-RACHNATMAK'!AV77)),"C","")))</f>
        <v/>
      </c>
      <c r="AT68" s="622" t="str">
        <f>IF(NOT(ISBLANK('A-RACHNATMAK'!AW79)),"A",IF(NOT(ISBLANK('A-RACHNATMAK'!AW78)),"B",IF(NOT(ISBLANK('A-RACHNATMAK'!AW77)),"C","")))</f>
        <v/>
      </c>
      <c r="AU68" s="622">
        <f t="shared" ref="AU68" si="129">COUNTIF(AA68:AT68,"A")</f>
        <v>0</v>
      </c>
      <c r="AV68" s="622">
        <f t="shared" ref="AV68" si="130">COUNTIF(AA68:AT68,"B")</f>
        <v>0</v>
      </c>
      <c r="AW68" s="622">
        <f t="shared" ref="AW68" si="131">COUNTIF(AA68:AT68,"C")</f>
        <v>0</v>
      </c>
    </row>
    <row r="69" spans="1:49" s="330" customFormat="1" ht="8.25" customHeight="1">
      <c r="A69" s="623"/>
      <c r="B69" s="622"/>
      <c r="C69" s="622"/>
      <c r="D69" s="622"/>
      <c r="E69" s="622"/>
      <c r="F69" s="622"/>
      <c r="G69" s="622"/>
      <c r="H69" s="622"/>
      <c r="I69" s="622"/>
      <c r="J69" s="622"/>
      <c r="K69" s="622"/>
      <c r="L69" s="622"/>
      <c r="M69" s="622"/>
      <c r="N69" s="622"/>
      <c r="O69" s="622"/>
      <c r="P69" s="622"/>
      <c r="Q69" s="622"/>
      <c r="R69" s="622"/>
      <c r="S69" s="622"/>
      <c r="T69" s="622"/>
      <c r="U69" s="622"/>
      <c r="V69" s="622"/>
      <c r="W69" s="622"/>
      <c r="X69" s="622"/>
      <c r="Z69" s="623"/>
      <c r="AA69" s="622"/>
      <c r="AB69" s="622"/>
      <c r="AC69" s="622"/>
      <c r="AD69" s="622"/>
      <c r="AE69" s="622"/>
      <c r="AF69" s="622"/>
      <c r="AG69" s="622"/>
      <c r="AH69" s="622"/>
      <c r="AI69" s="622"/>
      <c r="AJ69" s="622"/>
      <c r="AK69" s="622"/>
      <c r="AL69" s="622"/>
      <c r="AM69" s="622"/>
      <c r="AN69" s="622"/>
      <c r="AO69" s="622"/>
      <c r="AP69" s="622"/>
      <c r="AQ69" s="622"/>
      <c r="AR69" s="622"/>
      <c r="AS69" s="622"/>
      <c r="AT69" s="622"/>
      <c r="AU69" s="622"/>
      <c r="AV69" s="622"/>
      <c r="AW69" s="622"/>
    </row>
    <row r="70" spans="1:49" s="330" customFormat="1" ht="8.25" customHeight="1">
      <c r="A70" s="623"/>
      <c r="B70" s="622"/>
      <c r="C70" s="622"/>
      <c r="D70" s="622"/>
      <c r="E70" s="622"/>
      <c r="F70" s="622"/>
      <c r="G70" s="622"/>
      <c r="H70" s="622"/>
      <c r="I70" s="622"/>
      <c r="J70" s="622"/>
      <c r="K70" s="622"/>
      <c r="L70" s="622"/>
      <c r="M70" s="622"/>
      <c r="N70" s="622"/>
      <c r="O70" s="622"/>
      <c r="P70" s="622"/>
      <c r="Q70" s="622"/>
      <c r="R70" s="622"/>
      <c r="S70" s="622"/>
      <c r="T70" s="622"/>
      <c r="U70" s="622"/>
      <c r="V70" s="622"/>
      <c r="W70" s="622"/>
      <c r="X70" s="622"/>
      <c r="Z70" s="623"/>
      <c r="AA70" s="622"/>
      <c r="AB70" s="622"/>
      <c r="AC70" s="622"/>
      <c r="AD70" s="622"/>
      <c r="AE70" s="622"/>
      <c r="AF70" s="622"/>
      <c r="AG70" s="622"/>
      <c r="AH70" s="622"/>
      <c r="AI70" s="622"/>
      <c r="AJ70" s="622"/>
      <c r="AK70" s="622"/>
      <c r="AL70" s="622"/>
      <c r="AM70" s="622"/>
      <c r="AN70" s="622"/>
      <c r="AO70" s="622"/>
      <c r="AP70" s="622"/>
      <c r="AQ70" s="622"/>
      <c r="AR70" s="622"/>
      <c r="AS70" s="622"/>
      <c r="AT70" s="622"/>
      <c r="AU70" s="622"/>
      <c r="AV70" s="622"/>
      <c r="AW70" s="622"/>
    </row>
    <row r="71" spans="1:49" s="330" customFormat="1" ht="8.25" customHeight="1">
      <c r="A71" s="623">
        <v>24</v>
      </c>
      <c r="B71" s="622" t="str">
        <f>IF(NOT(ISBLANK('A-RACHNATMAK'!C82)),"A",IF(NOT(ISBLANK('A-RACHNATMAK'!C81)),"B",IF(NOT(ISBLANK('A-RACHNATMAK'!C80)),"C","")))</f>
        <v/>
      </c>
      <c r="C71" s="622" t="str">
        <f>IF(NOT(ISBLANK('A-RACHNATMAK'!D82)),"A",IF(NOT(ISBLANK('A-RACHNATMAK'!D81)),"B",IF(NOT(ISBLANK('A-RACHNATMAK'!D80)),"C","")))</f>
        <v/>
      </c>
      <c r="D71" s="622" t="str">
        <f>IF(NOT(ISBLANK('A-RACHNATMAK'!E82)),"A",IF(NOT(ISBLANK('A-RACHNATMAK'!E81)),"B",IF(NOT(ISBLANK('A-RACHNATMAK'!E80)),"C","")))</f>
        <v/>
      </c>
      <c r="E71" s="622" t="str">
        <f>IF(NOT(ISBLANK('A-RACHNATMAK'!F82)),"A",IF(NOT(ISBLANK('A-RACHNATMAK'!F81)),"B",IF(NOT(ISBLANK('A-RACHNATMAK'!F80)),"C","")))</f>
        <v/>
      </c>
      <c r="F71" s="622" t="str">
        <f>IF(NOT(ISBLANK('A-RACHNATMAK'!G82)),"A",IF(NOT(ISBLANK('A-RACHNATMAK'!G81)),"B",IF(NOT(ISBLANK('A-RACHNATMAK'!G80)),"C","")))</f>
        <v/>
      </c>
      <c r="G71" s="622" t="str">
        <f>IF(NOT(ISBLANK('A-RACHNATMAK'!H82)),"A",IF(NOT(ISBLANK('A-RACHNATMAK'!H81)),"B",IF(NOT(ISBLANK('A-RACHNATMAK'!H80)),"C","")))</f>
        <v/>
      </c>
      <c r="H71" s="622" t="str">
        <f>IF(NOT(ISBLANK('A-RACHNATMAK'!I82)),"A",IF(NOT(ISBLANK('A-RACHNATMAK'!I81)),"B",IF(NOT(ISBLANK('A-RACHNATMAK'!I80)),"C","")))</f>
        <v/>
      </c>
      <c r="I71" s="622" t="str">
        <f>IF(NOT(ISBLANK('A-RACHNATMAK'!J82)),"A",IF(NOT(ISBLANK('A-RACHNATMAK'!J81)),"B",IF(NOT(ISBLANK('A-RACHNATMAK'!J80)),"C","")))</f>
        <v/>
      </c>
      <c r="J71" s="622" t="str">
        <f>IF(NOT(ISBLANK('A-RACHNATMAK'!K82)),"A",IF(NOT(ISBLANK('A-RACHNATMAK'!K81)),"B",IF(NOT(ISBLANK('A-RACHNATMAK'!K80)),"C","")))</f>
        <v/>
      </c>
      <c r="K71" s="622" t="str">
        <f>IF(NOT(ISBLANK('A-RACHNATMAK'!L82)),"A",IF(NOT(ISBLANK('A-RACHNATMAK'!L81)),"B",IF(NOT(ISBLANK('A-RACHNATMAK'!L80)),"C","")))</f>
        <v/>
      </c>
      <c r="L71" s="622" t="str">
        <f>IF(NOT(ISBLANK('A-RACHNATMAK'!M82)),"A",IF(NOT(ISBLANK('A-RACHNATMAK'!M81)),"B",IF(NOT(ISBLANK('A-RACHNATMAK'!M80)),"C","")))</f>
        <v/>
      </c>
      <c r="M71" s="622" t="str">
        <f>IF(NOT(ISBLANK('A-RACHNATMAK'!N82)),"A",IF(NOT(ISBLANK('A-RACHNATMAK'!N81)),"B",IF(NOT(ISBLANK('A-RACHNATMAK'!N80)),"C","")))</f>
        <v/>
      </c>
      <c r="N71" s="622" t="str">
        <f>IF(NOT(ISBLANK('A-RACHNATMAK'!O82)),"A",IF(NOT(ISBLANK('A-RACHNATMAK'!O81)),"B",IF(NOT(ISBLANK('A-RACHNATMAK'!O80)),"C","")))</f>
        <v/>
      </c>
      <c r="O71" s="622" t="str">
        <f>IF(NOT(ISBLANK('A-RACHNATMAK'!P82)),"A",IF(NOT(ISBLANK('A-RACHNATMAK'!P81)),"B",IF(NOT(ISBLANK('A-RACHNATMAK'!P80)),"C","")))</f>
        <v/>
      </c>
      <c r="P71" s="622" t="str">
        <f>IF(NOT(ISBLANK('A-RACHNATMAK'!Q82)),"A",IF(NOT(ISBLANK('A-RACHNATMAK'!Q81)),"B",IF(NOT(ISBLANK('A-RACHNATMAK'!Q80)),"C","")))</f>
        <v/>
      </c>
      <c r="Q71" s="622" t="str">
        <f>IF(NOT(ISBLANK('A-RACHNATMAK'!R82)),"A",IF(NOT(ISBLANK('A-RACHNATMAK'!R81)),"B",IF(NOT(ISBLANK('A-RACHNATMAK'!R80)),"C","")))</f>
        <v/>
      </c>
      <c r="R71" s="622" t="str">
        <f>IF(NOT(ISBLANK('A-RACHNATMAK'!S82)),"A",IF(NOT(ISBLANK('A-RACHNATMAK'!S81)),"B",IF(NOT(ISBLANK('A-RACHNATMAK'!S80)),"C","")))</f>
        <v/>
      </c>
      <c r="S71" s="622" t="str">
        <f>IF(NOT(ISBLANK('A-RACHNATMAK'!T82)),"A",IF(NOT(ISBLANK('A-RACHNATMAK'!T81)),"B",IF(NOT(ISBLANK('A-RACHNATMAK'!T80)),"C","")))</f>
        <v/>
      </c>
      <c r="T71" s="622" t="str">
        <f>IF(NOT(ISBLANK('A-RACHNATMAK'!U82)),"A",IF(NOT(ISBLANK('A-RACHNATMAK'!U81)),"B",IF(NOT(ISBLANK('A-RACHNATMAK'!U80)),"C","")))</f>
        <v/>
      </c>
      <c r="U71" s="622" t="str">
        <f>IF(NOT(ISBLANK('A-RACHNATMAK'!V82)),"A",IF(NOT(ISBLANK('A-RACHNATMAK'!V81)),"B",IF(NOT(ISBLANK('A-RACHNATMAK'!V80)),"C","")))</f>
        <v/>
      </c>
      <c r="V71" s="622">
        <f t="shared" ref="V71" si="132">COUNTIF(B71:U71,"A")</f>
        <v>0</v>
      </c>
      <c r="W71" s="622">
        <f t="shared" ref="W71" si="133">COUNTIF(B71:U71,"B")</f>
        <v>0</v>
      </c>
      <c r="X71" s="622">
        <f t="shared" ref="X71" si="134">COUNTIF(B71:U71,"C")</f>
        <v>0</v>
      </c>
      <c r="Z71" s="623">
        <v>24</v>
      </c>
      <c r="AA71" s="622" t="str">
        <f>IF(NOT(ISBLANK('A-RACHNATMAK'!AD82)),"A",IF(NOT(ISBLANK('A-RACHNATMAK'!AD81)),"B",IF(NOT(ISBLANK('A-RACHNATMAK'!AD80)),"C","")))</f>
        <v/>
      </c>
      <c r="AB71" s="622" t="str">
        <f>IF(NOT(ISBLANK('A-RACHNATMAK'!AE82)),"A",IF(NOT(ISBLANK('A-RACHNATMAK'!AE81)),"B",IF(NOT(ISBLANK('A-RACHNATMAK'!AE80)),"C","")))</f>
        <v/>
      </c>
      <c r="AC71" s="622" t="str">
        <f>IF(NOT(ISBLANK('A-RACHNATMAK'!AF82)),"A",IF(NOT(ISBLANK('A-RACHNATMAK'!AF81)),"B",IF(NOT(ISBLANK('A-RACHNATMAK'!AF80)),"C","")))</f>
        <v/>
      </c>
      <c r="AD71" s="622" t="str">
        <f>IF(NOT(ISBLANK('A-RACHNATMAK'!AG82)),"A",IF(NOT(ISBLANK('A-RACHNATMAK'!AG81)),"B",IF(NOT(ISBLANK('A-RACHNATMAK'!AG80)),"C","")))</f>
        <v/>
      </c>
      <c r="AE71" s="622" t="str">
        <f>IF(NOT(ISBLANK('A-RACHNATMAK'!AH82)),"A",IF(NOT(ISBLANK('A-RACHNATMAK'!AH81)),"B",IF(NOT(ISBLANK('A-RACHNATMAK'!AH80)),"C","")))</f>
        <v/>
      </c>
      <c r="AF71" s="622" t="str">
        <f>IF(NOT(ISBLANK('A-RACHNATMAK'!AI82)),"A",IF(NOT(ISBLANK('A-RACHNATMAK'!AI81)),"B",IF(NOT(ISBLANK('A-RACHNATMAK'!AI80)),"C","")))</f>
        <v/>
      </c>
      <c r="AG71" s="622" t="str">
        <f>IF(NOT(ISBLANK('A-RACHNATMAK'!AJ82)),"A",IF(NOT(ISBLANK('A-RACHNATMAK'!AJ81)),"B",IF(NOT(ISBLANK('A-RACHNATMAK'!AJ80)),"C","")))</f>
        <v/>
      </c>
      <c r="AH71" s="622" t="str">
        <f>IF(NOT(ISBLANK('A-RACHNATMAK'!AK82)),"A",IF(NOT(ISBLANK('A-RACHNATMAK'!AK81)),"B",IF(NOT(ISBLANK('A-RACHNATMAK'!AK80)),"C","")))</f>
        <v/>
      </c>
      <c r="AI71" s="622" t="str">
        <f>IF(NOT(ISBLANK('A-RACHNATMAK'!AL82)),"A",IF(NOT(ISBLANK('A-RACHNATMAK'!AL81)),"B",IF(NOT(ISBLANK('A-RACHNATMAK'!AL80)),"C","")))</f>
        <v/>
      </c>
      <c r="AJ71" s="622" t="str">
        <f>IF(NOT(ISBLANK('A-RACHNATMAK'!AM82)),"A",IF(NOT(ISBLANK('A-RACHNATMAK'!AM81)),"B",IF(NOT(ISBLANK('A-RACHNATMAK'!AM80)),"C","")))</f>
        <v/>
      </c>
      <c r="AK71" s="622" t="str">
        <f>IF(NOT(ISBLANK('A-RACHNATMAK'!AN82)),"A",IF(NOT(ISBLANK('A-RACHNATMAK'!AN81)),"B",IF(NOT(ISBLANK('A-RACHNATMAK'!AN80)),"C","")))</f>
        <v/>
      </c>
      <c r="AL71" s="622" t="str">
        <f>IF(NOT(ISBLANK('A-RACHNATMAK'!AO82)),"A",IF(NOT(ISBLANK('A-RACHNATMAK'!AO81)),"B",IF(NOT(ISBLANK('A-RACHNATMAK'!AO80)),"C","")))</f>
        <v/>
      </c>
      <c r="AM71" s="622" t="str">
        <f>IF(NOT(ISBLANK('A-RACHNATMAK'!AP82)),"A",IF(NOT(ISBLANK('A-RACHNATMAK'!AP81)),"B",IF(NOT(ISBLANK('A-RACHNATMAK'!AP80)),"C","")))</f>
        <v/>
      </c>
      <c r="AN71" s="622" t="str">
        <f>IF(NOT(ISBLANK('A-RACHNATMAK'!AQ82)),"A",IF(NOT(ISBLANK('A-RACHNATMAK'!AQ81)),"B",IF(NOT(ISBLANK('A-RACHNATMAK'!AQ80)),"C","")))</f>
        <v/>
      </c>
      <c r="AO71" s="622" t="str">
        <f>IF(NOT(ISBLANK('A-RACHNATMAK'!AR82)),"A",IF(NOT(ISBLANK('A-RACHNATMAK'!AR81)),"B",IF(NOT(ISBLANK('A-RACHNATMAK'!AR80)),"C","")))</f>
        <v/>
      </c>
      <c r="AP71" s="622" t="str">
        <f>IF(NOT(ISBLANK('A-RACHNATMAK'!AS82)),"A",IF(NOT(ISBLANK('A-RACHNATMAK'!AS81)),"B",IF(NOT(ISBLANK('A-RACHNATMAK'!AS80)),"C","")))</f>
        <v/>
      </c>
      <c r="AQ71" s="622" t="str">
        <f>IF(NOT(ISBLANK('A-RACHNATMAK'!AT82)),"A",IF(NOT(ISBLANK('A-RACHNATMAK'!AT81)),"B",IF(NOT(ISBLANK('A-RACHNATMAK'!AT80)),"C","")))</f>
        <v/>
      </c>
      <c r="AR71" s="622" t="str">
        <f>IF(NOT(ISBLANK('A-RACHNATMAK'!AU82)),"A",IF(NOT(ISBLANK('A-RACHNATMAK'!AU81)),"B",IF(NOT(ISBLANK('A-RACHNATMAK'!AU80)),"C","")))</f>
        <v/>
      </c>
      <c r="AS71" s="622" t="str">
        <f>IF(NOT(ISBLANK('A-RACHNATMAK'!AV82)),"A",IF(NOT(ISBLANK('A-RACHNATMAK'!AV81)),"B",IF(NOT(ISBLANK('A-RACHNATMAK'!AV80)),"C","")))</f>
        <v/>
      </c>
      <c r="AT71" s="622" t="str">
        <f>IF(NOT(ISBLANK('A-RACHNATMAK'!AW82)),"A",IF(NOT(ISBLANK('A-RACHNATMAK'!AW81)),"B",IF(NOT(ISBLANK('A-RACHNATMAK'!AW80)),"C","")))</f>
        <v/>
      </c>
      <c r="AU71" s="622">
        <f t="shared" ref="AU71" si="135">COUNTIF(AA71:AT71,"A")</f>
        <v>0</v>
      </c>
      <c r="AV71" s="622">
        <f t="shared" ref="AV71" si="136">COUNTIF(AA71:AT71,"B")</f>
        <v>0</v>
      </c>
      <c r="AW71" s="622">
        <f t="shared" ref="AW71" si="137">COUNTIF(AA71:AT71,"C")</f>
        <v>0</v>
      </c>
    </row>
    <row r="72" spans="1:49" s="330" customFormat="1" ht="8.25" customHeight="1">
      <c r="A72" s="623"/>
      <c r="B72" s="622"/>
      <c r="C72" s="622"/>
      <c r="D72" s="622"/>
      <c r="E72" s="622"/>
      <c r="F72" s="622"/>
      <c r="G72" s="622"/>
      <c r="H72" s="622"/>
      <c r="I72" s="622"/>
      <c r="J72" s="622"/>
      <c r="K72" s="622"/>
      <c r="L72" s="622"/>
      <c r="M72" s="622"/>
      <c r="N72" s="622"/>
      <c r="O72" s="622"/>
      <c r="P72" s="622"/>
      <c r="Q72" s="622"/>
      <c r="R72" s="622"/>
      <c r="S72" s="622"/>
      <c r="T72" s="622"/>
      <c r="U72" s="622"/>
      <c r="V72" s="622"/>
      <c r="W72" s="622"/>
      <c r="X72" s="622"/>
      <c r="Z72" s="623"/>
      <c r="AA72" s="622"/>
      <c r="AB72" s="622"/>
      <c r="AC72" s="622"/>
      <c r="AD72" s="622"/>
      <c r="AE72" s="622"/>
      <c r="AF72" s="622"/>
      <c r="AG72" s="622"/>
      <c r="AH72" s="622"/>
      <c r="AI72" s="622"/>
      <c r="AJ72" s="622"/>
      <c r="AK72" s="622"/>
      <c r="AL72" s="622"/>
      <c r="AM72" s="622"/>
      <c r="AN72" s="622"/>
      <c r="AO72" s="622"/>
      <c r="AP72" s="622"/>
      <c r="AQ72" s="622"/>
      <c r="AR72" s="622"/>
      <c r="AS72" s="622"/>
      <c r="AT72" s="622"/>
      <c r="AU72" s="622"/>
      <c r="AV72" s="622"/>
      <c r="AW72" s="622"/>
    </row>
    <row r="73" spans="1:49" s="330" customFormat="1" ht="8.25" customHeight="1">
      <c r="A73" s="623"/>
      <c r="B73" s="622"/>
      <c r="C73" s="622"/>
      <c r="D73" s="622"/>
      <c r="E73" s="622"/>
      <c r="F73" s="622"/>
      <c r="G73" s="622"/>
      <c r="H73" s="622"/>
      <c r="I73" s="622"/>
      <c r="J73" s="622"/>
      <c r="K73" s="622"/>
      <c r="L73" s="622"/>
      <c r="M73" s="622"/>
      <c r="N73" s="622"/>
      <c r="O73" s="622"/>
      <c r="P73" s="622"/>
      <c r="Q73" s="622"/>
      <c r="R73" s="622"/>
      <c r="S73" s="622"/>
      <c r="T73" s="622"/>
      <c r="U73" s="622"/>
      <c r="V73" s="622"/>
      <c r="W73" s="622"/>
      <c r="X73" s="622"/>
      <c r="Z73" s="623"/>
      <c r="AA73" s="622"/>
      <c r="AB73" s="622"/>
      <c r="AC73" s="622"/>
      <c r="AD73" s="622"/>
      <c r="AE73" s="622"/>
      <c r="AF73" s="622"/>
      <c r="AG73" s="622"/>
      <c r="AH73" s="622"/>
      <c r="AI73" s="622"/>
      <c r="AJ73" s="622"/>
      <c r="AK73" s="622"/>
      <c r="AL73" s="622"/>
      <c r="AM73" s="622"/>
      <c r="AN73" s="622"/>
      <c r="AO73" s="622"/>
      <c r="AP73" s="622"/>
      <c r="AQ73" s="622"/>
      <c r="AR73" s="622"/>
      <c r="AS73" s="622"/>
      <c r="AT73" s="622"/>
      <c r="AU73" s="622"/>
      <c r="AV73" s="622"/>
      <c r="AW73" s="622"/>
    </row>
    <row r="74" spans="1:49" s="330" customFormat="1" ht="8.25" customHeight="1">
      <c r="A74" s="623">
        <v>25</v>
      </c>
      <c r="B74" s="622" t="str">
        <f>IF(NOT(ISBLANK('A-RACHNATMAK'!C85)),"A",IF(NOT(ISBLANK('A-RACHNATMAK'!C84)),"B",IF(NOT(ISBLANK('A-RACHNATMAK'!C83)),"C","")))</f>
        <v/>
      </c>
      <c r="C74" s="622" t="str">
        <f>IF(NOT(ISBLANK('A-RACHNATMAK'!D85)),"A",IF(NOT(ISBLANK('A-RACHNATMAK'!D84)),"B",IF(NOT(ISBLANK('A-RACHNATMAK'!D83)),"C","")))</f>
        <v/>
      </c>
      <c r="D74" s="622" t="str">
        <f>IF(NOT(ISBLANK('A-RACHNATMAK'!E85)),"A",IF(NOT(ISBLANK('A-RACHNATMAK'!E84)),"B",IF(NOT(ISBLANK('A-RACHNATMAK'!E83)),"C","")))</f>
        <v/>
      </c>
      <c r="E74" s="622" t="str">
        <f>IF(NOT(ISBLANK('A-RACHNATMAK'!F85)),"A",IF(NOT(ISBLANK('A-RACHNATMAK'!F84)),"B",IF(NOT(ISBLANK('A-RACHNATMAK'!F83)),"C","")))</f>
        <v/>
      </c>
      <c r="F74" s="622" t="str">
        <f>IF(NOT(ISBLANK('A-RACHNATMAK'!G85)),"A",IF(NOT(ISBLANK('A-RACHNATMAK'!G84)),"B",IF(NOT(ISBLANK('A-RACHNATMAK'!G83)),"C","")))</f>
        <v/>
      </c>
      <c r="G74" s="622" t="str">
        <f>IF(NOT(ISBLANK('A-RACHNATMAK'!H85)),"A",IF(NOT(ISBLANK('A-RACHNATMAK'!H84)),"B",IF(NOT(ISBLANK('A-RACHNATMAK'!H83)),"C","")))</f>
        <v/>
      </c>
      <c r="H74" s="622" t="str">
        <f>IF(NOT(ISBLANK('A-RACHNATMAK'!I85)),"A",IF(NOT(ISBLANK('A-RACHNATMAK'!I84)),"B",IF(NOT(ISBLANK('A-RACHNATMAK'!I83)),"C","")))</f>
        <v/>
      </c>
      <c r="I74" s="622" t="str">
        <f>IF(NOT(ISBLANK('A-RACHNATMAK'!J85)),"A",IF(NOT(ISBLANK('A-RACHNATMAK'!J84)),"B",IF(NOT(ISBLANK('A-RACHNATMAK'!J83)),"C","")))</f>
        <v/>
      </c>
      <c r="J74" s="622" t="str">
        <f>IF(NOT(ISBLANK('A-RACHNATMAK'!K85)),"A",IF(NOT(ISBLANK('A-RACHNATMAK'!K84)),"B",IF(NOT(ISBLANK('A-RACHNATMAK'!K83)),"C","")))</f>
        <v/>
      </c>
      <c r="K74" s="622" t="str">
        <f>IF(NOT(ISBLANK('A-RACHNATMAK'!L85)),"A",IF(NOT(ISBLANK('A-RACHNATMAK'!L84)),"B",IF(NOT(ISBLANK('A-RACHNATMAK'!L83)),"C","")))</f>
        <v/>
      </c>
      <c r="L74" s="622" t="str">
        <f>IF(NOT(ISBLANK('A-RACHNATMAK'!M85)),"A",IF(NOT(ISBLANK('A-RACHNATMAK'!M84)),"B",IF(NOT(ISBLANK('A-RACHNATMAK'!M83)),"C","")))</f>
        <v/>
      </c>
      <c r="M74" s="622" t="str">
        <f>IF(NOT(ISBLANK('A-RACHNATMAK'!N85)),"A",IF(NOT(ISBLANK('A-RACHNATMAK'!N84)),"B",IF(NOT(ISBLANK('A-RACHNATMAK'!N83)),"C","")))</f>
        <v/>
      </c>
      <c r="N74" s="622" t="str">
        <f>IF(NOT(ISBLANK('A-RACHNATMAK'!O85)),"A",IF(NOT(ISBLANK('A-RACHNATMAK'!O84)),"B",IF(NOT(ISBLANK('A-RACHNATMAK'!O83)),"C","")))</f>
        <v/>
      </c>
      <c r="O74" s="622" t="str">
        <f>IF(NOT(ISBLANK('A-RACHNATMAK'!P85)),"A",IF(NOT(ISBLANK('A-RACHNATMAK'!P84)),"B",IF(NOT(ISBLANK('A-RACHNATMAK'!P83)),"C","")))</f>
        <v/>
      </c>
      <c r="P74" s="622" t="str">
        <f>IF(NOT(ISBLANK('A-RACHNATMAK'!Q85)),"A",IF(NOT(ISBLANK('A-RACHNATMAK'!Q84)),"B",IF(NOT(ISBLANK('A-RACHNATMAK'!Q83)),"C","")))</f>
        <v/>
      </c>
      <c r="Q74" s="622" t="str">
        <f>IF(NOT(ISBLANK('A-RACHNATMAK'!R85)),"A",IF(NOT(ISBLANK('A-RACHNATMAK'!R84)),"B",IF(NOT(ISBLANK('A-RACHNATMAK'!R83)),"C","")))</f>
        <v/>
      </c>
      <c r="R74" s="622" t="str">
        <f>IF(NOT(ISBLANK('A-RACHNATMAK'!S85)),"A",IF(NOT(ISBLANK('A-RACHNATMAK'!S84)),"B",IF(NOT(ISBLANK('A-RACHNATMAK'!S83)),"C","")))</f>
        <v/>
      </c>
      <c r="S74" s="622" t="str">
        <f>IF(NOT(ISBLANK('A-RACHNATMAK'!T85)),"A",IF(NOT(ISBLANK('A-RACHNATMAK'!T84)),"B",IF(NOT(ISBLANK('A-RACHNATMAK'!T83)),"C","")))</f>
        <v/>
      </c>
      <c r="T74" s="622" t="str">
        <f>IF(NOT(ISBLANK('A-RACHNATMAK'!U85)),"A",IF(NOT(ISBLANK('A-RACHNATMAK'!U84)),"B",IF(NOT(ISBLANK('A-RACHNATMAK'!U83)),"C","")))</f>
        <v/>
      </c>
      <c r="U74" s="622" t="str">
        <f>IF(NOT(ISBLANK('A-RACHNATMAK'!V85)),"A",IF(NOT(ISBLANK('A-RACHNATMAK'!V84)),"B",IF(NOT(ISBLANK('A-RACHNATMAK'!V83)),"C","")))</f>
        <v/>
      </c>
      <c r="V74" s="622">
        <f t="shared" ref="V74" si="138">COUNTIF(B74:U74,"A")</f>
        <v>0</v>
      </c>
      <c r="W74" s="622">
        <f t="shared" ref="W74" si="139">COUNTIF(B74:U74,"B")</f>
        <v>0</v>
      </c>
      <c r="X74" s="622">
        <f t="shared" ref="X74" si="140">COUNTIF(B74:U74,"C")</f>
        <v>0</v>
      </c>
      <c r="Z74" s="623">
        <v>25</v>
      </c>
      <c r="AA74" s="622" t="str">
        <f>IF(NOT(ISBLANK('A-RACHNATMAK'!AD85)),"A",IF(NOT(ISBLANK('A-RACHNATMAK'!AD84)),"B",IF(NOT(ISBLANK('A-RACHNATMAK'!AD83)),"C","")))</f>
        <v/>
      </c>
      <c r="AB74" s="622" t="str">
        <f>IF(NOT(ISBLANK('A-RACHNATMAK'!AE85)),"A",IF(NOT(ISBLANK('A-RACHNATMAK'!AE84)),"B",IF(NOT(ISBLANK('A-RACHNATMAK'!AE83)),"C","")))</f>
        <v/>
      </c>
      <c r="AC74" s="622" t="str">
        <f>IF(NOT(ISBLANK('A-RACHNATMAK'!AF85)),"A",IF(NOT(ISBLANK('A-RACHNATMAK'!AF84)),"B",IF(NOT(ISBLANK('A-RACHNATMAK'!AF83)),"C","")))</f>
        <v/>
      </c>
      <c r="AD74" s="622" t="str">
        <f>IF(NOT(ISBLANK('A-RACHNATMAK'!AG85)),"A",IF(NOT(ISBLANK('A-RACHNATMAK'!AG84)),"B",IF(NOT(ISBLANK('A-RACHNATMAK'!AG83)),"C","")))</f>
        <v/>
      </c>
      <c r="AE74" s="622" t="str">
        <f>IF(NOT(ISBLANK('A-RACHNATMAK'!AH85)),"A",IF(NOT(ISBLANK('A-RACHNATMAK'!AH84)),"B",IF(NOT(ISBLANK('A-RACHNATMAK'!AH83)),"C","")))</f>
        <v/>
      </c>
      <c r="AF74" s="622" t="str">
        <f>IF(NOT(ISBLANK('A-RACHNATMAK'!AI85)),"A",IF(NOT(ISBLANK('A-RACHNATMAK'!AI84)),"B",IF(NOT(ISBLANK('A-RACHNATMAK'!AI83)),"C","")))</f>
        <v/>
      </c>
      <c r="AG74" s="622" t="str">
        <f>IF(NOT(ISBLANK('A-RACHNATMAK'!AJ85)),"A",IF(NOT(ISBLANK('A-RACHNATMAK'!AJ84)),"B",IF(NOT(ISBLANK('A-RACHNATMAK'!AJ83)),"C","")))</f>
        <v/>
      </c>
      <c r="AH74" s="622" t="str">
        <f>IF(NOT(ISBLANK('A-RACHNATMAK'!AK85)),"A",IF(NOT(ISBLANK('A-RACHNATMAK'!AK84)),"B",IF(NOT(ISBLANK('A-RACHNATMAK'!AK83)),"C","")))</f>
        <v/>
      </c>
      <c r="AI74" s="622" t="str">
        <f>IF(NOT(ISBLANK('A-RACHNATMAK'!AL85)),"A",IF(NOT(ISBLANK('A-RACHNATMAK'!AL84)),"B",IF(NOT(ISBLANK('A-RACHNATMAK'!AL83)),"C","")))</f>
        <v/>
      </c>
      <c r="AJ74" s="622" t="str">
        <f>IF(NOT(ISBLANK('A-RACHNATMAK'!AM85)),"A",IF(NOT(ISBLANK('A-RACHNATMAK'!AM84)),"B",IF(NOT(ISBLANK('A-RACHNATMAK'!AM83)),"C","")))</f>
        <v/>
      </c>
      <c r="AK74" s="622" t="str">
        <f>IF(NOT(ISBLANK('A-RACHNATMAK'!AN85)),"A",IF(NOT(ISBLANK('A-RACHNATMAK'!AN84)),"B",IF(NOT(ISBLANK('A-RACHNATMAK'!AN83)),"C","")))</f>
        <v/>
      </c>
      <c r="AL74" s="622" t="str">
        <f>IF(NOT(ISBLANK('A-RACHNATMAK'!AO85)),"A",IF(NOT(ISBLANK('A-RACHNATMAK'!AO84)),"B",IF(NOT(ISBLANK('A-RACHNATMAK'!AO83)),"C","")))</f>
        <v/>
      </c>
      <c r="AM74" s="622" t="str">
        <f>IF(NOT(ISBLANK('A-RACHNATMAK'!AP85)),"A",IF(NOT(ISBLANK('A-RACHNATMAK'!AP84)),"B",IF(NOT(ISBLANK('A-RACHNATMAK'!AP83)),"C","")))</f>
        <v/>
      </c>
      <c r="AN74" s="622" t="str">
        <f>IF(NOT(ISBLANK('A-RACHNATMAK'!AQ85)),"A",IF(NOT(ISBLANK('A-RACHNATMAK'!AQ84)),"B",IF(NOT(ISBLANK('A-RACHNATMAK'!AQ83)),"C","")))</f>
        <v/>
      </c>
      <c r="AO74" s="622" t="str">
        <f>IF(NOT(ISBLANK('A-RACHNATMAK'!AR85)),"A",IF(NOT(ISBLANK('A-RACHNATMAK'!AR84)),"B",IF(NOT(ISBLANK('A-RACHNATMAK'!AR83)),"C","")))</f>
        <v/>
      </c>
      <c r="AP74" s="622" t="str">
        <f>IF(NOT(ISBLANK('A-RACHNATMAK'!AS85)),"A",IF(NOT(ISBLANK('A-RACHNATMAK'!AS84)),"B",IF(NOT(ISBLANK('A-RACHNATMAK'!AS83)),"C","")))</f>
        <v/>
      </c>
      <c r="AQ74" s="622" t="str">
        <f>IF(NOT(ISBLANK('A-RACHNATMAK'!AT85)),"A",IF(NOT(ISBLANK('A-RACHNATMAK'!AT84)),"B",IF(NOT(ISBLANK('A-RACHNATMAK'!AT83)),"C","")))</f>
        <v/>
      </c>
      <c r="AR74" s="622" t="str">
        <f>IF(NOT(ISBLANK('A-RACHNATMAK'!AU85)),"A",IF(NOT(ISBLANK('A-RACHNATMAK'!AU84)),"B",IF(NOT(ISBLANK('A-RACHNATMAK'!AU83)),"C","")))</f>
        <v/>
      </c>
      <c r="AS74" s="622" t="str">
        <f>IF(NOT(ISBLANK('A-RACHNATMAK'!AV85)),"A",IF(NOT(ISBLANK('A-RACHNATMAK'!AV84)),"B",IF(NOT(ISBLANK('A-RACHNATMAK'!AV83)),"C","")))</f>
        <v/>
      </c>
      <c r="AT74" s="622" t="str">
        <f>IF(NOT(ISBLANK('A-RACHNATMAK'!AW85)),"A",IF(NOT(ISBLANK('A-RACHNATMAK'!AW84)),"B",IF(NOT(ISBLANK('A-RACHNATMAK'!AW83)),"C","")))</f>
        <v/>
      </c>
      <c r="AU74" s="622">
        <f t="shared" ref="AU74" si="141">COUNTIF(AA74:AT74,"A")</f>
        <v>0</v>
      </c>
      <c r="AV74" s="622">
        <f t="shared" ref="AV74" si="142">COUNTIF(AA74:AT74,"B")</f>
        <v>0</v>
      </c>
      <c r="AW74" s="622">
        <f t="shared" ref="AW74" si="143">COUNTIF(AA74:AT74,"C")</f>
        <v>0</v>
      </c>
    </row>
    <row r="75" spans="1:49" s="330" customFormat="1" ht="8.25" customHeight="1">
      <c r="A75" s="623"/>
      <c r="B75" s="622"/>
      <c r="C75" s="622"/>
      <c r="D75" s="622"/>
      <c r="E75" s="622"/>
      <c r="F75" s="622"/>
      <c r="G75" s="622"/>
      <c r="H75" s="622"/>
      <c r="I75" s="622"/>
      <c r="J75" s="622"/>
      <c r="K75" s="622"/>
      <c r="L75" s="622"/>
      <c r="M75" s="622"/>
      <c r="N75" s="622"/>
      <c r="O75" s="622"/>
      <c r="P75" s="622"/>
      <c r="Q75" s="622"/>
      <c r="R75" s="622"/>
      <c r="S75" s="622"/>
      <c r="T75" s="622"/>
      <c r="U75" s="622"/>
      <c r="V75" s="622"/>
      <c r="W75" s="622"/>
      <c r="X75" s="622"/>
      <c r="Z75" s="623"/>
      <c r="AA75" s="622"/>
      <c r="AB75" s="622"/>
      <c r="AC75" s="622"/>
      <c r="AD75" s="622"/>
      <c r="AE75" s="622"/>
      <c r="AF75" s="622"/>
      <c r="AG75" s="622"/>
      <c r="AH75" s="622"/>
      <c r="AI75" s="622"/>
      <c r="AJ75" s="622"/>
      <c r="AK75" s="622"/>
      <c r="AL75" s="622"/>
      <c r="AM75" s="622"/>
      <c r="AN75" s="622"/>
      <c r="AO75" s="622"/>
      <c r="AP75" s="622"/>
      <c r="AQ75" s="622"/>
      <c r="AR75" s="622"/>
      <c r="AS75" s="622"/>
      <c r="AT75" s="622"/>
      <c r="AU75" s="622"/>
      <c r="AV75" s="622"/>
      <c r="AW75" s="622"/>
    </row>
    <row r="76" spans="1:49" s="330" customFormat="1" ht="8.25" customHeight="1">
      <c r="A76" s="623"/>
      <c r="B76" s="622"/>
      <c r="C76" s="622"/>
      <c r="D76" s="622"/>
      <c r="E76" s="622"/>
      <c r="F76" s="622"/>
      <c r="G76" s="622"/>
      <c r="H76" s="622"/>
      <c r="I76" s="622"/>
      <c r="J76" s="622"/>
      <c r="K76" s="622"/>
      <c r="L76" s="622"/>
      <c r="M76" s="622"/>
      <c r="N76" s="622"/>
      <c r="O76" s="622"/>
      <c r="P76" s="622"/>
      <c r="Q76" s="622"/>
      <c r="R76" s="622"/>
      <c r="S76" s="622"/>
      <c r="T76" s="622"/>
      <c r="U76" s="622"/>
      <c r="V76" s="622"/>
      <c r="W76" s="622"/>
      <c r="X76" s="622"/>
      <c r="Z76" s="623"/>
      <c r="AA76" s="622"/>
      <c r="AB76" s="622"/>
      <c r="AC76" s="622"/>
      <c r="AD76" s="622"/>
      <c r="AE76" s="622"/>
      <c r="AF76" s="622"/>
      <c r="AG76" s="622"/>
      <c r="AH76" s="622"/>
      <c r="AI76" s="622"/>
      <c r="AJ76" s="622"/>
      <c r="AK76" s="622"/>
      <c r="AL76" s="622"/>
      <c r="AM76" s="622"/>
      <c r="AN76" s="622"/>
      <c r="AO76" s="622"/>
      <c r="AP76" s="622"/>
      <c r="AQ76" s="622"/>
      <c r="AR76" s="622"/>
      <c r="AS76" s="622"/>
      <c r="AT76" s="622"/>
      <c r="AU76" s="622"/>
      <c r="AV76" s="622"/>
      <c r="AW76" s="622"/>
    </row>
    <row r="77" spans="1:49" s="330" customFormat="1" ht="8.25" customHeight="1">
      <c r="A77" s="623">
        <v>26</v>
      </c>
      <c r="B77" s="622" t="str">
        <f>IF(NOT(ISBLANK('A-RACHNATMAK'!C88)),"A",IF(NOT(ISBLANK('A-RACHNATMAK'!C87)),"B",IF(NOT(ISBLANK('A-RACHNATMAK'!C86)),"C","")))</f>
        <v/>
      </c>
      <c r="C77" s="622" t="str">
        <f>IF(NOT(ISBLANK('A-RACHNATMAK'!D88)),"A",IF(NOT(ISBLANK('A-RACHNATMAK'!D87)),"B",IF(NOT(ISBLANK('A-RACHNATMAK'!D86)),"C","")))</f>
        <v/>
      </c>
      <c r="D77" s="622" t="str">
        <f>IF(NOT(ISBLANK('A-RACHNATMAK'!E88)),"A",IF(NOT(ISBLANK('A-RACHNATMAK'!E87)),"B",IF(NOT(ISBLANK('A-RACHNATMAK'!E86)),"C","")))</f>
        <v/>
      </c>
      <c r="E77" s="622" t="str">
        <f>IF(NOT(ISBLANK('A-RACHNATMAK'!F88)),"A",IF(NOT(ISBLANK('A-RACHNATMAK'!F87)),"B",IF(NOT(ISBLANK('A-RACHNATMAK'!F86)),"C","")))</f>
        <v/>
      </c>
      <c r="F77" s="622" t="str">
        <f>IF(NOT(ISBLANK('A-RACHNATMAK'!G88)),"A",IF(NOT(ISBLANK('A-RACHNATMAK'!G87)),"B",IF(NOT(ISBLANK('A-RACHNATMAK'!G86)),"C","")))</f>
        <v/>
      </c>
      <c r="G77" s="622" t="str">
        <f>IF(NOT(ISBLANK('A-RACHNATMAK'!H88)),"A",IF(NOT(ISBLANK('A-RACHNATMAK'!H87)),"B",IF(NOT(ISBLANK('A-RACHNATMAK'!H86)),"C","")))</f>
        <v/>
      </c>
      <c r="H77" s="622" t="str">
        <f>IF(NOT(ISBLANK('A-RACHNATMAK'!I88)),"A",IF(NOT(ISBLANK('A-RACHNATMAK'!I87)),"B",IF(NOT(ISBLANK('A-RACHNATMAK'!I86)),"C","")))</f>
        <v/>
      </c>
      <c r="I77" s="622" t="str">
        <f>IF(NOT(ISBLANK('A-RACHNATMAK'!J88)),"A",IF(NOT(ISBLANK('A-RACHNATMAK'!J87)),"B",IF(NOT(ISBLANK('A-RACHNATMAK'!J86)),"C","")))</f>
        <v/>
      </c>
      <c r="J77" s="622" t="str">
        <f>IF(NOT(ISBLANK('A-RACHNATMAK'!K88)),"A",IF(NOT(ISBLANK('A-RACHNATMAK'!K87)),"B",IF(NOT(ISBLANK('A-RACHNATMAK'!K86)),"C","")))</f>
        <v/>
      </c>
      <c r="K77" s="622" t="str">
        <f>IF(NOT(ISBLANK('A-RACHNATMAK'!L88)),"A",IF(NOT(ISBLANK('A-RACHNATMAK'!L87)),"B",IF(NOT(ISBLANK('A-RACHNATMAK'!L86)),"C","")))</f>
        <v/>
      </c>
      <c r="L77" s="622" t="str">
        <f>IF(NOT(ISBLANK('A-RACHNATMAK'!M88)),"A",IF(NOT(ISBLANK('A-RACHNATMAK'!M87)),"B",IF(NOT(ISBLANK('A-RACHNATMAK'!M86)),"C","")))</f>
        <v/>
      </c>
      <c r="M77" s="622" t="str">
        <f>IF(NOT(ISBLANK('A-RACHNATMAK'!N88)),"A",IF(NOT(ISBLANK('A-RACHNATMAK'!N87)),"B",IF(NOT(ISBLANK('A-RACHNATMAK'!N86)),"C","")))</f>
        <v/>
      </c>
      <c r="N77" s="622" t="str">
        <f>IF(NOT(ISBLANK('A-RACHNATMAK'!O88)),"A",IF(NOT(ISBLANK('A-RACHNATMAK'!O87)),"B",IF(NOT(ISBLANK('A-RACHNATMAK'!O86)),"C","")))</f>
        <v/>
      </c>
      <c r="O77" s="622" t="str">
        <f>IF(NOT(ISBLANK('A-RACHNATMAK'!P88)),"A",IF(NOT(ISBLANK('A-RACHNATMAK'!P87)),"B",IF(NOT(ISBLANK('A-RACHNATMAK'!P86)),"C","")))</f>
        <v/>
      </c>
      <c r="P77" s="622" t="str">
        <f>IF(NOT(ISBLANK('A-RACHNATMAK'!Q88)),"A",IF(NOT(ISBLANK('A-RACHNATMAK'!Q87)),"B",IF(NOT(ISBLANK('A-RACHNATMAK'!Q86)),"C","")))</f>
        <v/>
      </c>
      <c r="Q77" s="622" t="str">
        <f>IF(NOT(ISBLANK('A-RACHNATMAK'!R88)),"A",IF(NOT(ISBLANK('A-RACHNATMAK'!R87)),"B",IF(NOT(ISBLANK('A-RACHNATMAK'!R86)),"C","")))</f>
        <v/>
      </c>
      <c r="R77" s="622" t="str">
        <f>IF(NOT(ISBLANK('A-RACHNATMAK'!S88)),"A",IF(NOT(ISBLANK('A-RACHNATMAK'!S87)),"B",IF(NOT(ISBLANK('A-RACHNATMAK'!S86)),"C","")))</f>
        <v/>
      </c>
      <c r="S77" s="622" t="str">
        <f>IF(NOT(ISBLANK('A-RACHNATMAK'!T88)),"A",IF(NOT(ISBLANK('A-RACHNATMAK'!T87)),"B",IF(NOT(ISBLANK('A-RACHNATMAK'!T86)),"C","")))</f>
        <v/>
      </c>
      <c r="T77" s="622" t="str">
        <f>IF(NOT(ISBLANK('A-RACHNATMAK'!U88)),"A",IF(NOT(ISBLANK('A-RACHNATMAK'!U87)),"B",IF(NOT(ISBLANK('A-RACHNATMAK'!U86)),"C","")))</f>
        <v/>
      </c>
      <c r="U77" s="622" t="str">
        <f>IF(NOT(ISBLANK('A-RACHNATMAK'!V88)),"A",IF(NOT(ISBLANK('A-RACHNATMAK'!V87)),"B",IF(NOT(ISBLANK('A-RACHNATMAK'!V86)),"C","")))</f>
        <v/>
      </c>
      <c r="V77" s="622">
        <f t="shared" ref="V77" si="144">COUNTIF(B77:U77,"A")</f>
        <v>0</v>
      </c>
      <c r="W77" s="622">
        <f t="shared" ref="W77" si="145">COUNTIF(B77:U77,"B")</f>
        <v>0</v>
      </c>
      <c r="X77" s="622">
        <f t="shared" ref="X77" si="146">COUNTIF(B77:U77,"C")</f>
        <v>0</v>
      </c>
      <c r="Z77" s="623">
        <v>26</v>
      </c>
      <c r="AA77" s="622" t="str">
        <f>IF(NOT(ISBLANK('A-RACHNATMAK'!AD88)),"A",IF(NOT(ISBLANK('A-RACHNATMAK'!AD87)),"B",IF(NOT(ISBLANK('A-RACHNATMAK'!AD86)),"C","")))</f>
        <v/>
      </c>
      <c r="AB77" s="622" t="str">
        <f>IF(NOT(ISBLANK('A-RACHNATMAK'!AE88)),"A",IF(NOT(ISBLANK('A-RACHNATMAK'!AE87)),"B",IF(NOT(ISBLANK('A-RACHNATMAK'!AE86)),"C","")))</f>
        <v/>
      </c>
      <c r="AC77" s="622" t="str">
        <f>IF(NOT(ISBLANK('A-RACHNATMAK'!AF88)),"A",IF(NOT(ISBLANK('A-RACHNATMAK'!AF87)),"B",IF(NOT(ISBLANK('A-RACHNATMAK'!AF86)),"C","")))</f>
        <v/>
      </c>
      <c r="AD77" s="622" t="str">
        <f>IF(NOT(ISBLANK('A-RACHNATMAK'!AG88)),"A",IF(NOT(ISBLANK('A-RACHNATMAK'!AG87)),"B",IF(NOT(ISBLANK('A-RACHNATMAK'!AG86)),"C","")))</f>
        <v/>
      </c>
      <c r="AE77" s="622" t="str">
        <f>IF(NOT(ISBLANK('A-RACHNATMAK'!AH88)),"A",IF(NOT(ISBLANK('A-RACHNATMAK'!AH87)),"B",IF(NOT(ISBLANK('A-RACHNATMAK'!AH86)),"C","")))</f>
        <v/>
      </c>
      <c r="AF77" s="622" t="str">
        <f>IF(NOT(ISBLANK('A-RACHNATMAK'!AI88)),"A",IF(NOT(ISBLANK('A-RACHNATMAK'!AI87)),"B",IF(NOT(ISBLANK('A-RACHNATMAK'!AI86)),"C","")))</f>
        <v/>
      </c>
      <c r="AG77" s="622" t="str">
        <f>IF(NOT(ISBLANK('A-RACHNATMAK'!AJ88)),"A",IF(NOT(ISBLANK('A-RACHNATMAK'!AJ87)),"B",IF(NOT(ISBLANK('A-RACHNATMAK'!AJ86)),"C","")))</f>
        <v/>
      </c>
      <c r="AH77" s="622" t="str">
        <f>IF(NOT(ISBLANK('A-RACHNATMAK'!AK88)),"A",IF(NOT(ISBLANK('A-RACHNATMAK'!AK87)),"B",IF(NOT(ISBLANK('A-RACHNATMAK'!AK86)),"C","")))</f>
        <v/>
      </c>
      <c r="AI77" s="622" t="str">
        <f>IF(NOT(ISBLANK('A-RACHNATMAK'!AL88)),"A",IF(NOT(ISBLANK('A-RACHNATMAK'!AL87)),"B",IF(NOT(ISBLANK('A-RACHNATMAK'!AL86)),"C","")))</f>
        <v/>
      </c>
      <c r="AJ77" s="622" t="str">
        <f>IF(NOT(ISBLANK('A-RACHNATMAK'!AM88)),"A",IF(NOT(ISBLANK('A-RACHNATMAK'!AM87)),"B",IF(NOT(ISBLANK('A-RACHNATMAK'!AM86)),"C","")))</f>
        <v/>
      </c>
      <c r="AK77" s="622" t="str">
        <f>IF(NOT(ISBLANK('A-RACHNATMAK'!AN88)),"A",IF(NOT(ISBLANK('A-RACHNATMAK'!AN87)),"B",IF(NOT(ISBLANK('A-RACHNATMAK'!AN86)),"C","")))</f>
        <v/>
      </c>
      <c r="AL77" s="622" t="str">
        <f>IF(NOT(ISBLANK('A-RACHNATMAK'!AO88)),"A",IF(NOT(ISBLANK('A-RACHNATMAK'!AO87)),"B",IF(NOT(ISBLANK('A-RACHNATMAK'!AO86)),"C","")))</f>
        <v/>
      </c>
      <c r="AM77" s="622" t="str">
        <f>IF(NOT(ISBLANK('A-RACHNATMAK'!AP88)),"A",IF(NOT(ISBLANK('A-RACHNATMAK'!AP87)),"B",IF(NOT(ISBLANK('A-RACHNATMAK'!AP86)),"C","")))</f>
        <v/>
      </c>
      <c r="AN77" s="622" t="str">
        <f>IF(NOT(ISBLANK('A-RACHNATMAK'!AQ88)),"A",IF(NOT(ISBLANK('A-RACHNATMAK'!AQ87)),"B",IF(NOT(ISBLANK('A-RACHNATMAK'!AQ86)),"C","")))</f>
        <v/>
      </c>
      <c r="AO77" s="622" t="str">
        <f>IF(NOT(ISBLANK('A-RACHNATMAK'!AR88)),"A",IF(NOT(ISBLANK('A-RACHNATMAK'!AR87)),"B",IF(NOT(ISBLANK('A-RACHNATMAK'!AR86)),"C","")))</f>
        <v/>
      </c>
      <c r="AP77" s="622" t="str">
        <f>IF(NOT(ISBLANK('A-RACHNATMAK'!AS88)),"A",IF(NOT(ISBLANK('A-RACHNATMAK'!AS87)),"B",IF(NOT(ISBLANK('A-RACHNATMAK'!AS86)),"C","")))</f>
        <v/>
      </c>
      <c r="AQ77" s="622" t="str">
        <f>IF(NOT(ISBLANK('A-RACHNATMAK'!AT88)),"A",IF(NOT(ISBLANK('A-RACHNATMAK'!AT87)),"B",IF(NOT(ISBLANK('A-RACHNATMAK'!AT86)),"C","")))</f>
        <v/>
      </c>
      <c r="AR77" s="622" t="str">
        <f>IF(NOT(ISBLANK('A-RACHNATMAK'!AU88)),"A",IF(NOT(ISBLANK('A-RACHNATMAK'!AU87)),"B",IF(NOT(ISBLANK('A-RACHNATMAK'!AU86)),"C","")))</f>
        <v/>
      </c>
      <c r="AS77" s="622" t="str">
        <f>IF(NOT(ISBLANK('A-RACHNATMAK'!AV88)),"A",IF(NOT(ISBLANK('A-RACHNATMAK'!AV87)),"B",IF(NOT(ISBLANK('A-RACHNATMAK'!AV86)),"C","")))</f>
        <v/>
      </c>
      <c r="AT77" s="622" t="str">
        <f>IF(NOT(ISBLANK('A-RACHNATMAK'!AW88)),"A",IF(NOT(ISBLANK('A-RACHNATMAK'!AW87)),"B",IF(NOT(ISBLANK('A-RACHNATMAK'!AW86)),"C","")))</f>
        <v/>
      </c>
      <c r="AU77" s="622">
        <f t="shared" ref="AU77" si="147">COUNTIF(AA77:AT77,"A")</f>
        <v>0</v>
      </c>
      <c r="AV77" s="622">
        <f t="shared" ref="AV77" si="148">COUNTIF(AA77:AT77,"B")</f>
        <v>0</v>
      </c>
      <c r="AW77" s="622">
        <f t="shared" ref="AW77" si="149">COUNTIF(AA77:AT77,"C")</f>
        <v>0</v>
      </c>
    </row>
    <row r="78" spans="1:49" s="330" customFormat="1" ht="8.25" customHeight="1">
      <c r="A78" s="623"/>
      <c r="B78" s="622"/>
      <c r="C78" s="622"/>
      <c r="D78" s="622"/>
      <c r="E78" s="622"/>
      <c r="F78" s="622"/>
      <c r="G78" s="622"/>
      <c r="H78" s="622"/>
      <c r="I78" s="622"/>
      <c r="J78" s="622"/>
      <c r="K78" s="622"/>
      <c r="L78" s="622"/>
      <c r="M78" s="622"/>
      <c r="N78" s="622"/>
      <c r="O78" s="622"/>
      <c r="P78" s="622"/>
      <c r="Q78" s="622"/>
      <c r="R78" s="622"/>
      <c r="S78" s="622"/>
      <c r="T78" s="622"/>
      <c r="U78" s="622"/>
      <c r="V78" s="622"/>
      <c r="W78" s="622"/>
      <c r="X78" s="622"/>
      <c r="Z78" s="623"/>
      <c r="AA78" s="622"/>
      <c r="AB78" s="622"/>
      <c r="AC78" s="622"/>
      <c r="AD78" s="622"/>
      <c r="AE78" s="622"/>
      <c r="AF78" s="622"/>
      <c r="AG78" s="622"/>
      <c r="AH78" s="622"/>
      <c r="AI78" s="622"/>
      <c r="AJ78" s="622"/>
      <c r="AK78" s="622"/>
      <c r="AL78" s="622"/>
      <c r="AM78" s="622"/>
      <c r="AN78" s="622"/>
      <c r="AO78" s="622"/>
      <c r="AP78" s="622"/>
      <c r="AQ78" s="622"/>
      <c r="AR78" s="622"/>
      <c r="AS78" s="622"/>
      <c r="AT78" s="622"/>
      <c r="AU78" s="622"/>
      <c r="AV78" s="622"/>
      <c r="AW78" s="622"/>
    </row>
    <row r="79" spans="1:49" s="330" customFormat="1" ht="8.25" customHeight="1">
      <c r="A79" s="623"/>
      <c r="B79" s="622"/>
      <c r="C79" s="622"/>
      <c r="D79" s="622"/>
      <c r="E79" s="622"/>
      <c r="F79" s="622"/>
      <c r="G79" s="622"/>
      <c r="H79" s="622"/>
      <c r="I79" s="622"/>
      <c r="J79" s="622"/>
      <c r="K79" s="622"/>
      <c r="L79" s="622"/>
      <c r="M79" s="622"/>
      <c r="N79" s="622"/>
      <c r="O79" s="622"/>
      <c r="P79" s="622"/>
      <c r="Q79" s="622"/>
      <c r="R79" s="622"/>
      <c r="S79" s="622"/>
      <c r="T79" s="622"/>
      <c r="U79" s="622"/>
      <c r="V79" s="622"/>
      <c r="W79" s="622"/>
      <c r="X79" s="622"/>
      <c r="Z79" s="623"/>
      <c r="AA79" s="622"/>
      <c r="AB79" s="622"/>
      <c r="AC79" s="622"/>
      <c r="AD79" s="622"/>
      <c r="AE79" s="622"/>
      <c r="AF79" s="622"/>
      <c r="AG79" s="622"/>
      <c r="AH79" s="622"/>
      <c r="AI79" s="622"/>
      <c r="AJ79" s="622"/>
      <c r="AK79" s="622"/>
      <c r="AL79" s="622"/>
      <c r="AM79" s="622"/>
      <c r="AN79" s="622"/>
      <c r="AO79" s="622"/>
      <c r="AP79" s="622"/>
      <c r="AQ79" s="622"/>
      <c r="AR79" s="622"/>
      <c r="AS79" s="622"/>
      <c r="AT79" s="622"/>
      <c r="AU79" s="622"/>
      <c r="AV79" s="622"/>
      <c r="AW79" s="622"/>
    </row>
    <row r="80" spans="1:49" s="330" customFormat="1" ht="8.25" customHeight="1">
      <c r="A80" s="623">
        <v>27</v>
      </c>
      <c r="B80" s="622" t="str">
        <f>IF(NOT(ISBLANK('A-RACHNATMAK'!C91)),"A",IF(NOT(ISBLANK('A-RACHNATMAK'!C90)),"B",IF(NOT(ISBLANK('A-RACHNATMAK'!C89)),"C","")))</f>
        <v/>
      </c>
      <c r="C80" s="622" t="str">
        <f>IF(NOT(ISBLANK('A-RACHNATMAK'!D91)),"A",IF(NOT(ISBLANK('A-RACHNATMAK'!D90)),"B",IF(NOT(ISBLANK('A-RACHNATMAK'!D89)),"C","")))</f>
        <v/>
      </c>
      <c r="D80" s="622" t="str">
        <f>IF(NOT(ISBLANK('A-RACHNATMAK'!E91)),"A",IF(NOT(ISBLANK('A-RACHNATMAK'!E90)),"B",IF(NOT(ISBLANK('A-RACHNATMAK'!E89)),"C","")))</f>
        <v/>
      </c>
      <c r="E80" s="622" t="str">
        <f>IF(NOT(ISBLANK('A-RACHNATMAK'!F91)),"A",IF(NOT(ISBLANK('A-RACHNATMAK'!F90)),"B",IF(NOT(ISBLANK('A-RACHNATMAK'!F89)),"C","")))</f>
        <v/>
      </c>
      <c r="F80" s="622" t="str">
        <f>IF(NOT(ISBLANK('A-RACHNATMAK'!G91)),"A",IF(NOT(ISBLANK('A-RACHNATMAK'!G90)),"B",IF(NOT(ISBLANK('A-RACHNATMAK'!G89)),"C","")))</f>
        <v/>
      </c>
      <c r="G80" s="622" t="str">
        <f>IF(NOT(ISBLANK('A-RACHNATMAK'!H91)),"A",IF(NOT(ISBLANK('A-RACHNATMAK'!H90)),"B",IF(NOT(ISBLANK('A-RACHNATMAK'!H89)),"C","")))</f>
        <v/>
      </c>
      <c r="H80" s="622" t="str">
        <f>IF(NOT(ISBLANK('A-RACHNATMAK'!I91)),"A",IF(NOT(ISBLANK('A-RACHNATMAK'!I90)),"B",IF(NOT(ISBLANK('A-RACHNATMAK'!I89)),"C","")))</f>
        <v/>
      </c>
      <c r="I80" s="622" t="str">
        <f>IF(NOT(ISBLANK('A-RACHNATMAK'!J91)),"A",IF(NOT(ISBLANK('A-RACHNATMAK'!J90)),"B",IF(NOT(ISBLANK('A-RACHNATMAK'!J89)),"C","")))</f>
        <v/>
      </c>
      <c r="J80" s="622" t="str">
        <f>IF(NOT(ISBLANK('A-RACHNATMAK'!K91)),"A",IF(NOT(ISBLANK('A-RACHNATMAK'!K90)),"B",IF(NOT(ISBLANK('A-RACHNATMAK'!K89)),"C","")))</f>
        <v/>
      </c>
      <c r="K80" s="622" t="str">
        <f>IF(NOT(ISBLANK('A-RACHNATMAK'!L91)),"A",IF(NOT(ISBLANK('A-RACHNATMAK'!L90)),"B",IF(NOT(ISBLANK('A-RACHNATMAK'!L89)),"C","")))</f>
        <v/>
      </c>
      <c r="L80" s="622" t="str">
        <f>IF(NOT(ISBLANK('A-RACHNATMAK'!M91)),"A",IF(NOT(ISBLANK('A-RACHNATMAK'!M90)),"B",IF(NOT(ISBLANK('A-RACHNATMAK'!M89)),"C","")))</f>
        <v/>
      </c>
      <c r="M80" s="622" t="str">
        <f>IF(NOT(ISBLANK('A-RACHNATMAK'!N91)),"A",IF(NOT(ISBLANK('A-RACHNATMAK'!N90)),"B",IF(NOT(ISBLANK('A-RACHNATMAK'!N89)),"C","")))</f>
        <v/>
      </c>
      <c r="N80" s="622" t="str">
        <f>IF(NOT(ISBLANK('A-RACHNATMAK'!O91)),"A",IF(NOT(ISBLANK('A-RACHNATMAK'!O90)),"B",IF(NOT(ISBLANK('A-RACHNATMAK'!O89)),"C","")))</f>
        <v/>
      </c>
      <c r="O80" s="622" t="str">
        <f>IF(NOT(ISBLANK('A-RACHNATMAK'!P91)),"A",IF(NOT(ISBLANK('A-RACHNATMAK'!P90)),"B",IF(NOT(ISBLANK('A-RACHNATMAK'!P89)),"C","")))</f>
        <v/>
      </c>
      <c r="P80" s="622" t="str">
        <f>IF(NOT(ISBLANK('A-RACHNATMAK'!Q91)),"A",IF(NOT(ISBLANK('A-RACHNATMAK'!Q90)),"B",IF(NOT(ISBLANK('A-RACHNATMAK'!Q89)),"C","")))</f>
        <v/>
      </c>
      <c r="Q80" s="622" t="str">
        <f>IF(NOT(ISBLANK('A-RACHNATMAK'!R91)),"A",IF(NOT(ISBLANK('A-RACHNATMAK'!R90)),"B",IF(NOT(ISBLANK('A-RACHNATMAK'!R89)),"C","")))</f>
        <v/>
      </c>
      <c r="R80" s="622" t="str">
        <f>IF(NOT(ISBLANK('A-RACHNATMAK'!S91)),"A",IF(NOT(ISBLANK('A-RACHNATMAK'!S90)),"B",IF(NOT(ISBLANK('A-RACHNATMAK'!S89)),"C","")))</f>
        <v/>
      </c>
      <c r="S80" s="622" t="str">
        <f>IF(NOT(ISBLANK('A-RACHNATMAK'!T91)),"A",IF(NOT(ISBLANK('A-RACHNATMAK'!T90)),"B",IF(NOT(ISBLANK('A-RACHNATMAK'!T89)),"C","")))</f>
        <v/>
      </c>
      <c r="T80" s="622" t="str">
        <f>IF(NOT(ISBLANK('A-RACHNATMAK'!U91)),"A",IF(NOT(ISBLANK('A-RACHNATMAK'!U90)),"B",IF(NOT(ISBLANK('A-RACHNATMAK'!U89)),"C","")))</f>
        <v/>
      </c>
      <c r="U80" s="622" t="str">
        <f>IF(NOT(ISBLANK('A-RACHNATMAK'!V91)),"A",IF(NOT(ISBLANK('A-RACHNATMAK'!V90)),"B",IF(NOT(ISBLANK('A-RACHNATMAK'!V89)),"C","")))</f>
        <v/>
      </c>
      <c r="V80" s="622">
        <f t="shared" ref="V80" si="150">COUNTIF(B80:U80,"A")</f>
        <v>0</v>
      </c>
      <c r="W80" s="622">
        <f t="shared" ref="W80" si="151">COUNTIF(B80:U80,"B")</f>
        <v>0</v>
      </c>
      <c r="X80" s="622">
        <f t="shared" ref="X80" si="152">COUNTIF(B80:U80,"C")</f>
        <v>0</v>
      </c>
      <c r="Z80" s="623">
        <v>27</v>
      </c>
      <c r="AA80" s="622" t="str">
        <f>IF(NOT(ISBLANK('A-RACHNATMAK'!AD91)),"A",IF(NOT(ISBLANK('A-RACHNATMAK'!AD90)),"B",IF(NOT(ISBLANK('A-RACHNATMAK'!AD89)),"C","")))</f>
        <v/>
      </c>
      <c r="AB80" s="622" t="str">
        <f>IF(NOT(ISBLANK('A-RACHNATMAK'!AE91)),"A",IF(NOT(ISBLANK('A-RACHNATMAK'!AE90)),"B",IF(NOT(ISBLANK('A-RACHNATMAK'!AE89)),"C","")))</f>
        <v/>
      </c>
      <c r="AC80" s="622" t="str">
        <f>IF(NOT(ISBLANK('A-RACHNATMAK'!AF91)),"A",IF(NOT(ISBLANK('A-RACHNATMAK'!AF90)),"B",IF(NOT(ISBLANK('A-RACHNATMAK'!AF89)),"C","")))</f>
        <v/>
      </c>
      <c r="AD80" s="622" t="str">
        <f>IF(NOT(ISBLANK('A-RACHNATMAK'!AG91)),"A",IF(NOT(ISBLANK('A-RACHNATMAK'!AG90)),"B",IF(NOT(ISBLANK('A-RACHNATMAK'!AG89)),"C","")))</f>
        <v/>
      </c>
      <c r="AE80" s="622" t="str">
        <f>IF(NOT(ISBLANK('A-RACHNATMAK'!AH91)),"A",IF(NOT(ISBLANK('A-RACHNATMAK'!AH90)),"B",IF(NOT(ISBLANK('A-RACHNATMAK'!AH89)),"C","")))</f>
        <v/>
      </c>
      <c r="AF80" s="622" t="str">
        <f>IF(NOT(ISBLANK('A-RACHNATMAK'!AI91)),"A",IF(NOT(ISBLANK('A-RACHNATMAK'!AI90)),"B",IF(NOT(ISBLANK('A-RACHNATMAK'!AI89)),"C","")))</f>
        <v/>
      </c>
      <c r="AG80" s="622" t="str">
        <f>IF(NOT(ISBLANK('A-RACHNATMAK'!AJ91)),"A",IF(NOT(ISBLANK('A-RACHNATMAK'!AJ90)),"B",IF(NOT(ISBLANK('A-RACHNATMAK'!AJ89)),"C","")))</f>
        <v/>
      </c>
      <c r="AH80" s="622" t="str">
        <f>IF(NOT(ISBLANK('A-RACHNATMAK'!AK91)),"A",IF(NOT(ISBLANK('A-RACHNATMAK'!AK90)),"B",IF(NOT(ISBLANK('A-RACHNATMAK'!AK89)),"C","")))</f>
        <v/>
      </c>
      <c r="AI80" s="622" t="str">
        <f>IF(NOT(ISBLANK('A-RACHNATMAK'!AL91)),"A",IF(NOT(ISBLANK('A-RACHNATMAK'!AL90)),"B",IF(NOT(ISBLANK('A-RACHNATMAK'!AL89)),"C","")))</f>
        <v/>
      </c>
      <c r="AJ80" s="622" t="str">
        <f>IF(NOT(ISBLANK('A-RACHNATMAK'!AM91)),"A",IF(NOT(ISBLANK('A-RACHNATMAK'!AM90)),"B",IF(NOT(ISBLANK('A-RACHNATMAK'!AM89)),"C","")))</f>
        <v/>
      </c>
      <c r="AK80" s="622" t="str">
        <f>IF(NOT(ISBLANK('A-RACHNATMAK'!AN91)),"A",IF(NOT(ISBLANK('A-RACHNATMAK'!AN90)),"B",IF(NOT(ISBLANK('A-RACHNATMAK'!AN89)),"C","")))</f>
        <v/>
      </c>
      <c r="AL80" s="622" t="str">
        <f>IF(NOT(ISBLANK('A-RACHNATMAK'!AO91)),"A",IF(NOT(ISBLANK('A-RACHNATMAK'!AO90)),"B",IF(NOT(ISBLANK('A-RACHNATMAK'!AO89)),"C","")))</f>
        <v/>
      </c>
      <c r="AM80" s="622" t="str">
        <f>IF(NOT(ISBLANK('A-RACHNATMAK'!AP91)),"A",IF(NOT(ISBLANK('A-RACHNATMAK'!AP90)),"B",IF(NOT(ISBLANK('A-RACHNATMAK'!AP89)),"C","")))</f>
        <v/>
      </c>
      <c r="AN80" s="622" t="str">
        <f>IF(NOT(ISBLANK('A-RACHNATMAK'!AQ91)),"A",IF(NOT(ISBLANK('A-RACHNATMAK'!AQ90)),"B",IF(NOT(ISBLANK('A-RACHNATMAK'!AQ89)),"C","")))</f>
        <v/>
      </c>
      <c r="AO80" s="622" t="str">
        <f>IF(NOT(ISBLANK('A-RACHNATMAK'!AR91)),"A",IF(NOT(ISBLANK('A-RACHNATMAK'!AR90)),"B",IF(NOT(ISBLANK('A-RACHNATMAK'!AR89)),"C","")))</f>
        <v/>
      </c>
      <c r="AP80" s="622" t="str">
        <f>IF(NOT(ISBLANK('A-RACHNATMAK'!AS91)),"A",IF(NOT(ISBLANK('A-RACHNATMAK'!AS90)),"B",IF(NOT(ISBLANK('A-RACHNATMAK'!AS89)),"C","")))</f>
        <v/>
      </c>
      <c r="AQ80" s="622" t="str">
        <f>IF(NOT(ISBLANK('A-RACHNATMAK'!AT91)),"A",IF(NOT(ISBLANK('A-RACHNATMAK'!AT90)),"B",IF(NOT(ISBLANK('A-RACHNATMAK'!AT89)),"C","")))</f>
        <v/>
      </c>
      <c r="AR80" s="622" t="str">
        <f>IF(NOT(ISBLANK('A-RACHNATMAK'!AU91)),"A",IF(NOT(ISBLANK('A-RACHNATMAK'!AU90)),"B",IF(NOT(ISBLANK('A-RACHNATMAK'!AU89)),"C","")))</f>
        <v/>
      </c>
      <c r="AS80" s="622" t="str">
        <f>IF(NOT(ISBLANK('A-RACHNATMAK'!AV91)),"A",IF(NOT(ISBLANK('A-RACHNATMAK'!AV90)),"B",IF(NOT(ISBLANK('A-RACHNATMAK'!AV89)),"C","")))</f>
        <v/>
      </c>
      <c r="AT80" s="622" t="str">
        <f>IF(NOT(ISBLANK('A-RACHNATMAK'!AW91)),"A",IF(NOT(ISBLANK('A-RACHNATMAK'!AW90)),"B",IF(NOT(ISBLANK('A-RACHNATMAK'!AW89)),"C","")))</f>
        <v/>
      </c>
      <c r="AU80" s="622">
        <f t="shared" ref="AU80" si="153">COUNTIF(AA80:AT80,"A")</f>
        <v>0</v>
      </c>
      <c r="AV80" s="622">
        <f t="shared" ref="AV80" si="154">COUNTIF(AA80:AT80,"B")</f>
        <v>0</v>
      </c>
      <c r="AW80" s="622">
        <f t="shared" ref="AW80" si="155">COUNTIF(AA80:AT80,"C")</f>
        <v>0</v>
      </c>
    </row>
    <row r="81" spans="1:49" s="330" customFormat="1" ht="8.25" customHeight="1">
      <c r="A81" s="623"/>
      <c r="B81" s="622"/>
      <c r="C81" s="622"/>
      <c r="D81" s="622"/>
      <c r="E81" s="622"/>
      <c r="F81" s="622"/>
      <c r="G81" s="622"/>
      <c r="H81" s="622"/>
      <c r="I81" s="622"/>
      <c r="J81" s="622"/>
      <c r="K81" s="622"/>
      <c r="L81" s="622"/>
      <c r="M81" s="622"/>
      <c r="N81" s="622"/>
      <c r="O81" s="622"/>
      <c r="P81" s="622"/>
      <c r="Q81" s="622"/>
      <c r="R81" s="622"/>
      <c r="S81" s="622"/>
      <c r="T81" s="622"/>
      <c r="U81" s="622"/>
      <c r="V81" s="622"/>
      <c r="W81" s="622"/>
      <c r="X81" s="622"/>
      <c r="Z81" s="623"/>
      <c r="AA81" s="622"/>
      <c r="AB81" s="622"/>
      <c r="AC81" s="622"/>
      <c r="AD81" s="622"/>
      <c r="AE81" s="622"/>
      <c r="AF81" s="622"/>
      <c r="AG81" s="622"/>
      <c r="AH81" s="622"/>
      <c r="AI81" s="622"/>
      <c r="AJ81" s="622"/>
      <c r="AK81" s="622"/>
      <c r="AL81" s="622"/>
      <c r="AM81" s="622"/>
      <c r="AN81" s="622"/>
      <c r="AO81" s="622"/>
      <c r="AP81" s="622"/>
      <c r="AQ81" s="622"/>
      <c r="AR81" s="622"/>
      <c r="AS81" s="622"/>
      <c r="AT81" s="622"/>
      <c r="AU81" s="622"/>
      <c r="AV81" s="622"/>
      <c r="AW81" s="622"/>
    </row>
    <row r="82" spans="1:49" s="330" customFormat="1" ht="8.25" customHeight="1">
      <c r="A82" s="623"/>
      <c r="B82" s="622"/>
      <c r="C82" s="622"/>
      <c r="D82" s="622"/>
      <c r="E82" s="622"/>
      <c r="F82" s="622"/>
      <c r="G82" s="622"/>
      <c r="H82" s="622"/>
      <c r="I82" s="622"/>
      <c r="J82" s="622"/>
      <c r="K82" s="622"/>
      <c r="L82" s="622"/>
      <c r="M82" s="622"/>
      <c r="N82" s="622"/>
      <c r="O82" s="622"/>
      <c r="P82" s="622"/>
      <c r="Q82" s="622"/>
      <c r="R82" s="622"/>
      <c r="S82" s="622"/>
      <c r="T82" s="622"/>
      <c r="U82" s="622"/>
      <c r="V82" s="622"/>
      <c r="W82" s="622"/>
      <c r="X82" s="622"/>
      <c r="Z82" s="623"/>
      <c r="AA82" s="622"/>
      <c r="AB82" s="622"/>
      <c r="AC82" s="622"/>
      <c r="AD82" s="622"/>
      <c r="AE82" s="622"/>
      <c r="AF82" s="622"/>
      <c r="AG82" s="622"/>
      <c r="AH82" s="622"/>
      <c r="AI82" s="622"/>
      <c r="AJ82" s="622"/>
      <c r="AK82" s="622"/>
      <c r="AL82" s="622"/>
      <c r="AM82" s="622"/>
      <c r="AN82" s="622"/>
      <c r="AO82" s="622"/>
      <c r="AP82" s="622"/>
      <c r="AQ82" s="622"/>
      <c r="AR82" s="622"/>
      <c r="AS82" s="622"/>
      <c r="AT82" s="622"/>
      <c r="AU82" s="622"/>
      <c r="AV82" s="622"/>
      <c r="AW82" s="622"/>
    </row>
    <row r="83" spans="1:49" s="330" customFormat="1" ht="8.25" customHeight="1">
      <c r="A83" s="623">
        <v>28</v>
      </c>
      <c r="B83" s="622" t="str">
        <f>IF(NOT(ISBLANK('A-RACHNATMAK'!C94)),"A",IF(NOT(ISBLANK('A-RACHNATMAK'!C93)),"B",IF(NOT(ISBLANK('A-RACHNATMAK'!C92)),"C","")))</f>
        <v/>
      </c>
      <c r="C83" s="622" t="str">
        <f>IF(NOT(ISBLANK('A-RACHNATMAK'!D94)),"A",IF(NOT(ISBLANK('A-RACHNATMAK'!D93)),"B",IF(NOT(ISBLANK('A-RACHNATMAK'!D92)),"C","")))</f>
        <v/>
      </c>
      <c r="D83" s="622" t="str">
        <f>IF(NOT(ISBLANK('A-RACHNATMAK'!E94)),"A",IF(NOT(ISBLANK('A-RACHNATMAK'!E93)),"B",IF(NOT(ISBLANK('A-RACHNATMAK'!E92)),"C","")))</f>
        <v/>
      </c>
      <c r="E83" s="622" t="str">
        <f>IF(NOT(ISBLANK('A-RACHNATMAK'!F94)),"A",IF(NOT(ISBLANK('A-RACHNATMAK'!F93)),"B",IF(NOT(ISBLANK('A-RACHNATMAK'!F92)),"C","")))</f>
        <v/>
      </c>
      <c r="F83" s="622" t="str">
        <f>IF(NOT(ISBLANK('A-RACHNATMAK'!G94)),"A",IF(NOT(ISBLANK('A-RACHNATMAK'!G93)),"B",IF(NOT(ISBLANK('A-RACHNATMAK'!G92)),"C","")))</f>
        <v/>
      </c>
      <c r="G83" s="622" t="str">
        <f>IF(NOT(ISBLANK('A-RACHNATMAK'!H94)),"A",IF(NOT(ISBLANK('A-RACHNATMAK'!H93)),"B",IF(NOT(ISBLANK('A-RACHNATMAK'!H92)),"C","")))</f>
        <v/>
      </c>
      <c r="H83" s="622" t="str">
        <f>IF(NOT(ISBLANK('A-RACHNATMAK'!I94)),"A",IF(NOT(ISBLANK('A-RACHNATMAK'!I93)),"B",IF(NOT(ISBLANK('A-RACHNATMAK'!I92)),"C","")))</f>
        <v/>
      </c>
      <c r="I83" s="622" t="str">
        <f>IF(NOT(ISBLANK('A-RACHNATMAK'!J94)),"A",IF(NOT(ISBLANK('A-RACHNATMAK'!J93)),"B",IF(NOT(ISBLANK('A-RACHNATMAK'!J92)),"C","")))</f>
        <v/>
      </c>
      <c r="J83" s="622" t="str">
        <f>IF(NOT(ISBLANK('A-RACHNATMAK'!K94)),"A",IF(NOT(ISBLANK('A-RACHNATMAK'!K93)),"B",IF(NOT(ISBLANK('A-RACHNATMAK'!K92)),"C","")))</f>
        <v/>
      </c>
      <c r="K83" s="622" t="str">
        <f>IF(NOT(ISBLANK('A-RACHNATMAK'!L94)),"A",IF(NOT(ISBLANK('A-RACHNATMAK'!L93)),"B",IF(NOT(ISBLANK('A-RACHNATMAK'!L92)),"C","")))</f>
        <v/>
      </c>
      <c r="L83" s="622" t="str">
        <f>IF(NOT(ISBLANK('A-RACHNATMAK'!M94)),"A",IF(NOT(ISBLANK('A-RACHNATMAK'!M93)),"B",IF(NOT(ISBLANK('A-RACHNATMAK'!M92)),"C","")))</f>
        <v/>
      </c>
      <c r="M83" s="622" t="str">
        <f>IF(NOT(ISBLANK('A-RACHNATMAK'!N94)),"A",IF(NOT(ISBLANK('A-RACHNATMAK'!N93)),"B",IF(NOT(ISBLANK('A-RACHNATMAK'!N92)),"C","")))</f>
        <v/>
      </c>
      <c r="N83" s="622" t="str">
        <f>IF(NOT(ISBLANK('A-RACHNATMAK'!O94)),"A",IF(NOT(ISBLANK('A-RACHNATMAK'!O93)),"B",IF(NOT(ISBLANK('A-RACHNATMAK'!O92)),"C","")))</f>
        <v/>
      </c>
      <c r="O83" s="622" t="str">
        <f>IF(NOT(ISBLANK('A-RACHNATMAK'!P94)),"A",IF(NOT(ISBLANK('A-RACHNATMAK'!P93)),"B",IF(NOT(ISBLANK('A-RACHNATMAK'!P92)),"C","")))</f>
        <v/>
      </c>
      <c r="P83" s="622" t="str">
        <f>IF(NOT(ISBLANK('A-RACHNATMAK'!Q94)),"A",IF(NOT(ISBLANK('A-RACHNATMAK'!Q93)),"B",IF(NOT(ISBLANK('A-RACHNATMAK'!Q92)),"C","")))</f>
        <v/>
      </c>
      <c r="Q83" s="622" t="str">
        <f>IF(NOT(ISBLANK('A-RACHNATMAK'!R94)),"A",IF(NOT(ISBLANK('A-RACHNATMAK'!R93)),"B",IF(NOT(ISBLANK('A-RACHNATMAK'!R92)),"C","")))</f>
        <v/>
      </c>
      <c r="R83" s="622" t="str">
        <f>IF(NOT(ISBLANK('A-RACHNATMAK'!S94)),"A",IF(NOT(ISBLANK('A-RACHNATMAK'!S93)),"B",IF(NOT(ISBLANK('A-RACHNATMAK'!S92)),"C","")))</f>
        <v/>
      </c>
      <c r="S83" s="622" t="str">
        <f>IF(NOT(ISBLANK('A-RACHNATMAK'!T94)),"A",IF(NOT(ISBLANK('A-RACHNATMAK'!T93)),"B",IF(NOT(ISBLANK('A-RACHNATMAK'!T92)),"C","")))</f>
        <v/>
      </c>
      <c r="T83" s="622" t="str">
        <f>IF(NOT(ISBLANK('A-RACHNATMAK'!U94)),"A",IF(NOT(ISBLANK('A-RACHNATMAK'!U93)),"B",IF(NOT(ISBLANK('A-RACHNATMAK'!U92)),"C","")))</f>
        <v/>
      </c>
      <c r="U83" s="622" t="str">
        <f>IF(NOT(ISBLANK('A-RACHNATMAK'!V94)),"A",IF(NOT(ISBLANK('A-RACHNATMAK'!V93)),"B",IF(NOT(ISBLANK('A-RACHNATMAK'!V92)),"C","")))</f>
        <v/>
      </c>
      <c r="V83" s="622">
        <f t="shared" ref="V83" si="156">COUNTIF(B83:U83,"A")</f>
        <v>0</v>
      </c>
      <c r="W83" s="622">
        <f t="shared" ref="W83" si="157">COUNTIF(B83:U83,"B")</f>
        <v>0</v>
      </c>
      <c r="X83" s="622">
        <f t="shared" ref="X83" si="158">COUNTIF(B83:U83,"C")</f>
        <v>0</v>
      </c>
      <c r="Z83" s="623">
        <v>28</v>
      </c>
      <c r="AA83" s="622" t="str">
        <f>IF(NOT(ISBLANK('A-RACHNATMAK'!AD94)),"A",IF(NOT(ISBLANK('A-RACHNATMAK'!AD93)),"B",IF(NOT(ISBLANK('A-RACHNATMAK'!AD92)),"C","")))</f>
        <v/>
      </c>
      <c r="AB83" s="622" t="str">
        <f>IF(NOT(ISBLANK('A-RACHNATMAK'!AE94)),"A",IF(NOT(ISBLANK('A-RACHNATMAK'!AE93)),"B",IF(NOT(ISBLANK('A-RACHNATMAK'!AE92)),"C","")))</f>
        <v/>
      </c>
      <c r="AC83" s="622" t="str">
        <f>IF(NOT(ISBLANK('A-RACHNATMAK'!AF94)),"A",IF(NOT(ISBLANK('A-RACHNATMAK'!AF93)),"B",IF(NOT(ISBLANK('A-RACHNATMAK'!AF92)),"C","")))</f>
        <v/>
      </c>
      <c r="AD83" s="622" t="str">
        <f>IF(NOT(ISBLANK('A-RACHNATMAK'!AG94)),"A",IF(NOT(ISBLANK('A-RACHNATMAK'!AG93)),"B",IF(NOT(ISBLANK('A-RACHNATMAK'!AG92)),"C","")))</f>
        <v/>
      </c>
      <c r="AE83" s="622" t="str">
        <f>IF(NOT(ISBLANK('A-RACHNATMAK'!AH94)),"A",IF(NOT(ISBLANK('A-RACHNATMAK'!AH93)),"B",IF(NOT(ISBLANK('A-RACHNATMAK'!AH92)),"C","")))</f>
        <v/>
      </c>
      <c r="AF83" s="622" t="str">
        <f>IF(NOT(ISBLANK('A-RACHNATMAK'!AI94)),"A",IF(NOT(ISBLANK('A-RACHNATMAK'!AI93)),"B",IF(NOT(ISBLANK('A-RACHNATMAK'!AI92)),"C","")))</f>
        <v/>
      </c>
      <c r="AG83" s="622" t="str">
        <f>IF(NOT(ISBLANK('A-RACHNATMAK'!AJ94)),"A",IF(NOT(ISBLANK('A-RACHNATMAK'!AJ93)),"B",IF(NOT(ISBLANK('A-RACHNATMAK'!AJ92)),"C","")))</f>
        <v/>
      </c>
      <c r="AH83" s="622" t="str">
        <f>IF(NOT(ISBLANK('A-RACHNATMAK'!AK94)),"A",IF(NOT(ISBLANK('A-RACHNATMAK'!AK93)),"B",IF(NOT(ISBLANK('A-RACHNATMAK'!AK92)),"C","")))</f>
        <v/>
      </c>
      <c r="AI83" s="622" t="str">
        <f>IF(NOT(ISBLANK('A-RACHNATMAK'!AL94)),"A",IF(NOT(ISBLANK('A-RACHNATMAK'!AL93)),"B",IF(NOT(ISBLANK('A-RACHNATMAK'!AL92)),"C","")))</f>
        <v/>
      </c>
      <c r="AJ83" s="622" t="str">
        <f>IF(NOT(ISBLANK('A-RACHNATMAK'!AM94)),"A",IF(NOT(ISBLANK('A-RACHNATMAK'!AM93)),"B",IF(NOT(ISBLANK('A-RACHNATMAK'!AM92)),"C","")))</f>
        <v/>
      </c>
      <c r="AK83" s="622" t="str">
        <f>IF(NOT(ISBLANK('A-RACHNATMAK'!AN94)),"A",IF(NOT(ISBLANK('A-RACHNATMAK'!AN93)),"B",IF(NOT(ISBLANK('A-RACHNATMAK'!AN92)),"C","")))</f>
        <v/>
      </c>
      <c r="AL83" s="622" t="str">
        <f>IF(NOT(ISBLANK('A-RACHNATMAK'!AO94)),"A",IF(NOT(ISBLANK('A-RACHNATMAK'!AO93)),"B",IF(NOT(ISBLANK('A-RACHNATMAK'!AO92)),"C","")))</f>
        <v/>
      </c>
      <c r="AM83" s="622" t="str">
        <f>IF(NOT(ISBLANK('A-RACHNATMAK'!AP94)),"A",IF(NOT(ISBLANK('A-RACHNATMAK'!AP93)),"B",IF(NOT(ISBLANK('A-RACHNATMAK'!AP92)),"C","")))</f>
        <v/>
      </c>
      <c r="AN83" s="622" t="str">
        <f>IF(NOT(ISBLANK('A-RACHNATMAK'!AQ94)),"A",IF(NOT(ISBLANK('A-RACHNATMAK'!AQ93)),"B",IF(NOT(ISBLANK('A-RACHNATMAK'!AQ92)),"C","")))</f>
        <v/>
      </c>
      <c r="AO83" s="622" t="str">
        <f>IF(NOT(ISBLANK('A-RACHNATMAK'!AR94)),"A",IF(NOT(ISBLANK('A-RACHNATMAK'!AR93)),"B",IF(NOT(ISBLANK('A-RACHNATMAK'!AR92)),"C","")))</f>
        <v/>
      </c>
      <c r="AP83" s="622" t="str">
        <f>IF(NOT(ISBLANK('A-RACHNATMAK'!AS94)),"A",IF(NOT(ISBLANK('A-RACHNATMAK'!AS93)),"B",IF(NOT(ISBLANK('A-RACHNATMAK'!AS92)),"C","")))</f>
        <v/>
      </c>
      <c r="AQ83" s="622" t="str">
        <f>IF(NOT(ISBLANK('A-RACHNATMAK'!AT94)),"A",IF(NOT(ISBLANK('A-RACHNATMAK'!AT93)),"B",IF(NOT(ISBLANK('A-RACHNATMAK'!AT92)),"C","")))</f>
        <v/>
      </c>
      <c r="AR83" s="622" t="str">
        <f>IF(NOT(ISBLANK('A-RACHNATMAK'!AU94)),"A",IF(NOT(ISBLANK('A-RACHNATMAK'!AU93)),"B",IF(NOT(ISBLANK('A-RACHNATMAK'!AU92)),"C","")))</f>
        <v/>
      </c>
      <c r="AS83" s="622" t="str">
        <f>IF(NOT(ISBLANK('A-RACHNATMAK'!AV94)),"A",IF(NOT(ISBLANK('A-RACHNATMAK'!AV93)),"B",IF(NOT(ISBLANK('A-RACHNATMAK'!AV92)),"C","")))</f>
        <v/>
      </c>
      <c r="AT83" s="622" t="str">
        <f>IF(NOT(ISBLANK('A-RACHNATMAK'!AW94)),"A",IF(NOT(ISBLANK('A-RACHNATMAK'!AW93)),"B",IF(NOT(ISBLANK('A-RACHNATMAK'!AW92)),"C","")))</f>
        <v/>
      </c>
      <c r="AU83" s="622">
        <f t="shared" ref="AU83" si="159">COUNTIF(AA83:AT83,"A")</f>
        <v>0</v>
      </c>
      <c r="AV83" s="622">
        <f t="shared" ref="AV83" si="160">COUNTIF(AA83:AT83,"B")</f>
        <v>0</v>
      </c>
      <c r="AW83" s="622">
        <f t="shared" ref="AW83" si="161">COUNTIF(AA83:AT83,"C")</f>
        <v>0</v>
      </c>
    </row>
    <row r="84" spans="1:49" s="330" customFormat="1" ht="8.25" customHeight="1">
      <c r="A84" s="623"/>
      <c r="B84" s="622"/>
      <c r="C84" s="622"/>
      <c r="D84" s="622"/>
      <c r="E84" s="622"/>
      <c r="F84" s="622"/>
      <c r="G84" s="622"/>
      <c r="H84" s="622"/>
      <c r="I84" s="622"/>
      <c r="J84" s="622"/>
      <c r="K84" s="622"/>
      <c r="L84" s="622"/>
      <c r="M84" s="622"/>
      <c r="N84" s="622"/>
      <c r="O84" s="622"/>
      <c r="P84" s="622"/>
      <c r="Q84" s="622"/>
      <c r="R84" s="622"/>
      <c r="S84" s="622"/>
      <c r="T84" s="622"/>
      <c r="U84" s="622"/>
      <c r="V84" s="622"/>
      <c r="W84" s="622"/>
      <c r="X84" s="622"/>
      <c r="Z84" s="623"/>
      <c r="AA84" s="622"/>
      <c r="AB84" s="622"/>
      <c r="AC84" s="622"/>
      <c r="AD84" s="622"/>
      <c r="AE84" s="622"/>
      <c r="AF84" s="622"/>
      <c r="AG84" s="622"/>
      <c r="AH84" s="622"/>
      <c r="AI84" s="622"/>
      <c r="AJ84" s="622"/>
      <c r="AK84" s="622"/>
      <c r="AL84" s="622"/>
      <c r="AM84" s="622"/>
      <c r="AN84" s="622"/>
      <c r="AO84" s="622"/>
      <c r="AP84" s="622"/>
      <c r="AQ84" s="622"/>
      <c r="AR84" s="622"/>
      <c r="AS84" s="622"/>
      <c r="AT84" s="622"/>
      <c r="AU84" s="622"/>
      <c r="AV84" s="622"/>
      <c r="AW84" s="622"/>
    </row>
    <row r="85" spans="1:49" s="330" customFormat="1" ht="8.25" customHeight="1">
      <c r="A85" s="623"/>
      <c r="B85" s="622"/>
      <c r="C85" s="622"/>
      <c r="D85" s="622"/>
      <c r="E85" s="622"/>
      <c r="F85" s="622"/>
      <c r="G85" s="622"/>
      <c r="H85" s="622"/>
      <c r="I85" s="622"/>
      <c r="J85" s="622"/>
      <c r="K85" s="622"/>
      <c r="L85" s="622"/>
      <c r="M85" s="622"/>
      <c r="N85" s="622"/>
      <c r="O85" s="622"/>
      <c r="P85" s="622"/>
      <c r="Q85" s="622"/>
      <c r="R85" s="622"/>
      <c r="S85" s="622"/>
      <c r="T85" s="622"/>
      <c r="U85" s="622"/>
      <c r="V85" s="622"/>
      <c r="W85" s="622"/>
      <c r="X85" s="622"/>
      <c r="Z85" s="623"/>
      <c r="AA85" s="622"/>
      <c r="AB85" s="622"/>
      <c r="AC85" s="622"/>
      <c r="AD85" s="622"/>
      <c r="AE85" s="622"/>
      <c r="AF85" s="622"/>
      <c r="AG85" s="622"/>
      <c r="AH85" s="622"/>
      <c r="AI85" s="622"/>
      <c r="AJ85" s="622"/>
      <c r="AK85" s="622"/>
      <c r="AL85" s="622"/>
      <c r="AM85" s="622"/>
      <c r="AN85" s="622"/>
      <c r="AO85" s="622"/>
      <c r="AP85" s="622"/>
      <c r="AQ85" s="622"/>
      <c r="AR85" s="622"/>
      <c r="AS85" s="622"/>
      <c r="AT85" s="622"/>
      <c r="AU85" s="622"/>
      <c r="AV85" s="622"/>
      <c r="AW85" s="622"/>
    </row>
    <row r="86" spans="1:49" s="330" customFormat="1" ht="8.25" customHeight="1">
      <c r="A86" s="623">
        <v>29</v>
      </c>
      <c r="B86" s="622" t="str">
        <f>IF(NOT(ISBLANK('A-RACHNATMAK'!C97)),"A",IF(NOT(ISBLANK('A-RACHNATMAK'!C96)),"B",IF(NOT(ISBLANK('A-RACHNATMAK'!C95)),"C","")))</f>
        <v/>
      </c>
      <c r="C86" s="622" t="str">
        <f>IF(NOT(ISBLANK('A-RACHNATMAK'!D97)),"A",IF(NOT(ISBLANK('A-RACHNATMAK'!D96)),"B",IF(NOT(ISBLANK('A-RACHNATMAK'!D95)),"C","")))</f>
        <v/>
      </c>
      <c r="D86" s="622" t="str">
        <f>IF(NOT(ISBLANK('A-RACHNATMAK'!E97)),"A",IF(NOT(ISBLANK('A-RACHNATMAK'!E96)),"B",IF(NOT(ISBLANK('A-RACHNATMAK'!E95)),"C","")))</f>
        <v/>
      </c>
      <c r="E86" s="622" t="str">
        <f>IF(NOT(ISBLANK('A-RACHNATMAK'!F97)),"A",IF(NOT(ISBLANK('A-RACHNATMAK'!F96)),"B",IF(NOT(ISBLANK('A-RACHNATMAK'!F95)),"C","")))</f>
        <v/>
      </c>
      <c r="F86" s="622" t="str">
        <f>IF(NOT(ISBLANK('A-RACHNATMAK'!G97)),"A",IF(NOT(ISBLANK('A-RACHNATMAK'!G96)),"B",IF(NOT(ISBLANK('A-RACHNATMAK'!G95)),"C","")))</f>
        <v/>
      </c>
      <c r="G86" s="622" t="str">
        <f>IF(NOT(ISBLANK('A-RACHNATMAK'!H97)),"A",IF(NOT(ISBLANK('A-RACHNATMAK'!H96)),"B",IF(NOT(ISBLANK('A-RACHNATMAK'!H95)),"C","")))</f>
        <v/>
      </c>
      <c r="H86" s="622" t="str">
        <f>IF(NOT(ISBLANK('A-RACHNATMAK'!I97)),"A",IF(NOT(ISBLANK('A-RACHNATMAK'!I96)),"B",IF(NOT(ISBLANK('A-RACHNATMAK'!I95)),"C","")))</f>
        <v/>
      </c>
      <c r="I86" s="622" t="str">
        <f>IF(NOT(ISBLANK('A-RACHNATMAK'!J97)),"A",IF(NOT(ISBLANK('A-RACHNATMAK'!J96)),"B",IF(NOT(ISBLANK('A-RACHNATMAK'!J95)),"C","")))</f>
        <v/>
      </c>
      <c r="J86" s="622" t="str">
        <f>IF(NOT(ISBLANK('A-RACHNATMAK'!K97)),"A",IF(NOT(ISBLANK('A-RACHNATMAK'!K96)),"B",IF(NOT(ISBLANK('A-RACHNATMAK'!K95)),"C","")))</f>
        <v/>
      </c>
      <c r="K86" s="622" t="str">
        <f>IF(NOT(ISBLANK('A-RACHNATMAK'!L97)),"A",IF(NOT(ISBLANK('A-RACHNATMAK'!L96)),"B",IF(NOT(ISBLANK('A-RACHNATMAK'!L95)),"C","")))</f>
        <v/>
      </c>
      <c r="L86" s="622" t="str">
        <f>IF(NOT(ISBLANK('A-RACHNATMAK'!M97)),"A",IF(NOT(ISBLANK('A-RACHNATMAK'!M96)),"B",IF(NOT(ISBLANK('A-RACHNATMAK'!M95)),"C","")))</f>
        <v/>
      </c>
      <c r="M86" s="622" t="str">
        <f>IF(NOT(ISBLANK('A-RACHNATMAK'!N97)),"A",IF(NOT(ISBLANK('A-RACHNATMAK'!N96)),"B",IF(NOT(ISBLANK('A-RACHNATMAK'!N95)),"C","")))</f>
        <v/>
      </c>
      <c r="N86" s="622" t="str">
        <f>IF(NOT(ISBLANK('A-RACHNATMAK'!O97)),"A",IF(NOT(ISBLANK('A-RACHNATMAK'!O96)),"B",IF(NOT(ISBLANK('A-RACHNATMAK'!O95)),"C","")))</f>
        <v/>
      </c>
      <c r="O86" s="622" t="str">
        <f>IF(NOT(ISBLANK('A-RACHNATMAK'!P97)),"A",IF(NOT(ISBLANK('A-RACHNATMAK'!P96)),"B",IF(NOT(ISBLANK('A-RACHNATMAK'!P95)),"C","")))</f>
        <v/>
      </c>
      <c r="P86" s="622" t="str">
        <f>IF(NOT(ISBLANK('A-RACHNATMAK'!Q97)),"A",IF(NOT(ISBLANK('A-RACHNATMAK'!Q96)),"B",IF(NOT(ISBLANK('A-RACHNATMAK'!Q95)),"C","")))</f>
        <v/>
      </c>
      <c r="Q86" s="622" t="str">
        <f>IF(NOT(ISBLANK('A-RACHNATMAK'!R97)),"A",IF(NOT(ISBLANK('A-RACHNATMAK'!R96)),"B",IF(NOT(ISBLANK('A-RACHNATMAK'!R95)),"C","")))</f>
        <v/>
      </c>
      <c r="R86" s="622" t="str">
        <f>IF(NOT(ISBLANK('A-RACHNATMAK'!S97)),"A",IF(NOT(ISBLANK('A-RACHNATMAK'!S96)),"B",IF(NOT(ISBLANK('A-RACHNATMAK'!S95)),"C","")))</f>
        <v/>
      </c>
      <c r="S86" s="622" t="str">
        <f>IF(NOT(ISBLANK('A-RACHNATMAK'!T97)),"A",IF(NOT(ISBLANK('A-RACHNATMAK'!T96)),"B",IF(NOT(ISBLANK('A-RACHNATMAK'!T95)),"C","")))</f>
        <v/>
      </c>
      <c r="T86" s="622" t="str">
        <f>IF(NOT(ISBLANK('A-RACHNATMAK'!U97)),"A",IF(NOT(ISBLANK('A-RACHNATMAK'!U96)),"B",IF(NOT(ISBLANK('A-RACHNATMAK'!U95)),"C","")))</f>
        <v/>
      </c>
      <c r="U86" s="622" t="str">
        <f>IF(NOT(ISBLANK('A-RACHNATMAK'!V97)),"A",IF(NOT(ISBLANK('A-RACHNATMAK'!V96)),"B",IF(NOT(ISBLANK('A-RACHNATMAK'!V95)),"C","")))</f>
        <v/>
      </c>
      <c r="V86" s="622">
        <f t="shared" ref="V86" si="162">COUNTIF(B86:U86,"A")</f>
        <v>0</v>
      </c>
      <c r="W86" s="622">
        <f t="shared" ref="W86" si="163">COUNTIF(B86:U86,"B")</f>
        <v>0</v>
      </c>
      <c r="X86" s="622">
        <f t="shared" ref="X86" si="164">COUNTIF(B86:U86,"C")</f>
        <v>0</v>
      </c>
      <c r="Z86" s="623">
        <v>29</v>
      </c>
      <c r="AA86" s="622" t="str">
        <f>IF(NOT(ISBLANK('A-RACHNATMAK'!AD97)),"A",IF(NOT(ISBLANK('A-RACHNATMAK'!AD96)),"B",IF(NOT(ISBLANK('A-RACHNATMAK'!AD95)),"C","")))</f>
        <v/>
      </c>
      <c r="AB86" s="622" t="str">
        <f>IF(NOT(ISBLANK('A-RACHNATMAK'!AE97)),"A",IF(NOT(ISBLANK('A-RACHNATMAK'!AE96)),"B",IF(NOT(ISBLANK('A-RACHNATMAK'!AE95)),"C","")))</f>
        <v/>
      </c>
      <c r="AC86" s="622" t="str">
        <f>IF(NOT(ISBLANK('A-RACHNATMAK'!AF97)),"A",IF(NOT(ISBLANK('A-RACHNATMAK'!AF96)),"B",IF(NOT(ISBLANK('A-RACHNATMAK'!AF95)),"C","")))</f>
        <v/>
      </c>
      <c r="AD86" s="622" t="str">
        <f>IF(NOT(ISBLANK('A-RACHNATMAK'!AG97)),"A",IF(NOT(ISBLANK('A-RACHNATMAK'!AG96)),"B",IF(NOT(ISBLANK('A-RACHNATMAK'!AG95)),"C","")))</f>
        <v/>
      </c>
      <c r="AE86" s="622" t="str">
        <f>IF(NOT(ISBLANK('A-RACHNATMAK'!AH97)),"A",IF(NOT(ISBLANK('A-RACHNATMAK'!AH96)),"B",IF(NOT(ISBLANK('A-RACHNATMAK'!AH95)),"C","")))</f>
        <v/>
      </c>
      <c r="AF86" s="622" t="str">
        <f>IF(NOT(ISBLANK('A-RACHNATMAK'!AI97)),"A",IF(NOT(ISBLANK('A-RACHNATMAK'!AI96)),"B",IF(NOT(ISBLANK('A-RACHNATMAK'!AI95)),"C","")))</f>
        <v/>
      </c>
      <c r="AG86" s="622" t="str">
        <f>IF(NOT(ISBLANK('A-RACHNATMAK'!AJ97)),"A",IF(NOT(ISBLANK('A-RACHNATMAK'!AJ96)),"B",IF(NOT(ISBLANK('A-RACHNATMAK'!AJ95)),"C","")))</f>
        <v/>
      </c>
      <c r="AH86" s="622" t="str">
        <f>IF(NOT(ISBLANK('A-RACHNATMAK'!AK97)),"A",IF(NOT(ISBLANK('A-RACHNATMAK'!AK96)),"B",IF(NOT(ISBLANK('A-RACHNATMAK'!AK95)),"C","")))</f>
        <v/>
      </c>
      <c r="AI86" s="622" t="str">
        <f>IF(NOT(ISBLANK('A-RACHNATMAK'!AL97)),"A",IF(NOT(ISBLANK('A-RACHNATMAK'!AL96)),"B",IF(NOT(ISBLANK('A-RACHNATMAK'!AL95)),"C","")))</f>
        <v/>
      </c>
      <c r="AJ86" s="622" t="str">
        <f>IF(NOT(ISBLANK('A-RACHNATMAK'!AM97)),"A",IF(NOT(ISBLANK('A-RACHNATMAK'!AM96)),"B",IF(NOT(ISBLANK('A-RACHNATMAK'!AM95)),"C","")))</f>
        <v/>
      </c>
      <c r="AK86" s="622" t="str">
        <f>IF(NOT(ISBLANK('A-RACHNATMAK'!AN97)),"A",IF(NOT(ISBLANK('A-RACHNATMAK'!AN96)),"B",IF(NOT(ISBLANK('A-RACHNATMAK'!AN95)),"C","")))</f>
        <v/>
      </c>
      <c r="AL86" s="622" t="str">
        <f>IF(NOT(ISBLANK('A-RACHNATMAK'!AO97)),"A",IF(NOT(ISBLANK('A-RACHNATMAK'!AO96)),"B",IF(NOT(ISBLANK('A-RACHNATMAK'!AO95)),"C","")))</f>
        <v/>
      </c>
      <c r="AM86" s="622" t="str">
        <f>IF(NOT(ISBLANK('A-RACHNATMAK'!AP97)),"A",IF(NOT(ISBLANK('A-RACHNATMAK'!AP96)),"B",IF(NOT(ISBLANK('A-RACHNATMAK'!AP95)),"C","")))</f>
        <v/>
      </c>
      <c r="AN86" s="622" t="str">
        <f>IF(NOT(ISBLANK('A-RACHNATMAK'!AQ97)),"A",IF(NOT(ISBLANK('A-RACHNATMAK'!AQ96)),"B",IF(NOT(ISBLANK('A-RACHNATMAK'!AQ95)),"C","")))</f>
        <v/>
      </c>
      <c r="AO86" s="622" t="str">
        <f>IF(NOT(ISBLANK('A-RACHNATMAK'!AR97)),"A",IF(NOT(ISBLANK('A-RACHNATMAK'!AR96)),"B",IF(NOT(ISBLANK('A-RACHNATMAK'!AR95)),"C","")))</f>
        <v/>
      </c>
      <c r="AP86" s="622" t="str">
        <f>IF(NOT(ISBLANK('A-RACHNATMAK'!AS97)),"A",IF(NOT(ISBLANK('A-RACHNATMAK'!AS96)),"B",IF(NOT(ISBLANK('A-RACHNATMAK'!AS95)),"C","")))</f>
        <v/>
      </c>
      <c r="AQ86" s="622" t="str">
        <f>IF(NOT(ISBLANK('A-RACHNATMAK'!AT97)),"A",IF(NOT(ISBLANK('A-RACHNATMAK'!AT96)),"B",IF(NOT(ISBLANK('A-RACHNATMAK'!AT95)),"C","")))</f>
        <v/>
      </c>
      <c r="AR86" s="622" t="str">
        <f>IF(NOT(ISBLANK('A-RACHNATMAK'!AU97)),"A",IF(NOT(ISBLANK('A-RACHNATMAK'!AU96)),"B",IF(NOT(ISBLANK('A-RACHNATMAK'!AU95)),"C","")))</f>
        <v/>
      </c>
      <c r="AS86" s="622" t="str">
        <f>IF(NOT(ISBLANK('A-RACHNATMAK'!AV97)),"A",IF(NOT(ISBLANK('A-RACHNATMAK'!AV96)),"B",IF(NOT(ISBLANK('A-RACHNATMAK'!AV95)),"C","")))</f>
        <v/>
      </c>
      <c r="AT86" s="622" t="str">
        <f>IF(NOT(ISBLANK('A-RACHNATMAK'!AW97)),"A",IF(NOT(ISBLANK('A-RACHNATMAK'!AW96)),"B",IF(NOT(ISBLANK('A-RACHNATMAK'!AW95)),"C","")))</f>
        <v/>
      </c>
      <c r="AU86" s="622">
        <f t="shared" ref="AU86" si="165">COUNTIF(AA86:AT86,"A")</f>
        <v>0</v>
      </c>
      <c r="AV86" s="622">
        <f t="shared" ref="AV86" si="166">COUNTIF(AA86:AT86,"B")</f>
        <v>0</v>
      </c>
      <c r="AW86" s="622">
        <f t="shared" ref="AW86" si="167">COUNTIF(AA86:AT86,"C")</f>
        <v>0</v>
      </c>
    </row>
    <row r="87" spans="1:49" s="330" customFormat="1" ht="8.25" customHeight="1">
      <c r="A87" s="623"/>
      <c r="B87" s="622"/>
      <c r="C87" s="622"/>
      <c r="D87" s="622"/>
      <c r="E87" s="622"/>
      <c r="F87" s="622"/>
      <c r="G87" s="622"/>
      <c r="H87" s="622"/>
      <c r="I87" s="622"/>
      <c r="J87" s="622"/>
      <c r="K87" s="622"/>
      <c r="L87" s="622"/>
      <c r="M87" s="622"/>
      <c r="N87" s="622"/>
      <c r="O87" s="622"/>
      <c r="P87" s="622"/>
      <c r="Q87" s="622"/>
      <c r="R87" s="622"/>
      <c r="S87" s="622"/>
      <c r="T87" s="622"/>
      <c r="U87" s="622"/>
      <c r="V87" s="622"/>
      <c r="W87" s="622"/>
      <c r="X87" s="622"/>
      <c r="Z87" s="623"/>
      <c r="AA87" s="622"/>
      <c r="AB87" s="622"/>
      <c r="AC87" s="622"/>
      <c r="AD87" s="622"/>
      <c r="AE87" s="622"/>
      <c r="AF87" s="622"/>
      <c r="AG87" s="622"/>
      <c r="AH87" s="622"/>
      <c r="AI87" s="622"/>
      <c r="AJ87" s="622"/>
      <c r="AK87" s="622"/>
      <c r="AL87" s="622"/>
      <c r="AM87" s="622"/>
      <c r="AN87" s="622"/>
      <c r="AO87" s="622"/>
      <c r="AP87" s="622"/>
      <c r="AQ87" s="622"/>
      <c r="AR87" s="622"/>
      <c r="AS87" s="622"/>
      <c r="AT87" s="622"/>
      <c r="AU87" s="622"/>
      <c r="AV87" s="622"/>
      <c r="AW87" s="622"/>
    </row>
    <row r="88" spans="1:49" s="330" customFormat="1" ht="8.25" customHeight="1">
      <c r="A88" s="623"/>
      <c r="B88" s="622"/>
      <c r="C88" s="622"/>
      <c r="D88" s="622"/>
      <c r="E88" s="622"/>
      <c r="F88" s="622"/>
      <c r="G88" s="622"/>
      <c r="H88" s="622"/>
      <c r="I88" s="622"/>
      <c r="J88" s="622"/>
      <c r="K88" s="622"/>
      <c r="L88" s="622"/>
      <c r="M88" s="622"/>
      <c r="N88" s="622"/>
      <c r="O88" s="622"/>
      <c r="P88" s="622"/>
      <c r="Q88" s="622"/>
      <c r="R88" s="622"/>
      <c r="S88" s="622"/>
      <c r="T88" s="622"/>
      <c r="U88" s="622"/>
      <c r="V88" s="622"/>
      <c r="W88" s="622"/>
      <c r="X88" s="622"/>
      <c r="Z88" s="623"/>
      <c r="AA88" s="622"/>
      <c r="AB88" s="622"/>
      <c r="AC88" s="622"/>
      <c r="AD88" s="622"/>
      <c r="AE88" s="622"/>
      <c r="AF88" s="622"/>
      <c r="AG88" s="622"/>
      <c r="AH88" s="622"/>
      <c r="AI88" s="622"/>
      <c r="AJ88" s="622"/>
      <c r="AK88" s="622"/>
      <c r="AL88" s="622"/>
      <c r="AM88" s="622"/>
      <c r="AN88" s="622"/>
      <c r="AO88" s="622"/>
      <c r="AP88" s="622"/>
      <c r="AQ88" s="622"/>
      <c r="AR88" s="622"/>
      <c r="AS88" s="622"/>
      <c r="AT88" s="622"/>
      <c r="AU88" s="622"/>
      <c r="AV88" s="622"/>
      <c r="AW88" s="622"/>
    </row>
    <row r="89" spans="1:49" s="330" customFormat="1" ht="8.25" customHeight="1">
      <c r="A89" s="623">
        <v>30</v>
      </c>
      <c r="B89" s="622" t="str">
        <f>IF(NOT(ISBLANK('A-RACHNATMAK'!C100)),"A",IF(NOT(ISBLANK('A-RACHNATMAK'!C99)),"B",IF(NOT(ISBLANK('A-RACHNATMAK'!C98)),"C","")))</f>
        <v/>
      </c>
      <c r="C89" s="622" t="str">
        <f>IF(NOT(ISBLANK('A-RACHNATMAK'!D100)),"A",IF(NOT(ISBLANK('A-RACHNATMAK'!D99)),"B",IF(NOT(ISBLANK('A-RACHNATMAK'!D98)),"C","")))</f>
        <v/>
      </c>
      <c r="D89" s="622" t="str">
        <f>IF(NOT(ISBLANK('A-RACHNATMAK'!E100)),"A",IF(NOT(ISBLANK('A-RACHNATMAK'!E99)),"B",IF(NOT(ISBLANK('A-RACHNATMAK'!E98)),"C","")))</f>
        <v/>
      </c>
      <c r="E89" s="622" t="str">
        <f>IF(NOT(ISBLANK('A-RACHNATMAK'!F100)),"A",IF(NOT(ISBLANK('A-RACHNATMAK'!F99)),"B",IF(NOT(ISBLANK('A-RACHNATMAK'!F98)),"C","")))</f>
        <v/>
      </c>
      <c r="F89" s="622" t="str">
        <f>IF(NOT(ISBLANK('A-RACHNATMAK'!G100)),"A",IF(NOT(ISBLANK('A-RACHNATMAK'!G99)),"B",IF(NOT(ISBLANK('A-RACHNATMAK'!G98)),"C","")))</f>
        <v/>
      </c>
      <c r="G89" s="622" t="str">
        <f>IF(NOT(ISBLANK('A-RACHNATMAK'!H100)),"A",IF(NOT(ISBLANK('A-RACHNATMAK'!H99)),"B",IF(NOT(ISBLANK('A-RACHNATMAK'!H98)),"C","")))</f>
        <v/>
      </c>
      <c r="H89" s="622" t="str">
        <f>IF(NOT(ISBLANK('A-RACHNATMAK'!I100)),"A",IF(NOT(ISBLANK('A-RACHNATMAK'!I99)),"B",IF(NOT(ISBLANK('A-RACHNATMAK'!I98)),"C","")))</f>
        <v/>
      </c>
      <c r="I89" s="622" t="str">
        <f>IF(NOT(ISBLANK('A-RACHNATMAK'!J100)),"A",IF(NOT(ISBLANK('A-RACHNATMAK'!J99)),"B",IF(NOT(ISBLANK('A-RACHNATMAK'!J98)),"C","")))</f>
        <v/>
      </c>
      <c r="J89" s="622" t="str">
        <f>IF(NOT(ISBLANK('A-RACHNATMAK'!K100)),"A",IF(NOT(ISBLANK('A-RACHNATMAK'!K99)),"B",IF(NOT(ISBLANK('A-RACHNATMAK'!K98)),"C","")))</f>
        <v/>
      </c>
      <c r="K89" s="622" t="str">
        <f>IF(NOT(ISBLANK('A-RACHNATMAK'!L100)),"A",IF(NOT(ISBLANK('A-RACHNATMAK'!L99)),"B",IF(NOT(ISBLANK('A-RACHNATMAK'!L98)),"C","")))</f>
        <v/>
      </c>
      <c r="L89" s="622" t="str">
        <f>IF(NOT(ISBLANK('A-RACHNATMAK'!M100)),"A",IF(NOT(ISBLANK('A-RACHNATMAK'!M99)),"B",IF(NOT(ISBLANK('A-RACHNATMAK'!M98)),"C","")))</f>
        <v/>
      </c>
      <c r="M89" s="622" t="str">
        <f>IF(NOT(ISBLANK('A-RACHNATMAK'!N100)),"A",IF(NOT(ISBLANK('A-RACHNATMAK'!N99)),"B",IF(NOT(ISBLANK('A-RACHNATMAK'!N98)),"C","")))</f>
        <v/>
      </c>
      <c r="N89" s="622" t="str">
        <f>IF(NOT(ISBLANK('A-RACHNATMAK'!O100)),"A",IF(NOT(ISBLANK('A-RACHNATMAK'!O99)),"B",IF(NOT(ISBLANK('A-RACHNATMAK'!O98)),"C","")))</f>
        <v/>
      </c>
      <c r="O89" s="622" t="str">
        <f>IF(NOT(ISBLANK('A-RACHNATMAK'!P100)),"A",IF(NOT(ISBLANK('A-RACHNATMAK'!P99)),"B",IF(NOT(ISBLANK('A-RACHNATMAK'!P98)),"C","")))</f>
        <v/>
      </c>
      <c r="P89" s="622" t="str">
        <f>IF(NOT(ISBLANK('A-RACHNATMAK'!Q100)),"A",IF(NOT(ISBLANK('A-RACHNATMAK'!Q99)),"B",IF(NOT(ISBLANK('A-RACHNATMAK'!Q98)),"C","")))</f>
        <v/>
      </c>
      <c r="Q89" s="622" t="str">
        <f>IF(NOT(ISBLANK('A-RACHNATMAK'!R100)),"A",IF(NOT(ISBLANK('A-RACHNATMAK'!R99)),"B",IF(NOT(ISBLANK('A-RACHNATMAK'!R98)),"C","")))</f>
        <v/>
      </c>
      <c r="R89" s="622" t="str">
        <f>IF(NOT(ISBLANK('A-RACHNATMAK'!S100)),"A",IF(NOT(ISBLANK('A-RACHNATMAK'!S99)),"B",IF(NOT(ISBLANK('A-RACHNATMAK'!S98)),"C","")))</f>
        <v/>
      </c>
      <c r="S89" s="622" t="str">
        <f>IF(NOT(ISBLANK('A-RACHNATMAK'!T100)),"A",IF(NOT(ISBLANK('A-RACHNATMAK'!T99)),"B",IF(NOT(ISBLANK('A-RACHNATMAK'!T98)),"C","")))</f>
        <v/>
      </c>
      <c r="T89" s="622" t="str">
        <f>IF(NOT(ISBLANK('A-RACHNATMAK'!U100)),"A",IF(NOT(ISBLANK('A-RACHNATMAK'!U99)),"B",IF(NOT(ISBLANK('A-RACHNATMAK'!U98)),"C","")))</f>
        <v/>
      </c>
      <c r="U89" s="622" t="str">
        <f>IF(NOT(ISBLANK('A-RACHNATMAK'!V100)),"A",IF(NOT(ISBLANK('A-RACHNATMAK'!V99)),"B",IF(NOT(ISBLANK('A-RACHNATMAK'!V98)),"C","")))</f>
        <v/>
      </c>
      <c r="V89" s="622">
        <f t="shared" ref="V89" si="168">COUNTIF(B89:U89,"A")</f>
        <v>0</v>
      </c>
      <c r="W89" s="622">
        <f t="shared" ref="W89" si="169">COUNTIF(B89:U89,"B")</f>
        <v>0</v>
      </c>
      <c r="X89" s="622">
        <f t="shared" ref="X89" si="170">COUNTIF(B89:U89,"C")</f>
        <v>0</v>
      </c>
      <c r="Z89" s="623">
        <v>30</v>
      </c>
      <c r="AA89" s="622" t="str">
        <f>IF(NOT(ISBLANK('A-RACHNATMAK'!AD100)),"A",IF(NOT(ISBLANK('A-RACHNATMAK'!AD99)),"B",IF(NOT(ISBLANK('A-RACHNATMAK'!AD98)),"C","")))</f>
        <v/>
      </c>
      <c r="AB89" s="622" t="str">
        <f>IF(NOT(ISBLANK('A-RACHNATMAK'!AE100)),"A",IF(NOT(ISBLANK('A-RACHNATMAK'!AE99)),"B",IF(NOT(ISBLANK('A-RACHNATMAK'!AE98)),"C","")))</f>
        <v/>
      </c>
      <c r="AC89" s="622" t="str">
        <f>IF(NOT(ISBLANK('A-RACHNATMAK'!AF100)),"A",IF(NOT(ISBLANK('A-RACHNATMAK'!AF99)),"B",IF(NOT(ISBLANK('A-RACHNATMAK'!AF98)),"C","")))</f>
        <v/>
      </c>
      <c r="AD89" s="622" t="str">
        <f>IF(NOT(ISBLANK('A-RACHNATMAK'!AG100)),"A",IF(NOT(ISBLANK('A-RACHNATMAK'!AG99)),"B",IF(NOT(ISBLANK('A-RACHNATMAK'!AG98)),"C","")))</f>
        <v/>
      </c>
      <c r="AE89" s="622" t="str">
        <f>IF(NOT(ISBLANK('A-RACHNATMAK'!AH100)),"A",IF(NOT(ISBLANK('A-RACHNATMAK'!AH99)),"B",IF(NOT(ISBLANK('A-RACHNATMAK'!AH98)),"C","")))</f>
        <v/>
      </c>
      <c r="AF89" s="622" t="str">
        <f>IF(NOT(ISBLANK('A-RACHNATMAK'!AI100)),"A",IF(NOT(ISBLANK('A-RACHNATMAK'!AI99)),"B",IF(NOT(ISBLANK('A-RACHNATMAK'!AI98)),"C","")))</f>
        <v/>
      </c>
      <c r="AG89" s="622" t="str">
        <f>IF(NOT(ISBLANK('A-RACHNATMAK'!AJ100)),"A",IF(NOT(ISBLANK('A-RACHNATMAK'!AJ99)),"B",IF(NOT(ISBLANK('A-RACHNATMAK'!AJ98)),"C","")))</f>
        <v/>
      </c>
      <c r="AH89" s="622" t="str">
        <f>IF(NOT(ISBLANK('A-RACHNATMAK'!AK100)),"A",IF(NOT(ISBLANK('A-RACHNATMAK'!AK99)),"B",IF(NOT(ISBLANK('A-RACHNATMAK'!AK98)),"C","")))</f>
        <v/>
      </c>
      <c r="AI89" s="622" t="str">
        <f>IF(NOT(ISBLANK('A-RACHNATMAK'!AL100)),"A",IF(NOT(ISBLANK('A-RACHNATMAK'!AL99)),"B",IF(NOT(ISBLANK('A-RACHNATMAK'!AL98)),"C","")))</f>
        <v/>
      </c>
      <c r="AJ89" s="622" t="str">
        <f>IF(NOT(ISBLANK('A-RACHNATMAK'!AM100)),"A",IF(NOT(ISBLANK('A-RACHNATMAK'!AM99)),"B",IF(NOT(ISBLANK('A-RACHNATMAK'!AM98)),"C","")))</f>
        <v/>
      </c>
      <c r="AK89" s="622" t="str">
        <f>IF(NOT(ISBLANK('A-RACHNATMAK'!AN100)),"A",IF(NOT(ISBLANK('A-RACHNATMAK'!AN99)),"B",IF(NOT(ISBLANK('A-RACHNATMAK'!AN98)),"C","")))</f>
        <v/>
      </c>
      <c r="AL89" s="622" t="str">
        <f>IF(NOT(ISBLANK('A-RACHNATMAK'!AO100)),"A",IF(NOT(ISBLANK('A-RACHNATMAK'!AO99)),"B",IF(NOT(ISBLANK('A-RACHNATMAK'!AO98)),"C","")))</f>
        <v/>
      </c>
      <c r="AM89" s="622" t="str">
        <f>IF(NOT(ISBLANK('A-RACHNATMAK'!AP100)),"A",IF(NOT(ISBLANK('A-RACHNATMAK'!AP99)),"B",IF(NOT(ISBLANK('A-RACHNATMAK'!AP98)),"C","")))</f>
        <v/>
      </c>
      <c r="AN89" s="622" t="str">
        <f>IF(NOT(ISBLANK('A-RACHNATMAK'!AQ100)),"A",IF(NOT(ISBLANK('A-RACHNATMAK'!AQ99)),"B",IF(NOT(ISBLANK('A-RACHNATMAK'!AQ98)),"C","")))</f>
        <v/>
      </c>
      <c r="AO89" s="622" t="str">
        <f>IF(NOT(ISBLANK('A-RACHNATMAK'!AR100)),"A",IF(NOT(ISBLANK('A-RACHNATMAK'!AR99)),"B",IF(NOT(ISBLANK('A-RACHNATMAK'!AR98)),"C","")))</f>
        <v/>
      </c>
      <c r="AP89" s="622" t="str">
        <f>IF(NOT(ISBLANK('A-RACHNATMAK'!AS100)),"A",IF(NOT(ISBLANK('A-RACHNATMAK'!AS99)),"B",IF(NOT(ISBLANK('A-RACHNATMAK'!AS98)),"C","")))</f>
        <v/>
      </c>
      <c r="AQ89" s="622" t="str">
        <f>IF(NOT(ISBLANK('A-RACHNATMAK'!AT100)),"A",IF(NOT(ISBLANK('A-RACHNATMAK'!AT99)),"B",IF(NOT(ISBLANK('A-RACHNATMAK'!AT98)),"C","")))</f>
        <v/>
      </c>
      <c r="AR89" s="622" t="str">
        <f>IF(NOT(ISBLANK('A-RACHNATMAK'!AU100)),"A",IF(NOT(ISBLANK('A-RACHNATMAK'!AU99)),"B",IF(NOT(ISBLANK('A-RACHNATMAK'!AU98)),"C","")))</f>
        <v/>
      </c>
      <c r="AS89" s="622" t="str">
        <f>IF(NOT(ISBLANK('A-RACHNATMAK'!AV100)),"A",IF(NOT(ISBLANK('A-RACHNATMAK'!AV99)),"B",IF(NOT(ISBLANK('A-RACHNATMAK'!AV98)),"C","")))</f>
        <v/>
      </c>
      <c r="AT89" s="622" t="str">
        <f>IF(NOT(ISBLANK('A-RACHNATMAK'!AW100)),"A",IF(NOT(ISBLANK('A-RACHNATMAK'!AW99)),"B",IF(NOT(ISBLANK('A-RACHNATMAK'!AW98)),"C","")))</f>
        <v/>
      </c>
      <c r="AU89" s="622">
        <f t="shared" ref="AU89" si="171">COUNTIF(AA89:AT89,"A")</f>
        <v>0</v>
      </c>
      <c r="AV89" s="622">
        <f t="shared" ref="AV89" si="172">COUNTIF(AA89:AT89,"B")</f>
        <v>0</v>
      </c>
      <c r="AW89" s="622">
        <f t="shared" ref="AW89" si="173">COUNTIF(AA89:AT89,"C")</f>
        <v>0</v>
      </c>
    </row>
    <row r="90" spans="1:49" s="330" customFormat="1" ht="8.25" customHeight="1">
      <c r="A90" s="623"/>
      <c r="B90" s="622"/>
      <c r="C90" s="622"/>
      <c r="D90" s="622"/>
      <c r="E90" s="622"/>
      <c r="F90" s="622"/>
      <c r="G90" s="622"/>
      <c r="H90" s="622"/>
      <c r="I90" s="622"/>
      <c r="J90" s="622"/>
      <c r="K90" s="622"/>
      <c r="L90" s="622"/>
      <c r="M90" s="622"/>
      <c r="N90" s="622"/>
      <c r="O90" s="622"/>
      <c r="P90" s="622"/>
      <c r="Q90" s="622"/>
      <c r="R90" s="622"/>
      <c r="S90" s="622"/>
      <c r="T90" s="622"/>
      <c r="U90" s="622"/>
      <c r="V90" s="622"/>
      <c r="W90" s="622"/>
      <c r="X90" s="622"/>
      <c r="Z90" s="623"/>
      <c r="AA90" s="622"/>
      <c r="AB90" s="622"/>
      <c r="AC90" s="622"/>
      <c r="AD90" s="622"/>
      <c r="AE90" s="622"/>
      <c r="AF90" s="622"/>
      <c r="AG90" s="622"/>
      <c r="AH90" s="622"/>
      <c r="AI90" s="622"/>
      <c r="AJ90" s="622"/>
      <c r="AK90" s="622"/>
      <c r="AL90" s="622"/>
      <c r="AM90" s="622"/>
      <c r="AN90" s="622"/>
      <c r="AO90" s="622"/>
      <c r="AP90" s="622"/>
      <c r="AQ90" s="622"/>
      <c r="AR90" s="622"/>
      <c r="AS90" s="622"/>
      <c r="AT90" s="622"/>
      <c r="AU90" s="622"/>
      <c r="AV90" s="622"/>
      <c r="AW90" s="622"/>
    </row>
    <row r="91" spans="1:49" s="330" customFormat="1" ht="8.25" customHeight="1">
      <c r="A91" s="623"/>
      <c r="B91" s="622"/>
      <c r="C91" s="622"/>
      <c r="D91" s="622"/>
      <c r="E91" s="622"/>
      <c r="F91" s="622"/>
      <c r="G91" s="622"/>
      <c r="H91" s="622"/>
      <c r="I91" s="622"/>
      <c r="J91" s="622"/>
      <c r="K91" s="622"/>
      <c r="L91" s="622"/>
      <c r="M91" s="622"/>
      <c r="N91" s="622"/>
      <c r="O91" s="622"/>
      <c r="P91" s="622"/>
      <c r="Q91" s="622"/>
      <c r="R91" s="622"/>
      <c r="S91" s="622"/>
      <c r="T91" s="622"/>
      <c r="U91" s="622"/>
      <c r="V91" s="622"/>
      <c r="W91" s="622"/>
      <c r="X91" s="622"/>
      <c r="Z91" s="623"/>
      <c r="AA91" s="622"/>
      <c r="AB91" s="622"/>
      <c r="AC91" s="622"/>
      <c r="AD91" s="622"/>
      <c r="AE91" s="622"/>
      <c r="AF91" s="622"/>
      <c r="AG91" s="622"/>
      <c r="AH91" s="622"/>
      <c r="AI91" s="622"/>
      <c r="AJ91" s="622"/>
      <c r="AK91" s="622"/>
      <c r="AL91" s="622"/>
      <c r="AM91" s="622"/>
      <c r="AN91" s="622"/>
      <c r="AO91" s="622"/>
      <c r="AP91" s="622"/>
      <c r="AQ91" s="622"/>
      <c r="AR91" s="622"/>
      <c r="AS91" s="622"/>
      <c r="AT91" s="622"/>
      <c r="AU91" s="622"/>
      <c r="AV91" s="622"/>
      <c r="AW91" s="622"/>
    </row>
    <row r="92" spans="1:49" s="330" customFormat="1" ht="8.25" customHeight="1">
      <c r="A92" s="623">
        <v>31</v>
      </c>
      <c r="B92" s="622" t="str">
        <f>IF(NOT(ISBLANK('A-RACHNATMAK'!C103)),"A",IF(NOT(ISBLANK('A-RACHNATMAK'!C102)),"B",IF(NOT(ISBLANK('A-RACHNATMAK'!C101)),"C","")))</f>
        <v/>
      </c>
      <c r="C92" s="622" t="str">
        <f>IF(NOT(ISBLANK('A-RACHNATMAK'!D103)),"A",IF(NOT(ISBLANK('A-RACHNATMAK'!D102)),"B",IF(NOT(ISBLANK('A-RACHNATMAK'!D101)),"C","")))</f>
        <v/>
      </c>
      <c r="D92" s="622" t="str">
        <f>IF(NOT(ISBLANK('A-RACHNATMAK'!E103)),"A",IF(NOT(ISBLANK('A-RACHNATMAK'!E102)),"B",IF(NOT(ISBLANK('A-RACHNATMAK'!E101)),"C","")))</f>
        <v/>
      </c>
      <c r="E92" s="622" t="str">
        <f>IF(NOT(ISBLANK('A-RACHNATMAK'!F103)),"A",IF(NOT(ISBLANK('A-RACHNATMAK'!F102)),"B",IF(NOT(ISBLANK('A-RACHNATMAK'!F101)),"C","")))</f>
        <v/>
      </c>
      <c r="F92" s="622" t="str">
        <f>IF(NOT(ISBLANK('A-RACHNATMAK'!G103)),"A",IF(NOT(ISBLANK('A-RACHNATMAK'!G102)),"B",IF(NOT(ISBLANK('A-RACHNATMAK'!G101)),"C","")))</f>
        <v/>
      </c>
      <c r="G92" s="622" t="str">
        <f>IF(NOT(ISBLANK('A-RACHNATMAK'!H103)),"A",IF(NOT(ISBLANK('A-RACHNATMAK'!H102)),"B",IF(NOT(ISBLANK('A-RACHNATMAK'!H101)),"C","")))</f>
        <v/>
      </c>
      <c r="H92" s="622" t="str">
        <f>IF(NOT(ISBLANK('A-RACHNATMAK'!I103)),"A",IF(NOT(ISBLANK('A-RACHNATMAK'!I102)),"B",IF(NOT(ISBLANK('A-RACHNATMAK'!I101)),"C","")))</f>
        <v/>
      </c>
      <c r="I92" s="622" t="str">
        <f>IF(NOT(ISBLANK('A-RACHNATMAK'!J103)),"A",IF(NOT(ISBLANK('A-RACHNATMAK'!J102)),"B",IF(NOT(ISBLANK('A-RACHNATMAK'!J101)),"C","")))</f>
        <v/>
      </c>
      <c r="J92" s="622" t="str">
        <f>IF(NOT(ISBLANK('A-RACHNATMAK'!K103)),"A",IF(NOT(ISBLANK('A-RACHNATMAK'!K102)),"B",IF(NOT(ISBLANK('A-RACHNATMAK'!K101)),"C","")))</f>
        <v/>
      </c>
      <c r="K92" s="622" t="str">
        <f>IF(NOT(ISBLANK('A-RACHNATMAK'!L103)),"A",IF(NOT(ISBLANK('A-RACHNATMAK'!L102)),"B",IF(NOT(ISBLANK('A-RACHNATMAK'!L101)),"C","")))</f>
        <v/>
      </c>
      <c r="L92" s="622" t="str">
        <f>IF(NOT(ISBLANK('A-RACHNATMAK'!M103)),"A",IF(NOT(ISBLANK('A-RACHNATMAK'!M102)),"B",IF(NOT(ISBLANK('A-RACHNATMAK'!M101)),"C","")))</f>
        <v/>
      </c>
      <c r="M92" s="622" t="str">
        <f>IF(NOT(ISBLANK('A-RACHNATMAK'!N103)),"A",IF(NOT(ISBLANK('A-RACHNATMAK'!N102)),"B",IF(NOT(ISBLANK('A-RACHNATMAK'!N101)),"C","")))</f>
        <v/>
      </c>
      <c r="N92" s="622" t="str">
        <f>IF(NOT(ISBLANK('A-RACHNATMAK'!O103)),"A",IF(NOT(ISBLANK('A-RACHNATMAK'!O102)),"B",IF(NOT(ISBLANK('A-RACHNATMAK'!O101)),"C","")))</f>
        <v/>
      </c>
      <c r="O92" s="622" t="str">
        <f>IF(NOT(ISBLANK('A-RACHNATMAK'!P103)),"A",IF(NOT(ISBLANK('A-RACHNATMAK'!P102)),"B",IF(NOT(ISBLANK('A-RACHNATMAK'!P101)),"C","")))</f>
        <v/>
      </c>
      <c r="P92" s="622" t="str">
        <f>IF(NOT(ISBLANK('A-RACHNATMAK'!Q103)),"A",IF(NOT(ISBLANK('A-RACHNATMAK'!Q102)),"B",IF(NOT(ISBLANK('A-RACHNATMAK'!Q101)),"C","")))</f>
        <v/>
      </c>
      <c r="Q92" s="622" t="str">
        <f>IF(NOT(ISBLANK('A-RACHNATMAK'!R103)),"A",IF(NOT(ISBLANK('A-RACHNATMAK'!R102)),"B",IF(NOT(ISBLANK('A-RACHNATMAK'!R101)),"C","")))</f>
        <v/>
      </c>
      <c r="R92" s="622" t="str">
        <f>IF(NOT(ISBLANK('A-RACHNATMAK'!S103)),"A",IF(NOT(ISBLANK('A-RACHNATMAK'!S102)),"B",IF(NOT(ISBLANK('A-RACHNATMAK'!S101)),"C","")))</f>
        <v/>
      </c>
      <c r="S92" s="622" t="str">
        <f>IF(NOT(ISBLANK('A-RACHNATMAK'!T103)),"A",IF(NOT(ISBLANK('A-RACHNATMAK'!T102)),"B",IF(NOT(ISBLANK('A-RACHNATMAK'!T101)),"C","")))</f>
        <v/>
      </c>
      <c r="T92" s="622" t="str">
        <f>IF(NOT(ISBLANK('A-RACHNATMAK'!U103)),"A",IF(NOT(ISBLANK('A-RACHNATMAK'!U102)),"B",IF(NOT(ISBLANK('A-RACHNATMAK'!U101)),"C","")))</f>
        <v/>
      </c>
      <c r="U92" s="622" t="str">
        <f>IF(NOT(ISBLANK('A-RACHNATMAK'!V103)),"A",IF(NOT(ISBLANK('A-RACHNATMAK'!V102)),"B",IF(NOT(ISBLANK('A-RACHNATMAK'!V101)),"C","")))</f>
        <v/>
      </c>
      <c r="V92" s="622">
        <f t="shared" ref="V92" si="174">COUNTIF(B92:U92,"A")</f>
        <v>0</v>
      </c>
      <c r="W92" s="622">
        <f t="shared" ref="W92" si="175">COUNTIF(B92:U92,"B")</f>
        <v>0</v>
      </c>
      <c r="X92" s="622">
        <f t="shared" ref="X92" si="176">COUNTIF(B92:U92,"C")</f>
        <v>0</v>
      </c>
      <c r="Z92" s="623">
        <v>31</v>
      </c>
      <c r="AA92" s="622" t="str">
        <f>IF(NOT(ISBLANK('A-RACHNATMAK'!AD103)),"A",IF(NOT(ISBLANK('A-RACHNATMAK'!AD102)),"B",IF(NOT(ISBLANK('A-RACHNATMAK'!AD101)),"C","")))</f>
        <v/>
      </c>
      <c r="AB92" s="622" t="str">
        <f>IF(NOT(ISBLANK('A-RACHNATMAK'!AE103)),"A",IF(NOT(ISBLANK('A-RACHNATMAK'!AE102)),"B",IF(NOT(ISBLANK('A-RACHNATMAK'!AE101)),"C","")))</f>
        <v/>
      </c>
      <c r="AC92" s="622" t="str">
        <f>IF(NOT(ISBLANK('A-RACHNATMAK'!AF103)),"A",IF(NOT(ISBLANK('A-RACHNATMAK'!AF102)),"B",IF(NOT(ISBLANK('A-RACHNATMAK'!AF101)),"C","")))</f>
        <v/>
      </c>
      <c r="AD92" s="622" t="str">
        <f>IF(NOT(ISBLANK('A-RACHNATMAK'!AG103)),"A",IF(NOT(ISBLANK('A-RACHNATMAK'!AG102)),"B",IF(NOT(ISBLANK('A-RACHNATMAK'!AG101)),"C","")))</f>
        <v/>
      </c>
      <c r="AE92" s="622" t="str">
        <f>IF(NOT(ISBLANK('A-RACHNATMAK'!AH103)),"A",IF(NOT(ISBLANK('A-RACHNATMAK'!AH102)),"B",IF(NOT(ISBLANK('A-RACHNATMAK'!AH101)),"C","")))</f>
        <v/>
      </c>
      <c r="AF92" s="622" t="str">
        <f>IF(NOT(ISBLANK('A-RACHNATMAK'!AI103)),"A",IF(NOT(ISBLANK('A-RACHNATMAK'!AI102)),"B",IF(NOT(ISBLANK('A-RACHNATMAK'!AI101)),"C","")))</f>
        <v/>
      </c>
      <c r="AG92" s="622" t="str">
        <f>IF(NOT(ISBLANK('A-RACHNATMAK'!AJ103)),"A",IF(NOT(ISBLANK('A-RACHNATMAK'!AJ102)),"B",IF(NOT(ISBLANK('A-RACHNATMAK'!AJ101)),"C","")))</f>
        <v/>
      </c>
      <c r="AH92" s="622" t="str">
        <f>IF(NOT(ISBLANK('A-RACHNATMAK'!AK103)),"A",IF(NOT(ISBLANK('A-RACHNATMAK'!AK102)),"B",IF(NOT(ISBLANK('A-RACHNATMAK'!AK101)),"C","")))</f>
        <v/>
      </c>
      <c r="AI92" s="622" t="str">
        <f>IF(NOT(ISBLANK('A-RACHNATMAK'!AL103)),"A",IF(NOT(ISBLANK('A-RACHNATMAK'!AL102)),"B",IF(NOT(ISBLANK('A-RACHNATMAK'!AL101)),"C","")))</f>
        <v/>
      </c>
      <c r="AJ92" s="622" t="str">
        <f>IF(NOT(ISBLANK('A-RACHNATMAK'!AM103)),"A",IF(NOT(ISBLANK('A-RACHNATMAK'!AM102)),"B",IF(NOT(ISBLANK('A-RACHNATMAK'!AM101)),"C","")))</f>
        <v/>
      </c>
      <c r="AK92" s="622" t="str">
        <f>IF(NOT(ISBLANK('A-RACHNATMAK'!AN103)),"A",IF(NOT(ISBLANK('A-RACHNATMAK'!AN102)),"B",IF(NOT(ISBLANK('A-RACHNATMAK'!AN101)),"C","")))</f>
        <v/>
      </c>
      <c r="AL92" s="622" t="str">
        <f>IF(NOT(ISBLANK('A-RACHNATMAK'!AO103)),"A",IF(NOT(ISBLANK('A-RACHNATMAK'!AO102)),"B",IF(NOT(ISBLANK('A-RACHNATMAK'!AO101)),"C","")))</f>
        <v/>
      </c>
      <c r="AM92" s="622" t="str">
        <f>IF(NOT(ISBLANK('A-RACHNATMAK'!AP103)),"A",IF(NOT(ISBLANK('A-RACHNATMAK'!AP102)),"B",IF(NOT(ISBLANK('A-RACHNATMAK'!AP101)),"C","")))</f>
        <v/>
      </c>
      <c r="AN92" s="622" t="str">
        <f>IF(NOT(ISBLANK('A-RACHNATMAK'!AQ103)),"A",IF(NOT(ISBLANK('A-RACHNATMAK'!AQ102)),"B",IF(NOT(ISBLANK('A-RACHNATMAK'!AQ101)),"C","")))</f>
        <v/>
      </c>
      <c r="AO92" s="622" t="str">
        <f>IF(NOT(ISBLANK('A-RACHNATMAK'!AR103)),"A",IF(NOT(ISBLANK('A-RACHNATMAK'!AR102)),"B",IF(NOT(ISBLANK('A-RACHNATMAK'!AR101)),"C","")))</f>
        <v/>
      </c>
      <c r="AP92" s="622" t="str">
        <f>IF(NOT(ISBLANK('A-RACHNATMAK'!AS103)),"A",IF(NOT(ISBLANK('A-RACHNATMAK'!AS102)),"B",IF(NOT(ISBLANK('A-RACHNATMAK'!AS101)),"C","")))</f>
        <v/>
      </c>
      <c r="AQ92" s="622" t="str">
        <f>IF(NOT(ISBLANK('A-RACHNATMAK'!AT103)),"A",IF(NOT(ISBLANK('A-RACHNATMAK'!AT102)),"B",IF(NOT(ISBLANK('A-RACHNATMAK'!AT101)),"C","")))</f>
        <v/>
      </c>
      <c r="AR92" s="622" t="str">
        <f>IF(NOT(ISBLANK('A-RACHNATMAK'!AU103)),"A",IF(NOT(ISBLANK('A-RACHNATMAK'!AU102)),"B",IF(NOT(ISBLANK('A-RACHNATMAK'!AU101)),"C","")))</f>
        <v/>
      </c>
      <c r="AS92" s="622" t="str">
        <f>IF(NOT(ISBLANK('A-RACHNATMAK'!AV103)),"A",IF(NOT(ISBLANK('A-RACHNATMAK'!AV102)),"B",IF(NOT(ISBLANK('A-RACHNATMAK'!AV101)),"C","")))</f>
        <v/>
      </c>
      <c r="AT92" s="622" t="str">
        <f>IF(NOT(ISBLANK('A-RACHNATMAK'!AW103)),"A",IF(NOT(ISBLANK('A-RACHNATMAK'!AW102)),"B",IF(NOT(ISBLANK('A-RACHNATMAK'!AW101)),"C","")))</f>
        <v/>
      </c>
      <c r="AU92" s="622">
        <f t="shared" ref="AU92" si="177">COUNTIF(AA92:AT92,"A")</f>
        <v>0</v>
      </c>
      <c r="AV92" s="622">
        <f t="shared" ref="AV92" si="178">COUNTIF(AA92:AT92,"B")</f>
        <v>0</v>
      </c>
      <c r="AW92" s="622">
        <f t="shared" ref="AW92" si="179">COUNTIF(AA92:AT92,"C")</f>
        <v>0</v>
      </c>
    </row>
    <row r="93" spans="1:49" s="330" customFormat="1" ht="8.25" customHeight="1">
      <c r="A93" s="623"/>
      <c r="B93" s="622"/>
      <c r="C93" s="622"/>
      <c r="D93" s="622"/>
      <c r="E93" s="622"/>
      <c r="F93" s="622"/>
      <c r="G93" s="622"/>
      <c r="H93" s="622"/>
      <c r="I93" s="622"/>
      <c r="J93" s="622"/>
      <c r="K93" s="622"/>
      <c r="L93" s="622"/>
      <c r="M93" s="622"/>
      <c r="N93" s="622"/>
      <c r="O93" s="622"/>
      <c r="P93" s="622"/>
      <c r="Q93" s="622"/>
      <c r="R93" s="622"/>
      <c r="S93" s="622"/>
      <c r="T93" s="622"/>
      <c r="U93" s="622"/>
      <c r="V93" s="622"/>
      <c r="W93" s="622"/>
      <c r="X93" s="622"/>
      <c r="Z93" s="623"/>
      <c r="AA93" s="622"/>
      <c r="AB93" s="622"/>
      <c r="AC93" s="622"/>
      <c r="AD93" s="622"/>
      <c r="AE93" s="622"/>
      <c r="AF93" s="622"/>
      <c r="AG93" s="622"/>
      <c r="AH93" s="622"/>
      <c r="AI93" s="622"/>
      <c r="AJ93" s="622"/>
      <c r="AK93" s="622"/>
      <c r="AL93" s="622"/>
      <c r="AM93" s="622"/>
      <c r="AN93" s="622"/>
      <c r="AO93" s="622"/>
      <c r="AP93" s="622"/>
      <c r="AQ93" s="622"/>
      <c r="AR93" s="622"/>
      <c r="AS93" s="622"/>
      <c r="AT93" s="622"/>
      <c r="AU93" s="622"/>
      <c r="AV93" s="622"/>
      <c r="AW93" s="622"/>
    </row>
    <row r="94" spans="1:49" s="330" customFormat="1" ht="8.25" customHeight="1">
      <c r="A94" s="623"/>
      <c r="B94" s="622"/>
      <c r="C94" s="622"/>
      <c r="D94" s="622"/>
      <c r="E94" s="622"/>
      <c r="F94" s="622"/>
      <c r="G94" s="622"/>
      <c r="H94" s="622"/>
      <c r="I94" s="622"/>
      <c r="J94" s="622"/>
      <c r="K94" s="622"/>
      <c r="L94" s="622"/>
      <c r="M94" s="622"/>
      <c r="N94" s="622"/>
      <c r="O94" s="622"/>
      <c r="P94" s="622"/>
      <c r="Q94" s="622"/>
      <c r="R94" s="622"/>
      <c r="S94" s="622"/>
      <c r="T94" s="622"/>
      <c r="U94" s="622"/>
      <c r="V94" s="622"/>
      <c r="W94" s="622"/>
      <c r="X94" s="622"/>
      <c r="Z94" s="623"/>
      <c r="AA94" s="622"/>
      <c r="AB94" s="622"/>
      <c r="AC94" s="622"/>
      <c r="AD94" s="622"/>
      <c r="AE94" s="622"/>
      <c r="AF94" s="622"/>
      <c r="AG94" s="622"/>
      <c r="AH94" s="622"/>
      <c r="AI94" s="622"/>
      <c r="AJ94" s="622"/>
      <c r="AK94" s="622"/>
      <c r="AL94" s="622"/>
      <c r="AM94" s="622"/>
      <c r="AN94" s="622"/>
      <c r="AO94" s="622"/>
      <c r="AP94" s="622"/>
      <c r="AQ94" s="622"/>
      <c r="AR94" s="622"/>
      <c r="AS94" s="622"/>
      <c r="AT94" s="622"/>
      <c r="AU94" s="622"/>
      <c r="AV94" s="622"/>
      <c r="AW94" s="622"/>
    </row>
    <row r="95" spans="1:49" s="330" customFormat="1" ht="8.25" customHeight="1">
      <c r="A95" s="623">
        <v>32</v>
      </c>
      <c r="B95" s="622" t="str">
        <f>IF(NOT(ISBLANK('A-RACHNATMAK'!C106)),"A",IF(NOT(ISBLANK('A-RACHNATMAK'!C105)),"B",IF(NOT(ISBLANK('A-RACHNATMAK'!C104)),"C","")))</f>
        <v/>
      </c>
      <c r="C95" s="622" t="str">
        <f>IF(NOT(ISBLANK('A-RACHNATMAK'!D106)),"A",IF(NOT(ISBLANK('A-RACHNATMAK'!D105)),"B",IF(NOT(ISBLANK('A-RACHNATMAK'!D104)),"C","")))</f>
        <v/>
      </c>
      <c r="D95" s="622" t="str">
        <f>IF(NOT(ISBLANK('A-RACHNATMAK'!E106)),"A",IF(NOT(ISBLANK('A-RACHNATMAK'!E105)),"B",IF(NOT(ISBLANK('A-RACHNATMAK'!E104)),"C","")))</f>
        <v/>
      </c>
      <c r="E95" s="622" t="str">
        <f>IF(NOT(ISBLANK('A-RACHNATMAK'!F106)),"A",IF(NOT(ISBLANK('A-RACHNATMAK'!F105)),"B",IF(NOT(ISBLANK('A-RACHNATMAK'!F104)),"C","")))</f>
        <v/>
      </c>
      <c r="F95" s="622" t="str">
        <f>IF(NOT(ISBLANK('A-RACHNATMAK'!G106)),"A",IF(NOT(ISBLANK('A-RACHNATMAK'!G105)),"B",IF(NOT(ISBLANK('A-RACHNATMAK'!G104)),"C","")))</f>
        <v/>
      </c>
      <c r="G95" s="622" t="str">
        <f>IF(NOT(ISBLANK('A-RACHNATMAK'!H106)),"A",IF(NOT(ISBLANK('A-RACHNATMAK'!H105)),"B",IF(NOT(ISBLANK('A-RACHNATMAK'!H104)),"C","")))</f>
        <v/>
      </c>
      <c r="H95" s="622" t="str">
        <f>IF(NOT(ISBLANK('A-RACHNATMAK'!I106)),"A",IF(NOT(ISBLANK('A-RACHNATMAK'!I105)),"B",IF(NOT(ISBLANK('A-RACHNATMAK'!I104)),"C","")))</f>
        <v/>
      </c>
      <c r="I95" s="622" t="str">
        <f>IF(NOT(ISBLANK('A-RACHNATMAK'!J106)),"A",IF(NOT(ISBLANK('A-RACHNATMAK'!J105)),"B",IF(NOT(ISBLANK('A-RACHNATMAK'!J104)),"C","")))</f>
        <v/>
      </c>
      <c r="J95" s="622" t="str">
        <f>IF(NOT(ISBLANK('A-RACHNATMAK'!K106)),"A",IF(NOT(ISBLANK('A-RACHNATMAK'!K105)),"B",IF(NOT(ISBLANK('A-RACHNATMAK'!K104)),"C","")))</f>
        <v/>
      </c>
      <c r="K95" s="622" t="str">
        <f>IF(NOT(ISBLANK('A-RACHNATMAK'!L106)),"A",IF(NOT(ISBLANK('A-RACHNATMAK'!L105)),"B",IF(NOT(ISBLANK('A-RACHNATMAK'!L104)),"C","")))</f>
        <v/>
      </c>
      <c r="L95" s="622" t="str">
        <f>IF(NOT(ISBLANK('A-RACHNATMAK'!M106)),"A",IF(NOT(ISBLANK('A-RACHNATMAK'!M105)),"B",IF(NOT(ISBLANK('A-RACHNATMAK'!M104)),"C","")))</f>
        <v/>
      </c>
      <c r="M95" s="622" t="str">
        <f>IF(NOT(ISBLANK('A-RACHNATMAK'!N106)),"A",IF(NOT(ISBLANK('A-RACHNATMAK'!N105)),"B",IF(NOT(ISBLANK('A-RACHNATMAK'!N104)),"C","")))</f>
        <v/>
      </c>
      <c r="N95" s="622" t="str">
        <f>IF(NOT(ISBLANK('A-RACHNATMAK'!O106)),"A",IF(NOT(ISBLANK('A-RACHNATMAK'!O105)),"B",IF(NOT(ISBLANK('A-RACHNATMAK'!O104)),"C","")))</f>
        <v/>
      </c>
      <c r="O95" s="622" t="str">
        <f>IF(NOT(ISBLANK('A-RACHNATMAK'!P106)),"A",IF(NOT(ISBLANK('A-RACHNATMAK'!P105)),"B",IF(NOT(ISBLANK('A-RACHNATMAK'!P104)),"C","")))</f>
        <v/>
      </c>
      <c r="P95" s="622" t="str">
        <f>IF(NOT(ISBLANK('A-RACHNATMAK'!Q106)),"A",IF(NOT(ISBLANK('A-RACHNATMAK'!Q105)),"B",IF(NOT(ISBLANK('A-RACHNATMAK'!Q104)),"C","")))</f>
        <v/>
      </c>
      <c r="Q95" s="622" t="str">
        <f>IF(NOT(ISBLANK('A-RACHNATMAK'!R106)),"A",IF(NOT(ISBLANK('A-RACHNATMAK'!R105)),"B",IF(NOT(ISBLANK('A-RACHNATMAK'!R104)),"C","")))</f>
        <v/>
      </c>
      <c r="R95" s="622" t="str">
        <f>IF(NOT(ISBLANK('A-RACHNATMAK'!S106)),"A",IF(NOT(ISBLANK('A-RACHNATMAK'!S105)),"B",IF(NOT(ISBLANK('A-RACHNATMAK'!S104)),"C","")))</f>
        <v/>
      </c>
      <c r="S95" s="622" t="str">
        <f>IF(NOT(ISBLANK('A-RACHNATMAK'!T106)),"A",IF(NOT(ISBLANK('A-RACHNATMAK'!T105)),"B",IF(NOT(ISBLANK('A-RACHNATMAK'!T104)),"C","")))</f>
        <v/>
      </c>
      <c r="T95" s="622" t="str">
        <f>IF(NOT(ISBLANK('A-RACHNATMAK'!U106)),"A",IF(NOT(ISBLANK('A-RACHNATMAK'!U105)),"B",IF(NOT(ISBLANK('A-RACHNATMAK'!U104)),"C","")))</f>
        <v/>
      </c>
      <c r="U95" s="622" t="str">
        <f>IF(NOT(ISBLANK('A-RACHNATMAK'!V106)),"A",IF(NOT(ISBLANK('A-RACHNATMAK'!V105)),"B",IF(NOT(ISBLANK('A-RACHNATMAK'!V104)),"C","")))</f>
        <v/>
      </c>
      <c r="V95" s="622">
        <f t="shared" ref="V95" si="180">COUNTIF(B95:U95,"A")</f>
        <v>0</v>
      </c>
      <c r="W95" s="622">
        <f t="shared" ref="W95" si="181">COUNTIF(B95:U95,"B")</f>
        <v>0</v>
      </c>
      <c r="X95" s="622">
        <f t="shared" ref="X95" si="182">COUNTIF(B95:U95,"C")</f>
        <v>0</v>
      </c>
      <c r="Z95" s="623">
        <v>32</v>
      </c>
      <c r="AA95" s="622" t="str">
        <f>IF(NOT(ISBLANK('A-RACHNATMAK'!AD106)),"A",IF(NOT(ISBLANK('A-RACHNATMAK'!AD105)),"B",IF(NOT(ISBLANK('A-RACHNATMAK'!AD104)),"C","")))</f>
        <v/>
      </c>
      <c r="AB95" s="622" t="str">
        <f>IF(NOT(ISBLANK('A-RACHNATMAK'!AE106)),"A",IF(NOT(ISBLANK('A-RACHNATMAK'!AE105)),"B",IF(NOT(ISBLANK('A-RACHNATMAK'!AE104)),"C","")))</f>
        <v/>
      </c>
      <c r="AC95" s="622" t="str">
        <f>IF(NOT(ISBLANK('A-RACHNATMAK'!AF106)),"A",IF(NOT(ISBLANK('A-RACHNATMAK'!AF105)),"B",IF(NOT(ISBLANK('A-RACHNATMAK'!AF104)),"C","")))</f>
        <v/>
      </c>
      <c r="AD95" s="622" t="str">
        <f>IF(NOT(ISBLANK('A-RACHNATMAK'!AG106)),"A",IF(NOT(ISBLANK('A-RACHNATMAK'!AG105)),"B",IF(NOT(ISBLANK('A-RACHNATMAK'!AG104)),"C","")))</f>
        <v/>
      </c>
      <c r="AE95" s="622" t="str">
        <f>IF(NOT(ISBLANK('A-RACHNATMAK'!AH106)),"A",IF(NOT(ISBLANK('A-RACHNATMAK'!AH105)),"B",IF(NOT(ISBLANK('A-RACHNATMAK'!AH104)),"C","")))</f>
        <v/>
      </c>
      <c r="AF95" s="622" t="str">
        <f>IF(NOT(ISBLANK('A-RACHNATMAK'!AI106)),"A",IF(NOT(ISBLANK('A-RACHNATMAK'!AI105)),"B",IF(NOT(ISBLANK('A-RACHNATMAK'!AI104)),"C","")))</f>
        <v/>
      </c>
      <c r="AG95" s="622" t="str">
        <f>IF(NOT(ISBLANK('A-RACHNATMAK'!AJ106)),"A",IF(NOT(ISBLANK('A-RACHNATMAK'!AJ105)),"B",IF(NOT(ISBLANK('A-RACHNATMAK'!AJ104)),"C","")))</f>
        <v/>
      </c>
      <c r="AH95" s="622" t="str">
        <f>IF(NOT(ISBLANK('A-RACHNATMAK'!AK106)),"A",IF(NOT(ISBLANK('A-RACHNATMAK'!AK105)),"B",IF(NOT(ISBLANK('A-RACHNATMAK'!AK104)),"C","")))</f>
        <v/>
      </c>
      <c r="AI95" s="622" t="str">
        <f>IF(NOT(ISBLANK('A-RACHNATMAK'!AL106)),"A",IF(NOT(ISBLANK('A-RACHNATMAK'!AL105)),"B",IF(NOT(ISBLANK('A-RACHNATMAK'!AL104)),"C","")))</f>
        <v/>
      </c>
      <c r="AJ95" s="622" t="str">
        <f>IF(NOT(ISBLANK('A-RACHNATMAK'!AM106)),"A",IF(NOT(ISBLANK('A-RACHNATMAK'!AM105)),"B",IF(NOT(ISBLANK('A-RACHNATMAK'!AM104)),"C","")))</f>
        <v/>
      </c>
      <c r="AK95" s="622" t="str">
        <f>IF(NOT(ISBLANK('A-RACHNATMAK'!AN106)),"A",IF(NOT(ISBLANK('A-RACHNATMAK'!AN105)),"B",IF(NOT(ISBLANK('A-RACHNATMAK'!AN104)),"C","")))</f>
        <v/>
      </c>
      <c r="AL95" s="622" t="str">
        <f>IF(NOT(ISBLANK('A-RACHNATMAK'!AO106)),"A",IF(NOT(ISBLANK('A-RACHNATMAK'!AO105)),"B",IF(NOT(ISBLANK('A-RACHNATMAK'!AO104)),"C","")))</f>
        <v/>
      </c>
      <c r="AM95" s="622" t="str">
        <f>IF(NOT(ISBLANK('A-RACHNATMAK'!AP106)),"A",IF(NOT(ISBLANK('A-RACHNATMAK'!AP105)),"B",IF(NOT(ISBLANK('A-RACHNATMAK'!AP104)),"C","")))</f>
        <v/>
      </c>
      <c r="AN95" s="622" t="str">
        <f>IF(NOT(ISBLANK('A-RACHNATMAK'!AQ106)),"A",IF(NOT(ISBLANK('A-RACHNATMAK'!AQ105)),"B",IF(NOT(ISBLANK('A-RACHNATMAK'!AQ104)),"C","")))</f>
        <v/>
      </c>
      <c r="AO95" s="622" t="str">
        <f>IF(NOT(ISBLANK('A-RACHNATMAK'!AR106)),"A",IF(NOT(ISBLANK('A-RACHNATMAK'!AR105)),"B",IF(NOT(ISBLANK('A-RACHNATMAK'!AR104)),"C","")))</f>
        <v/>
      </c>
      <c r="AP95" s="622" t="str">
        <f>IF(NOT(ISBLANK('A-RACHNATMAK'!AS106)),"A",IF(NOT(ISBLANK('A-RACHNATMAK'!AS105)),"B",IF(NOT(ISBLANK('A-RACHNATMAK'!AS104)),"C","")))</f>
        <v/>
      </c>
      <c r="AQ95" s="622" t="str">
        <f>IF(NOT(ISBLANK('A-RACHNATMAK'!AT106)),"A",IF(NOT(ISBLANK('A-RACHNATMAK'!AT105)),"B",IF(NOT(ISBLANK('A-RACHNATMAK'!AT104)),"C","")))</f>
        <v/>
      </c>
      <c r="AR95" s="622" t="str">
        <f>IF(NOT(ISBLANK('A-RACHNATMAK'!AU106)),"A",IF(NOT(ISBLANK('A-RACHNATMAK'!AU105)),"B",IF(NOT(ISBLANK('A-RACHNATMAK'!AU104)),"C","")))</f>
        <v/>
      </c>
      <c r="AS95" s="622" t="str">
        <f>IF(NOT(ISBLANK('A-RACHNATMAK'!AV106)),"A",IF(NOT(ISBLANK('A-RACHNATMAK'!AV105)),"B",IF(NOT(ISBLANK('A-RACHNATMAK'!AV104)),"C","")))</f>
        <v/>
      </c>
      <c r="AT95" s="622" t="str">
        <f>IF(NOT(ISBLANK('A-RACHNATMAK'!AW106)),"A",IF(NOT(ISBLANK('A-RACHNATMAK'!AW105)),"B",IF(NOT(ISBLANK('A-RACHNATMAK'!AW104)),"C","")))</f>
        <v/>
      </c>
      <c r="AU95" s="622">
        <f t="shared" ref="AU95" si="183">COUNTIF(AA95:AT95,"A")</f>
        <v>0</v>
      </c>
      <c r="AV95" s="622">
        <f t="shared" ref="AV95" si="184">COUNTIF(AA95:AT95,"B")</f>
        <v>0</v>
      </c>
      <c r="AW95" s="622">
        <f t="shared" ref="AW95" si="185">COUNTIF(AA95:AT95,"C")</f>
        <v>0</v>
      </c>
    </row>
    <row r="96" spans="1:49" s="330" customFormat="1" ht="8.25" customHeight="1">
      <c r="A96" s="623"/>
      <c r="B96" s="622"/>
      <c r="C96" s="622"/>
      <c r="D96" s="622"/>
      <c r="E96" s="622"/>
      <c r="F96" s="622"/>
      <c r="G96" s="622"/>
      <c r="H96" s="622"/>
      <c r="I96" s="622"/>
      <c r="J96" s="622"/>
      <c r="K96" s="622"/>
      <c r="L96" s="622"/>
      <c r="M96" s="622"/>
      <c r="N96" s="622"/>
      <c r="O96" s="622"/>
      <c r="P96" s="622"/>
      <c r="Q96" s="622"/>
      <c r="R96" s="622"/>
      <c r="S96" s="622"/>
      <c r="T96" s="622"/>
      <c r="U96" s="622"/>
      <c r="V96" s="622"/>
      <c r="W96" s="622"/>
      <c r="X96" s="622"/>
      <c r="Z96" s="623"/>
      <c r="AA96" s="622"/>
      <c r="AB96" s="622"/>
      <c r="AC96" s="622"/>
      <c r="AD96" s="622"/>
      <c r="AE96" s="622"/>
      <c r="AF96" s="622"/>
      <c r="AG96" s="622"/>
      <c r="AH96" s="622"/>
      <c r="AI96" s="622"/>
      <c r="AJ96" s="622"/>
      <c r="AK96" s="622"/>
      <c r="AL96" s="622"/>
      <c r="AM96" s="622"/>
      <c r="AN96" s="622"/>
      <c r="AO96" s="622"/>
      <c r="AP96" s="622"/>
      <c r="AQ96" s="622"/>
      <c r="AR96" s="622"/>
      <c r="AS96" s="622"/>
      <c r="AT96" s="622"/>
      <c r="AU96" s="622"/>
      <c r="AV96" s="622"/>
      <c r="AW96" s="622"/>
    </row>
    <row r="97" spans="1:49" s="330" customFormat="1" ht="8.25" customHeight="1">
      <c r="A97" s="623"/>
      <c r="B97" s="622"/>
      <c r="C97" s="622"/>
      <c r="D97" s="622"/>
      <c r="E97" s="622"/>
      <c r="F97" s="622"/>
      <c r="G97" s="622"/>
      <c r="H97" s="622"/>
      <c r="I97" s="622"/>
      <c r="J97" s="622"/>
      <c r="K97" s="622"/>
      <c r="L97" s="622"/>
      <c r="M97" s="622"/>
      <c r="N97" s="622"/>
      <c r="O97" s="622"/>
      <c r="P97" s="622"/>
      <c r="Q97" s="622"/>
      <c r="R97" s="622"/>
      <c r="S97" s="622"/>
      <c r="T97" s="622"/>
      <c r="U97" s="622"/>
      <c r="V97" s="622"/>
      <c r="W97" s="622"/>
      <c r="X97" s="622"/>
      <c r="Z97" s="623"/>
      <c r="AA97" s="622"/>
      <c r="AB97" s="622"/>
      <c r="AC97" s="622"/>
      <c r="AD97" s="622"/>
      <c r="AE97" s="622"/>
      <c r="AF97" s="622"/>
      <c r="AG97" s="622"/>
      <c r="AH97" s="622"/>
      <c r="AI97" s="622"/>
      <c r="AJ97" s="622"/>
      <c r="AK97" s="622"/>
      <c r="AL97" s="622"/>
      <c r="AM97" s="622"/>
      <c r="AN97" s="622"/>
      <c r="AO97" s="622"/>
      <c r="AP97" s="622"/>
      <c r="AQ97" s="622"/>
      <c r="AR97" s="622"/>
      <c r="AS97" s="622"/>
      <c r="AT97" s="622"/>
      <c r="AU97" s="622"/>
      <c r="AV97" s="622"/>
      <c r="AW97" s="622"/>
    </row>
    <row r="98" spans="1:49" s="330" customFormat="1" ht="8.25" customHeight="1">
      <c r="A98" s="623">
        <v>33</v>
      </c>
      <c r="B98" s="622" t="str">
        <f>IF(NOT(ISBLANK('A-RACHNATMAK'!C109)),"A",IF(NOT(ISBLANK('A-RACHNATMAK'!C108)),"B",IF(NOT(ISBLANK('A-RACHNATMAK'!C107)),"C","")))</f>
        <v/>
      </c>
      <c r="C98" s="622" t="str">
        <f>IF(NOT(ISBLANK('A-RACHNATMAK'!D109)),"A",IF(NOT(ISBLANK('A-RACHNATMAK'!D108)),"B",IF(NOT(ISBLANK('A-RACHNATMAK'!D107)),"C","")))</f>
        <v/>
      </c>
      <c r="D98" s="622" t="str">
        <f>IF(NOT(ISBLANK('A-RACHNATMAK'!E109)),"A",IF(NOT(ISBLANK('A-RACHNATMAK'!E108)),"B",IF(NOT(ISBLANK('A-RACHNATMAK'!E107)),"C","")))</f>
        <v/>
      </c>
      <c r="E98" s="622" t="str">
        <f>IF(NOT(ISBLANK('A-RACHNATMAK'!F109)),"A",IF(NOT(ISBLANK('A-RACHNATMAK'!F108)),"B",IF(NOT(ISBLANK('A-RACHNATMAK'!F107)),"C","")))</f>
        <v/>
      </c>
      <c r="F98" s="622" t="str">
        <f>IF(NOT(ISBLANK('A-RACHNATMAK'!G109)),"A",IF(NOT(ISBLANK('A-RACHNATMAK'!G108)),"B",IF(NOT(ISBLANK('A-RACHNATMAK'!G107)),"C","")))</f>
        <v/>
      </c>
      <c r="G98" s="622" t="str">
        <f>IF(NOT(ISBLANK('A-RACHNATMAK'!H109)),"A",IF(NOT(ISBLANK('A-RACHNATMAK'!H108)),"B",IF(NOT(ISBLANK('A-RACHNATMAK'!H107)),"C","")))</f>
        <v/>
      </c>
      <c r="H98" s="622" t="str">
        <f>IF(NOT(ISBLANK('A-RACHNATMAK'!I109)),"A",IF(NOT(ISBLANK('A-RACHNATMAK'!I108)),"B",IF(NOT(ISBLANK('A-RACHNATMAK'!I107)),"C","")))</f>
        <v/>
      </c>
      <c r="I98" s="622" t="str">
        <f>IF(NOT(ISBLANK('A-RACHNATMAK'!J109)),"A",IF(NOT(ISBLANK('A-RACHNATMAK'!J108)),"B",IF(NOT(ISBLANK('A-RACHNATMAK'!J107)),"C","")))</f>
        <v/>
      </c>
      <c r="J98" s="622" t="str">
        <f>IF(NOT(ISBLANK('A-RACHNATMAK'!K109)),"A",IF(NOT(ISBLANK('A-RACHNATMAK'!K108)),"B",IF(NOT(ISBLANK('A-RACHNATMAK'!K107)),"C","")))</f>
        <v/>
      </c>
      <c r="K98" s="622" t="str">
        <f>IF(NOT(ISBLANK('A-RACHNATMAK'!L109)),"A",IF(NOT(ISBLANK('A-RACHNATMAK'!L108)),"B",IF(NOT(ISBLANK('A-RACHNATMAK'!L107)),"C","")))</f>
        <v/>
      </c>
      <c r="L98" s="622" t="str">
        <f>IF(NOT(ISBLANK('A-RACHNATMAK'!M109)),"A",IF(NOT(ISBLANK('A-RACHNATMAK'!M108)),"B",IF(NOT(ISBLANK('A-RACHNATMAK'!M107)),"C","")))</f>
        <v/>
      </c>
      <c r="M98" s="622" t="str">
        <f>IF(NOT(ISBLANK('A-RACHNATMAK'!N109)),"A",IF(NOT(ISBLANK('A-RACHNATMAK'!N108)),"B",IF(NOT(ISBLANK('A-RACHNATMAK'!N107)),"C","")))</f>
        <v/>
      </c>
      <c r="N98" s="622" t="str">
        <f>IF(NOT(ISBLANK('A-RACHNATMAK'!O109)),"A",IF(NOT(ISBLANK('A-RACHNATMAK'!O108)),"B",IF(NOT(ISBLANK('A-RACHNATMAK'!O107)),"C","")))</f>
        <v/>
      </c>
      <c r="O98" s="622" t="str">
        <f>IF(NOT(ISBLANK('A-RACHNATMAK'!P109)),"A",IF(NOT(ISBLANK('A-RACHNATMAK'!P108)),"B",IF(NOT(ISBLANK('A-RACHNATMAK'!P107)),"C","")))</f>
        <v/>
      </c>
      <c r="P98" s="622" t="str">
        <f>IF(NOT(ISBLANK('A-RACHNATMAK'!Q109)),"A",IF(NOT(ISBLANK('A-RACHNATMAK'!Q108)),"B",IF(NOT(ISBLANK('A-RACHNATMAK'!Q107)),"C","")))</f>
        <v/>
      </c>
      <c r="Q98" s="622" t="str">
        <f>IF(NOT(ISBLANK('A-RACHNATMAK'!R109)),"A",IF(NOT(ISBLANK('A-RACHNATMAK'!R108)),"B",IF(NOT(ISBLANK('A-RACHNATMAK'!R107)),"C","")))</f>
        <v/>
      </c>
      <c r="R98" s="622" t="str">
        <f>IF(NOT(ISBLANK('A-RACHNATMAK'!S109)),"A",IF(NOT(ISBLANK('A-RACHNATMAK'!S108)),"B",IF(NOT(ISBLANK('A-RACHNATMAK'!S107)),"C","")))</f>
        <v/>
      </c>
      <c r="S98" s="622" t="str">
        <f>IF(NOT(ISBLANK('A-RACHNATMAK'!T109)),"A",IF(NOT(ISBLANK('A-RACHNATMAK'!T108)),"B",IF(NOT(ISBLANK('A-RACHNATMAK'!T107)),"C","")))</f>
        <v/>
      </c>
      <c r="T98" s="622" t="str">
        <f>IF(NOT(ISBLANK('A-RACHNATMAK'!U109)),"A",IF(NOT(ISBLANK('A-RACHNATMAK'!U108)),"B",IF(NOT(ISBLANK('A-RACHNATMAK'!U107)),"C","")))</f>
        <v/>
      </c>
      <c r="U98" s="622" t="str">
        <f>IF(NOT(ISBLANK('A-RACHNATMAK'!V109)),"A",IF(NOT(ISBLANK('A-RACHNATMAK'!V108)),"B",IF(NOT(ISBLANK('A-RACHNATMAK'!V107)),"C","")))</f>
        <v/>
      </c>
      <c r="V98" s="622">
        <f t="shared" ref="V98" si="186">COUNTIF(B98:U98,"A")</f>
        <v>0</v>
      </c>
      <c r="W98" s="622">
        <f t="shared" ref="W98" si="187">COUNTIF(B98:U98,"B")</f>
        <v>0</v>
      </c>
      <c r="X98" s="622">
        <f t="shared" ref="X98" si="188">COUNTIF(B98:U98,"C")</f>
        <v>0</v>
      </c>
      <c r="Z98" s="623">
        <v>33</v>
      </c>
      <c r="AA98" s="622" t="str">
        <f>IF(NOT(ISBLANK('A-RACHNATMAK'!AD109)),"A",IF(NOT(ISBLANK('A-RACHNATMAK'!AD108)),"B",IF(NOT(ISBLANK('A-RACHNATMAK'!AD107)),"C","")))</f>
        <v/>
      </c>
      <c r="AB98" s="622" t="str">
        <f>IF(NOT(ISBLANK('A-RACHNATMAK'!AE109)),"A",IF(NOT(ISBLANK('A-RACHNATMAK'!AE108)),"B",IF(NOT(ISBLANK('A-RACHNATMAK'!AE107)),"C","")))</f>
        <v/>
      </c>
      <c r="AC98" s="622" t="str">
        <f>IF(NOT(ISBLANK('A-RACHNATMAK'!AF109)),"A",IF(NOT(ISBLANK('A-RACHNATMAK'!AF108)),"B",IF(NOT(ISBLANK('A-RACHNATMAK'!AF107)),"C","")))</f>
        <v/>
      </c>
      <c r="AD98" s="622" t="str">
        <f>IF(NOT(ISBLANK('A-RACHNATMAK'!AG109)),"A",IF(NOT(ISBLANK('A-RACHNATMAK'!AG108)),"B",IF(NOT(ISBLANK('A-RACHNATMAK'!AG107)),"C","")))</f>
        <v/>
      </c>
      <c r="AE98" s="622" t="str">
        <f>IF(NOT(ISBLANK('A-RACHNATMAK'!AH109)),"A",IF(NOT(ISBLANK('A-RACHNATMAK'!AH108)),"B",IF(NOT(ISBLANK('A-RACHNATMAK'!AH107)),"C","")))</f>
        <v/>
      </c>
      <c r="AF98" s="622" t="str">
        <f>IF(NOT(ISBLANK('A-RACHNATMAK'!AI109)),"A",IF(NOT(ISBLANK('A-RACHNATMAK'!AI108)),"B",IF(NOT(ISBLANK('A-RACHNATMAK'!AI107)),"C","")))</f>
        <v/>
      </c>
      <c r="AG98" s="622" t="str">
        <f>IF(NOT(ISBLANK('A-RACHNATMAK'!AJ109)),"A",IF(NOT(ISBLANK('A-RACHNATMAK'!AJ108)),"B",IF(NOT(ISBLANK('A-RACHNATMAK'!AJ107)),"C","")))</f>
        <v/>
      </c>
      <c r="AH98" s="622" t="str">
        <f>IF(NOT(ISBLANK('A-RACHNATMAK'!AK109)),"A",IF(NOT(ISBLANK('A-RACHNATMAK'!AK108)),"B",IF(NOT(ISBLANK('A-RACHNATMAK'!AK107)),"C","")))</f>
        <v/>
      </c>
      <c r="AI98" s="622" t="str">
        <f>IF(NOT(ISBLANK('A-RACHNATMAK'!AL109)),"A",IF(NOT(ISBLANK('A-RACHNATMAK'!AL108)),"B",IF(NOT(ISBLANK('A-RACHNATMAK'!AL107)),"C","")))</f>
        <v/>
      </c>
      <c r="AJ98" s="622" t="str">
        <f>IF(NOT(ISBLANK('A-RACHNATMAK'!AM109)),"A",IF(NOT(ISBLANK('A-RACHNATMAK'!AM108)),"B",IF(NOT(ISBLANK('A-RACHNATMAK'!AM107)),"C","")))</f>
        <v/>
      </c>
      <c r="AK98" s="622" t="str">
        <f>IF(NOT(ISBLANK('A-RACHNATMAK'!AN109)),"A",IF(NOT(ISBLANK('A-RACHNATMAK'!AN108)),"B",IF(NOT(ISBLANK('A-RACHNATMAK'!AN107)),"C","")))</f>
        <v/>
      </c>
      <c r="AL98" s="622" t="str">
        <f>IF(NOT(ISBLANK('A-RACHNATMAK'!AO109)),"A",IF(NOT(ISBLANK('A-RACHNATMAK'!AO108)),"B",IF(NOT(ISBLANK('A-RACHNATMAK'!AO107)),"C","")))</f>
        <v/>
      </c>
      <c r="AM98" s="622" t="str">
        <f>IF(NOT(ISBLANK('A-RACHNATMAK'!AP109)),"A",IF(NOT(ISBLANK('A-RACHNATMAK'!AP108)),"B",IF(NOT(ISBLANK('A-RACHNATMAK'!AP107)),"C","")))</f>
        <v/>
      </c>
      <c r="AN98" s="622" t="str">
        <f>IF(NOT(ISBLANK('A-RACHNATMAK'!AQ109)),"A",IF(NOT(ISBLANK('A-RACHNATMAK'!AQ108)),"B",IF(NOT(ISBLANK('A-RACHNATMAK'!AQ107)),"C","")))</f>
        <v/>
      </c>
      <c r="AO98" s="622" t="str">
        <f>IF(NOT(ISBLANK('A-RACHNATMAK'!AR109)),"A",IF(NOT(ISBLANK('A-RACHNATMAK'!AR108)),"B",IF(NOT(ISBLANK('A-RACHNATMAK'!AR107)),"C","")))</f>
        <v/>
      </c>
      <c r="AP98" s="622" t="str">
        <f>IF(NOT(ISBLANK('A-RACHNATMAK'!AS109)),"A",IF(NOT(ISBLANK('A-RACHNATMAK'!AS108)),"B",IF(NOT(ISBLANK('A-RACHNATMAK'!AS107)),"C","")))</f>
        <v/>
      </c>
      <c r="AQ98" s="622" t="str">
        <f>IF(NOT(ISBLANK('A-RACHNATMAK'!AT109)),"A",IF(NOT(ISBLANK('A-RACHNATMAK'!AT108)),"B",IF(NOT(ISBLANK('A-RACHNATMAK'!AT107)),"C","")))</f>
        <v/>
      </c>
      <c r="AR98" s="622" t="str">
        <f>IF(NOT(ISBLANK('A-RACHNATMAK'!AU109)),"A",IF(NOT(ISBLANK('A-RACHNATMAK'!AU108)),"B",IF(NOT(ISBLANK('A-RACHNATMAK'!AU107)),"C","")))</f>
        <v/>
      </c>
      <c r="AS98" s="622" t="str">
        <f>IF(NOT(ISBLANK('A-RACHNATMAK'!AV109)),"A",IF(NOT(ISBLANK('A-RACHNATMAK'!AV108)),"B",IF(NOT(ISBLANK('A-RACHNATMAK'!AV107)),"C","")))</f>
        <v/>
      </c>
      <c r="AT98" s="622" t="str">
        <f>IF(NOT(ISBLANK('A-RACHNATMAK'!AW109)),"A",IF(NOT(ISBLANK('A-RACHNATMAK'!AW108)),"B",IF(NOT(ISBLANK('A-RACHNATMAK'!AW107)),"C","")))</f>
        <v/>
      </c>
      <c r="AU98" s="622">
        <f t="shared" ref="AU98" si="189">COUNTIF(AA98:AT98,"A")</f>
        <v>0</v>
      </c>
      <c r="AV98" s="622">
        <f t="shared" ref="AV98" si="190">COUNTIF(AA98:AT98,"B")</f>
        <v>0</v>
      </c>
      <c r="AW98" s="622">
        <f t="shared" ref="AW98" si="191">COUNTIF(AA98:AT98,"C")</f>
        <v>0</v>
      </c>
    </row>
    <row r="99" spans="1:49" s="330" customFormat="1" ht="8.25" customHeight="1">
      <c r="A99" s="623"/>
      <c r="B99" s="622"/>
      <c r="C99" s="622"/>
      <c r="D99" s="622"/>
      <c r="E99" s="622"/>
      <c r="F99" s="622"/>
      <c r="G99" s="622"/>
      <c r="H99" s="622"/>
      <c r="I99" s="622"/>
      <c r="J99" s="622"/>
      <c r="K99" s="622"/>
      <c r="L99" s="622"/>
      <c r="M99" s="622"/>
      <c r="N99" s="622"/>
      <c r="O99" s="622"/>
      <c r="P99" s="622"/>
      <c r="Q99" s="622"/>
      <c r="R99" s="622"/>
      <c r="S99" s="622"/>
      <c r="T99" s="622"/>
      <c r="U99" s="622"/>
      <c r="V99" s="622"/>
      <c r="W99" s="622"/>
      <c r="X99" s="622"/>
      <c r="Z99" s="623"/>
      <c r="AA99" s="622"/>
      <c r="AB99" s="622"/>
      <c r="AC99" s="622"/>
      <c r="AD99" s="622"/>
      <c r="AE99" s="622"/>
      <c r="AF99" s="622"/>
      <c r="AG99" s="622"/>
      <c r="AH99" s="622"/>
      <c r="AI99" s="622"/>
      <c r="AJ99" s="622"/>
      <c r="AK99" s="622"/>
      <c r="AL99" s="622"/>
      <c r="AM99" s="622"/>
      <c r="AN99" s="622"/>
      <c r="AO99" s="622"/>
      <c r="AP99" s="622"/>
      <c r="AQ99" s="622"/>
      <c r="AR99" s="622"/>
      <c r="AS99" s="622"/>
      <c r="AT99" s="622"/>
      <c r="AU99" s="622"/>
      <c r="AV99" s="622"/>
      <c r="AW99" s="622"/>
    </row>
    <row r="100" spans="1:49" s="330" customFormat="1" ht="8.25" customHeight="1">
      <c r="A100" s="623"/>
      <c r="B100" s="622"/>
      <c r="C100" s="622"/>
      <c r="D100" s="622"/>
      <c r="E100" s="622"/>
      <c r="F100" s="622"/>
      <c r="G100" s="622"/>
      <c r="H100" s="622"/>
      <c r="I100" s="622"/>
      <c r="J100" s="622"/>
      <c r="K100" s="622"/>
      <c r="L100" s="622"/>
      <c r="M100" s="622"/>
      <c r="N100" s="622"/>
      <c r="O100" s="622"/>
      <c r="P100" s="622"/>
      <c r="Q100" s="622"/>
      <c r="R100" s="622"/>
      <c r="S100" s="622"/>
      <c r="T100" s="622"/>
      <c r="U100" s="622"/>
      <c r="V100" s="622"/>
      <c r="W100" s="622"/>
      <c r="X100" s="622"/>
      <c r="Z100" s="623"/>
      <c r="AA100" s="622"/>
      <c r="AB100" s="622"/>
      <c r="AC100" s="622"/>
      <c r="AD100" s="622"/>
      <c r="AE100" s="622"/>
      <c r="AF100" s="622"/>
      <c r="AG100" s="622"/>
      <c r="AH100" s="622"/>
      <c r="AI100" s="622"/>
      <c r="AJ100" s="622"/>
      <c r="AK100" s="622"/>
      <c r="AL100" s="622"/>
      <c r="AM100" s="622"/>
      <c r="AN100" s="622"/>
      <c r="AO100" s="622"/>
      <c r="AP100" s="622"/>
      <c r="AQ100" s="622"/>
      <c r="AR100" s="622"/>
      <c r="AS100" s="622"/>
      <c r="AT100" s="622"/>
      <c r="AU100" s="622"/>
      <c r="AV100" s="622"/>
      <c r="AW100" s="622"/>
    </row>
    <row r="101" spans="1:49" s="330" customFormat="1" ht="8.25" customHeight="1">
      <c r="A101" s="623">
        <v>34</v>
      </c>
      <c r="B101" s="622" t="str">
        <f>IF(NOT(ISBLANK('A-RACHNATMAK'!C112)),"A",IF(NOT(ISBLANK('A-RACHNATMAK'!C111)),"B",IF(NOT(ISBLANK('A-RACHNATMAK'!C110)),"C","")))</f>
        <v/>
      </c>
      <c r="C101" s="622" t="str">
        <f>IF(NOT(ISBLANK('A-RACHNATMAK'!D112)),"A",IF(NOT(ISBLANK('A-RACHNATMAK'!D111)),"B",IF(NOT(ISBLANK('A-RACHNATMAK'!D110)),"C","")))</f>
        <v/>
      </c>
      <c r="D101" s="622" t="str">
        <f>IF(NOT(ISBLANK('A-RACHNATMAK'!E112)),"A",IF(NOT(ISBLANK('A-RACHNATMAK'!E111)),"B",IF(NOT(ISBLANK('A-RACHNATMAK'!E110)),"C","")))</f>
        <v/>
      </c>
      <c r="E101" s="622" t="str">
        <f>IF(NOT(ISBLANK('A-RACHNATMAK'!F112)),"A",IF(NOT(ISBLANK('A-RACHNATMAK'!F111)),"B",IF(NOT(ISBLANK('A-RACHNATMAK'!F110)),"C","")))</f>
        <v/>
      </c>
      <c r="F101" s="622" t="str">
        <f>IF(NOT(ISBLANK('A-RACHNATMAK'!G112)),"A",IF(NOT(ISBLANK('A-RACHNATMAK'!G111)),"B",IF(NOT(ISBLANK('A-RACHNATMAK'!G110)),"C","")))</f>
        <v/>
      </c>
      <c r="G101" s="622" t="str">
        <f>IF(NOT(ISBLANK('A-RACHNATMAK'!H112)),"A",IF(NOT(ISBLANK('A-RACHNATMAK'!H111)),"B",IF(NOT(ISBLANK('A-RACHNATMAK'!H110)),"C","")))</f>
        <v/>
      </c>
      <c r="H101" s="622" t="str">
        <f>IF(NOT(ISBLANK('A-RACHNATMAK'!I112)),"A",IF(NOT(ISBLANK('A-RACHNATMAK'!I111)),"B",IF(NOT(ISBLANK('A-RACHNATMAK'!I110)),"C","")))</f>
        <v/>
      </c>
      <c r="I101" s="622" t="str">
        <f>IF(NOT(ISBLANK('A-RACHNATMAK'!J112)),"A",IF(NOT(ISBLANK('A-RACHNATMAK'!J111)),"B",IF(NOT(ISBLANK('A-RACHNATMAK'!J110)),"C","")))</f>
        <v/>
      </c>
      <c r="J101" s="622" t="str">
        <f>IF(NOT(ISBLANK('A-RACHNATMAK'!K112)),"A",IF(NOT(ISBLANK('A-RACHNATMAK'!K111)),"B",IF(NOT(ISBLANK('A-RACHNATMAK'!K110)),"C","")))</f>
        <v/>
      </c>
      <c r="K101" s="622" t="str">
        <f>IF(NOT(ISBLANK('A-RACHNATMAK'!L112)),"A",IF(NOT(ISBLANK('A-RACHNATMAK'!L111)),"B",IF(NOT(ISBLANK('A-RACHNATMAK'!L110)),"C","")))</f>
        <v/>
      </c>
      <c r="L101" s="622" t="str">
        <f>IF(NOT(ISBLANK('A-RACHNATMAK'!M112)),"A",IF(NOT(ISBLANK('A-RACHNATMAK'!M111)),"B",IF(NOT(ISBLANK('A-RACHNATMAK'!M110)),"C","")))</f>
        <v/>
      </c>
      <c r="M101" s="622" t="str">
        <f>IF(NOT(ISBLANK('A-RACHNATMAK'!N112)),"A",IF(NOT(ISBLANK('A-RACHNATMAK'!N111)),"B",IF(NOT(ISBLANK('A-RACHNATMAK'!N110)),"C","")))</f>
        <v/>
      </c>
      <c r="N101" s="622" t="str">
        <f>IF(NOT(ISBLANK('A-RACHNATMAK'!O112)),"A",IF(NOT(ISBLANK('A-RACHNATMAK'!O111)),"B",IF(NOT(ISBLANK('A-RACHNATMAK'!O110)),"C","")))</f>
        <v/>
      </c>
      <c r="O101" s="622" t="str">
        <f>IF(NOT(ISBLANK('A-RACHNATMAK'!P112)),"A",IF(NOT(ISBLANK('A-RACHNATMAK'!P111)),"B",IF(NOT(ISBLANK('A-RACHNATMAK'!P110)),"C","")))</f>
        <v/>
      </c>
      <c r="P101" s="622" t="str">
        <f>IF(NOT(ISBLANK('A-RACHNATMAK'!Q112)),"A",IF(NOT(ISBLANK('A-RACHNATMAK'!Q111)),"B",IF(NOT(ISBLANK('A-RACHNATMAK'!Q110)),"C","")))</f>
        <v/>
      </c>
      <c r="Q101" s="622" t="str">
        <f>IF(NOT(ISBLANK('A-RACHNATMAK'!R112)),"A",IF(NOT(ISBLANK('A-RACHNATMAK'!R111)),"B",IF(NOT(ISBLANK('A-RACHNATMAK'!R110)),"C","")))</f>
        <v/>
      </c>
      <c r="R101" s="622" t="str">
        <f>IF(NOT(ISBLANK('A-RACHNATMAK'!S112)),"A",IF(NOT(ISBLANK('A-RACHNATMAK'!S111)),"B",IF(NOT(ISBLANK('A-RACHNATMAK'!S110)),"C","")))</f>
        <v/>
      </c>
      <c r="S101" s="622" t="str">
        <f>IF(NOT(ISBLANK('A-RACHNATMAK'!T112)),"A",IF(NOT(ISBLANK('A-RACHNATMAK'!T111)),"B",IF(NOT(ISBLANK('A-RACHNATMAK'!T110)),"C","")))</f>
        <v/>
      </c>
      <c r="T101" s="622" t="str">
        <f>IF(NOT(ISBLANK('A-RACHNATMAK'!U112)),"A",IF(NOT(ISBLANK('A-RACHNATMAK'!U111)),"B",IF(NOT(ISBLANK('A-RACHNATMAK'!U110)),"C","")))</f>
        <v/>
      </c>
      <c r="U101" s="622" t="str">
        <f>IF(NOT(ISBLANK('A-RACHNATMAK'!V112)),"A",IF(NOT(ISBLANK('A-RACHNATMAK'!V111)),"B",IF(NOT(ISBLANK('A-RACHNATMAK'!V110)),"C","")))</f>
        <v/>
      </c>
      <c r="V101" s="622">
        <f t="shared" ref="V101" si="192">COUNTIF(B101:U101,"A")</f>
        <v>0</v>
      </c>
      <c r="W101" s="622">
        <f t="shared" ref="W101" si="193">COUNTIF(B101:U101,"B")</f>
        <v>0</v>
      </c>
      <c r="X101" s="622">
        <f t="shared" ref="X101" si="194">COUNTIF(B101:U101,"C")</f>
        <v>0</v>
      </c>
      <c r="Z101" s="623">
        <v>34</v>
      </c>
      <c r="AA101" s="622" t="str">
        <f>IF(NOT(ISBLANK('A-RACHNATMAK'!AD112)),"A",IF(NOT(ISBLANK('A-RACHNATMAK'!AD111)),"B",IF(NOT(ISBLANK('A-RACHNATMAK'!AD110)),"C","")))</f>
        <v/>
      </c>
      <c r="AB101" s="622" t="str">
        <f>IF(NOT(ISBLANK('A-RACHNATMAK'!AE112)),"A",IF(NOT(ISBLANK('A-RACHNATMAK'!AE111)),"B",IF(NOT(ISBLANK('A-RACHNATMAK'!AE110)),"C","")))</f>
        <v/>
      </c>
      <c r="AC101" s="622" t="str">
        <f>IF(NOT(ISBLANK('A-RACHNATMAK'!AF112)),"A",IF(NOT(ISBLANK('A-RACHNATMAK'!AF111)),"B",IF(NOT(ISBLANK('A-RACHNATMAK'!AF110)),"C","")))</f>
        <v/>
      </c>
      <c r="AD101" s="622" t="str">
        <f>IF(NOT(ISBLANK('A-RACHNATMAK'!AG112)),"A",IF(NOT(ISBLANK('A-RACHNATMAK'!AG111)),"B",IF(NOT(ISBLANK('A-RACHNATMAK'!AG110)),"C","")))</f>
        <v/>
      </c>
      <c r="AE101" s="622" t="str">
        <f>IF(NOT(ISBLANK('A-RACHNATMAK'!AH112)),"A",IF(NOT(ISBLANK('A-RACHNATMAK'!AH111)),"B",IF(NOT(ISBLANK('A-RACHNATMAK'!AH110)),"C","")))</f>
        <v/>
      </c>
      <c r="AF101" s="622" t="str">
        <f>IF(NOT(ISBLANK('A-RACHNATMAK'!AI112)),"A",IF(NOT(ISBLANK('A-RACHNATMAK'!AI111)),"B",IF(NOT(ISBLANK('A-RACHNATMAK'!AI110)),"C","")))</f>
        <v/>
      </c>
      <c r="AG101" s="622" t="str">
        <f>IF(NOT(ISBLANK('A-RACHNATMAK'!AJ112)),"A",IF(NOT(ISBLANK('A-RACHNATMAK'!AJ111)),"B",IF(NOT(ISBLANK('A-RACHNATMAK'!AJ110)),"C","")))</f>
        <v/>
      </c>
      <c r="AH101" s="622" t="str">
        <f>IF(NOT(ISBLANK('A-RACHNATMAK'!AK112)),"A",IF(NOT(ISBLANK('A-RACHNATMAK'!AK111)),"B",IF(NOT(ISBLANK('A-RACHNATMAK'!AK110)),"C","")))</f>
        <v/>
      </c>
      <c r="AI101" s="622" t="str">
        <f>IF(NOT(ISBLANK('A-RACHNATMAK'!AL112)),"A",IF(NOT(ISBLANK('A-RACHNATMAK'!AL111)),"B",IF(NOT(ISBLANK('A-RACHNATMAK'!AL110)),"C","")))</f>
        <v/>
      </c>
      <c r="AJ101" s="622" t="str">
        <f>IF(NOT(ISBLANK('A-RACHNATMAK'!AM112)),"A",IF(NOT(ISBLANK('A-RACHNATMAK'!AM111)),"B",IF(NOT(ISBLANK('A-RACHNATMAK'!AM110)),"C","")))</f>
        <v/>
      </c>
      <c r="AK101" s="622" t="str">
        <f>IF(NOT(ISBLANK('A-RACHNATMAK'!AN112)),"A",IF(NOT(ISBLANK('A-RACHNATMAK'!AN111)),"B",IF(NOT(ISBLANK('A-RACHNATMAK'!AN110)),"C","")))</f>
        <v/>
      </c>
      <c r="AL101" s="622" t="str">
        <f>IF(NOT(ISBLANK('A-RACHNATMAK'!AO112)),"A",IF(NOT(ISBLANK('A-RACHNATMAK'!AO111)),"B",IF(NOT(ISBLANK('A-RACHNATMAK'!AO110)),"C","")))</f>
        <v/>
      </c>
      <c r="AM101" s="622" t="str">
        <f>IF(NOT(ISBLANK('A-RACHNATMAK'!AP112)),"A",IF(NOT(ISBLANK('A-RACHNATMAK'!AP111)),"B",IF(NOT(ISBLANK('A-RACHNATMAK'!AP110)),"C","")))</f>
        <v/>
      </c>
      <c r="AN101" s="622" t="str">
        <f>IF(NOT(ISBLANK('A-RACHNATMAK'!AQ112)),"A",IF(NOT(ISBLANK('A-RACHNATMAK'!AQ111)),"B",IF(NOT(ISBLANK('A-RACHNATMAK'!AQ110)),"C","")))</f>
        <v/>
      </c>
      <c r="AO101" s="622" t="str">
        <f>IF(NOT(ISBLANK('A-RACHNATMAK'!AR112)),"A",IF(NOT(ISBLANK('A-RACHNATMAK'!AR111)),"B",IF(NOT(ISBLANK('A-RACHNATMAK'!AR110)),"C","")))</f>
        <v/>
      </c>
      <c r="AP101" s="622" t="str">
        <f>IF(NOT(ISBLANK('A-RACHNATMAK'!AS112)),"A",IF(NOT(ISBLANK('A-RACHNATMAK'!AS111)),"B",IF(NOT(ISBLANK('A-RACHNATMAK'!AS110)),"C","")))</f>
        <v/>
      </c>
      <c r="AQ101" s="622" t="str">
        <f>IF(NOT(ISBLANK('A-RACHNATMAK'!AT112)),"A",IF(NOT(ISBLANK('A-RACHNATMAK'!AT111)),"B",IF(NOT(ISBLANK('A-RACHNATMAK'!AT110)),"C","")))</f>
        <v/>
      </c>
      <c r="AR101" s="622" t="str">
        <f>IF(NOT(ISBLANK('A-RACHNATMAK'!AU112)),"A",IF(NOT(ISBLANK('A-RACHNATMAK'!AU111)),"B",IF(NOT(ISBLANK('A-RACHNATMAK'!AU110)),"C","")))</f>
        <v/>
      </c>
      <c r="AS101" s="622" t="str">
        <f>IF(NOT(ISBLANK('A-RACHNATMAK'!AV112)),"A",IF(NOT(ISBLANK('A-RACHNATMAK'!AV111)),"B",IF(NOT(ISBLANK('A-RACHNATMAK'!AV110)),"C","")))</f>
        <v/>
      </c>
      <c r="AT101" s="622" t="str">
        <f>IF(NOT(ISBLANK('A-RACHNATMAK'!AW112)),"A",IF(NOT(ISBLANK('A-RACHNATMAK'!AW111)),"B",IF(NOT(ISBLANK('A-RACHNATMAK'!AW110)),"C","")))</f>
        <v/>
      </c>
      <c r="AU101" s="622">
        <f t="shared" ref="AU101" si="195">COUNTIF(AA101:AT101,"A")</f>
        <v>0</v>
      </c>
      <c r="AV101" s="622">
        <f t="shared" ref="AV101" si="196">COUNTIF(AA101:AT101,"B")</f>
        <v>0</v>
      </c>
      <c r="AW101" s="622">
        <f t="shared" ref="AW101" si="197">COUNTIF(AA101:AT101,"C")</f>
        <v>0</v>
      </c>
    </row>
    <row r="102" spans="1:49" s="330" customFormat="1" ht="8.25" customHeight="1">
      <c r="A102" s="623"/>
      <c r="B102" s="622"/>
      <c r="C102" s="622"/>
      <c r="D102" s="622"/>
      <c r="E102" s="622"/>
      <c r="F102" s="622"/>
      <c r="G102" s="622"/>
      <c r="H102" s="622"/>
      <c r="I102" s="622"/>
      <c r="J102" s="622"/>
      <c r="K102" s="622"/>
      <c r="L102" s="622"/>
      <c r="M102" s="622"/>
      <c r="N102" s="622"/>
      <c r="O102" s="622"/>
      <c r="P102" s="622"/>
      <c r="Q102" s="622"/>
      <c r="R102" s="622"/>
      <c r="S102" s="622"/>
      <c r="T102" s="622"/>
      <c r="U102" s="622"/>
      <c r="V102" s="622"/>
      <c r="W102" s="622"/>
      <c r="X102" s="622"/>
      <c r="Z102" s="623"/>
      <c r="AA102" s="622"/>
      <c r="AB102" s="622"/>
      <c r="AC102" s="622"/>
      <c r="AD102" s="622"/>
      <c r="AE102" s="622"/>
      <c r="AF102" s="622"/>
      <c r="AG102" s="622"/>
      <c r="AH102" s="622"/>
      <c r="AI102" s="622"/>
      <c r="AJ102" s="622"/>
      <c r="AK102" s="622"/>
      <c r="AL102" s="622"/>
      <c r="AM102" s="622"/>
      <c r="AN102" s="622"/>
      <c r="AO102" s="622"/>
      <c r="AP102" s="622"/>
      <c r="AQ102" s="622"/>
      <c r="AR102" s="622"/>
      <c r="AS102" s="622"/>
      <c r="AT102" s="622"/>
      <c r="AU102" s="622"/>
      <c r="AV102" s="622"/>
      <c r="AW102" s="622"/>
    </row>
    <row r="103" spans="1:49" s="330" customFormat="1" ht="8.25" customHeight="1">
      <c r="A103" s="623"/>
      <c r="B103" s="622"/>
      <c r="C103" s="622"/>
      <c r="D103" s="622"/>
      <c r="E103" s="622"/>
      <c r="F103" s="622"/>
      <c r="G103" s="622"/>
      <c r="H103" s="622"/>
      <c r="I103" s="622"/>
      <c r="J103" s="622"/>
      <c r="K103" s="622"/>
      <c r="L103" s="622"/>
      <c r="M103" s="622"/>
      <c r="N103" s="622"/>
      <c r="O103" s="622"/>
      <c r="P103" s="622"/>
      <c r="Q103" s="622"/>
      <c r="R103" s="622"/>
      <c r="S103" s="622"/>
      <c r="T103" s="622"/>
      <c r="U103" s="622"/>
      <c r="V103" s="622"/>
      <c r="W103" s="622"/>
      <c r="X103" s="622"/>
      <c r="Z103" s="623"/>
      <c r="AA103" s="622"/>
      <c r="AB103" s="622"/>
      <c r="AC103" s="622"/>
      <c r="AD103" s="622"/>
      <c r="AE103" s="622"/>
      <c r="AF103" s="622"/>
      <c r="AG103" s="622"/>
      <c r="AH103" s="622"/>
      <c r="AI103" s="622"/>
      <c r="AJ103" s="622"/>
      <c r="AK103" s="622"/>
      <c r="AL103" s="622"/>
      <c r="AM103" s="622"/>
      <c r="AN103" s="622"/>
      <c r="AO103" s="622"/>
      <c r="AP103" s="622"/>
      <c r="AQ103" s="622"/>
      <c r="AR103" s="622"/>
      <c r="AS103" s="622"/>
      <c r="AT103" s="622"/>
      <c r="AU103" s="622"/>
      <c r="AV103" s="622"/>
      <c r="AW103" s="622"/>
    </row>
    <row r="104" spans="1:49" s="330" customFormat="1" ht="8.25" customHeight="1">
      <c r="A104" s="623">
        <v>35</v>
      </c>
      <c r="B104" s="622" t="str">
        <f>IF(NOT(ISBLANK('A-RACHNATMAK'!C115)),"A",IF(NOT(ISBLANK('A-RACHNATMAK'!C114)),"B",IF(NOT(ISBLANK('A-RACHNATMAK'!C113)),"C","")))</f>
        <v/>
      </c>
      <c r="C104" s="622" t="str">
        <f>IF(NOT(ISBLANK('A-RACHNATMAK'!D115)),"A",IF(NOT(ISBLANK('A-RACHNATMAK'!D114)),"B",IF(NOT(ISBLANK('A-RACHNATMAK'!D113)),"C","")))</f>
        <v/>
      </c>
      <c r="D104" s="622" t="str">
        <f>IF(NOT(ISBLANK('A-RACHNATMAK'!E115)),"A",IF(NOT(ISBLANK('A-RACHNATMAK'!E114)),"B",IF(NOT(ISBLANK('A-RACHNATMAK'!E113)),"C","")))</f>
        <v/>
      </c>
      <c r="E104" s="622" t="str">
        <f>IF(NOT(ISBLANK('A-RACHNATMAK'!F115)),"A",IF(NOT(ISBLANK('A-RACHNATMAK'!F114)),"B",IF(NOT(ISBLANK('A-RACHNATMAK'!F113)),"C","")))</f>
        <v/>
      </c>
      <c r="F104" s="622" t="str">
        <f>IF(NOT(ISBLANK('A-RACHNATMAK'!G115)),"A",IF(NOT(ISBLANK('A-RACHNATMAK'!G114)),"B",IF(NOT(ISBLANK('A-RACHNATMAK'!G113)),"C","")))</f>
        <v/>
      </c>
      <c r="G104" s="622" t="str">
        <f>IF(NOT(ISBLANK('A-RACHNATMAK'!H115)),"A",IF(NOT(ISBLANK('A-RACHNATMAK'!H114)),"B",IF(NOT(ISBLANK('A-RACHNATMAK'!H113)),"C","")))</f>
        <v/>
      </c>
      <c r="H104" s="622" t="str">
        <f>IF(NOT(ISBLANK('A-RACHNATMAK'!I115)),"A",IF(NOT(ISBLANK('A-RACHNATMAK'!I114)),"B",IF(NOT(ISBLANK('A-RACHNATMAK'!I113)),"C","")))</f>
        <v/>
      </c>
      <c r="I104" s="622" t="str">
        <f>IF(NOT(ISBLANK('A-RACHNATMAK'!J115)),"A",IF(NOT(ISBLANK('A-RACHNATMAK'!J114)),"B",IF(NOT(ISBLANK('A-RACHNATMAK'!J113)),"C","")))</f>
        <v/>
      </c>
      <c r="J104" s="622" t="str">
        <f>IF(NOT(ISBLANK('A-RACHNATMAK'!K115)),"A",IF(NOT(ISBLANK('A-RACHNATMAK'!K114)),"B",IF(NOT(ISBLANK('A-RACHNATMAK'!K113)),"C","")))</f>
        <v/>
      </c>
      <c r="K104" s="622" t="str">
        <f>IF(NOT(ISBLANK('A-RACHNATMAK'!L115)),"A",IF(NOT(ISBLANK('A-RACHNATMAK'!L114)),"B",IF(NOT(ISBLANK('A-RACHNATMAK'!L113)),"C","")))</f>
        <v/>
      </c>
      <c r="L104" s="622" t="str">
        <f>IF(NOT(ISBLANK('A-RACHNATMAK'!M115)),"A",IF(NOT(ISBLANK('A-RACHNATMAK'!M114)),"B",IF(NOT(ISBLANK('A-RACHNATMAK'!M113)),"C","")))</f>
        <v/>
      </c>
      <c r="M104" s="622" t="str">
        <f>IF(NOT(ISBLANK('A-RACHNATMAK'!N115)),"A",IF(NOT(ISBLANK('A-RACHNATMAK'!N114)),"B",IF(NOT(ISBLANK('A-RACHNATMAK'!N113)),"C","")))</f>
        <v/>
      </c>
      <c r="N104" s="622" t="str">
        <f>IF(NOT(ISBLANK('A-RACHNATMAK'!O115)),"A",IF(NOT(ISBLANK('A-RACHNATMAK'!O114)),"B",IF(NOT(ISBLANK('A-RACHNATMAK'!O113)),"C","")))</f>
        <v/>
      </c>
      <c r="O104" s="622" t="str">
        <f>IF(NOT(ISBLANK('A-RACHNATMAK'!P115)),"A",IF(NOT(ISBLANK('A-RACHNATMAK'!P114)),"B",IF(NOT(ISBLANK('A-RACHNATMAK'!P113)),"C","")))</f>
        <v/>
      </c>
      <c r="P104" s="622" t="str">
        <f>IF(NOT(ISBLANK('A-RACHNATMAK'!Q115)),"A",IF(NOT(ISBLANK('A-RACHNATMAK'!Q114)),"B",IF(NOT(ISBLANK('A-RACHNATMAK'!Q113)),"C","")))</f>
        <v/>
      </c>
      <c r="Q104" s="622" t="str">
        <f>IF(NOT(ISBLANK('A-RACHNATMAK'!R115)),"A",IF(NOT(ISBLANK('A-RACHNATMAK'!R114)),"B",IF(NOT(ISBLANK('A-RACHNATMAK'!R113)),"C","")))</f>
        <v/>
      </c>
      <c r="R104" s="622" t="str">
        <f>IF(NOT(ISBLANK('A-RACHNATMAK'!S115)),"A",IF(NOT(ISBLANK('A-RACHNATMAK'!S114)),"B",IF(NOT(ISBLANK('A-RACHNATMAK'!S113)),"C","")))</f>
        <v/>
      </c>
      <c r="S104" s="622" t="str">
        <f>IF(NOT(ISBLANK('A-RACHNATMAK'!T115)),"A",IF(NOT(ISBLANK('A-RACHNATMAK'!T114)),"B",IF(NOT(ISBLANK('A-RACHNATMAK'!T113)),"C","")))</f>
        <v/>
      </c>
      <c r="T104" s="622" t="str">
        <f>IF(NOT(ISBLANK('A-RACHNATMAK'!U115)),"A",IF(NOT(ISBLANK('A-RACHNATMAK'!U114)),"B",IF(NOT(ISBLANK('A-RACHNATMAK'!U113)),"C","")))</f>
        <v/>
      </c>
      <c r="U104" s="622" t="str">
        <f>IF(NOT(ISBLANK('A-RACHNATMAK'!V115)),"A",IF(NOT(ISBLANK('A-RACHNATMAK'!V114)),"B",IF(NOT(ISBLANK('A-RACHNATMAK'!V113)),"C","")))</f>
        <v/>
      </c>
      <c r="V104" s="622">
        <f t="shared" ref="V104" si="198">COUNTIF(B104:U104,"A")</f>
        <v>0</v>
      </c>
      <c r="W104" s="622">
        <f t="shared" ref="W104" si="199">COUNTIF(B104:U104,"B")</f>
        <v>0</v>
      </c>
      <c r="X104" s="622">
        <f t="shared" ref="X104" si="200">COUNTIF(B104:U104,"C")</f>
        <v>0</v>
      </c>
      <c r="Z104" s="623">
        <v>35</v>
      </c>
      <c r="AA104" s="622" t="str">
        <f>IF(NOT(ISBLANK('A-RACHNATMAK'!AD115)),"A",IF(NOT(ISBLANK('A-RACHNATMAK'!AD114)),"B",IF(NOT(ISBLANK('A-RACHNATMAK'!AD113)),"C","")))</f>
        <v/>
      </c>
      <c r="AB104" s="622" t="str">
        <f>IF(NOT(ISBLANK('A-RACHNATMAK'!AE115)),"A",IF(NOT(ISBLANK('A-RACHNATMAK'!AE114)),"B",IF(NOT(ISBLANK('A-RACHNATMAK'!AE113)),"C","")))</f>
        <v/>
      </c>
      <c r="AC104" s="622" t="str">
        <f>IF(NOT(ISBLANK('A-RACHNATMAK'!AF115)),"A",IF(NOT(ISBLANK('A-RACHNATMAK'!AF114)),"B",IF(NOT(ISBLANK('A-RACHNATMAK'!AF113)),"C","")))</f>
        <v/>
      </c>
      <c r="AD104" s="622" t="str">
        <f>IF(NOT(ISBLANK('A-RACHNATMAK'!AG115)),"A",IF(NOT(ISBLANK('A-RACHNATMAK'!AG114)),"B",IF(NOT(ISBLANK('A-RACHNATMAK'!AG113)),"C","")))</f>
        <v/>
      </c>
      <c r="AE104" s="622" t="str">
        <f>IF(NOT(ISBLANK('A-RACHNATMAK'!AH115)),"A",IF(NOT(ISBLANK('A-RACHNATMAK'!AH114)),"B",IF(NOT(ISBLANK('A-RACHNATMAK'!AH113)),"C","")))</f>
        <v/>
      </c>
      <c r="AF104" s="622" t="str">
        <f>IF(NOT(ISBLANK('A-RACHNATMAK'!AI115)),"A",IF(NOT(ISBLANK('A-RACHNATMAK'!AI114)),"B",IF(NOT(ISBLANK('A-RACHNATMAK'!AI113)),"C","")))</f>
        <v/>
      </c>
      <c r="AG104" s="622" t="str">
        <f>IF(NOT(ISBLANK('A-RACHNATMAK'!AJ115)),"A",IF(NOT(ISBLANK('A-RACHNATMAK'!AJ114)),"B",IF(NOT(ISBLANK('A-RACHNATMAK'!AJ113)),"C","")))</f>
        <v/>
      </c>
      <c r="AH104" s="622" t="str">
        <f>IF(NOT(ISBLANK('A-RACHNATMAK'!AK115)),"A",IF(NOT(ISBLANK('A-RACHNATMAK'!AK114)),"B",IF(NOT(ISBLANK('A-RACHNATMAK'!AK113)),"C","")))</f>
        <v/>
      </c>
      <c r="AI104" s="622" t="str">
        <f>IF(NOT(ISBLANK('A-RACHNATMAK'!AL115)),"A",IF(NOT(ISBLANK('A-RACHNATMAK'!AL114)),"B",IF(NOT(ISBLANK('A-RACHNATMAK'!AL113)),"C","")))</f>
        <v/>
      </c>
      <c r="AJ104" s="622" t="str">
        <f>IF(NOT(ISBLANK('A-RACHNATMAK'!AM115)),"A",IF(NOT(ISBLANK('A-RACHNATMAK'!AM114)),"B",IF(NOT(ISBLANK('A-RACHNATMAK'!AM113)),"C","")))</f>
        <v/>
      </c>
      <c r="AK104" s="622" t="str">
        <f>IF(NOT(ISBLANK('A-RACHNATMAK'!AN115)),"A",IF(NOT(ISBLANK('A-RACHNATMAK'!AN114)),"B",IF(NOT(ISBLANK('A-RACHNATMAK'!AN113)),"C","")))</f>
        <v/>
      </c>
      <c r="AL104" s="622" t="str">
        <f>IF(NOT(ISBLANK('A-RACHNATMAK'!AO115)),"A",IF(NOT(ISBLANK('A-RACHNATMAK'!AO114)),"B",IF(NOT(ISBLANK('A-RACHNATMAK'!AO113)),"C","")))</f>
        <v/>
      </c>
      <c r="AM104" s="622" t="str">
        <f>IF(NOT(ISBLANK('A-RACHNATMAK'!AP115)),"A",IF(NOT(ISBLANK('A-RACHNATMAK'!AP114)),"B",IF(NOT(ISBLANK('A-RACHNATMAK'!AP113)),"C","")))</f>
        <v/>
      </c>
      <c r="AN104" s="622" t="str">
        <f>IF(NOT(ISBLANK('A-RACHNATMAK'!AQ115)),"A",IF(NOT(ISBLANK('A-RACHNATMAK'!AQ114)),"B",IF(NOT(ISBLANK('A-RACHNATMAK'!AQ113)),"C","")))</f>
        <v/>
      </c>
      <c r="AO104" s="622" t="str">
        <f>IF(NOT(ISBLANK('A-RACHNATMAK'!AR115)),"A",IF(NOT(ISBLANK('A-RACHNATMAK'!AR114)),"B",IF(NOT(ISBLANK('A-RACHNATMAK'!AR113)),"C","")))</f>
        <v/>
      </c>
      <c r="AP104" s="622" t="str">
        <f>IF(NOT(ISBLANK('A-RACHNATMAK'!AS115)),"A",IF(NOT(ISBLANK('A-RACHNATMAK'!AS114)),"B",IF(NOT(ISBLANK('A-RACHNATMAK'!AS113)),"C","")))</f>
        <v/>
      </c>
      <c r="AQ104" s="622" t="str">
        <f>IF(NOT(ISBLANK('A-RACHNATMAK'!AT115)),"A",IF(NOT(ISBLANK('A-RACHNATMAK'!AT114)),"B",IF(NOT(ISBLANK('A-RACHNATMAK'!AT113)),"C","")))</f>
        <v/>
      </c>
      <c r="AR104" s="622" t="str">
        <f>IF(NOT(ISBLANK('A-RACHNATMAK'!AU115)),"A",IF(NOT(ISBLANK('A-RACHNATMAK'!AU114)),"B",IF(NOT(ISBLANK('A-RACHNATMAK'!AU113)),"C","")))</f>
        <v/>
      </c>
      <c r="AS104" s="622" t="str">
        <f>IF(NOT(ISBLANK('A-RACHNATMAK'!AV115)),"A",IF(NOT(ISBLANK('A-RACHNATMAK'!AV114)),"B",IF(NOT(ISBLANK('A-RACHNATMAK'!AV113)),"C","")))</f>
        <v/>
      </c>
      <c r="AT104" s="622" t="str">
        <f>IF(NOT(ISBLANK('A-RACHNATMAK'!AW115)),"A",IF(NOT(ISBLANK('A-RACHNATMAK'!AW114)),"B",IF(NOT(ISBLANK('A-RACHNATMAK'!AW113)),"C","")))</f>
        <v/>
      </c>
      <c r="AU104" s="622">
        <f t="shared" ref="AU104" si="201">COUNTIF(AA104:AT104,"A")</f>
        <v>0</v>
      </c>
      <c r="AV104" s="622">
        <f t="shared" ref="AV104" si="202">COUNTIF(AA104:AT104,"B")</f>
        <v>0</v>
      </c>
      <c r="AW104" s="622">
        <f t="shared" ref="AW104" si="203">COUNTIF(AA104:AT104,"C")</f>
        <v>0</v>
      </c>
    </row>
    <row r="105" spans="1:49" s="330" customFormat="1" ht="8.25" customHeight="1">
      <c r="A105" s="623"/>
      <c r="B105" s="622"/>
      <c r="C105" s="622"/>
      <c r="D105" s="622"/>
      <c r="E105" s="622"/>
      <c r="F105" s="622"/>
      <c r="G105" s="622"/>
      <c r="H105" s="622"/>
      <c r="I105" s="622"/>
      <c r="J105" s="622"/>
      <c r="K105" s="622"/>
      <c r="L105" s="622"/>
      <c r="M105" s="622"/>
      <c r="N105" s="622"/>
      <c r="O105" s="622"/>
      <c r="P105" s="622"/>
      <c r="Q105" s="622"/>
      <c r="R105" s="622"/>
      <c r="S105" s="622"/>
      <c r="T105" s="622"/>
      <c r="U105" s="622"/>
      <c r="V105" s="622"/>
      <c r="W105" s="622"/>
      <c r="X105" s="622"/>
      <c r="Z105" s="623"/>
      <c r="AA105" s="622"/>
      <c r="AB105" s="622"/>
      <c r="AC105" s="622"/>
      <c r="AD105" s="622"/>
      <c r="AE105" s="622"/>
      <c r="AF105" s="622"/>
      <c r="AG105" s="622"/>
      <c r="AH105" s="622"/>
      <c r="AI105" s="622"/>
      <c r="AJ105" s="622"/>
      <c r="AK105" s="622"/>
      <c r="AL105" s="622"/>
      <c r="AM105" s="622"/>
      <c r="AN105" s="622"/>
      <c r="AO105" s="622"/>
      <c r="AP105" s="622"/>
      <c r="AQ105" s="622"/>
      <c r="AR105" s="622"/>
      <c r="AS105" s="622"/>
      <c r="AT105" s="622"/>
      <c r="AU105" s="622"/>
      <c r="AV105" s="622"/>
      <c r="AW105" s="622"/>
    </row>
    <row r="106" spans="1:49" s="330" customFormat="1" ht="8.25" customHeight="1">
      <c r="A106" s="623"/>
      <c r="B106" s="622"/>
      <c r="C106" s="622"/>
      <c r="D106" s="622"/>
      <c r="E106" s="622"/>
      <c r="F106" s="622"/>
      <c r="G106" s="622"/>
      <c r="H106" s="622"/>
      <c r="I106" s="622"/>
      <c r="J106" s="622"/>
      <c r="K106" s="622"/>
      <c r="L106" s="622"/>
      <c r="M106" s="622"/>
      <c r="N106" s="622"/>
      <c r="O106" s="622"/>
      <c r="P106" s="622"/>
      <c r="Q106" s="622"/>
      <c r="R106" s="622"/>
      <c r="S106" s="622"/>
      <c r="T106" s="622"/>
      <c r="U106" s="622"/>
      <c r="V106" s="622"/>
      <c r="W106" s="622"/>
      <c r="X106" s="622"/>
      <c r="Z106" s="623"/>
      <c r="AA106" s="622"/>
      <c r="AB106" s="622"/>
      <c r="AC106" s="622"/>
      <c r="AD106" s="622"/>
      <c r="AE106" s="622"/>
      <c r="AF106" s="622"/>
      <c r="AG106" s="622"/>
      <c r="AH106" s="622"/>
      <c r="AI106" s="622"/>
      <c r="AJ106" s="622"/>
      <c r="AK106" s="622"/>
      <c r="AL106" s="622"/>
      <c r="AM106" s="622"/>
      <c r="AN106" s="622"/>
      <c r="AO106" s="622"/>
      <c r="AP106" s="622"/>
      <c r="AQ106" s="622"/>
      <c r="AR106" s="622"/>
      <c r="AS106" s="622"/>
      <c r="AT106" s="622"/>
      <c r="AU106" s="622"/>
      <c r="AV106" s="622"/>
      <c r="AW106" s="622"/>
    </row>
    <row r="107" spans="1:49">
      <c r="V107" s="330"/>
      <c r="W107" s="330"/>
      <c r="X107" s="330"/>
    </row>
    <row r="108" spans="1:49">
      <c r="B108" s="624" t="s">
        <v>320</v>
      </c>
      <c r="C108" s="624"/>
      <c r="D108" s="624"/>
      <c r="E108" s="624"/>
      <c r="F108" s="624"/>
      <c r="G108" s="624"/>
      <c r="H108" s="624"/>
      <c r="I108" s="624"/>
      <c r="J108" s="624"/>
      <c r="K108" s="624"/>
      <c r="L108" s="624"/>
      <c r="M108" s="624"/>
      <c r="N108" s="624"/>
      <c r="O108" s="624"/>
      <c r="P108" s="624"/>
      <c r="Q108" s="624"/>
      <c r="R108" s="624"/>
      <c r="S108" s="624"/>
      <c r="T108" s="624"/>
      <c r="U108" s="624"/>
      <c r="V108" s="624"/>
      <c r="W108" s="624"/>
      <c r="X108" s="624"/>
      <c r="Y108" s="331"/>
      <c r="AA108" s="624" t="s">
        <v>321</v>
      </c>
      <c r="AB108" s="624"/>
      <c r="AC108" s="624"/>
      <c r="AD108" s="624"/>
      <c r="AE108" s="624"/>
      <c r="AF108" s="624"/>
      <c r="AG108" s="624"/>
      <c r="AH108" s="624"/>
      <c r="AI108" s="624"/>
      <c r="AJ108" s="624"/>
      <c r="AK108" s="624"/>
      <c r="AL108" s="624"/>
      <c r="AM108" s="624"/>
      <c r="AN108" s="624"/>
      <c r="AO108" s="624"/>
      <c r="AP108" s="624"/>
      <c r="AQ108" s="624"/>
      <c r="AR108" s="624"/>
      <c r="AS108" s="624"/>
      <c r="AT108" s="624"/>
      <c r="AU108" s="624"/>
      <c r="AV108" s="624"/>
      <c r="AW108" s="624"/>
    </row>
    <row r="109" spans="1:49" ht="7.5" customHeight="1">
      <c r="A109" s="623">
        <v>1</v>
      </c>
      <c r="B109" s="622" t="str">
        <f>IF(NOT(ISBLANK('A-RACHNATMAK'!C125)),"A",IF(NOT(ISBLANK('A-RACHNATMAK'!C124)),"B",IF(NOT(ISBLANK('A-RACHNATMAK'!C123)),"C","")))</f>
        <v/>
      </c>
      <c r="C109" s="622" t="str">
        <f>IF(NOT(ISBLANK('A-RACHNATMAK'!D125)),"A",IF(NOT(ISBLANK('A-RACHNATMAK'!D124)),"B",IF(NOT(ISBLANK('A-RACHNATMAK'!D123)),"C","")))</f>
        <v>A</v>
      </c>
      <c r="D109" s="622" t="str">
        <f>IF(NOT(ISBLANK('A-RACHNATMAK'!E125)),"A",IF(NOT(ISBLANK('A-RACHNATMAK'!E124)),"B",IF(NOT(ISBLANK('A-RACHNATMAK'!E123)),"C","")))</f>
        <v/>
      </c>
      <c r="E109" s="622" t="str">
        <f>IF(NOT(ISBLANK('A-RACHNATMAK'!F125)),"A",IF(NOT(ISBLANK('A-RACHNATMAK'!F124)),"B",IF(NOT(ISBLANK('A-RACHNATMAK'!F123)),"C","")))</f>
        <v>C</v>
      </c>
      <c r="F109" s="622" t="str">
        <f>IF(NOT(ISBLANK('A-RACHNATMAK'!G125)),"A",IF(NOT(ISBLANK('A-RACHNATMAK'!G124)),"B",IF(NOT(ISBLANK('A-RACHNATMAK'!G123)),"C","")))</f>
        <v/>
      </c>
      <c r="G109" s="622" t="str">
        <f>IF(NOT(ISBLANK('A-RACHNATMAK'!H125)),"A",IF(NOT(ISBLANK('A-RACHNATMAK'!H124)),"B",IF(NOT(ISBLANK('A-RACHNATMAK'!H123)),"C","")))</f>
        <v/>
      </c>
      <c r="H109" s="622" t="str">
        <f>IF(NOT(ISBLANK('A-RACHNATMAK'!I125)),"A",IF(NOT(ISBLANK('A-RACHNATMAK'!I124)),"B",IF(NOT(ISBLANK('A-RACHNATMAK'!I123)),"C","")))</f>
        <v/>
      </c>
      <c r="I109" s="622" t="str">
        <f>IF(NOT(ISBLANK('A-RACHNATMAK'!J125)),"A",IF(NOT(ISBLANK('A-RACHNATMAK'!J124)),"B",IF(NOT(ISBLANK('A-RACHNATMAK'!J123)),"C","")))</f>
        <v>B</v>
      </c>
      <c r="J109" s="622" t="str">
        <f>IF(NOT(ISBLANK('A-RACHNATMAK'!K125)),"A",IF(NOT(ISBLANK('A-RACHNATMAK'!K124)),"B",IF(NOT(ISBLANK('A-RACHNATMAK'!K123)),"C","")))</f>
        <v/>
      </c>
      <c r="K109" s="622" t="str">
        <f>IF(NOT(ISBLANK('A-RACHNATMAK'!L125)),"A",IF(NOT(ISBLANK('A-RACHNATMAK'!L124)),"B",IF(NOT(ISBLANK('A-RACHNATMAK'!L123)),"C","")))</f>
        <v/>
      </c>
      <c r="L109" s="622" t="str">
        <f>IF(NOT(ISBLANK('A-RACHNATMAK'!M125)),"A",IF(NOT(ISBLANK('A-RACHNATMAK'!M124)),"B",IF(NOT(ISBLANK('A-RACHNATMAK'!M123)),"C","")))</f>
        <v>C</v>
      </c>
      <c r="M109" s="622" t="str">
        <f>IF(NOT(ISBLANK('A-RACHNATMAK'!N125)),"A",IF(NOT(ISBLANK('A-RACHNATMAK'!N124)),"B",IF(NOT(ISBLANK('A-RACHNATMAK'!N123)),"C","")))</f>
        <v/>
      </c>
      <c r="N109" s="622" t="str">
        <f>IF(NOT(ISBLANK('A-RACHNATMAK'!O125)),"A",IF(NOT(ISBLANK('A-RACHNATMAK'!O124)),"B",IF(NOT(ISBLANK('A-RACHNATMAK'!O123)),"C","")))</f>
        <v>A</v>
      </c>
      <c r="O109" s="622" t="str">
        <f>IF(NOT(ISBLANK('A-RACHNATMAK'!P125)),"A",IF(NOT(ISBLANK('A-RACHNATMAK'!P124)),"B",IF(NOT(ISBLANK('A-RACHNATMAK'!P123)),"C","")))</f>
        <v/>
      </c>
      <c r="P109" s="622" t="str">
        <f>IF(NOT(ISBLANK('A-RACHNATMAK'!Q125)),"A",IF(NOT(ISBLANK('A-RACHNATMAK'!Q124)),"B",IF(NOT(ISBLANK('A-RACHNATMAK'!Q123)),"C","")))</f>
        <v/>
      </c>
      <c r="Q109" s="622" t="str">
        <f>IF(NOT(ISBLANK('A-RACHNATMAK'!R125)),"A",IF(NOT(ISBLANK('A-RACHNATMAK'!R124)),"B",IF(NOT(ISBLANK('A-RACHNATMAK'!R123)),"C","")))</f>
        <v/>
      </c>
      <c r="R109" s="622" t="str">
        <f>IF(NOT(ISBLANK('A-RACHNATMAK'!S125)),"A",IF(NOT(ISBLANK('A-RACHNATMAK'!S124)),"B",IF(NOT(ISBLANK('A-RACHNATMAK'!S123)),"C","")))</f>
        <v/>
      </c>
      <c r="S109" s="622" t="str">
        <f>IF(NOT(ISBLANK('A-RACHNATMAK'!T125)),"A",IF(NOT(ISBLANK('A-RACHNATMAK'!T124)),"B",IF(NOT(ISBLANK('A-RACHNATMAK'!T123)),"C","")))</f>
        <v/>
      </c>
      <c r="T109" s="622" t="str">
        <f>IF(NOT(ISBLANK('A-RACHNATMAK'!U125)),"A",IF(NOT(ISBLANK('A-RACHNATMAK'!U124)),"B",IF(NOT(ISBLANK('A-RACHNATMAK'!U123)),"C","")))</f>
        <v/>
      </c>
      <c r="U109" s="622" t="str">
        <f>IF(NOT(ISBLANK('A-RACHNATMAK'!V125)),"A",IF(NOT(ISBLANK('A-RACHNATMAK'!V124)),"B",IF(NOT(ISBLANK('A-RACHNATMAK'!V123)),"C","")))</f>
        <v/>
      </c>
      <c r="V109" s="622">
        <f>COUNTIF(B109:U109,"A")</f>
        <v>2</v>
      </c>
      <c r="W109" s="622">
        <f>COUNTIF(B109:U109,"B")</f>
        <v>1</v>
      </c>
      <c r="X109" s="622">
        <f>COUNTIF(B109:U109,"C")</f>
        <v>2</v>
      </c>
      <c r="Y109" s="330"/>
      <c r="Z109" s="623">
        <v>1</v>
      </c>
      <c r="AA109" s="622" t="str">
        <f>IF(NOT(ISBLANK('A-RACHNATMAK'!AD125)),"A",IF(NOT(ISBLANK('A-RACHNATMAK'!AD124)),"B",IF(NOT(ISBLANK('A-RACHNATMAK'!AD123)),"C","")))</f>
        <v/>
      </c>
      <c r="AB109" s="622" t="str">
        <f>IF(NOT(ISBLANK('A-RACHNATMAK'!AE125)),"A",IF(NOT(ISBLANK('A-RACHNATMAK'!AE124)),"B",IF(NOT(ISBLANK('A-RACHNATMAK'!AE123)),"C","")))</f>
        <v/>
      </c>
      <c r="AC109" s="622" t="str">
        <f>IF(NOT(ISBLANK('A-RACHNATMAK'!AF125)),"A",IF(NOT(ISBLANK('A-RACHNATMAK'!AF124)),"B",IF(NOT(ISBLANK('A-RACHNATMAK'!AF123)),"C","")))</f>
        <v/>
      </c>
      <c r="AD109" s="622" t="str">
        <f>IF(NOT(ISBLANK('A-RACHNATMAK'!AG125)),"A",IF(NOT(ISBLANK('A-RACHNATMAK'!AG124)),"B",IF(NOT(ISBLANK('A-RACHNATMAK'!AG123)),"C","")))</f>
        <v/>
      </c>
      <c r="AE109" s="622" t="str">
        <f>IF(NOT(ISBLANK('A-RACHNATMAK'!AH125)),"A",IF(NOT(ISBLANK('A-RACHNATMAK'!AH124)),"B",IF(NOT(ISBLANK('A-RACHNATMAK'!AH123)),"C","")))</f>
        <v/>
      </c>
      <c r="AF109" s="622" t="str">
        <f>IF(NOT(ISBLANK('A-RACHNATMAK'!AI125)),"A",IF(NOT(ISBLANK('A-RACHNATMAK'!AI124)),"B",IF(NOT(ISBLANK('A-RACHNATMAK'!AI123)),"C","")))</f>
        <v/>
      </c>
      <c r="AG109" s="622" t="str">
        <f>IF(NOT(ISBLANK('A-RACHNATMAK'!AJ125)),"A",IF(NOT(ISBLANK('A-RACHNATMAK'!AJ124)),"B",IF(NOT(ISBLANK('A-RACHNATMAK'!AJ123)),"C","")))</f>
        <v/>
      </c>
      <c r="AH109" s="622" t="str">
        <f>IF(NOT(ISBLANK('A-RACHNATMAK'!AK125)),"A",IF(NOT(ISBLANK('A-RACHNATMAK'!AK124)),"B",IF(NOT(ISBLANK('A-RACHNATMAK'!AK123)),"C","")))</f>
        <v/>
      </c>
      <c r="AI109" s="622" t="str">
        <f>IF(NOT(ISBLANK('A-RACHNATMAK'!AL125)),"A",IF(NOT(ISBLANK('A-RACHNATMAK'!AL124)),"B",IF(NOT(ISBLANK('A-RACHNATMAK'!AL123)),"C","")))</f>
        <v/>
      </c>
      <c r="AJ109" s="622" t="str">
        <f>IF(NOT(ISBLANK('A-RACHNATMAK'!AM125)),"A",IF(NOT(ISBLANK('A-RACHNATMAK'!AM124)),"B",IF(NOT(ISBLANK('A-RACHNATMAK'!AM123)),"C","")))</f>
        <v/>
      </c>
      <c r="AK109" s="622" t="str">
        <f>IF(NOT(ISBLANK('A-RACHNATMAK'!AN125)),"A",IF(NOT(ISBLANK('A-RACHNATMAK'!AN124)),"B",IF(NOT(ISBLANK('A-RACHNATMAK'!AN123)),"C","")))</f>
        <v/>
      </c>
      <c r="AL109" s="622" t="str">
        <f>IF(NOT(ISBLANK('A-RACHNATMAK'!AO125)),"A",IF(NOT(ISBLANK('A-RACHNATMAK'!AO124)),"B",IF(NOT(ISBLANK('A-RACHNATMAK'!AO123)),"C","")))</f>
        <v/>
      </c>
      <c r="AM109" s="622" t="str">
        <f>IF(NOT(ISBLANK('A-RACHNATMAK'!AP125)),"A",IF(NOT(ISBLANK('A-RACHNATMAK'!AP124)),"B",IF(NOT(ISBLANK('A-RACHNATMAK'!AP123)),"C","")))</f>
        <v/>
      </c>
      <c r="AN109" s="622" t="str">
        <f>IF(NOT(ISBLANK('A-RACHNATMAK'!AQ125)),"A",IF(NOT(ISBLANK('A-RACHNATMAK'!AQ124)),"B",IF(NOT(ISBLANK('A-RACHNATMAK'!AQ123)),"C","")))</f>
        <v/>
      </c>
      <c r="AO109" s="622" t="str">
        <f>IF(NOT(ISBLANK('A-RACHNATMAK'!AR125)),"A",IF(NOT(ISBLANK('A-RACHNATMAK'!AR124)),"B",IF(NOT(ISBLANK('A-RACHNATMAK'!AR123)),"C","")))</f>
        <v/>
      </c>
      <c r="AP109" s="622" t="str">
        <f>IF(NOT(ISBLANK('A-RACHNATMAK'!AS125)),"A",IF(NOT(ISBLANK('A-RACHNATMAK'!AS124)),"B",IF(NOT(ISBLANK('A-RACHNATMAK'!AS123)),"C","")))</f>
        <v/>
      </c>
      <c r="AQ109" s="622" t="str">
        <f>IF(NOT(ISBLANK('A-RACHNATMAK'!AT125)),"A",IF(NOT(ISBLANK('A-RACHNATMAK'!AT124)),"B",IF(NOT(ISBLANK('A-RACHNATMAK'!AT123)),"C","")))</f>
        <v/>
      </c>
      <c r="AR109" s="622" t="str">
        <f>IF(NOT(ISBLANK('A-RACHNATMAK'!AU125)),"A",IF(NOT(ISBLANK('A-RACHNATMAK'!AU124)),"B",IF(NOT(ISBLANK('A-RACHNATMAK'!AU123)),"C","")))</f>
        <v/>
      </c>
      <c r="AS109" s="622" t="str">
        <f>IF(NOT(ISBLANK('A-RACHNATMAK'!AV125)),"A",IF(NOT(ISBLANK('A-RACHNATMAK'!AV124)),"B",IF(NOT(ISBLANK('A-RACHNATMAK'!AV123)),"C","")))</f>
        <v/>
      </c>
      <c r="AT109" s="622" t="str">
        <f>IF(NOT(ISBLANK('A-RACHNATMAK'!AW125)),"A",IF(NOT(ISBLANK('A-RACHNATMAK'!AW124)),"B",IF(NOT(ISBLANK('A-RACHNATMAK'!AW123)),"C","")))</f>
        <v/>
      </c>
      <c r="AU109" s="622">
        <f>COUNTIF(AA109:AT109,"A")</f>
        <v>0</v>
      </c>
      <c r="AV109" s="622">
        <f>COUNTIF(AA109:AT109,"B")</f>
        <v>0</v>
      </c>
      <c r="AW109" s="622">
        <f>COUNTIF(AA109:AT109,"C")</f>
        <v>0</v>
      </c>
    </row>
    <row r="110" spans="1:49" ht="7.5" customHeight="1">
      <c r="A110" s="623"/>
      <c r="B110" s="622"/>
      <c r="C110" s="622"/>
      <c r="D110" s="622"/>
      <c r="E110" s="622"/>
      <c r="F110" s="622"/>
      <c r="G110" s="622"/>
      <c r="H110" s="622"/>
      <c r="I110" s="622"/>
      <c r="J110" s="622"/>
      <c r="K110" s="622"/>
      <c r="L110" s="622"/>
      <c r="M110" s="622"/>
      <c r="N110" s="622"/>
      <c r="O110" s="622"/>
      <c r="P110" s="622"/>
      <c r="Q110" s="622"/>
      <c r="R110" s="622"/>
      <c r="S110" s="622"/>
      <c r="T110" s="622"/>
      <c r="U110" s="622"/>
      <c r="V110" s="622"/>
      <c r="W110" s="622"/>
      <c r="X110" s="622"/>
      <c r="Y110" s="330"/>
      <c r="Z110" s="623"/>
      <c r="AA110" s="622"/>
      <c r="AB110" s="622"/>
      <c r="AC110" s="622"/>
      <c r="AD110" s="622"/>
      <c r="AE110" s="622"/>
      <c r="AF110" s="622"/>
      <c r="AG110" s="622"/>
      <c r="AH110" s="622"/>
      <c r="AI110" s="622"/>
      <c r="AJ110" s="622"/>
      <c r="AK110" s="622"/>
      <c r="AL110" s="622"/>
      <c r="AM110" s="622"/>
      <c r="AN110" s="622"/>
      <c r="AO110" s="622"/>
      <c r="AP110" s="622"/>
      <c r="AQ110" s="622"/>
      <c r="AR110" s="622"/>
      <c r="AS110" s="622"/>
      <c r="AT110" s="622"/>
      <c r="AU110" s="622"/>
      <c r="AV110" s="622"/>
      <c r="AW110" s="622"/>
    </row>
    <row r="111" spans="1:49" ht="7.5" customHeight="1">
      <c r="A111" s="623"/>
      <c r="B111" s="622"/>
      <c r="C111" s="622"/>
      <c r="D111" s="622"/>
      <c r="E111" s="622"/>
      <c r="F111" s="622"/>
      <c r="G111" s="622"/>
      <c r="H111" s="622"/>
      <c r="I111" s="622"/>
      <c r="J111" s="622"/>
      <c r="K111" s="622"/>
      <c r="L111" s="622"/>
      <c r="M111" s="622"/>
      <c r="N111" s="622"/>
      <c r="O111" s="622"/>
      <c r="P111" s="622"/>
      <c r="Q111" s="622"/>
      <c r="R111" s="622"/>
      <c r="S111" s="622"/>
      <c r="T111" s="622"/>
      <c r="U111" s="622"/>
      <c r="V111" s="622"/>
      <c r="W111" s="622"/>
      <c r="X111" s="622"/>
      <c r="Y111" s="330"/>
      <c r="Z111" s="623"/>
      <c r="AA111" s="622"/>
      <c r="AB111" s="622"/>
      <c r="AC111" s="622"/>
      <c r="AD111" s="622"/>
      <c r="AE111" s="622"/>
      <c r="AF111" s="622"/>
      <c r="AG111" s="622"/>
      <c r="AH111" s="622"/>
      <c r="AI111" s="622"/>
      <c r="AJ111" s="622"/>
      <c r="AK111" s="622"/>
      <c r="AL111" s="622"/>
      <c r="AM111" s="622"/>
      <c r="AN111" s="622"/>
      <c r="AO111" s="622"/>
      <c r="AP111" s="622"/>
      <c r="AQ111" s="622"/>
      <c r="AR111" s="622"/>
      <c r="AS111" s="622"/>
      <c r="AT111" s="622"/>
      <c r="AU111" s="622"/>
      <c r="AV111" s="622"/>
      <c r="AW111" s="622"/>
    </row>
    <row r="112" spans="1:49" ht="7.5" customHeight="1">
      <c r="A112" s="623">
        <v>2</v>
      </c>
      <c r="B112" s="622" t="str">
        <f>IF(NOT(ISBLANK('A-RACHNATMAK'!C128)),"A",IF(NOT(ISBLANK('A-RACHNATMAK'!C127)),"B",IF(NOT(ISBLANK('A-RACHNATMAK'!C126)),"C","")))</f>
        <v/>
      </c>
      <c r="C112" s="622" t="str">
        <f>IF(NOT(ISBLANK('A-RACHNATMAK'!D128)),"A",IF(NOT(ISBLANK('A-RACHNATMAK'!D127)),"B",IF(NOT(ISBLANK('A-RACHNATMAK'!D126)),"C","")))</f>
        <v/>
      </c>
      <c r="D112" s="622" t="str">
        <f>IF(NOT(ISBLANK('A-RACHNATMAK'!E128)),"A",IF(NOT(ISBLANK('A-RACHNATMAK'!E127)),"B",IF(NOT(ISBLANK('A-RACHNATMAK'!E126)),"C","")))</f>
        <v/>
      </c>
      <c r="E112" s="622" t="str">
        <f>IF(NOT(ISBLANK('A-RACHNATMAK'!F128)),"A",IF(NOT(ISBLANK('A-RACHNATMAK'!F127)),"B",IF(NOT(ISBLANK('A-RACHNATMAK'!F126)),"C","")))</f>
        <v/>
      </c>
      <c r="F112" s="622" t="str">
        <f>IF(NOT(ISBLANK('A-RACHNATMAK'!G128)),"A",IF(NOT(ISBLANK('A-RACHNATMAK'!G127)),"B",IF(NOT(ISBLANK('A-RACHNATMAK'!G126)),"C","")))</f>
        <v/>
      </c>
      <c r="G112" s="622" t="str">
        <f>IF(NOT(ISBLANK('A-RACHNATMAK'!H128)),"A",IF(NOT(ISBLANK('A-RACHNATMAK'!H127)),"B",IF(NOT(ISBLANK('A-RACHNATMAK'!H126)),"C","")))</f>
        <v/>
      </c>
      <c r="H112" s="622" t="str">
        <f>IF(NOT(ISBLANK('A-RACHNATMAK'!I128)),"A",IF(NOT(ISBLANK('A-RACHNATMAK'!I127)),"B",IF(NOT(ISBLANK('A-RACHNATMAK'!I126)),"C","")))</f>
        <v/>
      </c>
      <c r="I112" s="622" t="str">
        <f>IF(NOT(ISBLANK('A-RACHNATMAK'!J128)),"A",IF(NOT(ISBLANK('A-RACHNATMAK'!J127)),"B",IF(NOT(ISBLANK('A-RACHNATMAK'!J126)),"C","")))</f>
        <v/>
      </c>
      <c r="J112" s="622" t="str">
        <f>IF(NOT(ISBLANK('A-RACHNATMAK'!K128)),"A",IF(NOT(ISBLANK('A-RACHNATMAK'!K127)),"B",IF(NOT(ISBLANK('A-RACHNATMAK'!K126)),"C","")))</f>
        <v/>
      </c>
      <c r="K112" s="622" t="str">
        <f>IF(NOT(ISBLANK('A-RACHNATMAK'!L128)),"A",IF(NOT(ISBLANK('A-RACHNATMAK'!L127)),"B",IF(NOT(ISBLANK('A-RACHNATMAK'!L126)),"C","")))</f>
        <v/>
      </c>
      <c r="L112" s="622" t="str">
        <f>IF(NOT(ISBLANK('A-RACHNATMAK'!M128)),"A",IF(NOT(ISBLANK('A-RACHNATMAK'!M127)),"B",IF(NOT(ISBLANK('A-RACHNATMAK'!M126)),"C","")))</f>
        <v/>
      </c>
      <c r="M112" s="622" t="str">
        <f>IF(NOT(ISBLANK('A-RACHNATMAK'!N128)),"A",IF(NOT(ISBLANK('A-RACHNATMAK'!N127)),"B",IF(NOT(ISBLANK('A-RACHNATMAK'!N126)),"C","")))</f>
        <v/>
      </c>
      <c r="N112" s="622" t="str">
        <f>IF(NOT(ISBLANK('A-RACHNATMAK'!O128)),"A",IF(NOT(ISBLANK('A-RACHNATMAK'!O127)),"B",IF(NOT(ISBLANK('A-RACHNATMAK'!O126)),"C","")))</f>
        <v/>
      </c>
      <c r="O112" s="622" t="str">
        <f>IF(NOT(ISBLANK('A-RACHNATMAK'!P128)),"A",IF(NOT(ISBLANK('A-RACHNATMAK'!P127)),"B",IF(NOT(ISBLANK('A-RACHNATMAK'!P126)),"C","")))</f>
        <v/>
      </c>
      <c r="P112" s="622" t="str">
        <f>IF(NOT(ISBLANK('A-RACHNATMAK'!Q128)),"A",IF(NOT(ISBLANK('A-RACHNATMAK'!Q127)),"B",IF(NOT(ISBLANK('A-RACHNATMAK'!Q126)),"C","")))</f>
        <v/>
      </c>
      <c r="Q112" s="622" t="str">
        <f>IF(NOT(ISBLANK('A-RACHNATMAK'!R128)),"A",IF(NOT(ISBLANK('A-RACHNATMAK'!R127)),"B",IF(NOT(ISBLANK('A-RACHNATMAK'!R126)),"C","")))</f>
        <v/>
      </c>
      <c r="R112" s="622" t="str">
        <f>IF(NOT(ISBLANK('A-RACHNATMAK'!S128)),"A",IF(NOT(ISBLANK('A-RACHNATMAK'!S127)),"B",IF(NOT(ISBLANK('A-RACHNATMAK'!S126)),"C","")))</f>
        <v/>
      </c>
      <c r="S112" s="622" t="str">
        <f>IF(NOT(ISBLANK('A-RACHNATMAK'!T128)),"A",IF(NOT(ISBLANK('A-RACHNATMAK'!T127)),"B",IF(NOT(ISBLANK('A-RACHNATMAK'!T126)),"C","")))</f>
        <v/>
      </c>
      <c r="T112" s="622" t="str">
        <f>IF(NOT(ISBLANK('A-RACHNATMAK'!U128)),"A",IF(NOT(ISBLANK('A-RACHNATMAK'!U127)),"B",IF(NOT(ISBLANK('A-RACHNATMAK'!U126)),"C","")))</f>
        <v/>
      </c>
      <c r="U112" s="622" t="str">
        <f>IF(NOT(ISBLANK('A-RACHNATMAK'!V128)),"A",IF(NOT(ISBLANK('A-RACHNATMAK'!V127)),"B",IF(NOT(ISBLANK('A-RACHNATMAK'!V126)),"C","")))</f>
        <v/>
      </c>
      <c r="V112" s="622">
        <f t="shared" ref="V112" si="204">COUNTIF(B112:U112,"A")</f>
        <v>0</v>
      </c>
      <c r="W112" s="622">
        <f t="shared" ref="W112" si="205">COUNTIF(B112:U112,"B")</f>
        <v>0</v>
      </c>
      <c r="X112" s="622">
        <f t="shared" ref="X112" si="206">COUNTIF(B112:U112,"C")</f>
        <v>0</v>
      </c>
      <c r="Y112" s="330"/>
      <c r="Z112" s="623">
        <v>2</v>
      </c>
      <c r="AA112" s="622" t="str">
        <f>IF(NOT(ISBLANK('A-RACHNATMAK'!AD128)),"A",IF(NOT(ISBLANK('A-RACHNATMAK'!AD127)),"B",IF(NOT(ISBLANK('A-RACHNATMAK'!AD126)),"C","")))</f>
        <v/>
      </c>
      <c r="AB112" s="622" t="str">
        <f>IF(NOT(ISBLANK('A-RACHNATMAK'!AE128)),"A",IF(NOT(ISBLANK('A-RACHNATMAK'!AE127)),"B",IF(NOT(ISBLANK('A-RACHNATMAK'!AE126)),"C","")))</f>
        <v/>
      </c>
      <c r="AC112" s="622" t="str">
        <f>IF(NOT(ISBLANK('A-RACHNATMAK'!AF128)),"A",IF(NOT(ISBLANK('A-RACHNATMAK'!AF127)),"B",IF(NOT(ISBLANK('A-RACHNATMAK'!AF126)),"C","")))</f>
        <v/>
      </c>
      <c r="AD112" s="622" t="str">
        <f>IF(NOT(ISBLANK('A-RACHNATMAK'!AG128)),"A",IF(NOT(ISBLANK('A-RACHNATMAK'!AG127)),"B",IF(NOT(ISBLANK('A-RACHNATMAK'!AG126)),"C","")))</f>
        <v/>
      </c>
      <c r="AE112" s="622" t="str">
        <f>IF(NOT(ISBLANK('A-RACHNATMAK'!AH128)),"A",IF(NOT(ISBLANK('A-RACHNATMAK'!AH127)),"B",IF(NOT(ISBLANK('A-RACHNATMAK'!AH126)),"C","")))</f>
        <v/>
      </c>
      <c r="AF112" s="622" t="str">
        <f>IF(NOT(ISBLANK('A-RACHNATMAK'!AI128)),"A",IF(NOT(ISBLANK('A-RACHNATMAK'!AI127)),"B",IF(NOT(ISBLANK('A-RACHNATMAK'!AI126)),"C","")))</f>
        <v/>
      </c>
      <c r="AG112" s="622" t="str">
        <f>IF(NOT(ISBLANK('A-RACHNATMAK'!AJ128)),"A",IF(NOT(ISBLANK('A-RACHNATMAK'!AJ127)),"B",IF(NOT(ISBLANK('A-RACHNATMAK'!AJ126)),"C","")))</f>
        <v/>
      </c>
      <c r="AH112" s="622" t="str">
        <f>IF(NOT(ISBLANK('A-RACHNATMAK'!AK128)),"A",IF(NOT(ISBLANK('A-RACHNATMAK'!AK127)),"B",IF(NOT(ISBLANK('A-RACHNATMAK'!AK126)),"C","")))</f>
        <v/>
      </c>
      <c r="AI112" s="622" t="str">
        <f>IF(NOT(ISBLANK('A-RACHNATMAK'!AL128)),"A",IF(NOT(ISBLANK('A-RACHNATMAK'!AL127)),"B",IF(NOT(ISBLANK('A-RACHNATMAK'!AL126)),"C","")))</f>
        <v/>
      </c>
      <c r="AJ112" s="622" t="str">
        <f>IF(NOT(ISBLANK('A-RACHNATMAK'!AM128)),"A",IF(NOT(ISBLANK('A-RACHNATMAK'!AM127)),"B",IF(NOT(ISBLANK('A-RACHNATMAK'!AM126)),"C","")))</f>
        <v/>
      </c>
      <c r="AK112" s="622" t="str">
        <f>IF(NOT(ISBLANK('A-RACHNATMAK'!AN128)),"A",IF(NOT(ISBLANK('A-RACHNATMAK'!AN127)),"B",IF(NOT(ISBLANK('A-RACHNATMAK'!AN126)),"C","")))</f>
        <v/>
      </c>
      <c r="AL112" s="622" t="str">
        <f>IF(NOT(ISBLANK('A-RACHNATMAK'!AO128)),"A",IF(NOT(ISBLANK('A-RACHNATMAK'!AO127)),"B",IF(NOT(ISBLANK('A-RACHNATMAK'!AO126)),"C","")))</f>
        <v/>
      </c>
      <c r="AM112" s="622" t="str">
        <f>IF(NOT(ISBLANK('A-RACHNATMAK'!AP128)),"A",IF(NOT(ISBLANK('A-RACHNATMAK'!AP127)),"B",IF(NOT(ISBLANK('A-RACHNATMAK'!AP126)),"C","")))</f>
        <v/>
      </c>
      <c r="AN112" s="622" t="str">
        <f>IF(NOT(ISBLANK('A-RACHNATMAK'!AQ128)),"A",IF(NOT(ISBLANK('A-RACHNATMAK'!AQ127)),"B",IF(NOT(ISBLANK('A-RACHNATMAK'!AQ126)),"C","")))</f>
        <v/>
      </c>
      <c r="AO112" s="622" t="str">
        <f>IF(NOT(ISBLANK('A-RACHNATMAK'!AR128)),"A",IF(NOT(ISBLANK('A-RACHNATMAK'!AR127)),"B",IF(NOT(ISBLANK('A-RACHNATMAK'!AR126)),"C","")))</f>
        <v/>
      </c>
      <c r="AP112" s="622" t="str">
        <f>IF(NOT(ISBLANK('A-RACHNATMAK'!AS128)),"A",IF(NOT(ISBLANK('A-RACHNATMAK'!AS127)),"B",IF(NOT(ISBLANK('A-RACHNATMAK'!AS126)),"C","")))</f>
        <v/>
      </c>
      <c r="AQ112" s="622" t="str">
        <f>IF(NOT(ISBLANK('A-RACHNATMAK'!AT128)),"A",IF(NOT(ISBLANK('A-RACHNATMAK'!AT127)),"B",IF(NOT(ISBLANK('A-RACHNATMAK'!AT126)),"C","")))</f>
        <v/>
      </c>
      <c r="AR112" s="622" t="str">
        <f>IF(NOT(ISBLANK('A-RACHNATMAK'!AU128)),"A",IF(NOT(ISBLANK('A-RACHNATMAK'!AU127)),"B",IF(NOT(ISBLANK('A-RACHNATMAK'!AU126)),"C","")))</f>
        <v/>
      </c>
      <c r="AS112" s="622" t="str">
        <f>IF(NOT(ISBLANK('A-RACHNATMAK'!AV128)),"A",IF(NOT(ISBLANK('A-RACHNATMAK'!AV127)),"B",IF(NOT(ISBLANK('A-RACHNATMAK'!AV126)),"C","")))</f>
        <v/>
      </c>
      <c r="AT112" s="622" t="str">
        <f>IF(NOT(ISBLANK('A-RACHNATMAK'!AW128)),"A",IF(NOT(ISBLANK('A-RACHNATMAK'!AW127)),"B",IF(NOT(ISBLANK('A-RACHNATMAK'!AW126)),"C","")))</f>
        <v/>
      </c>
      <c r="AU112" s="622">
        <f t="shared" ref="AU112" si="207">COUNTIF(AA112:AT112,"A")</f>
        <v>0</v>
      </c>
      <c r="AV112" s="622">
        <f t="shared" ref="AV112" si="208">COUNTIF(AA112:AT112,"B")</f>
        <v>0</v>
      </c>
      <c r="AW112" s="622">
        <f t="shared" ref="AW112" si="209">COUNTIF(AA112:AT112,"C")</f>
        <v>0</v>
      </c>
    </row>
    <row r="113" spans="1:49" ht="7.5" customHeight="1">
      <c r="A113" s="623"/>
      <c r="B113" s="622"/>
      <c r="C113" s="622"/>
      <c r="D113" s="622"/>
      <c r="E113" s="622"/>
      <c r="F113" s="622"/>
      <c r="G113" s="622"/>
      <c r="H113" s="622"/>
      <c r="I113" s="622"/>
      <c r="J113" s="622"/>
      <c r="K113" s="622"/>
      <c r="L113" s="622"/>
      <c r="M113" s="622"/>
      <c r="N113" s="622"/>
      <c r="O113" s="622"/>
      <c r="P113" s="622"/>
      <c r="Q113" s="622"/>
      <c r="R113" s="622"/>
      <c r="S113" s="622"/>
      <c r="T113" s="622"/>
      <c r="U113" s="622"/>
      <c r="V113" s="622"/>
      <c r="W113" s="622"/>
      <c r="X113" s="622"/>
      <c r="Y113" s="330"/>
      <c r="Z113" s="623"/>
      <c r="AA113" s="622"/>
      <c r="AB113" s="622"/>
      <c r="AC113" s="622"/>
      <c r="AD113" s="622"/>
      <c r="AE113" s="622"/>
      <c r="AF113" s="622"/>
      <c r="AG113" s="622"/>
      <c r="AH113" s="622"/>
      <c r="AI113" s="622"/>
      <c r="AJ113" s="622"/>
      <c r="AK113" s="622"/>
      <c r="AL113" s="622"/>
      <c r="AM113" s="622"/>
      <c r="AN113" s="622"/>
      <c r="AO113" s="622"/>
      <c r="AP113" s="622"/>
      <c r="AQ113" s="622"/>
      <c r="AR113" s="622"/>
      <c r="AS113" s="622"/>
      <c r="AT113" s="622"/>
      <c r="AU113" s="622"/>
      <c r="AV113" s="622"/>
      <c r="AW113" s="622"/>
    </row>
    <row r="114" spans="1:49" ht="7.5" customHeight="1">
      <c r="A114" s="623"/>
      <c r="B114" s="622"/>
      <c r="C114" s="622"/>
      <c r="D114" s="622"/>
      <c r="E114" s="622"/>
      <c r="F114" s="622"/>
      <c r="G114" s="622"/>
      <c r="H114" s="622"/>
      <c r="I114" s="622"/>
      <c r="J114" s="622"/>
      <c r="K114" s="622"/>
      <c r="L114" s="622"/>
      <c r="M114" s="622"/>
      <c r="N114" s="622"/>
      <c r="O114" s="622"/>
      <c r="P114" s="622"/>
      <c r="Q114" s="622"/>
      <c r="R114" s="622"/>
      <c r="S114" s="622"/>
      <c r="T114" s="622"/>
      <c r="U114" s="622"/>
      <c r="V114" s="622"/>
      <c r="W114" s="622"/>
      <c r="X114" s="622"/>
      <c r="Y114" s="330"/>
      <c r="Z114" s="623"/>
      <c r="AA114" s="622"/>
      <c r="AB114" s="622"/>
      <c r="AC114" s="622"/>
      <c r="AD114" s="622"/>
      <c r="AE114" s="622"/>
      <c r="AF114" s="622"/>
      <c r="AG114" s="622"/>
      <c r="AH114" s="622"/>
      <c r="AI114" s="622"/>
      <c r="AJ114" s="622"/>
      <c r="AK114" s="622"/>
      <c r="AL114" s="622"/>
      <c r="AM114" s="622"/>
      <c r="AN114" s="622"/>
      <c r="AO114" s="622"/>
      <c r="AP114" s="622"/>
      <c r="AQ114" s="622"/>
      <c r="AR114" s="622"/>
      <c r="AS114" s="622"/>
      <c r="AT114" s="622"/>
      <c r="AU114" s="622"/>
      <c r="AV114" s="622"/>
      <c r="AW114" s="622"/>
    </row>
    <row r="115" spans="1:49" ht="7.5" customHeight="1">
      <c r="A115" s="623">
        <v>3</v>
      </c>
      <c r="B115" s="622" t="str">
        <f>IF(NOT(ISBLANK('A-RACHNATMAK'!C131)),"A",IF(NOT(ISBLANK('A-RACHNATMAK'!C130)),"B",IF(NOT(ISBLANK('A-RACHNATMAK'!C129)),"C","")))</f>
        <v/>
      </c>
      <c r="C115" s="622" t="str">
        <f>IF(NOT(ISBLANK('A-RACHNATMAK'!D131)),"A",IF(NOT(ISBLANK('A-RACHNATMAK'!D130)),"B",IF(NOT(ISBLANK('A-RACHNATMAK'!D129)),"C","")))</f>
        <v/>
      </c>
      <c r="D115" s="622" t="str">
        <f>IF(NOT(ISBLANK('A-RACHNATMAK'!E131)),"A",IF(NOT(ISBLANK('A-RACHNATMAK'!E130)),"B",IF(NOT(ISBLANK('A-RACHNATMAK'!E129)),"C","")))</f>
        <v/>
      </c>
      <c r="E115" s="622" t="str">
        <f>IF(NOT(ISBLANK('A-RACHNATMAK'!F131)),"A",IF(NOT(ISBLANK('A-RACHNATMAK'!F130)),"B",IF(NOT(ISBLANK('A-RACHNATMAK'!F129)),"C","")))</f>
        <v/>
      </c>
      <c r="F115" s="622" t="str">
        <f>IF(NOT(ISBLANK('A-RACHNATMAK'!G131)),"A",IF(NOT(ISBLANK('A-RACHNATMAK'!G130)),"B",IF(NOT(ISBLANK('A-RACHNATMAK'!G129)),"C","")))</f>
        <v/>
      </c>
      <c r="G115" s="622" t="str">
        <f>IF(NOT(ISBLANK('A-RACHNATMAK'!H131)),"A",IF(NOT(ISBLANK('A-RACHNATMAK'!H130)),"B",IF(NOT(ISBLANK('A-RACHNATMAK'!H129)),"C","")))</f>
        <v/>
      </c>
      <c r="H115" s="622" t="str">
        <f>IF(NOT(ISBLANK('A-RACHNATMAK'!I131)),"A",IF(NOT(ISBLANK('A-RACHNATMAK'!I130)),"B",IF(NOT(ISBLANK('A-RACHNATMAK'!I129)),"C","")))</f>
        <v/>
      </c>
      <c r="I115" s="622" t="str">
        <f>IF(NOT(ISBLANK('A-RACHNATMAK'!J131)),"A",IF(NOT(ISBLANK('A-RACHNATMAK'!J130)),"B",IF(NOT(ISBLANK('A-RACHNATMAK'!J129)),"C","")))</f>
        <v/>
      </c>
      <c r="J115" s="622" t="str">
        <f>IF(NOT(ISBLANK('A-RACHNATMAK'!K131)),"A",IF(NOT(ISBLANK('A-RACHNATMAK'!K130)),"B",IF(NOT(ISBLANK('A-RACHNATMAK'!K129)),"C","")))</f>
        <v/>
      </c>
      <c r="K115" s="622" t="str">
        <f>IF(NOT(ISBLANK('A-RACHNATMAK'!L131)),"A",IF(NOT(ISBLANK('A-RACHNATMAK'!L130)),"B",IF(NOT(ISBLANK('A-RACHNATMAK'!L129)),"C","")))</f>
        <v/>
      </c>
      <c r="L115" s="622" t="str">
        <f>IF(NOT(ISBLANK('A-RACHNATMAK'!M131)),"A",IF(NOT(ISBLANK('A-RACHNATMAK'!M130)),"B",IF(NOT(ISBLANK('A-RACHNATMAK'!M129)),"C","")))</f>
        <v/>
      </c>
      <c r="M115" s="622" t="str">
        <f>IF(NOT(ISBLANK('A-RACHNATMAK'!N131)),"A",IF(NOT(ISBLANK('A-RACHNATMAK'!N130)),"B",IF(NOT(ISBLANK('A-RACHNATMAK'!N129)),"C","")))</f>
        <v/>
      </c>
      <c r="N115" s="622" t="str">
        <f>IF(NOT(ISBLANK('A-RACHNATMAK'!O131)),"A",IF(NOT(ISBLANK('A-RACHNATMAK'!O130)),"B",IF(NOT(ISBLANK('A-RACHNATMAK'!O129)),"C","")))</f>
        <v/>
      </c>
      <c r="O115" s="622" t="str">
        <f>IF(NOT(ISBLANK('A-RACHNATMAK'!P131)),"A",IF(NOT(ISBLANK('A-RACHNATMAK'!P130)),"B",IF(NOT(ISBLANK('A-RACHNATMAK'!P129)),"C","")))</f>
        <v/>
      </c>
      <c r="P115" s="622" t="str">
        <f>IF(NOT(ISBLANK('A-RACHNATMAK'!Q131)),"A",IF(NOT(ISBLANK('A-RACHNATMAK'!Q130)),"B",IF(NOT(ISBLANK('A-RACHNATMAK'!Q129)),"C","")))</f>
        <v/>
      </c>
      <c r="Q115" s="622" t="str">
        <f>IF(NOT(ISBLANK('A-RACHNATMAK'!R131)),"A",IF(NOT(ISBLANK('A-RACHNATMAK'!R130)),"B",IF(NOT(ISBLANK('A-RACHNATMAK'!R129)),"C","")))</f>
        <v/>
      </c>
      <c r="R115" s="622" t="str">
        <f>IF(NOT(ISBLANK('A-RACHNATMAK'!S131)),"A",IF(NOT(ISBLANK('A-RACHNATMAK'!S130)),"B",IF(NOT(ISBLANK('A-RACHNATMAK'!S129)),"C","")))</f>
        <v/>
      </c>
      <c r="S115" s="622" t="str">
        <f>IF(NOT(ISBLANK('A-RACHNATMAK'!T131)),"A",IF(NOT(ISBLANK('A-RACHNATMAK'!T130)),"B",IF(NOT(ISBLANK('A-RACHNATMAK'!T129)),"C","")))</f>
        <v/>
      </c>
      <c r="T115" s="622" t="str">
        <f>IF(NOT(ISBLANK('A-RACHNATMAK'!U131)),"A",IF(NOT(ISBLANK('A-RACHNATMAK'!U130)),"B",IF(NOT(ISBLANK('A-RACHNATMAK'!U129)),"C","")))</f>
        <v/>
      </c>
      <c r="U115" s="622" t="str">
        <f>IF(NOT(ISBLANK('A-RACHNATMAK'!V131)),"A",IF(NOT(ISBLANK('A-RACHNATMAK'!V130)),"B",IF(NOT(ISBLANK('A-RACHNATMAK'!V129)),"C","")))</f>
        <v/>
      </c>
      <c r="V115" s="622">
        <f t="shared" ref="V115" si="210">COUNTIF(B115:U115,"A")</f>
        <v>0</v>
      </c>
      <c r="W115" s="622">
        <f t="shared" ref="W115" si="211">COUNTIF(B115:U115,"B")</f>
        <v>0</v>
      </c>
      <c r="X115" s="622">
        <f t="shared" ref="X115" si="212">COUNTIF(B115:U115,"C")</f>
        <v>0</v>
      </c>
      <c r="Y115" s="330"/>
      <c r="Z115" s="623">
        <v>3</v>
      </c>
      <c r="AA115" s="622" t="str">
        <f>IF(NOT(ISBLANK('A-RACHNATMAK'!AD131)),"A",IF(NOT(ISBLANK('A-RACHNATMAK'!AD130)),"B",IF(NOT(ISBLANK('A-RACHNATMAK'!AD129)),"C","")))</f>
        <v/>
      </c>
      <c r="AB115" s="622" t="str">
        <f>IF(NOT(ISBLANK('A-RACHNATMAK'!AE131)),"A",IF(NOT(ISBLANK('A-RACHNATMAK'!AE130)),"B",IF(NOT(ISBLANK('A-RACHNATMAK'!AE129)),"C","")))</f>
        <v/>
      </c>
      <c r="AC115" s="622" t="str">
        <f>IF(NOT(ISBLANK('A-RACHNATMAK'!AF131)),"A",IF(NOT(ISBLANK('A-RACHNATMAK'!AF130)),"B",IF(NOT(ISBLANK('A-RACHNATMAK'!AF129)),"C","")))</f>
        <v/>
      </c>
      <c r="AD115" s="622" t="str">
        <f>IF(NOT(ISBLANK('A-RACHNATMAK'!AG131)),"A",IF(NOT(ISBLANK('A-RACHNATMAK'!AG130)),"B",IF(NOT(ISBLANK('A-RACHNATMAK'!AG129)),"C","")))</f>
        <v/>
      </c>
      <c r="AE115" s="622" t="str">
        <f>IF(NOT(ISBLANK('A-RACHNATMAK'!AH131)),"A",IF(NOT(ISBLANK('A-RACHNATMAK'!AH130)),"B",IF(NOT(ISBLANK('A-RACHNATMAK'!AH129)),"C","")))</f>
        <v/>
      </c>
      <c r="AF115" s="622" t="str">
        <f>IF(NOT(ISBLANK('A-RACHNATMAK'!AI131)),"A",IF(NOT(ISBLANK('A-RACHNATMAK'!AI130)),"B",IF(NOT(ISBLANK('A-RACHNATMAK'!AI129)),"C","")))</f>
        <v/>
      </c>
      <c r="AG115" s="622" t="str">
        <f>IF(NOT(ISBLANK('A-RACHNATMAK'!AJ131)),"A",IF(NOT(ISBLANK('A-RACHNATMAK'!AJ130)),"B",IF(NOT(ISBLANK('A-RACHNATMAK'!AJ129)),"C","")))</f>
        <v/>
      </c>
      <c r="AH115" s="622" t="str">
        <f>IF(NOT(ISBLANK('A-RACHNATMAK'!AK131)),"A",IF(NOT(ISBLANK('A-RACHNATMAK'!AK130)),"B",IF(NOT(ISBLANK('A-RACHNATMAK'!AK129)),"C","")))</f>
        <v/>
      </c>
      <c r="AI115" s="622" t="str">
        <f>IF(NOT(ISBLANK('A-RACHNATMAK'!AL131)),"A",IF(NOT(ISBLANK('A-RACHNATMAK'!AL130)),"B",IF(NOT(ISBLANK('A-RACHNATMAK'!AL129)),"C","")))</f>
        <v/>
      </c>
      <c r="AJ115" s="622" t="str">
        <f>IF(NOT(ISBLANK('A-RACHNATMAK'!AM131)),"A",IF(NOT(ISBLANK('A-RACHNATMAK'!AM130)),"B",IF(NOT(ISBLANK('A-RACHNATMAK'!AM129)),"C","")))</f>
        <v/>
      </c>
      <c r="AK115" s="622" t="str">
        <f>IF(NOT(ISBLANK('A-RACHNATMAK'!AN131)),"A",IF(NOT(ISBLANK('A-RACHNATMAK'!AN130)),"B",IF(NOT(ISBLANK('A-RACHNATMAK'!AN129)),"C","")))</f>
        <v/>
      </c>
      <c r="AL115" s="622" t="str">
        <f>IF(NOT(ISBLANK('A-RACHNATMAK'!AO131)),"A",IF(NOT(ISBLANK('A-RACHNATMAK'!AO130)),"B",IF(NOT(ISBLANK('A-RACHNATMAK'!AO129)),"C","")))</f>
        <v/>
      </c>
      <c r="AM115" s="622" t="str">
        <f>IF(NOT(ISBLANK('A-RACHNATMAK'!AP131)),"A",IF(NOT(ISBLANK('A-RACHNATMAK'!AP130)),"B",IF(NOT(ISBLANK('A-RACHNATMAK'!AP129)),"C","")))</f>
        <v/>
      </c>
      <c r="AN115" s="622" t="str">
        <f>IF(NOT(ISBLANK('A-RACHNATMAK'!AQ131)),"A",IF(NOT(ISBLANK('A-RACHNATMAK'!AQ130)),"B",IF(NOT(ISBLANK('A-RACHNATMAK'!AQ129)),"C","")))</f>
        <v/>
      </c>
      <c r="AO115" s="622" t="str">
        <f>IF(NOT(ISBLANK('A-RACHNATMAK'!AR131)),"A",IF(NOT(ISBLANK('A-RACHNATMAK'!AR130)),"B",IF(NOT(ISBLANK('A-RACHNATMAK'!AR129)),"C","")))</f>
        <v/>
      </c>
      <c r="AP115" s="622" t="str">
        <f>IF(NOT(ISBLANK('A-RACHNATMAK'!AS131)),"A",IF(NOT(ISBLANK('A-RACHNATMAK'!AS130)),"B",IF(NOT(ISBLANK('A-RACHNATMAK'!AS129)),"C","")))</f>
        <v/>
      </c>
      <c r="AQ115" s="622" t="str">
        <f>IF(NOT(ISBLANK('A-RACHNATMAK'!AT131)),"A",IF(NOT(ISBLANK('A-RACHNATMAK'!AT130)),"B",IF(NOT(ISBLANK('A-RACHNATMAK'!AT129)),"C","")))</f>
        <v/>
      </c>
      <c r="AR115" s="622" t="str">
        <f>IF(NOT(ISBLANK('A-RACHNATMAK'!AU131)),"A",IF(NOT(ISBLANK('A-RACHNATMAK'!AU130)),"B",IF(NOT(ISBLANK('A-RACHNATMAK'!AU129)),"C","")))</f>
        <v/>
      </c>
      <c r="AS115" s="622" t="str">
        <f>IF(NOT(ISBLANK('A-RACHNATMAK'!AV131)),"A",IF(NOT(ISBLANK('A-RACHNATMAK'!AV130)),"B",IF(NOT(ISBLANK('A-RACHNATMAK'!AV129)),"C","")))</f>
        <v/>
      </c>
      <c r="AT115" s="622" t="str">
        <f>IF(NOT(ISBLANK('A-RACHNATMAK'!AW131)),"A",IF(NOT(ISBLANK('A-RACHNATMAK'!AW130)),"B",IF(NOT(ISBLANK('A-RACHNATMAK'!AW129)),"C","")))</f>
        <v/>
      </c>
      <c r="AU115" s="622">
        <f t="shared" ref="AU115" si="213">COUNTIF(AA115:AT115,"A")</f>
        <v>0</v>
      </c>
      <c r="AV115" s="622">
        <f t="shared" ref="AV115" si="214">COUNTIF(AA115:AT115,"B")</f>
        <v>0</v>
      </c>
      <c r="AW115" s="622">
        <f t="shared" ref="AW115" si="215">COUNTIF(AA115:AT115,"C")</f>
        <v>0</v>
      </c>
    </row>
    <row r="116" spans="1:49" ht="7.5" customHeight="1">
      <c r="A116" s="623"/>
      <c r="B116" s="622"/>
      <c r="C116" s="622"/>
      <c r="D116" s="622"/>
      <c r="E116" s="622"/>
      <c r="F116" s="622"/>
      <c r="G116" s="622"/>
      <c r="H116" s="622"/>
      <c r="I116" s="622"/>
      <c r="J116" s="622"/>
      <c r="K116" s="622"/>
      <c r="L116" s="622"/>
      <c r="M116" s="622"/>
      <c r="N116" s="622"/>
      <c r="O116" s="622"/>
      <c r="P116" s="622"/>
      <c r="Q116" s="622"/>
      <c r="R116" s="622"/>
      <c r="S116" s="622"/>
      <c r="T116" s="622"/>
      <c r="U116" s="622"/>
      <c r="V116" s="622"/>
      <c r="W116" s="622"/>
      <c r="X116" s="622"/>
      <c r="Y116" s="330"/>
      <c r="Z116" s="623"/>
      <c r="AA116" s="622"/>
      <c r="AB116" s="622"/>
      <c r="AC116" s="622"/>
      <c r="AD116" s="622"/>
      <c r="AE116" s="622"/>
      <c r="AF116" s="622"/>
      <c r="AG116" s="622"/>
      <c r="AH116" s="622"/>
      <c r="AI116" s="622"/>
      <c r="AJ116" s="622"/>
      <c r="AK116" s="622"/>
      <c r="AL116" s="622"/>
      <c r="AM116" s="622"/>
      <c r="AN116" s="622"/>
      <c r="AO116" s="622"/>
      <c r="AP116" s="622"/>
      <c r="AQ116" s="622"/>
      <c r="AR116" s="622"/>
      <c r="AS116" s="622"/>
      <c r="AT116" s="622"/>
      <c r="AU116" s="622"/>
      <c r="AV116" s="622"/>
      <c r="AW116" s="622"/>
    </row>
    <row r="117" spans="1:49" ht="7.5" customHeight="1">
      <c r="A117" s="623"/>
      <c r="B117" s="622"/>
      <c r="C117" s="622"/>
      <c r="D117" s="622"/>
      <c r="E117" s="622"/>
      <c r="F117" s="622"/>
      <c r="G117" s="622"/>
      <c r="H117" s="622"/>
      <c r="I117" s="622"/>
      <c r="J117" s="622"/>
      <c r="K117" s="622"/>
      <c r="L117" s="622"/>
      <c r="M117" s="622"/>
      <c r="N117" s="622"/>
      <c r="O117" s="622"/>
      <c r="P117" s="622"/>
      <c r="Q117" s="622"/>
      <c r="R117" s="622"/>
      <c r="S117" s="622"/>
      <c r="T117" s="622"/>
      <c r="U117" s="622"/>
      <c r="V117" s="622"/>
      <c r="W117" s="622"/>
      <c r="X117" s="622"/>
      <c r="Y117" s="330"/>
      <c r="Z117" s="623"/>
      <c r="AA117" s="622"/>
      <c r="AB117" s="622"/>
      <c r="AC117" s="622"/>
      <c r="AD117" s="622"/>
      <c r="AE117" s="622"/>
      <c r="AF117" s="622"/>
      <c r="AG117" s="622"/>
      <c r="AH117" s="622"/>
      <c r="AI117" s="622"/>
      <c r="AJ117" s="622"/>
      <c r="AK117" s="622"/>
      <c r="AL117" s="622"/>
      <c r="AM117" s="622"/>
      <c r="AN117" s="622"/>
      <c r="AO117" s="622"/>
      <c r="AP117" s="622"/>
      <c r="AQ117" s="622"/>
      <c r="AR117" s="622"/>
      <c r="AS117" s="622"/>
      <c r="AT117" s="622"/>
      <c r="AU117" s="622"/>
      <c r="AV117" s="622"/>
      <c r="AW117" s="622"/>
    </row>
    <row r="118" spans="1:49" ht="7.5" customHeight="1">
      <c r="A118" s="623">
        <v>4</v>
      </c>
      <c r="B118" s="622" t="str">
        <f>IF(NOT(ISBLANK('A-RACHNATMAK'!C134)),"A",IF(NOT(ISBLANK('A-RACHNATMAK'!C133)),"B",IF(NOT(ISBLANK('A-RACHNATMAK'!C132)),"C","")))</f>
        <v/>
      </c>
      <c r="C118" s="622" t="str">
        <f>IF(NOT(ISBLANK('A-RACHNATMAK'!D134)),"A",IF(NOT(ISBLANK('A-RACHNATMAK'!D133)),"B",IF(NOT(ISBLANK('A-RACHNATMAK'!D132)),"C","")))</f>
        <v/>
      </c>
      <c r="D118" s="622" t="str">
        <f>IF(NOT(ISBLANK('A-RACHNATMAK'!E134)),"A",IF(NOT(ISBLANK('A-RACHNATMAK'!E133)),"B",IF(NOT(ISBLANK('A-RACHNATMAK'!E132)),"C","")))</f>
        <v/>
      </c>
      <c r="E118" s="622" t="str">
        <f>IF(NOT(ISBLANK('A-RACHNATMAK'!F134)),"A",IF(NOT(ISBLANK('A-RACHNATMAK'!F133)),"B",IF(NOT(ISBLANK('A-RACHNATMAK'!F132)),"C","")))</f>
        <v/>
      </c>
      <c r="F118" s="622" t="str">
        <f>IF(NOT(ISBLANK('A-RACHNATMAK'!G134)),"A",IF(NOT(ISBLANK('A-RACHNATMAK'!G133)),"B",IF(NOT(ISBLANK('A-RACHNATMAK'!G132)),"C","")))</f>
        <v/>
      </c>
      <c r="G118" s="622" t="str">
        <f>IF(NOT(ISBLANK('A-RACHNATMAK'!H134)),"A",IF(NOT(ISBLANK('A-RACHNATMAK'!H133)),"B",IF(NOT(ISBLANK('A-RACHNATMAK'!H132)),"C","")))</f>
        <v/>
      </c>
      <c r="H118" s="622" t="str">
        <f>IF(NOT(ISBLANK('A-RACHNATMAK'!I134)),"A",IF(NOT(ISBLANK('A-RACHNATMAK'!I133)),"B",IF(NOT(ISBLANK('A-RACHNATMAK'!I132)),"C","")))</f>
        <v/>
      </c>
      <c r="I118" s="622" t="str">
        <f>IF(NOT(ISBLANK('A-RACHNATMAK'!J134)),"A",IF(NOT(ISBLANK('A-RACHNATMAK'!J133)),"B",IF(NOT(ISBLANK('A-RACHNATMAK'!J132)),"C","")))</f>
        <v/>
      </c>
      <c r="J118" s="622" t="str">
        <f>IF(NOT(ISBLANK('A-RACHNATMAK'!K134)),"A",IF(NOT(ISBLANK('A-RACHNATMAK'!K133)),"B",IF(NOT(ISBLANK('A-RACHNATMAK'!K132)),"C","")))</f>
        <v/>
      </c>
      <c r="K118" s="622" t="str">
        <f>IF(NOT(ISBLANK('A-RACHNATMAK'!L134)),"A",IF(NOT(ISBLANK('A-RACHNATMAK'!L133)),"B",IF(NOT(ISBLANK('A-RACHNATMAK'!L132)),"C","")))</f>
        <v/>
      </c>
      <c r="L118" s="622" t="str">
        <f>IF(NOT(ISBLANK('A-RACHNATMAK'!M134)),"A",IF(NOT(ISBLANK('A-RACHNATMAK'!M133)),"B",IF(NOT(ISBLANK('A-RACHNATMAK'!M132)),"C","")))</f>
        <v/>
      </c>
      <c r="M118" s="622" t="str">
        <f>IF(NOT(ISBLANK('A-RACHNATMAK'!N134)),"A",IF(NOT(ISBLANK('A-RACHNATMAK'!N133)),"B",IF(NOT(ISBLANK('A-RACHNATMAK'!N132)),"C","")))</f>
        <v/>
      </c>
      <c r="N118" s="622" t="str">
        <f>IF(NOT(ISBLANK('A-RACHNATMAK'!O134)),"A",IF(NOT(ISBLANK('A-RACHNATMAK'!O133)),"B",IF(NOT(ISBLANK('A-RACHNATMAK'!O132)),"C","")))</f>
        <v/>
      </c>
      <c r="O118" s="622" t="str">
        <f>IF(NOT(ISBLANK('A-RACHNATMAK'!P134)),"A",IF(NOT(ISBLANK('A-RACHNATMAK'!P133)),"B",IF(NOT(ISBLANK('A-RACHNATMAK'!P132)),"C","")))</f>
        <v/>
      </c>
      <c r="P118" s="622" t="str">
        <f>IF(NOT(ISBLANK('A-RACHNATMAK'!Q134)),"A",IF(NOT(ISBLANK('A-RACHNATMAK'!Q133)),"B",IF(NOT(ISBLANK('A-RACHNATMAK'!Q132)),"C","")))</f>
        <v/>
      </c>
      <c r="Q118" s="622" t="str">
        <f>IF(NOT(ISBLANK('A-RACHNATMAK'!R134)),"A",IF(NOT(ISBLANK('A-RACHNATMAK'!R133)),"B",IF(NOT(ISBLANK('A-RACHNATMAK'!R132)),"C","")))</f>
        <v/>
      </c>
      <c r="R118" s="622" t="str">
        <f>IF(NOT(ISBLANK('A-RACHNATMAK'!S134)),"A",IF(NOT(ISBLANK('A-RACHNATMAK'!S133)),"B",IF(NOT(ISBLANK('A-RACHNATMAK'!S132)),"C","")))</f>
        <v/>
      </c>
      <c r="S118" s="622" t="str">
        <f>IF(NOT(ISBLANK('A-RACHNATMAK'!T134)),"A",IF(NOT(ISBLANK('A-RACHNATMAK'!T133)),"B",IF(NOT(ISBLANK('A-RACHNATMAK'!T132)),"C","")))</f>
        <v/>
      </c>
      <c r="T118" s="622" t="str">
        <f>IF(NOT(ISBLANK('A-RACHNATMAK'!U134)),"A",IF(NOT(ISBLANK('A-RACHNATMAK'!U133)),"B",IF(NOT(ISBLANK('A-RACHNATMAK'!U132)),"C","")))</f>
        <v/>
      </c>
      <c r="U118" s="622" t="str">
        <f>IF(NOT(ISBLANK('A-RACHNATMAK'!V134)),"A",IF(NOT(ISBLANK('A-RACHNATMAK'!V133)),"B",IF(NOT(ISBLANK('A-RACHNATMAK'!V132)),"C","")))</f>
        <v/>
      </c>
      <c r="V118" s="622">
        <f t="shared" ref="V118" si="216">COUNTIF(B118:U118,"A")</f>
        <v>0</v>
      </c>
      <c r="W118" s="622">
        <f t="shared" ref="W118" si="217">COUNTIF(B118:U118,"B")</f>
        <v>0</v>
      </c>
      <c r="X118" s="622">
        <f t="shared" ref="X118" si="218">COUNTIF(B118:U118,"C")</f>
        <v>0</v>
      </c>
      <c r="Y118" s="330"/>
      <c r="Z118" s="623">
        <v>4</v>
      </c>
      <c r="AA118" s="622" t="str">
        <f>IF(NOT(ISBLANK('A-RACHNATMAK'!AD134)),"A",IF(NOT(ISBLANK('A-RACHNATMAK'!AD133)),"B",IF(NOT(ISBLANK('A-RACHNATMAK'!AD132)),"C","")))</f>
        <v/>
      </c>
      <c r="AB118" s="622" t="str">
        <f>IF(NOT(ISBLANK('A-RACHNATMAK'!AE134)),"A",IF(NOT(ISBLANK('A-RACHNATMAK'!AE133)),"B",IF(NOT(ISBLANK('A-RACHNATMAK'!AE132)),"C","")))</f>
        <v/>
      </c>
      <c r="AC118" s="622" t="str">
        <f>IF(NOT(ISBLANK('A-RACHNATMAK'!AF134)),"A",IF(NOT(ISBLANK('A-RACHNATMAK'!AF133)),"B",IF(NOT(ISBLANK('A-RACHNATMAK'!AF132)),"C","")))</f>
        <v/>
      </c>
      <c r="AD118" s="622" t="str">
        <f>IF(NOT(ISBLANK('A-RACHNATMAK'!AG134)),"A",IF(NOT(ISBLANK('A-RACHNATMAK'!AG133)),"B",IF(NOT(ISBLANK('A-RACHNATMAK'!AG132)),"C","")))</f>
        <v/>
      </c>
      <c r="AE118" s="622" t="str">
        <f>IF(NOT(ISBLANK('A-RACHNATMAK'!AH134)),"A",IF(NOT(ISBLANK('A-RACHNATMAK'!AH133)),"B",IF(NOT(ISBLANK('A-RACHNATMAK'!AH132)),"C","")))</f>
        <v/>
      </c>
      <c r="AF118" s="622" t="str">
        <f>IF(NOT(ISBLANK('A-RACHNATMAK'!AI134)),"A",IF(NOT(ISBLANK('A-RACHNATMAK'!AI133)),"B",IF(NOT(ISBLANK('A-RACHNATMAK'!AI132)),"C","")))</f>
        <v/>
      </c>
      <c r="AG118" s="622" t="str">
        <f>IF(NOT(ISBLANK('A-RACHNATMAK'!AJ134)),"A",IF(NOT(ISBLANK('A-RACHNATMAK'!AJ133)),"B",IF(NOT(ISBLANK('A-RACHNATMAK'!AJ132)),"C","")))</f>
        <v/>
      </c>
      <c r="AH118" s="622" t="str">
        <f>IF(NOT(ISBLANK('A-RACHNATMAK'!AK134)),"A",IF(NOT(ISBLANK('A-RACHNATMAK'!AK133)),"B",IF(NOT(ISBLANK('A-RACHNATMAK'!AK132)),"C","")))</f>
        <v/>
      </c>
      <c r="AI118" s="622" t="str">
        <f>IF(NOT(ISBLANK('A-RACHNATMAK'!AL134)),"A",IF(NOT(ISBLANK('A-RACHNATMAK'!AL133)),"B",IF(NOT(ISBLANK('A-RACHNATMAK'!AL132)),"C","")))</f>
        <v/>
      </c>
      <c r="AJ118" s="622" t="str">
        <f>IF(NOT(ISBLANK('A-RACHNATMAK'!AM134)),"A",IF(NOT(ISBLANK('A-RACHNATMAK'!AM133)),"B",IF(NOT(ISBLANK('A-RACHNATMAK'!AM132)),"C","")))</f>
        <v/>
      </c>
      <c r="AK118" s="622" t="str">
        <f>IF(NOT(ISBLANK('A-RACHNATMAK'!AN134)),"A",IF(NOT(ISBLANK('A-RACHNATMAK'!AN133)),"B",IF(NOT(ISBLANK('A-RACHNATMAK'!AN132)),"C","")))</f>
        <v/>
      </c>
      <c r="AL118" s="622" t="str">
        <f>IF(NOT(ISBLANK('A-RACHNATMAK'!AO134)),"A",IF(NOT(ISBLANK('A-RACHNATMAK'!AO133)),"B",IF(NOT(ISBLANK('A-RACHNATMAK'!AO132)),"C","")))</f>
        <v/>
      </c>
      <c r="AM118" s="622" t="str">
        <f>IF(NOT(ISBLANK('A-RACHNATMAK'!AP134)),"A",IF(NOT(ISBLANK('A-RACHNATMAK'!AP133)),"B",IF(NOT(ISBLANK('A-RACHNATMAK'!AP132)),"C","")))</f>
        <v/>
      </c>
      <c r="AN118" s="622" t="str">
        <f>IF(NOT(ISBLANK('A-RACHNATMAK'!AQ134)),"A",IF(NOT(ISBLANK('A-RACHNATMAK'!AQ133)),"B",IF(NOT(ISBLANK('A-RACHNATMAK'!AQ132)),"C","")))</f>
        <v/>
      </c>
      <c r="AO118" s="622" t="str">
        <f>IF(NOT(ISBLANK('A-RACHNATMAK'!AR134)),"A",IF(NOT(ISBLANK('A-RACHNATMAK'!AR133)),"B",IF(NOT(ISBLANK('A-RACHNATMAK'!AR132)),"C","")))</f>
        <v/>
      </c>
      <c r="AP118" s="622" t="str">
        <f>IF(NOT(ISBLANK('A-RACHNATMAK'!AS134)),"A",IF(NOT(ISBLANK('A-RACHNATMAK'!AS133)),"B",IF(NOT(ISBLANK('A-RACHNATMAK'!AS132)),"C","")))</f>
        <v/>
      </c>
      <c r="AQ118" s="622" t="str">
        <f>IF(NOT(ISBLANK('A-RACHNATMAK'!AT134)),"A",IF(NOT(ISBLANK('A-RACHNATMAK'!AT133)),"B",IF(NOT(ISBLANK('A-RACHNATMAK'!AT132)),"C","")))</f>
        <v/>
      </c>
      <c r="AR118" s="622" t="str">
        <f>IF(NOT(ISBLANK('A-RACHNATMAK'!AU134)),"A",IF(NOT(ISBLANK('A-RACHNATMAK'!AU133)),"B",IF(NOT(ISBLANK('A-RACHNATMAK'!AU132)),"C","")))</f>
        <v/>
      </c>
      <c r="AS118" s="622" t="str">
        <f>IF(NOT(ISBLANK('A-RACHNATMAK'!AV134)),"A",IF(NOT(ISBLANK('A-RACHNATMAK'!AV133)),"B",IF(NOT(ISBLANK('A-RACHNATMAK'!AV132)),"C","")))</f>
        <v/>
      </c>
      <c r="AT118" s="622" t="str">
        <f>IF(NOT(ISBLANK('A-RACHNATMAK'!AW134)),"A",IF(NOT(ISBLANK('A-RACHNATMAK'!AW133)),"B",IF(NOT(ISBLANK('A-RACHNATMAK'!AW132)),"C","")))</f>
        <v/>
      </c>
      <c r="AU118" s="622">
        <f t="shared" ref="AU118" si="219">COUNTIF(AA118:AT118,"A")</f>
        <v>0</v>
      </c>
      <c r="AV118" s="622">
        <f t="shared" ref="AV118" si="220">COUNTIF(AA118:AT118,"B")</f>
        <v>0</v>
      </c>
      <c r="AW118" s="622">
        <f t="shared" ref="AW118" si="221">COUNTIF(AA118:AT118,"C")</f>
        <v>0</v>
      </c>
    </row>
    <row r="119" spans="1:49" ht="7.5" customHeight="1">
      <c r="A119" s="623"/>
      <c r="B119" s="622"/>
      <c r="C119" s="622"/>
      <c r="D119" s="622"/>
      <c r="E119" s="622"/>
      <c r="F119" s="622"/>
      <c r="G119" s="622"/>
      <c r="H119" s="622"/>
      <c r="I119" s="622"/>
      <c r="J119" s="622"/>
      <c r="K119" s="622"/>
      <c r="L119" s="622"/>
      <c r="M119" s="622"/>
      <c r="N119" s="622"/>
      <c r="O119" s="622"/>
      <c r="P119" s="622"/>
      <c r="Q119" s="622"/>
      <c r="R119" s="622"/>
      <c r="S119" s="622"/>
      <c r="T119" s="622"/>
      <c r="U119" s="622"/>
      <c r="V119" s="622"/>
      <c r="W119" s="622"/>
      <c r="X119" s="622"/>
      <c r="Y119" s="330"/>
      <c r="Z119" s="623"/>
      <c r="AA119" s="622"/>
      <c r="AB119" s="622"/>
      <c r="AC119" s="622"/>
      <c r="AD119" s="622"/>
      <c r="AE119" s="622"/>
      <c r="AF119" s="622"/>
      <c r="AG119" s="622"/>
      <c r="AH119" s="622"/>
      <c r="AI119" s="622"/>
      <c r="AJ119" s="622"/>
      <c r="AK119" s="622"/>
      <c r="AL119" s="622"/>
      <c r="AM119" s="622"/>
      <c r="AN119" s="622"/>
      <c r="AO119" s="622"/>
      <c r="AP119" s="622"/>
      <c r="AQ119" s="622"/>
      <c r="AR119" s="622"/>
      <c r="AS119" s="622"/>
      <c r="AT119" s="622"/>
      <c r="AU119" s="622"/>
      <c r="AV119" s="622"/>
      <c r="AW119" s="622"/>
    </row>
    <row r="120" spans="1:49" ht="7.5" customHeight="1">
      <c r="A120" s="623"/>
      <c r="B120" s="622"/>
      <c r="C120" s="622"/>
      <c r="D120" s="622"/>
      <c r="E120" s="622"/>
      <c r="F120" s="622"/>
      <c r="G120" s="622"/>
      <c r="H120" s="622"/>
      <c r="I120" s="622"/>
      <c r="J120" s="622"/>
      <c r="K120" s="622"/>
      <c r="L120" s="622"/>
      <c r="M120" s="622"/>
      <c r="N120" s="622"/>
      <c r="O120" s="622"/>
      <c r="P120" s="622"/>
      <c r="Q120" s="622"/>
      <c r="R120" s="622"/>
      <c r="S120" s="622"/>
      <c r="T120" s="622"/>
      <c r="U120" s="622"/>
      <c r="V120" s="622"/>
      <c r="W120" s="622"/>
      <c r="X120" s="622"/>
      <c r="Y120" s="330"/>
      <c r="Z120" s="623"/>
      <c r="AA120" s="622"/>
      <c r="AB120" s="622"/>
      <c r="AC120" s="622"/>
      <c r="AD120" s="622"/>
      <c r="AE120" s="622"/>
      <c r="AF120" s="622"/>
      <c r="AG120" s="622"/>
      <c r="AH120" s="622"/>
      <c r="AI120" s="622"/>
      <c r="AJ120" s="622"/>
      <c r="AK120" s="622"/>
      <c r="AL120" s="622"/>
      <c r="AM120" s="622"/>
      <c r="AN120" s="622"/>
      <c r="AO120" s="622"/>
      <c r="AP120" s="622"/>
      <c r="AQ120" s="622"/>
      <c r="AR120" s="622"/>
      <c r="AS120" s="622"/>
      <c r="AT120" s="622"/>
      <c r="AU120" s="622"/>
      <c r="AV120" s="622"/>
      <c r="AW120" s="622"/>
    </row>
    <row r="121" spans="1:49" ht="7.5" customHeight="1">
      <c r="A121" s="623">
        <v>5</v>
      </c>
      <c r="B121" s="622" t="str">
        <f>IF(NOT(ISBLANK('A-RACHNATMAK'!C137)),"A",IF(NOT(ISBLANK('A-RACHNATMAK'!C136)),"B",IF(NOT(ISBLANK('A-RACHNATMAK'!C135)),"C","")))</f>
        <v/>
      </c>
      <c r="C121" s="622" t="str">
        <f>IF(NOT(ISBLANK('A-RACHNATMAK'!D137)),"A",IF(NOT(ISBLANK('A-RACHNATMAK'!D136)),"B",IF(NOT(ISBLANK('A-RACHNATMAK'!D135)),"C","")))</f>
        <v/>
      </c>
      <c r="D121" s="622" t="str">
        <f>IF(NOT(ISBLANK('A-RACHNATMAK'!E137)),"A",IF(NOT(ISBLANK('A-RACHNATMAK'!E136)),"B",IF(NOT(ISBLANK('A-RACHNATMAK'!E135)),"C","")))</f>
        <v/>
      </c>
      <c r="E121" s="622" t="str">
        <f>IF(NOT(ISBLANK('A-RACHNATMAK'!F137)),"A",IF(NOT(ISBLANK('A-RACHNATMAK'!F136)),"B",IF(NOT(ISBLANK('A-RACHNATMAK'!F135)),"C","")))</f>
        <v/>
      </c>
      <c r="F121" s="622" t="str">
        <f>IF(NOT(ISBLANK('A-RACHNATMAK'!G137)),"A",IF(NOT(ISBLANK('A-RACHNATMAK'!G136)),"B",IF(NOT(ISBLANK('A-RACHNATMAK'!G135)),"C","")))</f>
        <v/>
      </c>
      <c r="G121" s="622" t="str">
        <f>IF(NOT(ISBLANK('A-RACHNATMAK'!H137)),"A",IF(NOT(ISBLANK('A-RACHNATMAK'!H136)),"B",IF(NOT(ISBLANK('A-RACHNATMAK'!H135)),"C","")))</f>
        <v/>
      </c>
      <c r="H121" s="622" t="str">
        <f>IF(NOT(ISBLANK('A-RACHNATMAK'!I137)),"A",IF(NOT(ISBLANK('A-RACHNATMAK'!I136)),"B",IF(NOT(ISBLANK('A-RACHNATMAK'!I135)),"C","")))</f>
        <v/>
      </c>
      <c r="I121" s="622" t="str">
        <f>IF(NOT(ISBLANK('A-RACHNATMAK'!J137)),"A",IF(NOT(ISBLANK('A-RACHNATMAK'!J136)),"B",IF(NOT(ISBLANK('A-RACHNATMAK'!J135)),"C","")))</f>
        <v/>
      </c>
      <c r="J121" s="622" t="str">
        <f>IF(NOT(ISBLANK('A-RACHNATMAK'!K137)),"A",IF(NOT(ISBLANK('A-RACHNATMAK'!K136)),"B",IF(NOT(ISBLANK('A-RACHNATMAK'!K135)),"C","")))</f>
        <v/>
      </c>
      <c r="K121" s="622" t="str">
        <f>IF(NOT(ISBLANK('A-RACHNATMAK'!L137)),"A",IF(NOT(ISBLANK('A-RACHNATMAK'!L136)),"B",IF(NOT(ISBLANK('A-RACHNATMAK'!L135)),"C","")))</f>
        <v/>
      </c>
      <c r="L121" s="622" t="str">
        <f>IF(NOT(ISBLANK('A-RACHNATMAK'!M137)),"A",IF(NOT(ISBLANK('A-RACHNATMAK'!M136)),"B",IF(NOT(ISBLANK('A-RACHNATMAK'!M135)),"C","")))</f>
        <v/>
      </c>
      <c r="M121" s="622" t="str">
        <f>IF(NOT(ISBLANK('A-RACHNATMAK'!N137)),"A",IF(NOT(ISBLANK('A-RACHNATMAK'!N136)),"B",IF(NOT(ISBLANK('A-RACHNATMAK'!N135)),"C","")))</f>
        <v/>
      </c>
      <c r="N121" s="622" t="str">
        <f>IF(NOT(ISBLANK('A-RACHNATMAK'!O137)),"A",IF(NOT(ISBLANK('A-RACHNATMAK'!O136)),"B",IF(NOT(ISBLANK('A-RACHNATMAK'!O135)),"C","")))</f>
        <v/>
      </c>
      <c r="O121" s="622" t="str">
        <f>IF(NOT(ISBLANK('A-RACHNATMAK'!P137)),"A",IF(NOT(ISBLANK('A-RACHNATMAK'!P136)),"B",IF(NOT(ISBLANK('A-RACHNATMAK'!P135)),"C","")))</f>
        <v/>
      </c>
      <c r="P121" s="622" t="str">
        <f>IF(NOT(ISBLANK('A-RACHNATMAK'!Q137)),"A",IF(NOT(ISBLANK('A-RACHNATMAK'!Q136)),"B",IF(NOT(ISBLANK('A-RACHNATMAK'!Q135)),"C","")))</f>
        <v/>
      </c>
      <c r="Q121" s="622" t="str">
        <f>IF(NOT(ISBLANK('A-RACHNATMAK'!R137)),"A",IF(NOT(ISBLANK('A-RACHNATMAK'!R136)),"B",IF(NOT(ISBLANK('A-RACHNATMAK'!R135)),"C","")))</f>
        <v/>
      </c>
      <c r="R121" s="622" t="str">
        <f>IF(NOT(ISBLANK('A-RACHNATMAK'!S137)),"A",IF(NOT(ISBLANK('A-RACHNATMAK'!S136)),"B",IF(NOT(ISBLANK('A-RACHNATMAK'!S135)),"C","")))</f>
        <v/>
      </c>
      <c r="S121" s="622" t="str">
        <f>IF(NOT(ISBLANK('A-RACHNATMAK'!T137)),"A",IF(NOT(ISBLANK('A-RACHNATMAK'!T136)),"B",IF(NOT(ISBLANK('A-RACHNATMAK'!T135)),"C","")))</f>
        <v/>
      </c>
      <c r="T121" s="622" t="str">
        <f>IF(NOT(ISBLANK('A-RACHNATMAK'!U137)),"A",IF(NOT(ISBLANK('A-RACHNATMAK'!U136)),"B",IF(NOT(ISBLANK('A-RACHNATMAK'!U135)),"C","")))</f>
        <v/>
      </c>
      <c r="U121" s="622" t="str">
        <f>IF(NOT(ISBLANK('A-RACHNATMAK'!V137)),"A",IF(NOT(ISBLANK('A-RACHNATMAK'!V136)),"B",IF(NOT(ISBLANK('A-RACHNATMAK'!V135)),"C","")))</f>
        <v/>
      </c>
      <c r="V121" s="622">
        <f t="shared" ref="V121" si="222">COUNTIF(B121:U121,"A")</f>
        <v>0</v>
      </c>
      <c r="W121" s="622">
        <f t="shared" ref="W121" si="223">COUNTIF(B121:U121,"B")</f>
        <v>0</v>
      </c>
      <c r="X121" s="622">
        <f t="shared" ref="X121" si="224">COUNTIF(B121:U121,"C")</f>
        <v>0</v>
      </c>
      <c r="Y121" s="330"/>
      <c r="Z121" s="623">
        <v>5</v>
      </c>
      <c r="AA121" s="622" t="str">
        <f>IF(NOT(ISBLANK('A-RACHNATMAK'!AD137)),"A",IF(NOT(ISBLANK('A-RACHNATMAK'!AD136)),"B",IF(NOT(ISBLANK('A-RACHNATMAK'!AD135)),"C","")))</f>
        <v>B</v>
      </c>
      <c r="AB121" s="622" t="str">
        <f>IF(NOT(ISBLANK('A-RACHNATMAK'!AE137)),"A",IF(NOT(ISBLANK('A-RACHNATMAK'!AE136)),"B",IF(NOT(ISBLANK('A-RACHNATMAK'!AE135)),"C","")))</f>
        <v/>
      </c>
      <c r="AC121" s="622" t="str">
        <f>IF(NOT(ISBLANK('A-RACHNATMAK'!AF137)),"A",IF(NOT(ISBLANK('A-RACHNATMAK'!AF136)),"B",IF(NOT(ISBLANK('A-RACHNATMAK'!AF135)),"C","")))</f>
        <v/>
      </c>
      <c r="AD121" s="622" t="str">
        <f>IF(NOT(ISBLANK('A-RACHNATMAK'!AG137)),"A",IF(NOT(ISBLANK('A-RACHNATMAK'!AG136)),"B",IF(NOT(ISBLANK('A-RACHNATMAK'!AG135)),"C","")))</f>
        <v/>
      </c>
      <c r="AE121" s="622" t="str">
        <f>IF(NOT(ISBLANK('A-RACHNATMAK'!AH137)),"A",IF(NOT(ISBLANK('A-RACHNATMAK'!AH136)),"B",IF(NOT(ISBLANK('A-RACHNATMAK'!AH135)),"C","")))</f>
        <v>B</v>
      </c>
      <c r="AF121" s="622" t="str">
        <f>IF(NOT(ISBLANK('A-RACHNATMAK'!AI137)),"A",IF(NOT(ISBLANK('A-RACHNATMAK'!AI136)),"B",IF(NOT(ISBLANK('A-RACHNATMAK'!AI135)),"C","")))</f>
        <v/>
      </c>
      <c r="AG121" s="622" t="str">
        <f>IF(NOT(ISBLANK('A-RACHNATMAK'!AJ137)),"A",IF(NOT(ISBLANK('A-RACHNATMAK'!AJ136)),"B",IF(NOT(ISBLANK('A-RACHNATMAK'!AJ135)),"C","")))</f>
        <v>A</v>
      </c>
      <c r="AH121" s="622" t="str">
        <f>IF(NOT(ISBLANK('A-RACHNATMAK'!AK137)),"A",IF(NOT(ISBLANK('A-RACHNATMAK'!AK136)),"B",IF(NOT(ISBLANK('A-RACHNATMAK'!AK135)),"C","")))</f>
        <v/>
      </c>
      <c r="AI121" s="622" t="str">
        <f>IF(NOT(ISBLANK('A-RACHNATMAK'!AL137)),"A",IF(NOT(ISBLANK('A-RACHNATMAK'!AL136)),"B",IF(NOT(ISBLANK('A-RACHNATMAK'!AL135)),"C","")))</f>
        <v/>
      </c>
      <c r="AJ121" s="622" t="str">
        <f>IF(NOT(ISBLANK('A-RACHNATMAK'!AM137)),"A",IF(NOT(ISBLANK('A-RACHNATMAK'!AM136)),"B",IF(NOT(ISBLANK('A-RACHNATMAK'!AM135)),"C","")))</f>
        <v/>
      </c>
      <c r="AK121" s="622" t="str">
        <f>IF(NOT(ISBLANK('A-RACHNATMAK'!AN137)),"A",IF(NOT(ISBLANK('A-RACHNATMAK'!AN136)),"B",IF(NOT(ISBLANK('A-RACHNATMAK'!AN135)),"C","")))</f>
        <v/>
      </c>
      <c r="AL121" s="622" t="str">
        <f>IF(NOT(ISBLANK('A-RACHNATMAK'!AO137)),"A",IF(NOT(ISBLANK('A-RACHNATMAK'!AO136)),"B",IF(NOT(ISBLANK('A-RACHNATMAK'!AO135)),"C","")))</f>
        <v/>
      </c>
      <c r="AM121" s="622" t="str">
        <f>IF(NOT(ISBLANK('A-RACHNATMAK'!AP137)),"A",IF(NOT(ISBLANK('A-RACHNATMAK'!AP136)),"B",IF(NOT(ISBLANK('A-RACHNATMAK'!AP135)),"C","")))</f>
        <v/>
      </c>
      <c r="AN121" s="622" t="str">
        <f>IF(NOT(ISBLANK('A-RACHNATMAK'!AQ137)),"A",IF(NOT(ISBLANK('A-RACHNATMAK'!AQ136)),"B",IF(NOT(ISBLANK('A-RACHNATMAK'!AQ135)),"C","")))</f>
        <v/>
      </c>
      <c r="AO121" s="622" t="str">
        <f>IF(NOT(ISBLANK('A-RACHNATMAK'!AR137)),"A",IF(NOT(ISBLANK('A-RACHNATMAK'!AR136)),"B",IF(NOT(ISBLANK('A-RACHNATMAK'!AR135)),"C","")))</f>
        <v/>
      </c>
      <c r="AP121" s="622" t="str">
        <f>IF(NOT(ISBLANK('A-RACHNATMAK'!AS137)),"A",IF(NOT(ISBLANK('A-RACHNATMAK'!AS136)),"B",IF(NOT(ISBLANK('A-RACHNATMAK'!AS135)),"C","")))</f>
        <v/>
      </c>
      <c r="AQ121" s="622" t="str">
        <f>IF(NOT(ISBLANK('A-RACHNATMAK'!AT137)),"A",IF(NOT(ISBLANK('A-RACHNATMAK'!AT136)),"B",IF(NOT(ISBLANK('A-RACHNATMAK'!AT135)),"C","")))</f>
        <v/>
      </c>
      <c r="AR121" s="622" t="str">
        <f>IF(NOT(ISBLANK('A-RACHNATMAK'!AU137)),"A",IF(NOT(ISBLANK('A-RACHNATMAK'!AU136)),"B",IF(NOT(ISBLANK('A-RACHNATMAK'!AU135)),"C","")))</f>
        <v/>
      </c>
      <c r="AS121" s="622" t="str">
        <f>IF(NOT(ISBLANK('A-RACHNATMAK'!AV137)),"A",IF(NOT(ISBLANK('A-RACHNATMAK'!AV136)),"B",IF(NOT(ISBLANK('A-RACHNATMAK'!AV135)),"C","")))</f>
        <v/>
      </c>
      <c r="AT121" s="622" t="str">
        <f>IF(NOT(ISBLANK('A-RACHNATMAK'!AW137)),"A",IF(NOT(ISBLANK('A-RACHNATMAK'!AW136)),"B",IF(NOT(ISBLANK('A-RACHNATMAK'!AW135)),"C","")))</f>
        <v/>
      </c>
      <c r="AU121" s="622">
        <f t="shared" ref="AU121" si="225">COUNTIF(AA121:AT121,"A")</f>
        <v>1</v>
      </c>
      <c r="AV121" s="622">
        <f t="shared" ref="AV121" si="226">COUNTIF(AA121:AT121,"B")</f>
        <v>2</v>
      </c>
      <c r="AW121" s="622">
        <f t="shared" ref="AW121" si="227">COUNTIF(AA121:AT121,"C")</f>
        <v>0</v>
      </c>
    </row>
    <row r="122" spans="1:49" ht="7.5" customHeight="1">
      <c r="A122" s="623"/>
      <c r="B122" s="622"/>
      <c r="C122" s="622"/>
      <c r="D122" s="622"/>
      <c r="E122" s="622"/>
      <c r="F122" s="622"/>
      <c r="G122" s="622"/>
      <c r="H122" s="622"/>
      <c r="I122" s="622"/>
      <c r="J122" s="622"/>
      <c r="K122" s="622"/>
      <c r="L122" s="622"/>
      <c r="M122" s="622"/>
      <c r="N122" s="622"/>
      <c r="O122" s="622"/>
      <c r="P122" s="622"/>
      <c r="Q122" s="622"/>
      <c r="R122" s="622"/>
      <c r="S122" s="622"/>
      <c r="T122" s="622"/>
      <c r="U122" s="622"/>
      <c r="V122" s="622"/>
      <c r="W122" s="622"/>
      <c r="X122" s="622"/>
      <c r="Y122" s="330"/>
      <c r="Z122" s="623"/>
      <c r="AA122" s="622"/>
      <c r="AB122" s="622"/>
      <c r="AC122" s="622"/>
      <c r="AD122" s="622"/>
      <c r="AE122" s="622"/>
      <c r="AF122" s="622"/>
      <c r="AG122" s="622"/>
      <c r="AH122" s="622"/>
      <c r="AI122" s="622"/>
      <c r="AJ122" s="622"/>
      <c r="AK122" s="622"/>
      <c r="AL122" s="622"/>
      <c r="AM122" s="622"/>
      <c r="AN122" s="622"/>
      <c r="AO122" s="622"/>
      <c r="AP122" s="622"/>
      <c r="AQ122" s="622"/>
      <c r="AR122" s="622"/>
      <c r="AS122" s="622"/>
      <c r="AT122" s="622"/>
      <c r="AU122" s="622"/>
      <c r="AV122" s="622"/>
      <c r="AW122" s="622"/>
    </row>
    <row r="123" spans="1:49" ht="7.5" customHeight="1">
      <c r="A123" s="623"/>
      <c r="B123" s="622"/>
      <c r="C123" s="622"/>
      <c r="D123" s="622"/>
      <c r="E123" s="622"/>
      <c r="F123" s="622"/>
      <c r="G123" s="622"/>
      <c r="H123" s="622"/>
      <c r="I123" s="622"/>
      <c r="J123" s="622"/>
      <c r="K123" s="622"/>
      <c r="L123" s="622"/>
      <c r="M123" s="622"/>
      <c r="N123" s="622"/>
      <c r="O123" s="622"/>
      <c r="P123" s="622"/>
      <c r="Q123" s="622"/>
      <c r="R123" s="622"/>
      <c r="S123" s="622"/>
      <c r="T123" s="622"/>
      <c r="U123" s="622"/>
      <c r="V123" s="622"/>
      <c r="W123" s="622"/>
      <c r="X123" s="622"/>
      <c r="Y123" s="330"/>
      <c r="Z123" s="623"/>
      <c r="AA123" s="622"/>
      <c r="AB123" s="622"/>
      <c r="AC123" s="622"/>
      <c r="AD123" s="622"/>
      <c r="AE123" s="622"/>
      <c r="AF123" s="622"/>
      <c r="AG123" s="622"/>
      <c r="AH123" s="622"/>
      <c r="AI123" s="622"/>
      <c r="AJ123" s="622"/>
      <c r="AK123" s="622"/>
      <c r="AL123" s="622"/>
      <c r="AM123" s="622"/>
      <c r="AN123" s="622"/>
      <c r="AO123" s="622"/>
      <c r="AP123" s="622"/>
      <c r="AQ123" s="622"/>
      <c r="AR123" s="622"/>
      <c r="AS123" s="622"/>
      <c r="AT123" s="622"/>
      <c r="AU123" s="622"/>
      <c r="AV123" s="622"/>
      <c r="AW123" s="622"/>
    </row>
    <row r="124" spans="1:49" ht="7.5" customHeight="1">
      <c r="A124" s="623">
        <v>6</v>
      </c>
      <c r="B124" s="622" t="str">
        <f>IF(NOT(ISBLANK('A-RACHNATMAK'!C140)),"A",IF(NOT(ISBLANK('A-RACHNATMAK'!C139)),"B",IF(NOT(ISBLANK('A-RACHNATMAK'!C138)),"C","")))</f>
        <v/>
      </c>
      <c r="C124" s="622" t="str">
        <f>IF(NOT(ISBLANK('A-RACHNATMAK'!D140)),"A",IF(NOT(ISBLANK('A-RACHNATMAK'!D139)),"B",IF(NOT(ISBLANK('A-RACHNATMAK'!D138)),"C","")))</f>
        <v/>
      </c>
      <c r="D124" s="622" t="str">
        <f>IF(NOT(ISBLANK('A-RACHNATMAK'!E140)),"A",IF(NOT(ISBLANK('A-RACHNATMAK'!E139)),"B",IF(NOT(ISBLANK('A-RACHNATMAK'!E138)),"C","")))</f>
        <v/>
      </c>
      <c r="E124" s="622" t="str">
        <f>IF(NOT(ISBLANK('A-RACHNATMAK'!F140)),"A",IF(NOT(ISBLANK('A-RACHNATMAK'!F139)),"B",IF(NOT(ISBLANK('A-RACHNATMAK'!F138)),"C","")))</f>
        <v/>
      </c>
      <c r="F124" s="622" t="str">
        <f>IF(NOT(ISBLANK('A-RACHNATMAK'!G140)),"A",IF(NOT(ISBLANK('A-RACHNATMAK'!G139)),"B",IF(NOT(ISBLANK('A-RACHNATMAK'!G138)),"C","")))</f>
        <v/>
      </c>
      <c r="G124" s="622" t="str">
        <f>IF(NOT(ISBLANK('A-RACHNATMAK'!H140)),"A",IF(NOT(ISBLANK('A-RACHNATMAK'!H139)),"B",IF(NOT(ISBLANK('A-RACHNATMAK'!H138)),"C","")))</f>
        <v/>
      </c>
      <c r="H124" s="622" t="str">
        <f>IF(NOT(ISBLANK('A-RACHNATMAK'!I140)),"A",IF(NOT(ISBLANK('A-RACHNATMAK'!I139)),"B",IF(NOT(ISBLANK('A-RACHNATMAK'!I138)),"C","")))</f>
        <v/>
      </c>
      <c r="I124" s="622" t="str">
        <f>IF(NOT(ISBLANK('A-RACHNATMAK'!J140)),"A",IF(NOT(ISBLANK('A-RACHNATMAK'!J139)),"B",IF(NOT(ISBLANK('A-RACHNATMAK'!J138)),"C","")))</f>
        <v/>
      </c>
      <c r="J124" s="622" t="str">
        <f>IF(NOT(ISBLANK('A-RACHNATMAK'!K140)),"A",IF(NOT(ISBLANK('A-RACHNATMAK'!K139)),"B",IF(NOT(ISBLANK('A-RACHNATMAK'!K138)),"C","")))</f>
        <v/>
      </c>
      <c r="K124" s="622" t="str">
        <f>IF(NOT(ISBLANK('A-RACHNATMAK'!L140)),"A",IF(NOT(ISBLANK('A-RACHNATMAK'!L139)),"B",IF(NOT(ISBLANK('A-RACHNATMAK'!L138)),"C","")))</f>
        <v/>
      </c>
      <c r="L124" s="622" t="str">
        <f>IF(NOT(ISBLANK('A-RACHNATMAK'!M140)),"A",IF(NOT(ISBLANK('A-RACHNATMAK'!M139)),"B",IF(NOT(ISBLANK('A-RACHNATMAK'!M138)),"C","")))</f>
        <v/>
      </c>
      <c r="M124" s="622" t="str">
        <f>IF(NOT(ISBLANK('A-RACHNATMAK'!N140)),"A",IF(NOT(ISBLANK('A-RACHNATMAK'!N139)),"B",IF(NOT(ISBLANK('A-RACHNATMAK'!N138)),"C","")))</f>
        <v/>
      </c>
      <c r="N124" s="622" t="str">
        <f>IF(NOT(ISBLANK('A-RACHNATMAK'!O140)),"A",IF(NOT(ISBLANK('A-RACHNATMAK'!O139)),"B",IF(NOT(ISBLANK('A-RACHNATMAK'!O138)),"C","")))</f>
        <v/>
      </c>
      <c r="O124" s="622" t="str">
        <f>IF(NOT(ISBLANK('A-RACHNATMAK'!P140)),"A",IF(NOT(ISBLANK('A-RACHNATMAK'!P139)),"B",IF(NOT(ISBLANK('A-RACHNATMAK'!P138)),"C","")))</f>
        <v/>
      </c>
      <c r="P124" s="622" t="str">
        <f>IF(NOT(ISBLANK('A-RACHNATMAK'!Q140)),"A",IF(NOT(ISBLANK('A-RACHNATMAK'!Q139)),"B",IF(NOT(ISBLANK('A-RACHNATMAK'!Q138)),"C","")))</f>
        <v/>
      </c>
      <c r="Q124" s="622" t="str">
        <f>IF(NOT(ISBLANK('A-RACHNATMAK'!R140)),"A",IF(NOT(ISBLANK('A-RACHNATMAK'!R139)),"B",IF(NOT(ISBLANK('A-RACHNATMAK'!R138)),"C","")))</f>
        <v/>
      </c>
      <c r="R124" s="622" t="str">
        <f>IF(NOT(ISBLANK('A-RACHNATMAK'!S140)),"A",IF(NOT(ISBLANK('A-RACHNATMAK'!S139)),"B",IF(NOT(ISBLANK('A-RACHNATMAK'!S138)),"C","")))</f>
        <v/>
      </c>
      <c r="S124" s="622" t="str">
        <f>IF(NOT(ISBLANK('A-RACHNATMAK'!T140)),"A",IF(NOT(ISBLANK('A-RACHNATMAK'!T139)),"B",IF(NOT(ISBLANK('A-RACHNATMAK'!T138)),"C","")))</f>
        <v/>
      </c>
      <c r="T124" s="622" t="str">
        <f>IF(NOT(ISBLANK('A-RACHNATMAK'!U140)),"A",IF(NOT(ISBLANK('A-RACHNATMAK'!U139)),"B",IF(NOT(ISBLANK('A-RACHNATMAK'!U138)),"C","")))</f>
        <v/>
      </c>
      <c r="U124" s="622" t="str">
        <f>IF(NOT(ISBLANK('A-RACHNATMAK'!V140)),"A",IF(NOT(ISBLANK('A-RACHNATMAK'!V139)),"B",IF(NOT(ISBLANK('A-RACHNATMAK'!V138)),"C","")))</f>
        <v/>
      </c>
      <c r="V124" s="622">
        <f t="shared" ref="V124" si="228">COUNTIF(B124:U124,"A")</f>
        <v>0</v>
      </c>
      <c r="W124" s="622">
        <f t="shared" ref="W124" si="229">COUNTIF(B124:U124,"B")</f>
        <v>0</v>
      </c>
      <c r="X124" s="622">
        <f t="shared" ref="X124" si="230">COUNTIF(B124:U124,"C")</f>
        <v>0</v>
      </c>
      <c r="Y124" s="330"/>
      <c r="Z124" s="623">
        <v>6</v>
      </c>
      <c r="AA124" s="622" t="str">
        <f>IF(NOT(ISBLANK('A-RACHNATMAK'!AD140)),"A",IF(NOT(ISBLANK('A-RACHNATMAK'!AD139)),"B",IF(NOT(ISBLANK('A-RACHNATMAK'!AD138)),"C","")))</f>
        <v/>
      </c>
      <c r="AB124" s="622" t="str">
        <f>IF(NOT(ISBLANK('A-RACHNATMAK'!AE140)),"A",IF(NOT(ISBLANK('A-RACHNATMAK'!AE139)),"B",IF(NOT(ISBLANK('A-RACHNATMAK'!AE138)),"C","")))</f>
        <v/>
      </c>
      <c r="AC124" s="622" t="str">
        <f>IF(NOT(ISBLANK('A-RACHNATMAK'!AF140)),"A",IF(NOT(ISBLANK('A-RACHNATMAK'!AF139)),"B",IF(NOT(ISBLANK('A-RACHNATMAK'!AF138)),"C","")))</f>
        <v/>
      </c>
      <c r="AD124" s="622" t="str">
        <f>IF(NOT(ISBLANK('A-RACHNATMAK'!AG140)),"A",IF(NOT(ISBLANK('A-RACHNATMAK'!AG139)),"B",IF(NOT(ISBLANK('A-RACHNATMAK'!AG138)),"C","")))</f>
        <v/>
      </c>
      <c r="AE124" s="622" t="str">
        <f>IF(NOT(ISBLANK('A-RACHNATMAK'!AH140)),"A",IF(NOT(ISBLANK('A-RACHNATMAK'!AH139)),"B",IF(NOT(ISBLANK('A-RACHNATMAK'!AH138)),"C","")))</f>
        <v/>
      </c>
      <c r="AF124" s="622" t="str">
        <f>IF(NOT(ISBLANK('A-RACHNATMAK'!AI140)),"A",IF(NOT(ISBLANK('A-RACHNATMAK'!AI139)),"B",IF(NOT(ISBLANK('A-RACHNATMAK'!AI138)),"C","")))</f>
        <v/>
      </c>
      <c r="AG124" s="622" t="str">
        <f>IF(NOT(ISBLANK('A-RACHNATMAK'!AJ140)),"A",IF(NOT(ISBLANK('A-RACHNATMAK'!AJ139)),"B",IF(NOT(ISBLANK('A-RACHNATMAK'!AJ138)),"C","")))</f>
        <v/>
      </c>
      <c r="AH124" s="622" t="str">
        <f>IF(NOT(ISBLANK('A-RACHNATMAK'!AK140)),"A",IF(NOT(ISBLANK('A-RACHNATMAK'!AK139)),"B",IF(NOT(ISBLANK('A-RACHNATMAK'!AK138)),"C","")))</f>
        <v/>
      </c>
      <c r="AI124" s="622" t="str">
        <f>IF(NOT(ISBLANK('A-RACHNATMAK'!AL140)),"A",IF(NOT(ISBLANK('A-RACHNATMAK'!AL139)),"B",IF(NOT(ISBLANK('A-RACHNATMAK'!AL138)),"C","")))</f>
        <v/>
      </c>
      <c r="AJ124" s="622" t="str">
        <f>IF(NOT(ISBLANK('A-RACHNATMAK'!AM140)),"A",IF(NOT(ISBLANK('A-RACHNATMAK'!AM139)),"B",IF(NOT(ISBLANK('A-RACHNATMAK'!AM138)),"C","")))</f>
        <v/>
      </c>
      <c r="AK124" s="622" t="str">
        <f>IF(NOT(ISBLANK('A-RACHNATMAK'!AN140)),"A",IF(NOT(ISBLANK('A-RACHNATMAK'!AN139)),"B",IF(NOT(ISBLANK('A-RACHNATMAK'!AN138)),"C","")))</f>
        <v/>
      </c>
      <c r="AL124" s="622" t="str">
        <f>IF(NOT(ISBLANK('A-RACHNATMAK'!AO140)),"A",IF(NOT(ISBLANK('A-RACHNATMAK'!AO139)),"B",IF(NOT(ISBLANK('A-RACHNATMAK'!AO138)),"C","")))</f>
        <v/>
      </c>
      <c r="AM124" s="622" t="str">
        <f>IF(NOT(ISBLANK('A-RACHNATMAK'!AP140)),"A",IF(NOT(ISBLANK('A-RACHNATMAK'!AP139)),"B",IF(NOT(ISBLANK('A-RACHNATMAK'!AP138)),"C","")))</f>
        <v/>
      </c>
      <c r="AN124" s="622" t="str">
        <f>IF(NOT(ISBLANK('A-RACHNATMAK'!AQ140)),"A",IF(NOT(ISBLANK('A-RACHNATMAK'!AQ139)),"B",IF(NOT(ISBLANK('A-RACHNATMAK'!AQ138)),"C","")))</f>
        <v/>
      </c>
      <c r="AO124" s="622" t="str">
        <f>IF(NOT(ISBLANK('A-RACHNATMAK'!AR140)),"A",IF(NOT(ISBLANK('A-RACHNATMAK'!AR139)),"B",IF(NOT(ISBLANK('A-RACHNATMAK'!AR138)),"C","")))</f>
        <v/>
      </c>
      <c r="AP124" s="622" t="str">
        <f>IF(NOT(ISBLANK('A-RACHNATMAK'!AS140)),"A",IF(NOT(ISBLANK('A-RACHNATMAK'!AS139)),"B",IF(NOT(ISBLANK('A-RACHNATMAK'!AS138)),"C","")))</f>
        <v/>
      </c>
      <c r="AQ124" s="622" t="str">
        <f>IF(NOT(ISBLANK('A-RACHNATMAK'!AT140)),"A",IF(NOT(ISBLANK('A-RACHNATMAK'!AT139)),"B",IF(NOT(ISBLANK('A-RACHNATMAK'!AT138)),"C","")))</f>
        <v/>
      </c>
      <c r="AR124" s="622" t="str">
        <f>IF(NOT(ISBLANK('A-RACHNATMAK'!AU140)),"A",IF(NOT(ISBLANK('A-RACHNATMAK'!AU139)),"B",IF(NOT(ISBLANK('A-RACHNATMAK'!AU138)),"C","")))</f>
        <v/>
      </c>
      <c r="AS124" s="622" t="str">
        <f>IF(NOT(ISBLANK('A-RACHNATMAK'!AV140)),"A",IF(NOT(ISBLANK('A-RACHNATMAK'!AV139)),"B",IF(NOT(ISBLANK('A-RACHNATMAK'!AV138)),"C","")))</f>
        <v/>
      </c>
      <c r="AT124" s="622" t="str">
        <f>IF(NOT(ISBLANK('A-RACHNATMAK'!AW140)),"A",IF(NOT(ISBLANK('A-RACHNATMAK'!AW139)),"B",IF(NOT(ISBLANK('A-RACHNATMAK'!AW138)),"C","")))</f>
        <v/>
      </c>
      <c r="AU124" s="622">
        <f t="shared" ref="AU124" si="231">COUNTIF(AA124:AT124,"A")</f>
        <v>0</v>
      </c>
      <c r="AV124" s="622">
        <f t="shared" ref="AV124" si="232">COUNTIF(AA124:AT124,"B")</f>
        <v>0</v>
      </c>
      <c r="AW124" s="622">
        <f t="shared" ref="AW124" si="233">COUNTIF(AA124:AT124,"C")</f>
        <v>0</v>
      </c>
    </row>
    <row r="125" spans="1:49" ht="7.5" customHeight="1">
      <c r="A125" s="623"/>
      <c r="B125" s="622"/>
      <c r="C125" s="622"/>
      <c r="D125" s="622"/>
      <c r="E125" s="622"/>
      <c r="F125" s="622"/>
      <c r="G125" s="622"/>
      <c r="H125" s="622"/>
      <c r="I125" s="622"/>
      <c r="J125" s="622"/>
      <c r="K125" s="622"/>
      <c r="L125" s="622"/>
      <c r="M125" s="622"/>
      <c r="N125" s="622"/>
      <c r="O125" s="622"/>
      <c r="P125" s="622"/>
      <c r="Q125" s="622"/>
      <c r="R125" s="622"/>
      <c r="S125" s="622"/>
      <c r="T125" s="622"/>
      <c r="U125" s="622"/>
      <c r="V125" s="622"/>
      <c r="W125" s="622"/>
      <c r="X125" s="622"/>
      <c r="Y125" s="330"/>
      <c r="Z125" s="623"/>
      <c r="AA125" s="622"/>
      <c r="AB125" s="622"/>
      <c r="AC125" s="622"/>
      <c r="AD125" s="622"/>
      <c r="AE125" s="622"/>
      <c r="AF125" s="622"/>
      <c r="AG125" s="622"/>
      <c r="AH125" s="622"/>
      <c r="AI125" s="622"/>
      <c r="AJ125" s="622"/>
      <c r="AK125" s="622"/>
      <c r="AL125" s="622"/>
      <c r="AM125" s="622"/>
      <c r="AN125" s="622"/>
      <c r="AO125" s="622"/>
      <c r="AP125" s="622"/>
      <c r="AQ125" s="622"/>
      <c r="AR125" s="622"/>
      <c r="AS125" s="622"/>
      <c r="AT125" s="622"/>
      <c r="AU125" s="622"/>
      <c r="AV125" s="622"/>
      <c r="AW125" s="622"/>
    </row>
    <row r="126" spans="1:49" ht="7.5" customHeight="1">
      <c r="A126" s="623"/>
      <c r="B126" s="622"/>
      <c r="C126" s="622"/>
      <c r="D126" s="622"/>
      <c r="E126" s="622"/>
      <c r="F126" s="622"/>
      <c r="G126" s="622"/>
      <c r="H126" s="622"/>
      <c r="I126" s="622"/>
      <c r="J126" s="622"/>
      <c r="K126" s="622"/>
      <c r="L126" s="622"/>
      <c r="M126" s="622"/>
      <c r="N126" s="622"/>
      <c r="O126" s="622"/>
      <c r="P126" s="622"/>
      <c r="Q126" s="622"/>
      <c r="R126" s="622"/>
      <c r="S126" s="622"/>
      <c r="T126" s="622"/>
      <c r="U126" s="622"/>
      <c r="V126" s="622"/>
      <c r="W126" s="622"/>
      <c r="X126" s="622"/>
      <c r="Y126" s="330"/>
      <c r="Z126" s="623"/>
      <c r="AA126" s="622"/>
      <c r="AB126" s="622"/>
      <c r="AC126" s="622"/>
      <c r="AD126" s="622"/>
      <c r="AE126" s="622"/>
      <c r="AF126" s="622"/>
      <c r="AG126" s="622"/>
      <c r="AH126" s="622"/>
      <c r="AI126" s="622"/>
      <c r="AJ126" s="622"/>
      <c r="AK126" s="622"/>
      <c r="AL126" s="622"/>
      <c r="AM126" s="622"/>
      <c r="AN126" s="622"/>
      <c r="AO126" s="622"/>
      <c r="AP126" s="622"/>
      <c r="AQ126" s="622"/>
      <c r="AR126" s="622"/>
      <c r="AS126" s="622"/>
      <c r="AT126" s="622"/>
      <c r="AU126" s="622"/>
      <c r="AV126" s="622"/>
      <c r="AW126" s="622"/>
    </row>
    <row r="127" spans="1:49" ht="7.5" customHeight="1">
      <c r="A127" s="623">
        <v>7</v>
      </c>
      <c r="B127" s="622" t="str">
        <f>IF(NOT(ISBLANK('A-RACHNATMAK'!C143)),"A",IF(NOT(ISBLANK('A-RACHNATMAK'!C142)),"B",IF(NOT(ISBLANK('A-RACHNATMAK'!C141)),"C","")))</f>
        <v/>
      </c>
      <c r="C127" s="622" t="str">
        <f>IF(NOT(ISBLANK('A-RACHNATMAK'!D143)),"A",IF(NOT(ISBLANK('A-RACHNATMAK'!D142)),"B",IF(NOT(ISBLANK('A-RACHNATMAK'!D141)),"C","")))</f>
        <v/>
      </c>
      <c r="D127" s="622" t="str">
        <f>IF(NOT(ISBLANK('A-RACHNATMAK'!E143)),"A",IF(NOT(ISBLANK('A-RACHNATMAK'!E142)),"B",IF(NOT(ISBLANK('A-RACHNATMAK'!E141)),"C","")))</f>
        <v/>
      </c>
      <c r="E127" s="622" t="str">
        <f>IF(NOT(ISBLANK('A-RACHNATMAK'!F143)),"A",IF(NOT(ISBLANK('A-RACHNATMAK'!F142)),"B",IF(NOT(ISBLANK('A-RACHNATMAK'!F141)),"C","")))</f>
        <v/>
      </c>
      <c r="F127" s="622" t="str">
        <f>IF(NOT(ISBLANK('A-RACHNATMAK'!G143)),"A",IF(NOT(ISBLANK('A-RACHNATMAK'!G142)),"B",IF(NOT(ISBLANK('A-RACHNATMAK'!G141)),"C","")))</f>
        <v/>
      </c>
      <c r="G127" s="622" t="str">
        <f>IF(NOT(ISBLANK('A-RACHNATMAK'!H143)),"A",IF(NOT(ISBLANK('A-RACHNATMAK'!H142)),"B",IF(NOT(ISBLANK('A-RACHNATMAK'!H141)),"C","")))</f>
        <v/>
      </c>
      <c r="H127" s="622" t="str">
        <f>IF(NOT(ISBLANK('A-RACHNATMAK'!I143)),"A",IF(NOT(ISBLANK('A-RACHNATMAK'!I142)),"B",IF(NOT(ISBLANK('A-RACHNATMAK'!I141)),"C","")))</f>
        <v/>
      </c>
      <c r="I127" s="622" t="str">
        <f>IF(NOT(ISBLANK('A-RACHNATMAK'!J143)),"A",IF(NOT(ISBLANK('A-RACHNATMAK'!J142)),"B",IF(NOT(ISBLANK('A-RACHNATMAK'!J141)),"C","")))</f>
        <v/>
      </c>
      <c r="J127" s="622" t="str">
        <f>IF(NOT(ISBLANK('A-RACHNATMAK'!K143)),"A",IF(NOT(ISBLANK('A-RACHNATMAK'!K142)),"B",IF(NOT(ISBLANK('A-RACHNATMAK'!K141)),"C","")))</f>
        <v/>
      </c>
      <c r="K127" s="622" t="str">
        <f>IF(NOT(ISBLANK('A-RACHNATMAK'!L143)),"A",IF(NOT(ISBLANK('A-RACHNATMAK'!L142)),"B",IF(NOT(ISBLANK('A-RACHNATMAK'!L141)),"C","")))</f>
        <v/>
      </c>
      <c r="L127" s="622" t="str">
        <f>IF(NOT(ISBLANK('A-RACHNATMAK'!M143)),"A",IF(NOT(ISBLANK('A-RACHNATMAK'!M142)),"B",IF(NOT(ISBLANK('A-RACHNATMAK'!M141)),"C","")))</f>
        <v/>
      </c>
      <c r="M127" s="622" t="str">
        <f>IF(NOT(ISBLANK('A-RACHNATMAK'!N143)),"A",IF(NOT(ISBLANK('A-RACHNATMAK'!N142)),"B",IF(NOT(ISBLANK('A-RACHNATMAK'!N141)),"C","")))</f>
        <v/>
      </c>
      <c r="N127" s="622" t="str">
        <f>IF(NOT(ISBLANK('A-RACHNATMAK'!O143)),"A",IF(NOT(ISBLANK('A-RACHNATMAK'!O142)),"B",IF(NOT(ISBLANK('A-RACHNATMAK'!O141)),"C","")))</f>
        <v/>
      </c>
      <c r="O127" s="622" t="str">
        <f>IF(NOT(ISBLANK('A-RACHNATMAK'!P143)),"A",IF(NOT(ISBLANK('A-RACHNATMAK'!P142)),"B",IF(NOT(ISBLANK('A-RACHNATMAK'!P141)),"C","")))</f>
        <v/>
      </c>
      <c r="P127" s="622" t="str">
        <f>IF(NOT(ISBLANK('A-RACHNATMAK'!Q143)),"A",IF(NOT(ISBLANK('A-RACHNATMAK'!Q142)),"B",IF(NOT(ISBLANK('A-RACHNATMAK'!Q141)),"C","")))</f>
        <v/>
      </c>
      <c r="Q127" s="622" t="str">
        <f>IF(NOT(ISBLANK('A-RACHNATMAK'!R143)),"A",IF(NOT(ISBLANK('A-RACHNATMAK'!R142)),"B",IF(NOT(ISBLANK('A-RACHNATMAK'!R141)),"C","")))</f>
        <v/>
      </c>
      <c r="R127" s="622" t="str">
        <f>IF(NOT(ISBLANK('A-RACHNATMAK'!S143)),"A",IF(NOT(ISBLANK('A-RACHNATMAK'!S142)),"B",IF(NOT(ISBLANK('A-RACHNATMAK'!S141)),"C","")))</f>
        <v/>
      </c>
      <c r="S127" s="622" t="str">
        <f>IF(NOT(ISBLANK('A-RACHNATMAK'!T143)),"A",IF(NOT(ISBLANK('A-RACHNATMAK'!T142)),"B",IF(NOT(ISBLANK('A-RACHNATMAK'!T141)),"C","")))</f>
        <v/>
      </c>
      <c r="T127" s="622" t="str">
        <f>IF(NOT(ISBLANK('A-RACHNATMAK'!U143)),"A",IF(NOT(ISBLANK('A-RACHNATMAK'!U142)),"B",IF(NOT(ISBLANK('A-RACHNATMAK'!U141)),"C","")))</f>
        <v/>
      </c>
      <c r="U127" s="622" t="str">
        <f>IF(NOT(ISBLANK('A-RACHNATMAK'!V143)),"A",IF(NOT(ISBLANK('A-RACHNATMAK'!V142)),"B",IF(NOT(ISBLANK('A-RACHNATMAK'!V141)),"C","")))</f>
        <v/>
      </c>
      <c r="V127" s="622">
        <f t="shared" ref="V127" si="234">COUNTIF(B127:U127,"A")</f>
        <v>0</v>
      </c>
      <c r="W127" s="622">
        <f t="shared" ref="W127" si="235">COUNTIF(B127:U127,"B")</f>
        <v>0</v>
      </c>
      <c r="X127" s="622">
        <f t="shared" ref="X127" si="236">COUNTIF(B127:U127,"C")</f>
        <v>0</v>
      </c>
      <c r="Y127" s="330"/>
      <c r="Z127" s="623">
        <v>7</v>
      </c>
      <c r="AA127" s="622" t="str">
        <f>IF(NOT(ISBLANK('A-RACHNATMAK'!AD143)),"A",IF(NOT(ISBLANK('A-RACHNATMAK'!AD142)),"B",IF(NOT(ISBLANK('A-RACHNATMAK'!AD141)),"C","")))</f>
        <v/>
      </c>
      <c r="AB127" s="622" t="str">
        <f>IF(NOT(ISBLANK('A-RACHNATMAK'!AE143)),"A",IF(NOT(ISBLANK('A-RACHNATMAK'!AE142)),"B",IF(NOT(ISBLANK('A-RACHNATMAK'!AE141)),"C","")))</f>
        <v/>
      </c>
      <c r="AC127" s="622" t="str">
        <f>IF(NOT(ISBLANK('A-RACHNATMAK'!AF143)),"A",IF(NOT(ISBLANK('A-RACHNATMAK'!AF142)),"B",IF(NOT(ISBLANK('A-RACHNATMAK'!AF141)),"C","")))</f>
        <v/>
      </c>
      <c r="AD127" s="622" t="str">
        <f>IF(NOT(ISBLANK('A-RACHNATMAK'!AG143)),"A",IF(NOT(ISBLANK('A-RACHNATMAK'!AG142)),"B",IF(NOT(ISBLANK('A-RACHNATMAK'!AG141)),"C","")))</f>
        <v/>
      </c>
      <c r="AE127" s="622" t="str">
        <f>IF(NOT(ISBLANK('A-RACHNATMAK'!AH143)),"A",IF(NOT(ISBLANK('A-RACHNATMAK'!AH142)),"B",IF(NOT(ISBLANK('A-RACHNATMAK'!AH141)),"C","")))</f>
        <v/>
      </c>
      <c r="AF127" s="622" t="str">
        <f>IF(NOT(ISBLANK('A-RACHNATMAK'!AI143)),"A",IF(NOT(ISBLANK('A-RACHNATMAK'!AI142)),"B",IF(NOT(ISBLANK('A-RACHNATMAK'!AI141)),"C","")))</f>
        <v/>
      </c>
      <c r="AG127" s="622" t="str">
        <f>IF(NOT(ISBLANK('A-RACHNATMAK'!AJ143)),"A",IF(NOT(ISBLANK('A-RACHNATMAK'!AJ142)),"B",IF(NOT(ISBLANK('A-RACHNATMAK'!AJ141)),"C","")))</f>
        <v/>
      </c>
      <c r="AH127" s="622" t="str">
        <f>IF(NOT(ISBLANK('A-RACHNATMAK'!AK143)),"A",IF(NOT(ISBLANK('A-RACHNATMAK'!AK142)),"B",IF(NOT(ISBLANK('A-RACHNATMAK'!AK141)),"C","")))</f>
        <v/>
      </c>
      <c r="AI127" s="622" t="str">
        <f>IF(NOT(ISBLANK('A-RACHNATMAK'!AL143)),"A",IF(NOT(ISBLANK('A-RACHNATMAK'!AL142)),"B",IF(NOT(ISBLANK('A-RACHNATMAK'!AL141)),"C","")))</f>
        <v/>
      </c>
      <c r="AJ127" s="622" t="str">
        <f>IF(NOT(ISBLANK('A-RACHNATMAK'!AM143)),"A",IF(NOT(ISBLANK('A-RACHNATMAK'!AM142)),"B",IF(NOT(ISBLANK('A-RACHNATMAK'!AM141)),"C","")))</f>
        <v/>
      </c>
      <c r="AK127" s="622" t="str">
        <f>IF(NOT(ISBLANK('A-RACHNATMAK'!AN143)),"A",IF(NOT(ISBLANK('A-RACHNATMAK'!AN142)),"B",IF(NOT(ISBLANK('A-RACHNATMAK'!AN141)),"C","")))</f>
        <v/>
      </c>
      <c r="AL127" s="622" t="str">
        <f>IF(NOT(ISBLANK('A-RACHNATMAK'!AO143)),"A",IF(NOT(ISBLANK('A-RACHNATMAK'!AO142)),"B",IF(NOT(ISBLANK('A-RACHNATMAK'!AO141)),"C","")))</f>
        <v/>
      </c>
      <c r="AM127" s="622" t="str">
        <f>IF(NOT(ISBLANK('A-RACHNATMAK'!AP143)),"A",IF(NOT(ISBLANK('A-RACHNATMAK'!AP142)),"B",IF(NOT(ISBLANK('A-RACHNATMAK'!AP141)),"C","")))</f>
        <v/>
      </c>
      <c r="AN127" s="622" t="str">
        <f>IF(NOT(ISBLANK('A-RACHNATMAK'!AQ143)),"A",IF(NOT(ISBLANK('A-RACHNATMAK'!AQ142)),"B",IF(NOT(ISBLANK('A-RACHNATMAK'!AQ141)),"C","")))</f>
        <v/>
      </c>
      <c r="AO127" s="622" t="str">
        <f>IF(NOT(ISBLANK('A-RACHNATMAK'!AR143)),"A",IF(NOT(ISBLANK('A-RACHNATMAK'!AR142)),"B",IF(NOT(ISBLANK('A-RACHNATMAK'!AR141)),"C","")))</f>
        <v/>
      </c>
      <c r="AP127" s="622" t="str">
        <f>IF(NOT(ISBLANK('A-RACHNATMAK'!AS143)),"A",IF(NOT(ISBLANK('A-RACHNATMAK'!AS142)),"B",IF(NOT(ISBLANK('A-RACHNATMAK'!AS141)),"C","")))</f>
        <v/>
      </c>
      <c r="AQ127" s="622" t="str">
        <f>IF(NOT(ISBLANK('A-RACHNATMAK'!AT143)),"A",IF(NOT(ISBLANK('A-RACHNATMAK'!AT142)),"B",IF(NOT(ISBLANK('A-RACHNATMAK'!AT141)),"C","")))</f>
        <v/>
      </c>
      <c r="AR127" s="622" t="str">
        <f>IF(NOT(ISBLANK('A-RACHNATMAK'!AU143)),"A",IF(NOT(ISBLANK('A-RACHNATMAK'!AU142)),"B",IF(NOT(ISBLANK('A-RACHNATMAK'!AU141)),"C","")))</f>
        <v/>
      </c>
      <c r="AS127" s="622" t="str">
        <f>IF(NOT(ISBLANK('A-RACHNATMAK'!AV143)),"A",IF(NOT(ISBLANK('A-RACHNATMAK'!AV142)),"B",IF(NOT(ISBLANK('A-RACHNATMAK'!AV141)),"C","")))</f>
        <v/>
      </c>
      <c r="AT127" s="622" t="str">
        <f>IF(NOT(ISBLANK('A-RACHNATMAK'!AW143)),"A",IF(NOT(ISBLANK('A-RACHNATMAK'!AW142)),"B",IF(NOT(ISBLANK('A-RACHNATMAK'!AW141)),"C","")))</f>
        <v/>
      </c>
      <c r="AU127" s="622">
        <f t="shared" ref="AU127" si="237">COUNTIF(AA127:AT127,"A")</f>
        <v>0</v>
      </c>
      <c r="AV127" s="622">
        <f t="shared" ref="AV127" si="238">COUNTIF(AA127:AT127,"B")</f>
        <v>0</v>
      </c>
      <c r="AW127" s="622">
        <f t="shared" ref="AW127" si="239">COUNTIF(AA127:AT127,"C")</f>
        <v>0</v>
      </c>
    </row>
    <row r="128" spans="1:49" ht="7.5" customHeight="1">
      <c r="A128" s="623"/>
      <c r="B128" s="622"/>
      <c r="C128" s="622"/>
      <c r="D128" s="622"/>
      <c r="E128" s="622"/>
      <c r="F128" s="622"/>
      <c r="G128" s="622"/>
      <c r="H128" s="622"/>
      <c r="I128" s="622"/>
      <c r="J128" s="622"/>
      <c r="K128" s="622"/>
      <c r="L128" s="622"/>
      <c r="M128" s="622"/>
      <c r="N128" s="622"/>
      <c r="O128" s="622"/>
      <c r="P128" s="622"/>
      <c r="Q128" s="622"/>
      <c r="R128" s="622"/>
      <c r="S128" s="622"/>
      <c r="T128" s="622"/>
      <c r="U128" s="622"/>
      <c r="V128" s="622"/>
      <c r="W128" s="622"/>
      <c r="X128" s="622"/>
      <c r="Y128" s="330"/>
      <c r="Z128" s="623"/>
      <c r="AA128" s="622"/>
      <c r="AB128" s="622"/>
      <c r="AC128" s="622"/>
      <c r="AD128" s="622"/>
      <c r="AE128" s="622"/>
      <c r="AF128" s="622"/>
      <c r="AG128" s="622"/>
      <c r="AH128" s="622"/>
      <c r="AI128" s="622"/>
      <c r="AJ128" s="622"/>
      <c r="AK128" s="622"/>
      <c r="AL128" s="622"/>
      <c r="AM128" s="622"/>
      <c r="AN128" s="622"/>
      <c r="AO128" s="622"/>
      <c r="AP128" s="622"/>
      <c r="AQ128" s="622"/>
      <c r="AR128" s="622"/>
      <c r="AS128" s="622"/>
      <c r="AT128" s="622"/>
      <c r="AU128" s="622"/>
      <c r="AV128" s="622"/>
      <c r="AW128" s="622"/>
    </row>
    <row r="129" spans="1:49" ht="7.5" customHeight="1">
      <c r="A129" s="623"/>
      <c r="B129" s="622"/>
      <c r="C129" s="622"/>
      <c r="D129" s="622"/>
      <c r="E129" s="622"/>
      <c r="F129" s="622"/>
      <c r="G129" s="622"/>
      <c r="H129" s="622"/>
      <c r="I129" s="622"/>
      <c r="J129" s="622"/>
      <c r="K129" s="622"/>
      <c r="L129" s="622"/>
      <c r="M129" s="622"/>
      <c r="N129" s="622"/>
      <c r="O129" s="622"/>
      <c r="P129" s="622"/>
      <c r="Q129" s="622"/>
      <c r="R129" s="622"/>
      <c r="S129" s="622"/>
      <c r="T129" s="622"/>
      <c r="U129" s="622"/>
      <c r="V129" s="622"/>
      <c r="W129" s="622"/>
      <c r="X129" s="622"/>
      <c r="Y129" s="330"/>
      <c r="Z129" s="623"/>
      <c r="AA129" s="622"/>
      <c r="AB129" s="622"/>
      <c r="AC129" s="622"/>
      <c r="AD129" s="622"/>
      <c r="AE129" s="622"/>
      <c r="AF129" s="622"/>
      <c r="AG129" s="622"/>
      <c r="AH129" s="622"/>
      <c r="AI129" s="622"/>
      <c r="AJ129" s="622"/>
      <c r="AK129" s="622"/>
      <c r="AL129" s="622"/>
      <c r="AM129" s="622"/>
      <c r="AN129" s="622"/>
      <c r="AO129" s="622"/>
      <c r="AP129" s="622"/>
      <c r="AQ129" s="622"/>
      <c r="AR129" s="622"/>
      <c r="AS129" s="622"/>
      <c r="AT129" s="622"/>
      <c r="AU129" s="622"/>
      <c r="AV129" s="622"/>
      <c r="AW129" s="622"/>
    </row>
    <row r="130" spans="1:49" ht="7.5" customHeight="1">
      <c r="A130" s="623">
        <v>8</v>
      </c>
      <c r="B130" s="622" t="str">
        <f>IF(NOT(ISBLANK('A-RACHNATMAK'!C146)),"A",IF(NOT(ISBLANK('A-RACHNATMAK'!C145)),"B",IF(NOT(ISBLANK('A-RACHNATMAK'!C144)),"C","")))</f>
        <v/>
      </c>
      <c r="C130" s="622" t="str">
        <f>IF(NOT(ISBLANK('A-RACHNATMAK'!D146)),"A",IF(NOT(ISBLANK('A-RACHNATMAK'!D145)),"B",IF(NOT(ISBLANK('A-RACHNATMAK'!D144)),"C","")))</f>
        <v/>
      </c>
      <c r="D130" s="622" t="str">
        <f>IF(NOT(ISBLANK('A-RACHNATMAK'!E146)),"A",IF(NOT(ISBLANK('A-RACHNATMAK'!E145)),"B",IF(NOT(ISBLANK('A-RACHNATMAK'!E144)),"C","")))</f>
        <v/>
      </c>
      <c r="E130" s="622" t="str">
        <f>IF(NOT(ISBLANK('A-RACHNATMAK'!F146)),"A",IF(NOT(ISBLANK('A-RACHNATMAK'!F145)),"B",IF(NOT(ISBLANK('A-RACHNATMAK'!F144)),"C","")))</f>
        <v/>
      </c>
      <c r="F130" s="622" t="str">
        <f>IF(NOT(ISBLANK('A-RACHNATMAK'!G146)),"A",IF(NOT(ISBLANK('A-RACHNATMAK'!G145)),"B",IF(NOT(ISBLANK('A-RACHNATMAK'!G144)),"C","")))</f>
        <v/>
      </c>
      <c r="G130" s="622" t="str">
        <f>IF(NOT(ISBLANK('A-RACHNATMAK'!H146)),"A",IF(NOT(ISBLANK('A-RACHNATMAK'!H145)),"B",IF(NOT(ISBLANK('A-RACHNATMAK'!H144)),"C","")))</f>
        <v/>
      </c>
      <c r="H130" s="622" t="str">
        <f>IF(NOT(ISBLANK('A-RACHNATMAK'!I146)),"A",IF(NOT(ISBLANK('A-RACHNATMAK'!I145)),"B",IF(NOT(ISBLANK('A-RACHNATMAK'!I144)),"C","")))</f>
        <v/>
      </c>
      <c r="I130" s="622" t="str">
        <f>IF(NOT(ISBLANK('A-RACHNATMAK'!J146)),"A",IF(NOT(ISBLANK('A-RACHNATMAK'!J145)),"B",IF(NOT(ISBLANK('A-RACHNATMAK'!J144)),"C","")))</f>
        <v/>
      </c>
      <c r="J130" s="622" t="str">
        <f>IF(NOT(ISBLANK('A-RACHNATMAK'!K146)),"A",IF(NOT(ISBLANK('A-RACHNATMAK'!K145)),"B",IF(NOT(ISBLANK('A-RACHNATMAK'!K144)),"C","")))</f>
        <v/>
      </c>
      <c r="K130" s="622" t="str">
        <f>IF(NOT(ISBLANK('A-RACHNATMAK'!L146)),"A",IF(NOT(ISBLANK('A-RACHNATMAK'!L145)),"B",IF(NOT(ISBLANK('A-RACHNATMAK'!L144)),"C","")))</f>
        <v/>
      </c>
      <c r="L130" s="622" t="str">
        <f>IF(NOT(ISBLANK('A-RACHNATMAK'!M146)),"A",IF(NOT(ISBLANK('A-RACHNATMAK'!M145)),"B",IF(NOT(ISBLANK('A-RACHNATMAK'!M144)),"C","")))</f>
        <v/>
      </c>
      <c r="M130" s="622" t="str">
        <f>IF(NOT(ISBLANK('A-RACHNATMAK'!N146)),"A",IF(NOT(ISBLANK('A-RACHNATMAK'!N145)),"B",IF(NOT(ISBLANK('A-RACHNATMAK'!N144)),"C","")))</f>
        <v/>
      </c>
      <c r="N130" s="622" t="str">
        <f>IF(NOT(ISBLANK('A-RACHNATMAK'!O146)),"A",IF(NOT(ISBLANK('A-RACHNATMAK'!O145)),"B",IF(NOT(ISBLANK('A-RACHNATMAK'!O144)),"C","")))</f>
        <v/>
      </c>
      <c r="O130" s="622" t="str">
        <f>IF(NOT(ISBLANK('A-RACHNATMAK'!P146)),"A",IF(NOT(ISBLANK('A-RACHNATMAK'!P145)),"B",IF(NOT(ISBLANK('A-RACHNATMAK'!P144)),"C","")))</f>
        <v/>
      </c>
      <c r="P130" s="622" t="str">
        <f>IF(NOT(ISBLANK('A-RACHNATMAK'!Q146)),"A",IF(NOT(ISBLANK('A-RACHNATMAK'!Q145)),"B",IF(NOT(ISBLANK('A-RACHNATMAK'!Q144)),"C","")))</f>
        <v/>
      </c>
      <c r="Q130" s="622" t="str">
        <f>IF(NOT(ISBLANK('A-RACHNATMAK'!R146)),"A",IF(NOT(ISBLANK('A-RACHNATMAK'!R145)),"B",IF(NOT(ISBLANK('A-RACHNATMAK'!R144)),"C","")))</f>
        <v/>
      </c>
      <c r="R130" s="622" t="str">
        <f>IF(NOT(ISBLANK('A-RACHNATMAK'!S146)),"A",IF(NOT(ISBLANK('A-RACHNATMAK'!S145)),"B",IF(NOT(ISBLANK('A-RACHNATMAK'!S144)),"C","")))</f>
        <v/>
      </c>
      <c r="S130" s="622" t="str">
        <f>IF(NOT(ISBLANK('A-RACHNATMAK'!T146)),"A",IF(NOT(ISBLANK('A-RACHNATMAK'!T145)),"B",IF(NOT(ISBLANK('A-RACHNATMAK'!T144)),"C","")))</f>
        <v/>
      </c>
      <c r="T130" s="622" t="str">
        <f>IF(NOT(ISBLANK('A-RACHNATMAK'!U146)),"A",IF(NOT(ISBLANK('A-RACHNATMAK'!U145)),"B",IF(NOT(ISBLANK('A-RACHNATMAK'!U144)),"C","")))</f>
        <v/>
      </c>
      <c r="U130" s="622" t="str">
        <f>IF(NOT(ISBLANK('A-RACHNATMAK'!V146)),"A",IF(NOT(ISBLANK('A-RACHNATMAK'!V145)),"B",IF(NOT(ISBLANK('A-RACHNATMAK'!V144)),"C","")))</f>
        <v/>
      </c>
      <c r="V130" s="622">
        <f t="shared" ref="V130" si="240">COUNTIF(B130:U130,"A")</f>
        <v>0</v>
      </c>
      <c r="W130" s="622">
        <f t="shared" ref="W130" si="241">COUNTIF(B130:U130,"B")</f>
        <v>0</v>
      </c>
      <c r="X130" s="622">
        <f t="shared" ref="X130" si="242">COUNTIF(B130:U130,"C")</f>
        <v>0</v>
      </c>
      <c r="Y130" s="330"/>
      <c r="Z130" s="623">
        <v>8</v>
      </c>
      <c r="AA130" s="622" t="str">
        <f>IF(NOT(ISBLANK('A-RACHNATMAK'!AD146)),"A",IF(NOT(ISBLANK('A-RACHNATMAK'!AD145)),"B",IF(NOT(ISBLANK('A-RACHNATMAK'!AD144)),"C","")))</f>
        <v/>
      </c>
      <c r="AB130" s="622" t="str">
        <f>IF(NOT(ISBLANK('A-RACHNATMAK'!AE146)),"A",IF(NOT(ISBLANK('A-RACHNATMAK'!AE145)),"B",IF(NOT(ISBLANK('A-RACHNATMAK'!AE144)),"C","")))</f>
        <v/>
      </c>
      <c r="AC130" s="622" t="str">
        <f>IF(NOT(ISBLANK('A-RACHNATMAK'!AF146)),"A",IF(NOT(ISBLANK('A-RACHNATMAK'!AF145)),"B",IF(NOT(ISBLANK('A-RACHNATMAK'!AF144)),"C","")))</f>
        <v/>
      </c>
      <c r="AD130" s="622" t="str">
        <f>IF(NOT(ISBLANK('A-RACHNATMAK'!AG146)),"A",IF(NOT(ISBLANK('A-RACHNATMAK'!AG145)),"B",IF(NOT(ISBLANK('A-RACHNATMAK'!AG144)),"C","")))</f>
        <v/>
      </c>
      <c r="AE130" s="622" t="str">
        <f>IF(NOT(ISBLANK('A-RACHNATMAK'!AH146)),"A",IF(NOT(ISBLANK('A-RACHNATMAK'!AH145)),"B",IF(NOT(ISBLANK('A-RACHNATMAK'!AH144)),"C","")))</f>
        <v/>
      </c>
      <c r="AF130" s="622" t="str">
        <f>IF(NOT(ISBLANK('A-RACHNATMAK'!AI146)),"A",IF(NOT(ISBLANK('A-RACHNATMAK'!AI145)),"B",IF(NOT(ISBLANK('A-RACHNATMAK'!AI144)),"C","")))</f>
        <v/>
      </c>
      <c r="AG130" s="622" t="str">
        <f>IF(NOT(ISBLANK('A-RACHNATMAK'!AJ146)),"A",IF(NOT(ISBLANK('A-RACHNATMAK'!AJ145)),"B",IF(NOT(ISBLANK('A-RACHNATMAK'!AJ144)),"C","")))</f>
        <v/>
      </c>
      <c r="AH130" s="622" t="str">
        <f>IF(NOT(ISBLANK('A-RACHNATMAK'!AK146)),"A",IF(NOT(ISBLANK('A-RACHNATMAK'!AK145)),"B",IF(NOT(ISBLANK('A-RACHNATMAK'!AK144)),"C","")))</f>
        <v/>
      </c>
      <c r="AI130" s="622" t="str">
        <f>IF(NOT(ISBLANK('A-RACHNATMAK'!AL146)),"A",IF(NOT(ISBLANK('A-RACHNATMAK'!AL145)),"B",IF(NOT(ISBLANK('A-RACHNATMAK'!AL144)),"C","")))</f>
        <v/>
      </c>
      <c r="AJ130" s="622" t="str">
        <f>IF(NOT(ISBLANK('A-RACHNATMAK'!AM146)),"A",IF(NOT(ISBLANK('A-RACHNATMAK'!AM145)),"B",IF(NOT(ISBLANK('A-RACHNATMAK'!AM144)),"C","")))</f>
        <v/>
      </c>
      <c r="AK130" s="622" t="str">
        <f>IF(NOT(ISBLANK('A-RACHNATMAK'!AN146)),"A",IF(NOT(ISBLANK('A-RACHNATMAK'!AN145)),"B",IF(NOT(ISBLANK('A-RACHNATMAK'!AN144)),"C","")))</f>
        <v/>
      </c>
      <c r="AL130" s="622" t="str">
        <f>IF(NOT(ISBLANK('A-RACHNATMAK'!AO146)),"A",IF(NOT(ISBLANK('A-RACHNATMAK'!AO145)),"B",IF(NOT(ISBLANK('A-RACHNATMAK'!AO144)),"C","")))</f>
        <v/>
      </c>
      <c r="AM130" s="622" t="str">
        <f>IF(NOT(ISBLANK('A-RACHNATMAK'!AP146)),"A",IF(NOT(ISBLANK('A-RACHNATMAK'!AP145)),"B",IF(NOT(ISBLANK('A-RACHNATMAK'!AP144)),"C","")))</f>
        <v/>
      </c>
      <c r="AN130" s="622" t="str">
        <f>IF(NOT(ISBLANK('A-RACHNATMAK'!AQ146)),"A",IF(NOT(ISBLANK('A-RACHNATMAK'!AQ145)),"B",IF(NOT(ISBLANK('A-RACHNATMAK'!AQ144)),"C","")))</f>
        <v/>
      </c>
      <c r="AO130" s="622" t="str">
        <f>IF(NOT(ISBLANK('A-RACHNATMAK'!AR146)),"A",IF(NOT(ISBLANK('A-RACHNATMAK'!AR145)),"B",IF(NOT(ISBLANK('A-RACHNATMAK'!AR144)),"C","")))</f>
        <v/>
      </c>
      <c r="AP130" s="622" t="str">
        <f>IF(NOT(ISBLANK('A-RACHNATMAK'!AS146)),"A",IF(NOT(ISBLANK('A-RACHNATMAK'!AS145)),"B",IF(NOT(ISBLANK('A-RACHNATMAK'!AS144)),"C","")))</f>
        <v/>
      </c>
      <c r="AQ130" s="622" t="str">
        <f>IF(NOT(ISBLANK('A-RACHNATMAK'!AT146)),"A",IF(NOT(ISBLANK('A-RACHNATMAK'!AT145)),"B",IF(NOT(ISBLANK('A-RACHNATMAK'!AT144)),"C","")))</f>
        <v/>
      </c>
      <c r="AR130" s="622" t="str">
        <f>IF(NOT(ISBLANK('A-RACHNATMAK'!AU146)),"A",IF(NOT(ISBLANK('A-RACHNATMAK'!AU145)),"B",IF(NOT(ISBLANK('A-RACHNATMAK'!AU144)),"C","")))</f>
        <v/>
      </c>
      <c r="AS130" s="622" t="str">
        <f>IF(NOT(ISBLANK('A-RACHNATMAK'!AV146)),"A",IF(NOT(ISBLANK('A-RACHNATMAK'!AV145)),"B",IF(NOT(ISBLANK('A-RACHNATMAK'!AV144)),"C","")))</f>
        <v/>
      </c>
      <c r="AT130" s="622" t="str">
        <f>IF(NOT(ISBLANK('A-RACHNATMAK'!AW146)),"A",IF(NOT(ISBLANK('A-RACHNATMAK'!AW145)),"B",IF(NOT(ISBLANK('A-RACHNATMAK'!AW144)),"C","")))</f>
        <v/>
      </c>
      <c r="AU130" s="622">
        <f t="shared" ref="AU130" si="243">COUNTIF(AA130:AT130,"A")</f>
        <v>0</v>
      </c>
      <c r="AV130" s="622">
        <f t="shared" ref="AV130" si="244">COUNTIF(AA130:AT130,"B")</f>
        <v>0</v>
      </c>
      <c r="AW130" s="622">
        <f t="shared" ref="AW130" si="245">COUNTIF(AA130:AT130,"C")</f>
        <v>0</v>
      </c>
    </row>
    <row r="131" spans="1:49" ht="7.5" customHeight="1">
      <c r="A131" s="623"/>
      <c r="B131" s="622"/>
      <c r="C131" s="622"/>
      <c r="D131" s="622"/>
      <c r="E131" s="622"/>
      <c r="F131" s="622"/>
      <c r="G131" s="622"/>
      <c r="H131" s="622"/>
      <c r="I131" s="622"/>
      <c r="J131" s="622"/>
      <c r="K131" s="622"/>
      <c r="L131" s="622"/>
      <c r="M131" s="622"/>
      <c r="N131" s="622"/>
      <c r="O131" s="622"/>
      <c r="P131" s="622"/>
      <c r="Q131" s="622"/>
      <c r="R131" s="622"/>
      <c r="S131" s="622"/>
      <c r="T131" s="622"/>
      <c r="U131" s="622"/>
      <c r="V131" s="622"/>
      <c r="W131" s="622"/>
      <c r="X131" s="622"/>
      <c r="Y131" s="330"/>
      <c r="Z131" s="623"/>
      <c r="AA131" s="622"/>
      <c r="AB131" s="622"/>
      <c r="AC131" s="622"/>
      <c r="AD131" s="622"/>
      <c r="AE131" s="622"/>
      <c r="AF131" s="622"/>
      <c r="AG131" s="622"/>
      <c r="AH131" s="622"/>
      <c r="AI131" s="622"/>
      <c r="AJ131" s="622"/>
      <c r="AK131" s="622"/>
      <c r="AL131" s="622"/>
      <c r="AM131" s="622"/>
      <c r="AN131" s="622"/>
      <c r="AO131" s="622"/>
      <c r="AP131" s="622"/>
      <c r="AQ131" s="622"/>
      <c r="AR131" s="622"/>
      <c r="AS131" s="622"/>
      <c r="AT131" s="622"/>
      <c r="AU131" s="622"/>
      <c r="AV131" s="622"/>
      <c r="AW131" s="622"/>
    </row>
    <row r="132" spans="1:49" ht="7.5" customHeight="1">
      <c r="A132" s="623"/>
      <c r="B132" s="622"/>
      <c r="C132" s="622"/>
      <c r="D132" s="622"/>
      <c r="E132" s="622"/>
      <c r="F132" s="622"/>
      <c r="G132" s="622"/>
      <c r="H132" s="622"/>
      <c r="I132" s="622"/>
      <c r="J132" s="622"/>
      <c r="K132" s="622"/>
      <c r="L132" s="622"/>
      <c r="M132" s="622"/>
      <c r="N132" s="622"/>
      <c r="O132" s="622"/>
      <c r="P132" s="622"/>
      <c r="Q132" s="622"/>
      <c r="R132" s="622"/>
      <c r="S132" s="622"/>
      <c r="T132" s="622"/>
      <c r="U132" s="622"/>
      <c r="V132" s="622"/>
      <c r="W132" s="622"/>
      <c r="X132" s="622"/>
      <c r="Y132" s="330"/>
      <c r="Z132" s="623"/>
      <c r="AA132" s="622"/>
      <c r="AB132" s="622"/>
      <c r="AC132" s="622"/>
      <c r="AD132" s="622"/>
      <c r="AE132" s="622"/>
      <c r="AF132" s="622"/>
      <c r="AG132" s="622"/>
      <c r="AH132" s="622"/>
      <c r="AI132" s="622"/>
      <c r="AJ132" s="622"/>
      <c r="AK132" s="622"/>
      <c r="AL132" s="622"/>
      <c r="AM132" s="622"/>
      <c r="AN132" s="622"/>
      <c r="AO132" s="622"/>
      <c r="AP132" s="622"/>
      <c r="AQ132" s="622"/>
      <c r="AR132" s="622"/>
      <c r="AS132" s="622"/>
      <c r="AT132" s="622"/>
      <c r="AU132" s="622"/>
      <c r="AV132" s="622"/>
      <c r="AW132" s="622"/>
    </row>
    <row r="133" spans="1:49" ht="7.5" customHeight="1">
      <c r="A133" s="623">
        <v>9</v>
      </c>
      <c r="B133" s="622" t="str">
        <f>IF(NOT(ISBLANK('A-RACHNATMAK'!C149)),"A",IF(NOT(ISBLANK('A-RACHNATMAK'!C148)),"B",IF(NOT(ISBLANK('A-RACHNATMAK'!C147)),"C","")))</f>
        <v/>
      </c>
      <c r="C133" s="622" t="str">
        <f>IF(NOT(ISBLANK('A-RACHNATMAK'!D149)),"A",IF(NOT(ISBLANK('A-RACHNATMAK'!D148)),"B",IF(NOT(ISBLANK('A-RACHNATMAK'!D147)),"C","")))</f>
        <v/>
      </c>
      <c r="D133" s="622" t="str">
        <f>IF(NOT(ISBLANK('A-RACHNATMAK'!E149)),"A",IF(NOT(ISBLANK('A-RACHNATMAK'!E148)),"B",IF(NOT(ISBLANK('A-RACHNATMAK'!E147)),"C","")))</f>
        <v/>
      </c>
      <c r="E133" s="622" t="str">
        <f>IF(NOT(ISBLANK('A-RACHNATMAK'!F149)),"A",IF(NOT(ISBLANK('A-RACHNATMAK'!F148)),"B",IF(NOT(ISBLANK('A-RACHNATMAK'!F147)),"C","")))</f>
        <v/>
      </c>
      <c r="F133" s="622" t="str">
        <f>IF(NOT(ISBLANK('A-RACHNATMAK'!G149)),"A",IF(NOT(ISBLANK('A-RACHNATMAK'!G148)),"B",IF(NOT(ISBLANK('A-RACHNATMAK'!G147)),"C","")))</f>
        <v/>
      </c>
      <c r="G133" s="622" t="str">
        <f>IF(NOT(ISBLANK('A-RACHNATMAK'!H149)),"A",IF(NOT(ISBLANK('A-RACHNATMAK'!H148)),"B",IF(NOT(ISBLANK('A-RACHNATMAK'!H147)),"C","")))</f>
        <v/>
      </c>
      <c r="H133" s="622" t="str">
        <f>IF(NOT(ISBLANK('A-RACHNATMAK'!I149)),"A",IF(NOT(ISBLANK('A-RACHNATMAK'!I148)),"B",IF(NOT(ISBLANK('A-RACHNATMAK'!I147)),"C","")))</f>
        <v/>
      </c>
      <c r="I133" s="622" t="str">
        <f>IF(NOT(ISBLANK('A-RACHNATMAK'!J149)),"A",IF(NOT(ISBLANK('A-RACHNATMAK'!J148)),"B",IF(NOT(ISBLANK('A-RACHNATMAK'!J147)),"C","")))</f>
        <v/>
      </c>
      <c r="J133" s="622" t="str">
        <f>IF(NOT(ISBLANK('A-RACHNATMAK'!K149)),"A",IF(NOT(ISBLANK('A-RACHNATMAK'!K148)),"B",IF(NOT(ISBLANK('A-RACHNATMAK'!K147)),"C","")))</f>
        <v/>
      </c>
      <c r="K133" s="622" t="str">
        <f>IF(NOT(ISBLANK('A-RACHNATMAK'!L149)),"A",IF(NOT(ISBLANK('A-RACHNATMAK'!L148)),"B",IF(NOT(ISBLANK('A-RACHNATMAK'!L147)),"C","")))</f>
        <v/>
      </c>
      <c r="L133" s="622" t="str">
        <f>IF(NOT(ISBLANK('A-RACHNATMAK'!M149)),"A",IF(NOT(ISBLANK('A-RACHNATMAK'!M148)),"B",IF(NOT(ISBLANK('A-RACHNATMAK'!M147)),"C","")))</f>
        <v/>
      </c>
      <c r="M133" s="622" t="str">
        <f>IF(NOT(ISBLANK('A-RACHNATMAK'!N149)),"A",IF(NOT(ISBLANK('A-RACHNATMAK'!N148)),"B",IF(NOT(ISBLANK('A-RACHNATMAK'!N147)),"C","")))</f>
        <v/>
      </c>
      <c r="N133" s="622" t="str">
        <f>IF(NOT(ISBLANK('A-RACHNATMAK'!O149)),"A",IF(NOT(ISBLANK('A-RACHNATMAK'!O148)),"B",IF(NOT(ISBLANK('A-RACHNATMAK'!O147)),"C","")))</f>
        <v/>
      </c>
      <c r="O133" s="622" t="str">
        <f>IF(NOT(ISBLANK('A-RACHNATMAK'!P149)),"A",IF(NOT(ISBLANK('A-RACHNATMAK'!P148)),"B",IF(NOT(ISBLANK('A-RACHNATMAK'!P147)),"C","")))</f>
        <v/>
      </c>
      <c r="P133" s="622" t="str">
        <f>IF(NOT(ISBLANK('A-RACHNATMAK'!Q149)),"A",IF(NOT(ISBLANK('A-RACHNATMAK'!Q148)),"B",IF(NOT(ISBLANK('A-RACHNATMAK'!Q147)),"C","")))</f>
        <v/>
      </c>
      <c r="Q133" s="622" t="str">
        <f>IF(NOT(ISBLANK('A-RACHNATMAK'!R149)),"A",IF(NOT(ISBLANK('A-RACHNATMAK'!R148)),"B",IF(NOT(ISBLANK('A-RACHNATMAK'!R147)),"C","")))</f>
        <v/>
      </c>
      <c r="R133" s="622" t="str">
        <f>IF(NOT(ISBLANK('A-RACHNATMAK'!S149)),"A",IF(NOT(ISBLANK('A-RACHNATMAK'!S148)),"B",IF(NOT(ISBLANK('A-RACHNATMAK'!S147)),"C","")))</f>
        <v/>
      </c>
      <c r="S133" s="622" t="str">
        <f>IF(NOT(ISBLANK('A-RACHNATMAK'!T149)),"A",IF(NOT(ISBLANK('A-RACHNATMAK'!T148)),"B",IF(NOT(ISBLANK('A-RACHNATMAK'!T147)),"C","")))</f>
        <v/>
      </c>
      <c r="T133" s="622" t="str">
        <f>IF(NOT(ISBLANK('A-RACHNATMAK'!U149)),"A",IF(NOT(ISBLANK('A-RACHNATMAK'!U148)),"B",IF(NOT(ISBLANK('A-RACHNATMAK'!U147)),"C","")))</f>
        <v/>
      </c>
      <c r="U133" s="622" t="str">
        <f>IF(NOT(ISBLANK('A-RACHNATMAK'!V149)),"A",IF(NOT(ISBLANK('A-RACHNATMAK'!V148)),"B",IF(NOT(ISBLANK('A-RACHNATMAK'!V147)),"C","")))</f>
        <v/>
      </c>
      <c r="V133" s="622">
        <f t="shared" ref="V133" si="246">COUNTIF(B133:U133,"A")</f>
        <v>0</v>
      </c>
      <c r="W133" s="622">
        <f t="shared" ref="W133" si="247">COUNTIF(B133:U133,"B")</f>
        <v>0</v>
      </c>
      <c r="X133" s="622">
        <f t="shared" ref="X133" si="248">COUNTIF(B133:U133,"C")</f>
        <v>0</v>
      </c>
      <c r="Y133" s="330"/>
      <c r="Z133" s="623">
        <v>9</v>
      </c>
      <c r="AA133" s="622" t="str">
        <f>IF(NOT(ISBLANK('A-RACHNATMAK'!AD149)),"A",IF(NOT(ISBLANK('A-RACHNATMAK'!AD148)),"B",IF(NOT(ISBLANK('A-RACHNATMAK'!AD147)),"C","")))</f>
        <v/>
      </c>
      <c r="AB133" s="622" t="str">
        <f>IF(NOT(ISBLANK('A-RACHNATMAK'!AE149)),"A",IF(NOT(ISBLANK('A-RACHNATMAK'!AE148)),"B",IF(NOT(ISBLANK('A-RACHNATMAK'!AE147)),"C","")))</f>
        <v/>
      </c>
      <c r="AC133" s="622" t="str">
        <f>IF(NOT(ISBLANK('A-RACHNATMAK'!AF149)),"A",IF(NOT(ISBLANK('A-RACHNATMAK'!AF148)),"B",IF(NOT(ISBLANK('A-RACHNATMAK'!AF147)),"C","")))</f>
        <v/>
      </c>
      <c r="AD133" s="622" t="str">
        <f>IF(NOT(ISBLANK('A-RACHNATMAK'!AG149)),"A",IF(NOT(ISBLANK('A-RACHNATMAK'!AG148)),"B",IF(NOT(ISBLANK('A-RACHNATMAK'!AG147)),"C","")))</f>
        <v/>
      </c>
      <c r="AE133" s="622" t="str">
        <f>IF(NOT(ISBLANK('A-RACHNATMAK'!AH149)),"A",IF(NOT(ISBLANK('A-RACHNATMAK'!AH148)),"B",IF(NOT(ISBLANK('A-RACHNATMAK'!AH147)),"C","")))</f>
        <v/>
      </c>
      <c r="AF133" s="622" t="str">
        <f>IF(NOT(ISBLANK('A-RACHNATMAK'!AI149)),"A",IF(NOT(ISBLANK('A-RACHNATMAK'!AI148)),"B",IF(NOT(ISBLANK('A-RACHNATMAK'!AI147)),"C","")))</f>
        <v/>
      </c>
      <c r="AG133" s="622" t="str">
        <f>IF(NOT(ISBLANK('A-RACHNATMAK'!AJ149)),"A",IF(NOT(ISBLANK('A-RACHNATMAK'!AJ148)),"B",IF(NOT(ISBLANK('A-RACHNATMAK'!AJ147)),"C","")))</f>
        <v/>
      </c>
      <c r="AH133" s="622" t="str">
        <f>IF(NOT(ISBLANK('A-RACHNATMAK'!AK149)),"A",IF(NOT(ISBLANK('A-RACHNATMAK'!AK148)),"B",IF(NOT(ISBLANK('A-RACHNATMAK'!AK147)),"C","")))</f>
        <v/>
      </c>
      <c r="AI133" s="622" t="str">
        <f>IF(NOT(ISBLANK('A-RACHNATMAK'!AL149)),"A",IF(NOT(ISBLANK('A-RACHNATMAK'!AL148)),"B",IF(NOT(ISBLANK('A-RACHNATMAK'!AL147)),"C","")))</f>
        <v/>
      </c>
      <c r="AJ133" s="622" t="str">
        <f>IF(NOT(ISBLANK('A-RACHNATMAK'!AM149)),"A",IF(NOT(ISBLANK('A-RACHNATMAK'!AM148)),"B",IF(NOT(ISBLANK('A-RACHNATMAK'!AM147)),"C","")))</f>
        <v/>
      </c>
      <c r="AK133" s="622" t="str">
        <f>IF(NOT(ISBLANK('A-RACHNATMAK'!AN149)),"A",IF(NOT(ISBLANK('A-RACHNATMAK'!AN148)),"B",IF(NOT(ISBLANK('A-RACHNATMAK'!AN147)),"C","")))</f>
        <v/>
      </c>
      <c r="AL133" s="622" t="str">
        <f>IF(NOT(ISBLANK('A-RACHNATMAK'!AO149)),"A",IF(NOT(ISBLANK('A-RACHNATMAK'!AO148)),"B",IF(NOT(ISBLANK('A-RACHNATMAK'!AO147)),"C","")))</f>
        <v/>
      </c>
      <c r="AM133" s="622" t="str">
        <f>IF(NOT(ISBLANK('A-RACHNATMAK'!AP149)),"A",IF(NOT(ISBLANK('A-RACHNATMAK'!AP148)),"B",IF(NOT(ISBLANK('A-RACHNATMAK'!AP147)),"C","")))</f>
        <v/>
      </c>
      <c r="AN133" s="622" t="str">
        <f>IF(NOT(ISBLANK('A-RACHNATMAK'!AQ149)),"A",IF(NOT(ISBLANK('A-RACHNATMAK'!AQ148)),"B",IF(NOT(ISBLANK('A-RACHNATMAK'!AQ147)),"C","")))</f>
        <v/>
      </c>
      <c r="AO133" s="622" t="str">
        <f>IF(NOT(ISBLANK('A-RACHNATMAK'!AR149)),"A",IF(NOT(ISBLANK('A-RACHNATMAK'!AR148)),"B",IF(NOT(ISBLANK('A-RACHNATMAK'!AR147)),"C","")))</f>
        <v/>
      </c>
      <c r="AP133" s="622" t="str">
        <f>IF(NOT(ISBLANK('A-RACHNATMAK'!AS149)),"A",IF(NOT(ISBLANK('A-RACHNATMAK'!AS148)),"B",IF(NOT(ISBLANK('A-RACHNATMAK'!AS147)),"C","")))</f>
        <v/>
      </c>
      <c r="AQ133" s="622" t="str">
        <f>IF(NOT(ISBLANK('A-RACHNATMAK'!AT149)),"A",IF(NOT(ISBLANK('A-RACHNATMAK'!AT148)),"B",IF(NOT(ISBLANK('A-RACHNATMAK'!AT147)),"C","")))</f>
        <v/>
      </c>
      <c r="AR133" s="622" t="str">
        <f>IF(NOT(ISBLANK('A-RACHNATMAK'!AU149)),"A",IF(NOT(ISBLANK('A-RACHNATMAK'!AU148)),"B",IF(NOT(ISBLANK('A-RACHNATMAK'!AU147)),"C","")))</f>
        <v/>
      </c>
      <c r="AS133" s="622" t="str">
        <f>IF(NOT(ISBLANK('A-RACHNATMAK'!AV149)),"A",IF(NOT(ISBLANK('A-RACHNATMAK'!AV148)),"B",IF(NOT(ISBLANK('A-RACHNATMAK'!AV147)),"C","")))</f>
        <v/>
      </c>
      <c r="AT133" s="622" t="str">
        <f>IF(NOT(ISBLANK('A-RACHNATMAK'!AW149)),"A",IF(NOT(ISBLANK('A-RACHNATMAK'!AW148)),"B",IF(NOT(ISBLANK('A-RACHNATMAK'!AW147)),"C","")))</f>
        <v/>
      </c>
      <c r="AU133" s="622">
        <f t="shared" ref="AU133" si="249">COUNTIF(AA133:AT133,"A")</f>
        <v>0</v>
      </c>
      <c r="AV133" s="622">
        <f t="shared" ref="AV133" si="250">COUNTIF(AA133:AT133,"B")</f>
        <v>0</v>
      </c>
      <c r="AW133" s="622">
        <f t="shared" ref="AW133" si="251">COUNTIF(AA133:AT133,"C")</f>
        <v>0</v>
      </c>
    </row>
    <row r="134" spans="1:49" ht="7.5" customHeight="1">
      <c r="A134" s="623"/>
      <c r="B134" s="622"/>
      <c r="C134" s="622"/>
      <c r="D134" s="622"/>
      <c r="E134" s="622"/>
      <c r="F134" s="622"/>
      <c r="G134" s="622"/>
      <c r="H134" s="622"/>
      <c r="I134" s="622"/>
      <c r="J134" s="622"/>
      <c r="K134" s="622"/>
      <c r="L134" s="622"/>
      <c r="M134" s="622"/>
      <c r="N134" s="622"/>
      <c r="O134" s="622"/>
      <c r="P134" s="622"/>
      <c r="Q134" s="622"/>
      <c r="R134" s="622"/>
      <c r="S134" s="622"/>
      <c r="T134" s="622"/>
      <c r="U134" s="622"/>
      <c r="V134" s="622"/>
      <c r="W134" s="622"/>
      <c r="X134" s="622"/>
      <c r="Y134" s="330"/>
      <c r="Z134" s="623"/>
      <c r="AA134" s="622"/>
      <c r="AB134" s="622"/>
      <c r="AC134" s="622"/>
      <c r="AD134" s="622"/>
      <c r="AE134" s="622"/>
      <c r="AF134" s="622"/>
      <c r="AG134" s="622"/>
      <c r="AH134" s="622"/>
      <c r="AI134" s="622"/>
      <c r="AJ134" s="622"/>
      <c r="AK134" s="622"/>
      <c r="AL134" s="622"/>
      <c r="AM134" s="622"/>
      <c r="AN134" s="622"/>
      <c r="AO134" s="622"/>
      <c r="AP134" s="622"/>
      <c r="AQ134" s="622"/>
      <c r="AR134" s="622"/>
      <c r="AS134" s="622"/>
      <c r="AT134" s="622"/>
      <c r="AU134" s="622"/>
      <c r="AV134" s="622"/>
      <c r="AW134" s="622"/>
    </row>
    <row r="135" spans="1:49" ht="7.5" customHeight="1">
      <c r="A135" s="623"/>
      <c r="B135" s="622"/>
      <c r="C135" s="622"/>
      <c r="D135" s="622"/>
      <c r="E135" s="622"/>
      <c r="F135" s="622"/>
      <c r="G135" s="622"/>
      <c r="H135" s="622"/>
      <c r="I135" s="622"/>
      <c r="J135" s="622"/>
      <c r="K135" s="622"/>
      <c r="L135" s="622"/>
      <c r="M135" s="622"/>
      <c r="N135" s="622"/>
      <c r="O135" s="622"/>
      <c r="P135" s="622"/>
      <c r="Q135" s="622"/>
      <c r="R135" s="622"/>
      <c r="S135" s="622"/>
      <c r="T135" s="622"/>
      <c r="U135" s="622"/>
      <c r="V135" s="622"/>
      <c r="W135" s="622"/>
      <c r="X135" s="622"/>
      <c r="Y135" s="330"/>
      <c r="Z135" s="623"/>
      <c r="AA135" s="622"/>
      <c r="AB135" s="622"/>
      <c r="AC135" s="622"/>
      <c r="AD135" s="622"/>
      <c r="AE135" s="622"/>
      <c r="AF135" s="622"/>
      <c r="AG135" s="622"/>
      <c r="AH135" s="622"/>
      <c r="AI135" s="622"/>
      <c r="AJ135" s="622"/>
      <c r="AK135" s="622"/>
      <c r="AL135" s="622"/>
      <c r="AM135" s="622"/>
      <c r="AN135" s="622"/>
      <c r="AO135" s="622"/>
      <c r="AP135" s="622"/>
      <c r="AQ135" s="622"/>
      <c r="AR135" s="622"/>
      <c r="AS135" s="622"/>
      <c r="AT135" s="622"/>
      <c r="AU135" s="622"/>
      <c r="AV135" s="622"/>
      <c r="AW135" s="622"/>
    </row>
    <row r="136" spans="1:49" ht="7.5" customHeight="1">
      <c r="A136" s="623">
        <v>10</v>
      </c>
      <c r="B136" s="622" t="str">
        <f>IF(NOT(ISBLANK('A-RACHNATMAK'!C152)),"A",IF(NOT(ISBLANK('A-RACHNATMAK'!C151)),"B",IF(NOT(ISBLANK('A-RACHNATMAK'!C150)),"C","")))</f>
        <v/>
      </c>
      <c r="C136" s="622" t="str">
        <f>IF(NOT(ISBLANK('A-RACHNATMAK'!D152)),"A",IF(NOT(ISBLANK('A-RACHNATMAK'!D151)),"B",IF(NOT(ISBLANK('A-RACHNATMAK'!D150)),"C","")))</f>
        <v/>
      </c>
      <c r="D136" s="622" t="str">
        <f>IF(NOT(ISBLANK('A-RACHNATMAK'!E152)),"A",IF(NOT(ISBLANK('A-RACHNATMAK'!E151)),"B",IF(NOT(ISBLANK('A-RACHNATMAK'!E150)),"C","")))</f>
        <v/>
      </c>
      <c r="E136" s="622" t="str">
        <f>IF(NOT(ISBLANK('A-RACHNATMAK'!F152)),"A",IF(NOT(ISBLANK('A-RACHNATMAK'!F151)),"B",IF(NOT(ISBLANK('A-RACHNATMAK'!F150)),"C","")))</f>
        <v/>
      </c>
      <c r="F136" s="622" t="str">
        <f>IF(NOT(ISBLANK('A-RACHNATMAK'!G152)),"A",IF(NOT(ISBLANK('A-RACHNATMAK'!G151)),"B",IF(NOT(ISBLANK('A-RACHNATMAK'!G150)),"C","")))</f>
        <v/>
      </c>
      <c r="G136" s="622" t="str">
        <f>IF(NOT(ISBLANK('A-RACHNATMAK'!H152)),"A",IF(NOT(ISBLANK('A-RACHNATMAK'!H151)),"B",IF(NOT(ISBLANK('A-RACHNATMAK'!H150)),"C","")))</f>
        <v/>
      </c>
      <c r="H136" s="622" t="str">
        <f>IF(NOT(ISBLANK('A-RACHNATMAK'!I152)),"A",IF(NOT(ISBLANK('A-RACHNATMAK'!I151)),"B",IF(NOT(ISBLANK('A-RACHNATMAK'!I150)),"C","")))</f>
        <v/>
      </c>
      <c r="I136" s="622" t="str">
        <f>IF(NOT(ISBLANK('A-RACHNATMAK'!J152)),"A",IF(NOT(ISBLANK('A-RACHNATMAK'!J151)),"B",IF(NOT(ISBLANK('A-RACHNATMAK'!J150)),"C","")))</f>
        <v/>
      </c>
      <c r="J136" s="622" t="str">
        <f>IF(NOT(ISBLANK('A-RACHNATMAK'!K152)),"A",IF(NOT(ISBLANK('A-RACHNATMAK'!K151)),"B",IF(NOT(ISBLANK('A-RACHNATMAK'!K150)),"C","")))</f>
        <v/>
      </c>
      <c r="K136" s="622" t="str">
        <f>IF(NOT(ISBLANK('A-RACHNATMAK'!L152)),"A",IF(NOT(ISBLANK('A-RACHNATMAK'!L151)),"B",IF(NOT(ISBLANK('A-RACHNATMAK'!L150)),"C","")))</f>
        <v/>
      </c>
      <c r="L136" s="622" t="str">
        <f>IF(NOT(ISBLANK('A-RACHNATMAK'!M152)),"A",IF(NOT(ISBLANK('A-RACHNATMAK'!M151)),"B",IF(NOT(ISBLANK('A-RACHNATMAK'!M150)),"C","")))</f>
        <v/>
      </c>
      <c r="M136" s="622" t="str">
        <f>IF(NOT(ISBLANK('A-RACHNATMAK'!N152)),"A",IF(NOT(ISBLANK('A-RACHNATMAK'!N151)),"B",IF(NOT(ISBLANK('A-RACHNATMAK'!N150)),"C","")))</f>
        <v/>
      </c>
      <c r="N136" s="622" t="str">
        <f>IF(NOT(ISBLANK('A-RACHNATMAK'!O152)),"A",IF(NOT(ISBLANK('A-RACHNATMAK'!O151)),"B",IF(NOT(ISBLANK('A-RACHNATMAK'!O150)),"C","")))</f>
        <v/>
      </c>
      <c r="O136" s="622" t="str">
        <f>IF(NOT(ISBLANK('A-RACHNATMAK'!P152)),"A",IF(NOT(ISBLANK('A-RACHNATMAK'!P151)),"B",IF(NOT(ISBLANK('A-RACHNATMAK'!P150)),"C","")))</f>
        <v/>
      </c>
      <c r="P136" s="622" t="str">
        <f>IF(NOT(ISBLANK('A-RACHNATMAK'!Q152)),"A",IF(NOT(ISBLANK('A-RACHNATMAK'!Q151)),"B",IF(NOT(ISBLANK('A-RACHNATMAK'!Q150)),"C","")))</f>
        <v/>
      </c>
      <c r="Q136" s="622" t="str">
        <f>IF(NOT(ISBLANK('A-RACHNATMAK'!R152)),"A",IF(NOT(ISBLANK('A-RACHNATMAK'!R151)),"B",IF(NOT(ISBLANK('A-RACHNATMAK'!R150)),"C","")))</f>
        <v/>
      </c>
      <c r="R136" s="622" t="str">
        <f>IF(NOT(ISBLANK('A-RACHNATMAK'!S152)),"A",IF(NOT(ISBLANK('A-RACHNATMAK'!S151)),"B",IF(NOT(ISBLANK('A-RACHNATMAK'!S150)),"C","")))</f>
        <v/>
      </c>
      <c r="S136" s="622" t="str">
        <f>IF(NOT(ISBLANK('A-RACHNATMAK'!T152)),"A",IF(NOT(ISBLANK('A-RACHNATMAK'!T151)),"B",IF(NOT(ISBLANK('A-RACHNATMAK'!T150)),"C","")))</f>
        <v/>
      </c>
      <c r="T136" s="622" t="str">
        <f>IF(NOT(ISBLANK('A-RACHNATMAK'!U152)),"A",IF(NOT(ISBLANK('A-RACHNATMAK'!U151)),"B",IF(NOT(ISBLANK('A-RACHNATMAK'!U150)),"C","")))</f>
        <v/>
      </c>
      <c r="U136" s="622" t="str">
        <f>IF(NOT(ISBLANK('A-RACHNATMAK'!V152)),"A",IF(NOT(ISBLANK('A-RACHNATMAK'!V151)),"B",IF(NOT(ISBLANK('A-RACHNATMAK'!V150)),"C","")))</f>
        <v/>
      </c>
      <c r="V136" s="622">
        <f t="shared" ref="V136" si="252">COUNTIF(B136:U136,"A")</f>
        <v>0</v>
      </c>
      <c r="W136" s="622">
        <f t="shared" ref="W136" si="253">COUNTIF(B136:U136,"B")</f>
        <v>0</v>
      </c>
      <c r="X136" s="622">
        <f t="shared" ref="X136" si="254">COUNTIF(B136:U136,"C")</f>
        <v>0</v>
      </c>
      <c r="Y136" s="330"/>
      <c r="Z136" s="623">
        <v>10</v>
      </c>
      <c r="AA136" s="622" t="str">
        <f>IF(NOT(ISBLANK('A-RACHNATMAK'!AD152)),"A",IF(NOT(ISBLANK('A-RACHNATMAK'!AD151)),"B",IF(NOT(ISBLANK('A-RACHNATMAK'!AD150)),"C","")))</f>
        <v/>
      </c>
      <c r="AB136" s="622" t="str">
        <f>IF(NOT(ISBLANK('A-RACHNATMAK'!AE152)),"A",IF(NOT(ISBLANK('A-RACHNATMAK'!AE151)),"B",IF(NOT(ISBLANK('A-RACHNATMAK'!AE150)),"C","")))</f>
        <v/>
      </c>
      <c r="AC136" s="622" t="str">
        <f>IF(NOT(ISBLANK('A-RACHNATMAK'!AF152)),"A",IF(NOT(ISBLANK('A-RACHNATMAK'!AF151)),"B",IF(NOT(ISBLANK('A-RACHNATMAK'!AF150)),"C","")))</f>
        <v/>
      </c>
      <c r="AD136" s="622" t="str">
        <f>IF(NOT(ISBLANK('A-RACHNATMAK'!AG152)),"A",IF(NOT(ISBLANK('A-RACHNATMAK'!AG151)),"B",IF(NOT(ISBLANK('A-RACHNATMAK'!AG150)),"C","")))</f>
        <v/>
      </c>
      <c r="AE136" s="622" t="str">
        <f>IF(NOT(ISBLANK('A-RACHNATMAK'!AH152)),"A",IF(NOT(ISBLANK('A-RACHNATMAK'!AH151)),"B",IF(NOT(ISBLANK('A-RACHNATMAK'!AH150)),"C","")))</f>
        <v/>
      </c>
      <c r="AF136" s="622" t="str">
        <f>IF(NOT(ISBLANK('A-RACHNATMAK'!AI152)),"A",IF(NOT(ISBLANK('A-RACHNATMAK'!AI151)),"B",IF(NOT(ISBLANK('A-RACHNATMAK'!AI150)),"C","")))</f>
        <v/>
      </c>
      <c r="AG136" s="622" t="str">
        <f>IF(NOT(ISBLANK('A-RACHNATMAK'!AJ152)),"A",IF(NOT(ISBLANK('A-RACHNATMAK'!AJ151)),"B",IF(NOT(ISBLANK('A-RACHNATMAK'!AJ150)),"C","")))</f>
        <v/>
      </c>
      <c r="AH136" s="622" t="str">
        <f>IF(NOT(ISBLANK('A-RACHNATMAK'!AK152)),"A",IF(NOT(ISBLANK('A-RACHNATMAK'!AK151)),"B",IF(NOT(ISBLANK('A-RACHNATMAK'!AK150)),"C","")))</f>
        <v/>
      </c>
      <c r="AI136" s="622" t="str">
        <f>IF(NOT(ISBLANK('A-RACHNATMAK'!AL152)),"A",IF(NOT(ISBLANK('A-RACHNATMAK'!AL151)),"B",IF(NOT(ISBLANK('A-RACHNATMAK'!AL150)),"C","")))</f>
        <v/>
      </c>
      <c r="AJ136" s="622" t="str">
        <f>IF(NOT(ISBLANK('A-RACHNATMAK'!AM152)),"A",IF(NOT(ISBLANK('A-RACHNATMAK'!AM151)),"B",IF(NOT(ISBLANK('A-RACHNATMAK'!AM150)),"C","")))</f>
        <v/>
      </c>
      <c r="AK136" s="622" t="str">
        <f>IF(NOT(ISBLANK('A-RACHNATMAK'!AN152)),"A",IF(NOT(ISBLANK('A-RACHNATMAK'!AN151)),"B",IF(NOT(ISBLANK('A-RACHNATMAK'!AN150)),"C","")))</f>
        <v/>
      </c>
      <c r="AL136" s="622" t="str">
        <f>IF(NOT(ISBLANK('A-RACHNATMAK'!AO152)),"A",IF(NOT(ISBLANK('A-RACHNATMAK'!AO151)),"B",IF(NOT(ISBLANK('A-RACHNATMAK'!AO150)),"C","")))</f>
        <v/>
      </c>
      <c r="AM136" s="622" t="str">
        <f>IF(NOT(ISBLANK('A-RACHNATMAK'!AP152)),"A",IF(NOT(ISBLANK('A-RACHNATMAK'!AP151)),"B",IF(NOT(ISBLANK('A-RACHNATMAK'!AP150)),"C","")))</f>
        <v/>
      </c>
      <c r="AN136" s="622" t="str">
        <f>IF(NOT(ISBLANK('A-RACHNATMAK'!AQ152)),"A",IF(NOT(ISBLANK('A-RACHNATMAK'!AQ151)),"B",IF(NOT(ISBLANK('A-RACHNATMAK'!AQ150)),"C","")))</f>
        <v/>
      </c>
      <c r="AO136" s="622" t="str">
        <f>IF(NOT(ISBLANK('A-RACHNATMAK'!AR152)),"A",IF(NOT(ISBLANK('A-RACHNATMAK'!AR151)),"B",IF(NOT(ISBLANK('A-RACHNATMAK'!AR150)),"C","")))</f>
        <v/>
      </c>
      <c r="AP136" s="622" t="str">
        <f>IF(NOT(ISBLANK('A-RACHNATMAK'!AS152)),"A",IF(NOT(ISBLANK('A-RACHNATMAK'!AS151)),"B",IF(NOT(ISBLANK('A-RACHNATMAK'!AS150)),"C","")))</f>
        <v/>
      </c>
      <c r="AQ136" s="622" t="str">
        <f>IF(NOT(ISBLANK('A-RACHNATMAK'!AT152)),"A",IF(NOT(ISBLANK('A-RACHNATMAK'!AT151)),"B",IF(NOT(ISBLANK('A-RACHNATMAK'!AT150)),"C","")))</f>
        <v/>
      </c>
      <c r="AR136" s="622" t="str">
        <f>IF(NOT(ISBLANK('A-RACHNATMAK'!AU152)),"A",IF(NOT(ISBLANK('A-RACHNATMAK'!AU151)),"B",IF(NOT(ISBLANK('A-RACHNATMAK'!AU150)),"C","")))</f>
        <v/>
      </c>
      <c r="AS136" s="622" t="str">
        <f>IF(NOT(ISBLANK('A-RACHNATMAK'!AV152)),"A",IF(NOT(ISBLANK('A-RACHNATMAK'!AV151)),"B",IF(NOT(ISBLANK('A-RACHNATMAK'!AV150)),"C","")))</f>
        <v/>
      </c>
      <c r="AT136" s="622" t="str">
        <f>IF(NOT(ISBLANK('A-RACHNATMAK'!AW152)),"A",IF(NOT(ISBLANK('A-RACHNATMAK'!AW151)),"B",IF(NOT(ISBLANK('A-RACHNATMAK'!AW150)),"C","")))</f>
        <v/>
      </c>
      <c r="AU136" s="622">
        <f t="shared" ref="AU136" si="255">COUNTIF(AA136:AT136,"A")</f>
        <v>0</v>
      </c>
      <c r="AV136" s="622">
        <f t="shared" ref="AV136" si="256">COUNTIF(AA136:AT136,"B")</f>
        <v>0</v>
      </c>
      <c r="AW136" s="622">
        <f t="shared" ref="AW136" si="257">COUNTIF(AA136:AT136,"C")</f>
        <v>0</v>
      </c>
    </row>
    <row r="137" spans="1:49" ht="7.5" customHeight="1">
      <c r="A137" s="623"/>
      <c r="B137" s="622"/>
      <c r="C137" s="622"/>
      <c r="D137" s="622"/>
      <c r="E137" s="622"/>
      <c r="F137" s="622"/>
      <c r="G137" s="622"/>
      <c r="H137" s="622"/>
      <c r="I137" s="622"/>
      <c r="J137" s="622"/>
      <c r="K137" s="622"/>
      <c r="L137" s="622"/>
      <c r="M137" s="622"/>
      <c r="N137" s="622"/>
      <c r="O137" s="622"/>
      <c r="P137" s="622"/>
      <c r="Q137" s="622"/>
      <c r="R137" s="622"/>
      <c r="S137" s="622"/>
      <c r="T137" s="622"/>
      <c r="U137" s="622"/>
      <c r="V137" s="622"/>
      <c r="W137" s="622"/>
      <c r="X137" s="622"/>
      <c r="Y137" s="330"/>
      <c r="Z137" s="623"/>
      <c r="AA137" s="622"/>
      <c r="AB137" s="622"/>
      <c r="AC137" s="622"/>
      <c r="AD137" s="622"/>
      <c r="AE137" s="622"/>
      <c r="AF137" s="622"/>
      <c r="AG137" s="622"/>
      <c r="AH137" s="622"/>
      <c r="AI137" s="622"/>
      <c r="AJ137" s="622"/>
      <c r="AK137" s="622"/>
      <c r="AL137" s="622"/>
      <c r="AM137" s="622"/>
      <c r="AN137" s="622"/>
      <c r="AO137" s="622"/>
      <c r="AP137" s="622"/>
      <c r="AQ137" s="622"/>
      <c r="AR137" s="622"/>
      <c r="AS137" s="622"/>
      <c r="AT137" s="622"/>
      <c r="AU137" s="622"/>
      <c r="AV137" s="622"/>
      <c r="AW137" s="622"/>
    </row>
    <row r="138" spans="1:49" ht="7.5" customHeight="1">
      <c r="A138" s="623"/>
      <c r="B138" s="622"/>
      <c r="C138" s="622"/>
      <c r="D138" s="622"/>
      <c r="E138" s="622"/>
      <c r="F138" s="622"/>
      <c r="G138" s="622"/>
      <c r="H138" s="622"/>
      <c r="I138" s="622"/>
      <c r="J138" s="622"/>
      <c r="K138" s="622"/>
      <c r="L138" s="622"/>
      <c r="M138" s="622"/>
      <c r="N138" s="622"/>
      <c r="O138" s="622"/>
      <c r="P138" s="622"/>
      <c r="Q138" s="622"/>
      <c r="R138" s="622"/>
      <c r="S138" s="622"/>
      <c r="T138" s="622"/>
      <c r="U138" s="622"/>
      <c r="V138" s="622"/>
      <c r="W138" s="622"/>
      <c r="X138" s="622"/>
      <c r="Y138" s="330"/>
      <c r="Z138" s="623"/>
      <c r="AA138" s="622"/>
      <c r="AB138" s="622"/>
      <c r="AC138" s="622"/>
      <c r="AD138" s="622"/>
      <c r="AE138" s="622"/>
      <c r="AF138" s="622"/>
      <c r="AG138" s="622"/>
      <c r="AH138" s="622"/>
      <c r="AI138" s="622"/>
      <c r="AJ138" s="622"/>
      <c r="AK138" s="622"/>
      <c r="AL138" s="622"/>
      <c r="AM138" s="622"/>
      <c r="AN138" s="622"/>
      <c r="AO138" s="622"/>
      <c r="AP138" s="622"/>
      <c r="AQ138" s="622"/>
      <c r="AR138" s="622"/>
      <c r="AS138" s="622"/>
      <c r="AT138" s="622"/>
      <c r="AU138" s="622"/>
      <c r="AV138" s="622"/>
      <c r="AW138" s="622"/>
    </row>
    <row r="139" spans="1:49" ht="7.5" customHeight="1">
      <c r="A139" s="623">
        <v>11</v>
      </c>
      <c r="B139" s="622" t="str">
        <f>IF(NOT(ISBLANK('A-RACHNATMAK'!C155)),"A",IF(NOT(ISBLANK('A-RACHNATMAK'!C154)),"B",IF(NOT(ISBLANK('A-RACHNATMAK'!C153)),"C","")))</f>
        <v/>
      </c>
      <c r="C139" s="622" t="str">
        <f>IF(NOT(ISBLANK('A-RACHNATMAK'!D155)),"A",IF(NOT(ISBLANK('A-RACHNATMAK'!D154)),"B",IF(NOT(ISBLANK('A-RACHNATMAK'!D153)),"C","")))</f>
        <v/>
      </c>
      <c r="D139" s="622" t="str">
        <f>IF(NOT(ISBLANK('A-RACHNATMAK'!E155)),"A",IF(NOT(ISBLANK('A-RACHNATMAK'!E154)),"B",IF(NOT(ISBLANK('A-RACHNATMAK'!E153)),"C","")))</f>
        <v/>
      </c>
      <c r="E139" s="622" t="str">
        <f>IF(NOT(ISBLANK('A-RACHNATMAK'!F155)),"A",IF(NOT(ISBLANK('A-RACHNATMAK'!F154)),"B",IF(NOT(ISBLANK('A-RACHNATMAK'!F153)),"C","")))</f>
        <v/>
      </c>
      <c r="F139" s="622" t="str">
        <f>IF(NOT(ISBLANK('A-RACHNATMAK'!G155)),"A",IF(NOT(ISBLANK('A-RACHNATMAK'!G154)),"B",IF(NOT(ISBLANK('A-RACHNATMAK'!G153)),"C","")))</f>
        <v/>
      </c>
      <c r="G139" s="622" t="str">
        <f>IF(NOT(ISBLANK('A-RACHNATMAK'!H155)),"A",IF(NOT(ISBLANK('A-RACHNATMAK'!H154)),"B",IF(NOT(ISBLANK('A-RACHNATMAK'!H153)),"C","")))</f>
        <v/>
      </c>
      <c r="H139" s="622" t="str">
        <f>IF(NOT(ISBLANK('A-RACHNATMAK'!I155)),"A",IF(NOT(ISBLANK('A-RACHNATMAK'!I154)),"B",IF(NOT(ISBLANK('A-RACHNATMAK'!I153)),"C","")))</f>
        <v/>
      </c>
      <c r="I139" s="622" t="str">
        <f>IF(NOT(ISBLANK('A-RACHNATMAK'!J155)),"A",IF(NOT(ISBLANK('A-RACHNATMAK'!J154)),"B",IF(NOT(ISBLANK('A-RACHNATMAK'!J153)),"C","")))</f>
        <v/>
      </c>
      <c r="J139" s="622" t="str">
        <f>IF(NOT(ISBLANK('A-RACHNATMAK'!K155)),"A",IF(NOT(ISBLANK('A-RACHNATMAK'!K154)),"B",IF(NOT(ISBLANK('A-RACHNATMAK'!K153)),"C","")))</f>
        <v/>
      </c>
      <c r="K139" s="622" t="str">
        <f>IF(NOT(ISBLANK('A-RACHNATMAK'!L155)),"A",IF(NOT(ISBLANK('A-RACHNATMAK'!L154)),"B",IF(NOT(ISBLANK('A-RACHNATMAK'!L153)),"C","")))</f>
        <v/>
      </c>
      <c r="L139" s="622" t="str">
        <f>IF(NOT(ISBLANK('A-RACHNATMAK'!M155)),"A",IF(NOT(ISBLANK('A-RACHNATMAK'!M154)),"B",IF(NOT(ISBLANK('A-RACHNATMAK'!M153)),"C","")))</f>
        <v/>
      </c>
      <c r="M139" s="622" t="str">
        <f>IF(NOT(ISBLANK('A-RACHNATMAK'!N155)),"A",IF(NOT(ISBLANK('A-RACHNATMAK'!N154)),"B",IF(NOT(ISBLANK('A-RACHNATMAK'!N153)),"C","")))</f>
        <v/>
      </c>
      <c r="N139" s="622" t="str">
        <f>IF(NOT(ISBLANK('A-RACHNATMAK'!O155)),"A",IF(NOT(ISBLANK('A-RACHNATMAK'!O154)),"B",IF(NOT(ISBLANK('A-RACHNATMAK'!O153)),"C","")))</f>
        <v/>
      </c>
      <c r="O139" s="622" t="str">
        <f>IF(NOT(ISBLANK('A-RACHNATMAK'!P155)),"A",IF(NOT(ISBLANK('A-RACHNATMAK'!P154)),"B",IF(NOT(ISBLANK('A-RACHNATMAK'!P153)),"C","")))</f>
        <v/>
      </c>
      <c r="P139" s="622" t="str">
        <f>IF(NOT(ISBLANK('A-RACHNATMAK'!Q155)),"A",IF(NOT(ISBLANK('A-RACHNATMAK'!Q154)),"B",IF(NOT(ISBLANK('A-RACHNATMAK'!Q153)),"C","")))</f>
        <v/>
      </c>
      <c r="Q139" s="622" t="str">
        <f>IF(NOT(ISBLANK('A-RACHNATMAK'!R155)),"A",IF(NOT(ISBLANK('A-RACHNATMAK'!R154)),"B",IF(NOT(ISBLANK('A-RACHNATMAK'!R153)),"C","")))</f>
        <v/>
      </c>
      <c r="R139" s="622" t="str">
        <f>IF(NOT(ISBLANK('A-RACHNATMAK'!S155)),"A",IF(NOT(ISBLANK('A-RACHNATMAK'!S154)),"B",IF(NOT(ISBLANK('A-RACHNATMAK'!S153)),"C","")))</f>
        <v/>
      </c>
      <c r="S139" s="622" t="str">
        <f>IF(NOT(ISBLANK('A-RACHNATMAK'!T155)),"A",IF(NOT(ISBLANK('A-RACHNATMAK'!T154)),"B",IF(NOT(ISBLANK('A-RACHNATMAK'!T153)),"C","")))</f>
        <v/>
      </c>
      <c r="T139" s="622" t="str">
        <f>IF(NOT(ISBLANK('A-RACHNATMAK'!U155)),"A",IF(NOT(ISBLANK('A-RACHNATMAK'!U154)),"B",IF(NOT(ISBLANK('A-RACHNATMAK'!U153)),"C","")))</f>
        <v/>
      </c>
      <c r="U139" s="622" t="str">
        <f>IF(NOT(ISBLANK('A-RACHNATMAK'!V155)),"A",IF(NOT(ISBLANK('A-RACHNATMAK'!V154)),"B",IF(NOT(ISBLANK('A-RACHNATMAK'!V153)),"C","")))</f>
        <v/>
      </c>
      <c r="V139" s="622">
        <f t="shared" ref="V139" si="258">COUNTIF(B139:U139,"A")</f>
        <v>0</v>
      </c>
      <c r="W139" s="622">
        <f t="shared" ref="W139" si="259">COUNTIF(B139:U139,"B")</f>
        <v>0</v>
      </c>
      <c r="X139" s="622">
        <f t="shared" ref="X139" si="260">COUNTIF(B139:U139,"C")</f>
        <v>0</v>
      </c>
      <c r="Y139" s="330"/>
      <c r="Z139" s="623">
        <v>11</v>
      </c>
      <c r="AA139" s="622" t="str">
        <f>IF(NOT(ISBLANK('A-RACHNATMAK'!AD155)),"A",IF(NOT(ISBLANK('A-RACHNATMAK'!AD154)),"B",IF(NOT(ISBLANK('A-RACHNATMAK'!AD153)),"C","")))</f>
        <v/>
      </c>
      <c r="AB139" s="622" t="str">
        <f>IF(NOT(ISBLANK('A-RACHNATMAK'!AE155)),"A",IF(NOT(ISBLANK('A-RACHNATMAK'!AE154)),"B",IF(NOT(ISBLANK('A-RACHNATMAK'!AE153)),"C","")))</f>
        <v/>
      </c>
      <c r="AC139" s="622" t="str">
        <f>IF(NOT(ISBLANK('A-RACHNATMAK'!AF155)),"A",IF(NOT(ISBLANK('A-RACHNATMAK'!AF154)),"B",IF(NOT(ISBLANK('A-RACHNATMAK'!AF153)),"C","")))</f>
        <v/>
      </c>
      <c r="AD139" s="622" t="str">
        <f>IF(NOT(ISBLANK('A-RACHNATMAK'!AG155)),"A",IF(NOT(ISBLANK('A-RACHNATMAK'!AG154)),"B",IF(NOT(ISBLANK('A-RACHNATMAK'!AG153)),"C","")))</f>
        <v/>
      </c>
      <c r="AE139" s="622" t="str">
        <f>IF(NOT(ISBLANK('A-RACHNATMAK'!AH155)),"A",IF(NOT(ISBLANK('A-RACHNATMAK'!AH154)),"B",IF(NOT(ISBLANK('A-RACHNATMAK'!AH153)),"C","")))</f>
        <v/>
      </c>
      <c r="AF139" s="622" t="str">
        <f>IF(NOT(ISBLANK('A-RACHNATMAK'!AI155)),"A",IF(NOT(ISBLANK('A-RACHNATMAK'!AI154)),"B",IF(NOT(ISBLANK('A-RACHNATMAK'!AI153)),"C","")))</f>
        <v/>
      </c>
      <c r="AG139" s="622" t="str">
        <f>IF(NOT(ISBLANK('A-RACHNATMAK'!AJ155)),"A",IF(NOT(ISBLANK('A-RACHNATMAK'!AJ154)),"B",IF(NOT(ISBLANK('A-RACHNATMAK'!AJ153)),"C","")))</f>
        <v/>
      </c>
      <c r="AH139" s="622" t="str">
        <f>IF(NOT(ISBLANK('A-RACHNATMAK'!AK155)),"A",IF(NOT(ISBLANK('A-RACHNATMAK'!AK154)),"B",IF(NOT(ISBLANK('A-RACHNATMAK'!AK153)),"C","")))</f>
        <v/>
      </c>
      <c r="AI139" s="622" t="str">
        <f>IF(NOT(ISBLANK('A-RACHNATMAK'!AL155)),"A",IF(NOT(ISBLANK('A-RACHNATMAK'!AL154)),"B",IF(NOT(ISBLANK('A-RACHNATMAK'!AL153)),"C","")))</f>
        <v/>
      </c>
      <c r="AJ139" s="622" t="str">
        <f>IF(NOT(ISBLANK('A-RACHNATMAK'!AM155)),"A",IF(NOT(ISBLANK('A-RACHNATMAK'!AM154)),"B",IF(NOT(ISBLANK('A-RACHNATMAK'!AM153)),"C","")))</f>
        <v/>
      </c>
      <c r="AK139" s="622" t="str">
        <f>IF(NOT(ISBLANK('A-RACHNATMAK'!AN155)),"A",IF(NOT(ISBLANK('A-RACHNATMAK'!AN154)),"B",IF(NOT(ISBLANK('A-RACHNATMAK'!AN153)),"C","")))</f>
        <v/>
      </c>
      <c r="AL139" s="622" t="str">
        <f>IF(NOT(ISBLANK('A-RACHNATMAK'!AO155)),"A",IF(NOT(ISBLANK('A-RACHNATMAK'!AO154)),"B",IF(NOT(ISBLANK('A-RACHNATMAK'!AO153)),"C","")))</f>
        <v/>
      </c>
      <c r="AM139" s="622" t="str">
        <f>IF(NOT(ISBLANK('A-RACHNATMAK'!AP155)),"A",IF(NOT(ISBLANK('A-RACHNATMAK'!AP154)),"B",IF(NOT(ISBLANK('A-RACHNATMAK'!AP153)),"C","")))</f>
        <v/>
      </c>
      <c r="AN139" s="622" t="str">
        <f>IF(NOT(ISBLANK('A-RACHNATMAK'!AQ155)),"A",IF(NOT(ISBLANK('A-RACHNATMAK'!AQ154)),"B",IF(NOT(ISBLANK('A-RACHNATMAK'!AQ153)),"C","")))</f>
        <v/>
      </c>
      <c r="AO139" s="622" t="str">
        <f>IF(NOT(ISBLANK('A-RACHNATMAK'!AR155)),"A",IF(NOT(ISBLANK('A-RACHNATMAK'!AR154)),"B",IF(NOT(ISBLANK('A-RACHNATMAK'!AR153)),"C","")))</f>
        <v/>
      </c>
      <c r="AP139" s="622" t="str">
        <f>IF(NOT(ISBLANK('A-RACHNATMAK'!AS155)),"A",IF(NOT(ISBLANK('A-RACHNATMAK'!AS154)),"B",IF(NOT(ISBLANK('A-RACHNATMAK'!AS153)),"C","")))</f>
        <v/>
      </c>
      <c r="AQ139" s="622" t="str">
        <f>IF(NOT(ISBLANK('A-RACHNATMAK'!AT155)),"A",IF(NOT(ISBLANK('A-RACHNATMAK'!AT154)),"B",IF(NOT(ISBLANK('A-RACHNATMAK'!AT153)),"C","")))</f>
        <v/>
      </c>
      <c r="AR139" s="622" t="str">
        <f>IF(NOT(ISBLANK('A-RACHNATMAK'!AU155)),"A",IF(NOT(ISBLANK('A-RACHNATMAK'!AU154)),"B",IF(NOT(ISBLANK('A-RACHNATMAK'!AU153)),"C","")))</f>
        <v/>
      </c>
      <c r="AS139" s="622" t="str">
        <f>IF(NOT(ISBLANK('A-RACHNATMAK'!AV155)),"A",IF(NOT(ISBLANK('A-RACHNATMAK'!AV154)),"B",IF(NOT(ISBLANK('A-RACHNATMAK'!AV153)),"C","")))</f>
        <v/>
      </c>
      <c r="AT139" s="622" t="str">
        <f>IF(NOT(ISBLANK('A-RACHNATMAK'!AW155)),"A",IF(NOT(ISBLANK('A-RACHNATMAK'!AW154)),"B",IF(NOT(ISBLANK('A-RACHNATMAK'!AW153)),"C","")))</f>
        <v/>
      </c>
      <c r="AU139" s="622">
        <f t="shared" ref="AU139" si="261">COUNTIF(AA139:AT139,"A")</f>
        <v>0</v>
      </c>
      <c r="AV139" s="622">
        <f t="shared" ref="AV139" si="262">COUNTIF(AA139:AT139,"B")</f>
        <v>0</v>
      </c>
      <c r="AW139" s="622">
        <f t="shared" ref="AW139" si="263">COUNTIF(AA139:AT139,"C")</f>
        <v>0</v>
      </c>
    </row>
    <row r="140" spans="1:49" ht="7.5" customHeight="1">
      <c r="A140" s="623"/>
      <c r="B140" s="622"/>
      <c r="C140" s="622"/>
      <c r="D140" s="622"/>
      <c r="E140" s="622"/>
      <c r="F140" s="622"/>
      <c r="G140" s="622"/>
      <c r="H140" s="622"/>
      <c r="I140" s="622"/>
      <c r="J140" s="622"/>
      <c r="K140" s="622"/>
      <c r="L140" s="622"/>
      <c r="M140" s="622"/>
      <c r="N140" s="622"/>
      <c r="O140" s="622"/>
      <c r="P140" s="622"/>
      <c r="Q140" s="622"/>
      <c r="R140" s="622"/>
      <c r="S140" s="622"/>
      <c r="T140" s="622"/>
      <c r="U140" s="622"/>
      <c r="V140" s="622"/>
      <c r="W140" s="622"/>
      <c r="X140" s="622"/>
      <c r="Y140" s="330"/>
      <c r="Z140" s="623"/>
      <c r="AA140" s="622"/>
      <c r="AB140" s="622"/>
      <c r="AC140" s="622"/>
      <c r="AD140" s="622"/>
      <c r="AE140" s="622"/>
      <c r="AF140" s="622"/>
      <c r="AG140" s="622"/>
      <c r="AH140" s="622"/>
      <c r="AI140" s="622"/>
      <c r="AJ140" s="622"/>
      <c r="AK140" s="622"/>
      <c r="AL140" s="622"/>
      <c r="AM140" s="622"/>
      <c r="AN140" s="622"/>
      <c r="AO140" s="622"/>
      <c r="AP140" s="622"/>
      <c r="AQ140" s="622"/>
      <c r="AR140" s="622"/>
      <c r="AS140" s="622"/>
      <c r="AT140" s="622"/>
      <c r="AU140" s="622"/>
      <c r="AV140" s="622"/>
      <c r="AW140" s="622"/>
    </row>
    <row r="141" spans="1:49" ht="7.5" customHeight="1">
      <c r="A141" s="623"/>
      <c r="B141" s="622"/>
      <c r="C141" s="622"/>
      <c r="D141" s="622"/>
      <c r="E141" s="622"/>
      <c r="F141" s="622"/>
      <c r="G141" s="622"/>
      <c r="H141" s="622"/>
      <c r="I141" s="622"/>
      <c r="J141" s="622"/>
      <c r="K141" s="622"/>
      <c r="L141" s="622"/>
      <c r="M141" s="622"/>
      <c r="N141" s="622"/>
      <c r="O141" s="622"/>
      <c r="P141" s="622"/>
      <c r="Q141" s="622"/>
      <c r="R141" s="622"/>
      <c r="S141" s="622"/>
      <c r="T141" s="622"/>
      <c r="U141" s="622"/>
      <c r="V141" s="622"/>
      <c r="W141" s="622"/>
      <c r="X141" s="622"/>
      <c r="Y141" s="330"/>
      <c r="Z141" s="623"/>
      <c r="AA141" s="622"/>
      <c r="AB141" s="622"/>
      <c r="AC141" s="622"/>
      <c r="AD141" s="622"/>
      <c r="AE141" s="622"/>
      <c r="AF141" s="622"/>
      <c r="AG141" s="622"/>
      <c r="AH141" s="622"/>
      <c r="AI141" s="622"/>
      <c r="AJ141" s="622"/>
      <c r="AK141" s="622"/>
      <c r="AL141" s="622"/>
      <c r="AM141" s="622"/>
      <c r="AN141" s="622"/>
      <c r="AO141" s="622"/>
      <c r="AP141" s="622"/>
      <c r="AQ141" s="622"/>
      <c r="AR141" s="622"/>
      <c r="AS141" s="622"/>
      <c r="AT141" s="622"/>
      <c r="AU141" s="622"/>
      <c r="AV141" s="622"/>
      <c r="AW141" s="622"/>
    </row>
    <row r="142" spans="1:49" ht="7.5" customHeight="1">
      <c r="A142" s="623">
        <v>12</v>
      </c>
      <c r="B142" s="622" t="str">
        <f>IF(NOT(ISBLANK('A-RACHNATMAK'!C158)),"A",IF(NOT(ISBLANK('A-RACHNATMAK'!C157)),"B",IF(NOT(ISBLANK('A-RACHNATMAK'!C156)),"C","")))</f>
        <v/>
      </c>
      <c r="C142" s="622" t="str">
        <f>IF(NOT(ISBLANK('A-RACHNATMAK'!D158)),"A",IF(NOT(ISBLANK('A-RACHNATMAK'!D157)),"B",IF(NOT(ISBLANK('A-RACHNATMAK'!D156)),"C","")))</f>
        <v/>
      </c>
      <c r="D142" s="622" t="str">
        <f>IF(NOT(ISBLANK('A-RACHNATMAK'!E158)),"A",IF(NOT(ISBLANK('A-RACHNATMAK'!E157)),"B",IF(NOT(ISBLANK('A-RACHNATMAK'!E156)),"C","")))</f>
        <v/>
      </c>
      <c r="E142" s="622" t="str">
        <f>IF(NOT(ISBLANK('A-RACHNATMAK'!F158)),"A",IF(NOT(ISBLANK('A-RACHNATMAK'!F157)),"B",IF(NOT(ISBLANK('A-RACHNATMAK'!F156)),"C","")))</f>
        <v/>
      </c>
      <c r="F142" s="622" t="str">
        <f>IF(NOT(ISBLANK('A-RACHNATMAK'!G158)),"A",IF(NOT(ISBLANK('A-RACHNATMAK'!G157)),"B",IF(NOT(ISBLANK('A-RACHNATMAK'!G156)),"C","")))</f>
        <v/>
      </c>
      <c r="G142" s="622" t="str">
        <f>IF(NOT(ISBLANK('A-RACHNATMAK'!H158)),"A",IF(NOT(ISBLANK('A-RACHNATMAK'!H157)),"B",IF(NOT(ISBLANK('A-RACHNATMAK'!H156)),"C","")))</f>
        <v/>
      </c>
      <c r="H142" s="622" t="str">
        <f>IF(NOT(ISBLANK('A-RACHNATMAK'!I158)),"A",IF(NOT(ISBLANK('A-RACHNATMAK'!I157)),"B",IF(NOT(ISBLANK('A-RACHNATMAK'!I156)),"C","")))</f>
        <v/>
      </c>
      <c r="I142" s="622" t="str">
        <f>IF(NOT(ISBLANK('A-RACHNATMAK'!J158)),"A",IF(NOT(ISBLANK('A-RACHNATMAK'!J157)),"B",IF(NOT(ISBLANK('A-RACHNATMAK'!J156)),"C","")))</f>
        <v/>
      </c>
      <c r="J142" s="622" t="str">
        <f>IF(NOT(ISBLANK('A-RACHNATMAK'!K158)),"A",IF(NOT(ISBLANK('A-RACHNATMAK'!K157)),"B",IF(NOT(ISBLANK('A-RACHNATMAK'!K156)),"C","")))</f>
        <v/>
      </c>
      <c r="K142" s="622" t="str">
        <f>IF(NOT(ISBLANK('A-RACHNATMAK'!L158)),"A",IF(NOT(ISBLANK('A-RACHNATMAK'!L157)),"B",IF(NOT(ISBLANK('A-RACHNATMAK'!L156)),"C","")))</f>
        <v/>
      </c>
      <c r="L142" s="622" t="str">
        <f>IF(NOT(ISBLANK('A-RACHNATMAK'!M158)),"A",IF(NOT(ISBLANK('A-RACHNATMAK'!M157)),"B",IF(NOT(ISBLANK('A-RACHNATMAK'!M156)),"C","")))</f>
        <v/>
      </c>
      <c r="M142" s="622" t="str">
        <f>IF(NOT(ISBLANK('A-RACHNATMAK'!N158)),"A",IF(NOT(ISBLANK('A-RACHNATMAK'!N157)),"B",IF(NOT(ISBLANK('A-RACHNATMAK'!N156)),"C","")))</f>
        <v/>
      </c>
      <c r="N142" s="622" t="str">
        <f>IF(NOT(ISBLANK('A-RACHNATMAK'!O158)),"A",IF(NOT(ISBLANK('A-RACHNATMAK'!O157)),"B",IF(NOT(ISBLANK('A-RACHNATMAK'!O156)),"C","")))</f>
        <v/>
      </c>
      <c r="O142" s="622" t="str">
        <f>IF(NOT(ISBLANK('A-RACHNATMAK'!P158)),"A",IF(NOT(ISBLANK('A-RACHNATMAK'!P157)),"B",IF(NOT(ISBLANK('A-RACHNATMAK'!P156)),"C","")))</f>
        <v/>
      </c>
      <c r="P142" s="622" t="str">
        <f>IF(NOT(ISBLANK('A-RACHNATMAK'!Q158)),"A",IF(NOT(ISBLANK('A-RACHNATMAK'!Q157)),"B",IF(NOT(ISBLANK('A-RACHNATMAK'!Q156)),"C","")))</f>
        <v/>
      </c>
      <c r="Q142" s="622" t="str">
        <f>IF(NOT(ISBLANK('A-RACHNATMAK'!R158)),"A",IF(NOT(ISBLANK('A-RACHNATMAK'!R157)),"B",IF(NOT(ISBLANK('A-RACHNATMAK'!R156)),"C","")))</f>
        <v/>
      </c>
      <c r="R142" s="622" t="str">
        <f>IF(NOT(ISBLANK('A-RACHNATMAK'!S158)),"A",IF(NOT(ISBLANK('A-RACHNATMAK'!S157)),"B",IF(NOT(ISBLANK('A-RACHNATMAK'!S156)),"C","")))</f>
        <v/>
      </c>
      <c r="S142" s="622" t="str">
        <f>IF(NOT(ISBLANK('A-RACHNATMAK'!T158)),"A",IF(NOT(ISBLANK('A-RACHNATMAK'!T157)),"B",IF(NOT(ISBLANK('A-RACHNATMAK'!T156)),"C","")))</f>
        <v/>
      </c>
      <c r="T142" s="622" t="str">
        <f>IF(NOT(ISBLANK('A-RACHNATMAK'!U158)),"A",IF(NOT(ISBLANK('A-RACHNATMAK'!U157)),"B",IF(NOT(ISBLANK('A-RACHNATMAK'!U156)),"C","")))</f>
        <v/>
      </c>
      <c r="U142" s="622" t="str">
        <f>IF(NOT(ISBLANK('A-RACHNATMAK'!V158)),"A",IF(NOT(ISBLANK('A-RACHNATMAK'!V157)),"B",IF(NOT(ISBLANK('A-RACHNATMAK'!V156)),"C","")))</f>
        <v/>
      </c>
      <c r="V142" s="622">
        <f t="shared" ref="V142" si="264">COUNTIF(B142:U142,"A")</f>
        <v>0</v>
      </c>
      <c r="W142" s="622">
        <f t="shared" ref="W142" si="265">COUNTIF(B142:U142,"B")</f>
        <v>0</v>
      </c>
      <c r="X142" s="622">
        <f t="shared" ref="X142" si="266">COUNTIF(B142:U142,"C")</f>
        <v>0</v>
      </c>
      <c r="Y142" s="330"/>
      <c r="Z142" s="623">
        <v>12</v>
      </c>
      <c r="AA142" s="622" t="str">
        <f>IF(NOT(ISBLANK('A-RACHNATMAK'!AD158)),"A",IF(NOT(ISBLANK('A-RACHNATMAK'!AD157)),"B",IF(NOT(ISBLANK('A-RACHNATMAK'!AD156)),"C","")))</f>
        <v/>
      </c>
      <c r="AB142" s="622" t="str">
        <f>IF(NOT(ISBLANK('A-RACHNATMAK'!AE158)),"A",IF(NOT(ISBLANK('A-RACHNATMAK'!AE157)),"B",IF(NOT(ISBLANK('A-RACHNATMAK'!AE156)),"C","")))</f>
        <v/>
      </c>
      <c r="AC142" s="622" t="str">
        <f>IF(NOT(ISBLANK('A-RACHNATMAK'!AF158)),"A",IF(NOT(ISBLANK('A-RACHNATMAK'!AF157)),"B",IF(NOT(ISBLANK('A-RACHNATMAK'!AF156)),"C","")))</f>
        <v/>
      </c>
      <c r="AD142" s="622" t="str">
        <f>IF(NOT(ISBLANK('A-RACHNATMAK'!AG158)),"A",IF(NOT(ISBLANK('A-RACHNATMAK'!AG157)),"B",IF(NOT(ISBLANK('A-RACHNATMAK'!AG156)),"C","")))</f>
        <v/>
      </c>
      <c r="AE142" s="622" t="str">
        <f>IF(NOT(ISBLANK('A-RACHNATMAK'!AH158)),"A",IF(NOT(ISBLANK('A-RACHNATMAK'!AH157)),"B",IF(NOT(ISBLANK('A-RACHNATMAK'!AH156)),"C","")))</f>
        <v/>
      </c>
      <c r="AF142" s="622" t="str">
        <f>IF(NOT(ISBLANK('A-RACHNATMAK'!AI158)),"A",IF(NOT(ISBLANK('A-RACHNATMAK'!AI157)),"B",IF(NOT(ISBLANK('A-RACHNATMAK'!AI156)),"C","")))</f>
        <v/>
      </c>
      <c r="AG142" s="622" t="str">
        <f>IF(NOT(ISBLANK('A-RACHNATMAK'!AJ158)),"A",IF(NOT(ISBLANK('A-RACHNATMAK'!AJ157)),"B",IF(NOT(ISBLANK('A-RACHNATMAK'!AJ156)),"C","")))</f>
        <v/>
      </c>
      <c r="AH142" s="622" t="str">
        <f>IF(NOT(ISBLANK('A-RACHNATMAK'!AK158)),"A",IF(NOT(ISBLANK('A-RACHNATMAK'!AK157)),"B",IF(NOT(ISBLANK('A-RACHNATMAK'!AK156)),"C","")))</f>
        <v/>
      </c>
      <c r="AI142" s="622" t="str">
        <f>IF(NOT(ISBLANK('A-RACHNATMAK'!AL158)),"A",IF(NOT(ISBLANK('A-RACHNATMAK'!AL157)),"B",IF(NOT(ISBLANK('A-RACHNATMAK'!AL156)),"C","")))</f>
        <v/>
      </c>
      <c r="AJ142" s="622" t="str">
        <f>IF(NOT(ISBLANK('A-RACHNATMAK'!AM158)),"A",IF(NOT(ISBLANK('A-RACHNATMAK'!AM157)),"B",IF(NOT(ISBLANK('A-RACHNATMAK'!AM156)),"C","")))</f>
        <v/>
      </c>
      <c r="AK142" s="622" t="str">
        <f>IF(NOT(ISBLANK('A-RACHNATMAK'!AN158)),"A",IF(NOT(ISBLANK('A-RACHNATMAK'!AN157)),"B",IF(NOT(ISBLANK('A-RACHNATMAK'!AN156)),"C","")))</f>
        <v/>
      </c>
      <c r="AL142" s="622" t="str">
        <f>IF(NOT(ISBLANK('A-RACHNATMAK'!AO158)),"A",IF(NOT(ISBLANK('A-RACHNATMAK'!AO157)),"B",IF(NOT(ISBLANK('A-RACHNATMAK'!AO156)),"C","")))</f>
        <v/>
      </c>
      <c r="AM142" s="622" t="str">
        <f>IF(NOT(ISBLANK('A-RACHNATMAK'!AP158)),"A",IF(NOT(ISBLANK('A-RACHNATMAK'!AP157)),"B",IF(NOT(ISBLANK('A-RACHNATMAK'!AP156)),"C","")))</f>
        <v/>
      </c>
      <c r="AN142" s="622" t="str">
        <f>IF(NOT(ISBLANK('A-RACHNATMAK'!AQ158)),"A",IF(NOT(ISBLANK('A-RACHNATMAK'!AQ157)),"B",IF(NOT(ISBLANK('A-RACHNATMAK'!AQ156)),"C","")))</f>
        <v/>
      </c>
      <c r="AO142" s="622" t="str">
        <f>IF(NOT(ISBLANK('A-RACHNATMAK'!AR158)),"A",IF(NOT(ISBLANK('A-RACHNATMAK'!AR157)),"B",IF(NOT(ISBLANK('A-RACHNATMAK'!AR156)),"C","")))</f>
        <v/>
      </c>
      <c r="AP142" s="622" t="str">
        <f>IF(NOT(ISBLANK('A-RACHNATMAK'!AS158)),"A",IF(NOT(ISBLANK('A-RACHNATMAK'!AS157)),"B",IF(NOT(ISBLANK('A-RACHNATMAK'!AS156)),"C","")))</f>
        <v/>
      </c>
      <c r="AQ142" s="622" t="str">
        <f>IF(NOT(ISBLANK('A-RACHNATMAK'!AT158)),"A",IF(NOT(ISBLANK('A-RACHNATMAK'!AT157)),"B",IF(NOT(ISBLANK('A-RACHNATMAK'!AT156)),"C","")))</f>
        <v/>
      </c>
      <c r="AR142" s="622" t="str">
        <f>IF(NOT(ISBLANK('A-RACHNATMAK'!AU158)),"A",IF(NOT(ISBLANK('A-RACHNATMAK'!AU157)),"B",IF(NOT(ISBLANK('A-RACHNATMAK'!AU156)),"C","")))</f>
        <v/>
      </c>
      <c r="AS142" s="622" t="str">
        <f>IF(NOT(ISBLANK('A-RACHNATMAK'!AV158)),"A",IF(NOT(ISBLANK('A-RACHNATMAK'!AV157)),"B",IF(NOT(ISBLANK('A-RACHNATMAK'!AV156)),"C","")))</f>
        <v/>
      </c>
      <c r="AT142" s="622" t="str">
        <f>IF(NOT(ISBLANK('A-RACHNATMAK'!AW158)),"A",IF(NOT(ISBLANK('A-RACHNATMAK'!AW157)),"B",IF(NOT(ISBLANK('A-RACHNATMAK'!AW156)),"C","")))</f>
        <v/>
      </c>
      <c r="AU142" s="622">
        <f t="shared" ref="AU142" si="267">COUNTIF(AA142:AT142,"A")</f>
        <v>0</v>
      </c>
      <c r="AV142" s="622">
        <f t="shared" ref="AV142" si="268">COUNTIF(AA142:AT142,"B")</f>
        <v>0</v>
      </c>
      <c r="AW142" s="622">
        <f t="shared" ref="AW142" si="269">COUNTIF(AA142:AT142,"C")</f>
        <v>0</v>
      </c>
    </row>
    <row r="143" spans="1:49" ht="7.5" customHeight="1">
      <c r="A143" s="623"/>
      <c r="B143" s="622"/>
      <c r="C143" s="622"/>
      <c r="D143" s="622"/>
      <c r="E143" s="622"/>
      <c r="F143" s="622"/>
      <c r="G143" s="622"/>
      <c r="H143" s="622"/>
      <c r="I143" s="622"/>
      <c r="J143" s="622"/>
      <c r="K143" s="622"/>
      <c r="L143" s="622"/>
      <c r="M143" s="622"/>
      <c r="N143" s="622"/>
      <c r="O143" s="622"/>
      <c r="P143" s="622"/>
      <c r="Q143" s="622"/>
      <c r="R143" s="622"/>
      <c r="S143" s="622"/>
      <c r="T143" s="622"/>
      <c r="U143" s="622"/>
      <c r="V143" s="622"/>
      <c r="W143" s="622"/>
      <c r="X143" s="622"/>
      <c r="Y143" s="330"/>
      <c r="Z143" s="623"/>
      <c r="AA143" s="622"/>
      <c r="AB143" s="622"/>
      <c r="AC143" s="622"/>
      <c r="AD143" s="622"/>
      <c r="AE143" s="622"/>
      <c r="AF143" s="622"/>
      <c r="AG143" s="622"/>
      <c r="AH143" s="622"/>
      <c r="AI143" s="622"/>
      <c r="AJ143" s="622"/>
      <c r="AK143" s="622"/>
      <c r="AL143" s="622"/>
      <c r="AM143" s="622"/>
      <c r="AN143" s="622"/>
      <c r="AO143" s="622"/>
      <c r="AP143" s="622"/>
      <c r="AQ143" s="622"/>
      <c r="AR143" s="622"/>
      <c r="AS143" s="622"/>
      <c r="AT143" s="622"/>
      <c r="AU143" s="622"/>
      <c r="AV143" s="622"/>
      <c r="AW143" s="622"/>
    </row>
    <row r="144" spans="1:49" ht="7.5" customHeight="1">
      <c r="A144" s="623"/>
      <c r="B144" s="622"/>
      <c r="C144" s="622"/>
      <c r="D144" s="622"/>
      <c r="E144" s="622"/>
      <c r="F144" s="622"/>
      <c r="G144" s="622"/>
      <c r="H144" s="622"/>
      <c r="I144" s="622"/>
      <c r="J144" s="622"/>
      <c r="K144" s="622"/>
      <c r="L144" s="622"/>
      <c r="M144" s="622"/>
      <c r="N144" s="622"/>
      <c r="O144" s="622"/>
      <c r="P144" s="622"/>
      <c r="Q144" s="622"/>
      <c r="R144" s="622"/>
      <c r="S144" s="622"/>
      <c r="T144" s="622"/>
      <c r="U144" s="622"/>
      <c r="V144" s="622"/>
      <c r="W144" s="622"/>
      <c r="X144" s="622"/>
      <c r="Y144" s="330"/>
      <c r="Z144" s="623"/>
      <c r="AA144" s="622"/>
      <c r="AB144" s="622"/>
      <c r="AC144" s="622"/>
      <c r="AD144" s="622"/>
      <c r="AE144" s="622"/>
      <c r="AF144" s="622"/>
      <c r="AG144" s="622"/>
      <c r="AH144" s="622"/>
      <c r="AI144" s="622"/>
      <c r="AJ144" s="622"/>
      <c r="AK144" s="622"/>
      <c r="AL144" s="622"/>
      <c r="AM144" s="622"/>
      <c r="AN144" s="622"/>
      <c r="AO144" s="622"/>
      <c r="AP144" s="622"/>
      <c r="AQ144" s="622"/>
      <c r="AR144" s="622"/>
      <c r="AS144" s="622"/>
      <c r="AT144" s="622"/>
      <c r="AU144" s="622"/>
      <c r="AV144" s="622"/>
      <c r="AW144" s="622"/>
    </row>
    <row r="145" spans="1:49" ht="7.5" customHeight="1">
      <c r="A145" s="623">
        <v>13</v>
      </c>
      <c r="B145" s="622" t="str">
        <f>IF(NOT(ISBLANK('A-RACHNATMAK'!C161)),"A",IF(NOT(ISBLANK('A-RACHNATMAK'!C160)),"B",IF(NOT(ISBLANK('A-RACHNATMAK'!C159)),"C","")))</f>
        <v/>
      </c>
      <c r="C145" s="622" t="str">
        <f>IF(NOT(ISBLANK('A-RACHNATMAK'!D161)),"A",IF(NOT(ISBLANK('A-RACHNATMAK'!D160)),"B",IF(NOT(ISBLANK('A-RACHNATMAK'!D159)),"C","")))</f>
        <v/>
      </c>
      <c r="D145" s="622" t="str">
        <f>IF(NOT(ISBLANK('A-RACHNATMAK'!E161)),"A",IF(NOT(ISBLANK('A-RACHNATMAK'!E160)),"B",IF(NOT(ISBLANK('A-RACHNATMAK'!E159)),"C","")))</f>
        <v/>
      </c>
      <c r="E145" s="622" t="str">
        <f>IF(NOT(ISBLANK('A-RACHNATMAK'!F161)),"A",IF(NOT(ISBLANK('A-RACHNATMAK'!F160)),"B",IF(NOT(ISBLANK('A-RACHNATMAK'!F159)),"C","")))</f>
        <v/>
      </c>
      <c r="F145" s="622" t="str">
        <f>IF(NOT(ISBLANK('A-RACHNATMAK'!G161)),"A",IF(NOT(ISBLANK('A-RACHNATMAK'!G160)),"B",IF(NOT(ISBLANK('A-RACHNATMAK'!G159)),"C","")))</f>
        <v/>
      </c>
      <c r="G145" s="622" t="str">
        <f>IF(NOT(ISBLANK('A-RACHNATMAK'!H161)),"A",IF(NOT(ISBLANK('A-RACHNATMAK'!H160)),"B",IF(NOT(ISBLANK('A-RACHNATMAK'!H159)),"C","")))</f>
        <v/>
      </c>
      <c r="H145" s="622" t="str">
        <f>IF(NOT(ISBLANK('A-RACHNATMAK'!I161)),"A",IF(NOT(ISBLANK('A-RACHNATMAK'!I160)),"B",IF(NOT(ISBLANK('A-RACHNATMAK'!I159)),"C","")))</f>
        <v/>
      </c>
      <c r="I145" s="622" t="str">
        <f>IF(NOT(ISBLANK('A-RACHNATMAK'!J161)),"A",IF(NOT(ISBLANK('A-RACHNATMAK'!J160)),"B",IF(NOT(ISBLANK('A-RACHNATMAK'!J159)),"C","")))</f>
        <v/>
      </c>
      <c r="J145" s="622" t="str">
        <f>IF(NOT(ISBLANK('A-RACHNATMAK'!K161)),"A",IF(NOT(ISBLANK('A-RACHNATMAK'!K160)),"B",IF(NOT(ISBLANK('A-RACHNATMAK'!K159)),"C","")))</f>
        <v/>
      </c>
      <c r="K145" s="622" t="str">
        <f>IF(NOT(ISBLANK('A-RACHNATMAK'!L161)),"A",IF(NOT(ISBLANK('A-RACHNATMAK'!L160)),"B",IF(NOT(ISBLANK('A-RACHNATMAK'!L159)),"C","")))</f>
        <v/>
      </c>
      <c r="L145" s="622" t="str">
        <f>IF(NOT(ISBLANK('A-RACHNATMAK'!M161)),"A",IF(NOT(ISBLANK('A-RACHNATMAK'!M160)),"B",IF(NOT(ISBLANK('A-RACHNATMAK'!M159)),"C","")))</f>
        <v/>
      </c>
      <c r="M145" s="622" t="str">
        <f>IF(NOT(ISBLANK('A-RACHNATMAK'!N161)),"A",IF(NOT(ISBLANK('A-RACHNATMAK'!N160)),"B",IF(NOT(ISBLANK('A-RACHNATMAK'!N159)),"C","")))</f>
        <v/>
      </c>
      <c r="N145" s="622" t="str">
        <f>IF(NOT(ISBLANK('A-RACHNATMAK'!O161)),"A",IF(NOT(ISBLANK('A-RACHNATMAK'!O160)),"B",IF(NOT(ISBLANK('A-RACHNATMAK'!O159)),"C","")))</f>
        <v/>
      </c>
      <c r="O145" s="622" t="str">
        <f>IF(NOT(ISBLANK('A-RACHNATMAK'!P161)),"A",IF(NOT(ISBLANK('A-RACHNATMAK'!P160)),"B",IF(NOT(ISBLANK('A-RACHNATMAK'!P159)),"C","")))</f>
        <v/>
      </c>
      <c r="P145" s="622" t="str">
        <f>IF(NOT(ISBLANK('A-RACHNATMAK'!Q161)),"A",IF(NOT(ISBLANK('A-RACHNATMAK'!Q160)),"B",IF(NOT(ISBLANK('A-RACHNATMAK'!Q159)),"C","")))</f>
        <v/>
      </c>
      <c r="Q145" s="622" t="str">
        <f>IF(NOT(ISBLANK('A-RACHNATMAK'!R161)),"A",IF(NOT(ISBLANK('A-RACHNATMAK'!R160)),"B",IF(NOT(ISBLANK('A-RACHNATMAK'!R159)),"C","")))</f>
        <v/>
      </c>
      <c r="R145" s="622" t="str">
        <f>IF(NOT(ISBLANK('A-RACHNATMAK'!S161)),"A",IF(NOT(ISBLANK('A-RACHNATMAK'!S160)),"B",IF(NOT(ISBLANK('A-RACHNATMAK'!S159)),"C","")))</f>
        <v/>
      </c>
      <c r="S145" s="622" t="str">
        <f>IF(NOT(ISBLANK('A-RACHNATMAK'!T161)),"A",IF(NOT(ISBLANK('A-RACHNATMAK'!T160)),"B",IF(NOT(ISBLANK('A-RACHNATMAK'!T159)),"C","")))</f>
        <v/>
      </c>
      <c r="T145" s="622" t="str">
        <f>IF(NOT(ISBLANK('A-RACHNATMAK'!U161)),"A",IF(NOT(ISBLANK('A-RACHNATMAK'!U160)),"B",IF(NOT(ISBLANK('A-RACHNATMAK'!U159)),"C","")))</f>
        <v/>
      </c>
      <c r="U145" s="622" t="str">
        <f>IF(NOT(ISBLANK('A-RACHNATMAK'!V161)),"A",IF(NOT(ISBLANK('A-RACHNATMAK'!V160)),"B",IF(NOT(ISBLANK('A-RACHNATMAK'!V159)),"C","")))</f>
        <v/>
      </c>
      <c r="V145" s="622">
        <f t="shared" ref="V145" si="270">COUNTIF(B145:U145,"A")</f>
        <v>0</v>
      </c>
      <c r="W145" s="622">
        <f t="shared" ref="W145" si="271">COUNTIF(B145:U145,"B")</f>
        <v>0</v>
      </c>
      <c r="X145" s="622">
        <f t="shared" ref="X145" si="272">COUNTIF(B145:U145,"C")</f>
        <v>0</v>
      </c>
      <c r="Y145" s="330"/>
      <c r="Z145" s="623">
        <v>13</v>
      </c>
      <c r="AA145" s="622" t="str">
        <f>IF(NOT(ISBLANK('A-RACHNATMAK'!AD161)),"A",IF(NOT(ISBLANK('A-RACHNATMAK'!AD160)),"B",IF(NOT(ISBLANK('A-RACHNATMAK'!AD159)),"C","")))</f>
        <v/>
      </c>
      <c r="AB145" s="622" t="str">
        <f>IF(NOT(ISBLANK('A-RACHNATMAK'!AE161)),"A",IF(NOT(ISBLANK('A-RACHNATMAK'!AE160)),"B",IF(NOT(ISBLANK('A-RACHNATMAK'!AE159)),"C","")))</f>
        <v/>
      </c>
      <c r="AC145" s="622" t="str">
        <f>IF(NOT(ISBLANK('A-RACHNATMAK'!AF161)),"A",IF(NOT(ISBLANK('A-RACHNATMAK'!AF160)),"B",IF(NOT(ISBLANK('A-RACHNATMAK'!AF159)),"C","")))</f>
        <v/>
      </c>
      <c r="AD145" s="622" t="str">
        <f>IF(NOT(ISBLANK('A-RACHNATMAK'!AG161)),"A",IF(NOT(ISBLANK('A-RACHNATMAK'!AG160)),"B",IF(NOT(ISBLANK('A-RACHNATMAK'!AG159)),"C","")))</f>
        <v/>
      </c>
      <c r="AE145" s="622" t="str">
        <f>IF(NOT(ISBLANK('A-RACHNATMAK'!AH161)),"A",IF(NOT(ISBLANK('A-RACHNATMAK'!AH160)),"B",IF(NOT(ISBLANK('A-RACHNATMAK'!AH159)),"C","")))</f>
        <v/>
      </c>
      <c r="AF145" s="622" t="str">
        <f>IF(NOT(ISBLANK('A-RACHNATMAK'!AI161)),"A",IF(NOT(ISBLANK('A-RACHNATMAK'!AI160)),"B",IF(NOT(ISBLANK('A-RACHNATMAK'!AI159)),"C","")))</f>
        <v/>
      </c>
      <c r="AG145" s="622" t="str">
        <f>IF(NOT(ISBLANK('A-RACHNATMAK'!AJ161)),"A",IF(NOT(ISBLANK('A-RACHNATMAK'!AJ160)),"B",IF(NOT(ISBLANK('A-RACHNATMAK'!AJ159)),"C","")))</f>
        <v/>
      </c>
      <c r="AH145" s="622" t="str">
        <f>IF(NOT(ISBLANK('A-RACHNATMAK'!AK161)),"A",IF(NOT(ISBLANK('A-RACHNATMAK'!AK160)),"B",IF(NOT(ISBLANK('A-RACHNATMAK'!AK159)),"C","")))</f>
        <v/>
      </c>
      <c r="AI145" s="622" t="str">
        <f>IF(NOT(ISBLANK('A-RACHNATMAK'!AL161)),"A",IF(NOT(ISBLANK('A-RACHNATMAK'!AL160)),"B",IF(NOT(ISBLANK('A-RACHNATMAK'!AL159)),"C","")))</f>
        <v/>
      </c>
      <c r="AJ145" s="622" t="str">
        <f>IF(NOT(ISBLANK('A-RACHNATMAK'!AM161)),"A",IF(NOT(ISBLANK('A-RACHNATMAK'!AM160)),"B",IF(NOT(ISBLANK('A-RACHNATMAK'!AM159)),"C","")))</f>
        <v/>
      </c>
      <c r="AK145" s="622" t="str">
        <f>IF(NOT(ISBLANK('A-RACHNATMAK'!AN161)),"A",IF(NOT(ISBLANK('A-RACHNATMAK'!AN160)),"B",IF(NOT(ISBLANK('A-RACHNATMAK'!AN159)),"C","")))</f>
        <v/>
      </c>
      <c r="AL145" s="622" t="str">
        <f>IF(NOT(ISBLANK('A-RACHNATMAK'!AO161)),"A",IF(NOT(ISBLANK('A-RACHNATMAK'!AO160)),"B",IF(NOT(ISBLANK('A-RACHNATMAK'!AO159)),"C","")))</f>
        <v/>
      </c>
      <c r="AM145" s="622" t="str">
        <f>IF(NOT(ISBLANK('A-RACHNATMAK'!AP161)),"A",IF(NOT(ISBLANK('A-RACHNATMAK'!AP160)),"B",IF(NOT(ISBLANK('A-RACHNATMAK'!AP159)),"C","")))</f>
        <v/>
      </c>
      <c r="AN145" s="622" t="str">
        <f>IF(NOT(ISBLANK('A-RACHNATMAK'!AQ161)),"A",IF(NOT(ISBLANK('A-RACHNATMAK'!AQ160)),"B",IF(NOT(ISBLANK('A-RACHNATMAK'!AQ159)),"C","")))</f>
        <v/>
      </c>
      <c r="AO145" s="622" t="str">
        <f>IF(NOT(ISBLANK('A-RACHNATMAK'!AR161)),"A",IF(NOT(ISBLANK('A-RACHNATMAK'!AR160)),"B",IF(NOT(ISBLANK('A-RACHNATMAK'!AR159)),"C","")))</f>
        <v/>
      </c>
      <c r="AP145" s="622" t="str">
        <f>IF(NOT(ISBLANK('A-RACHNATMAK'!AS161)),"A",IF(NOT(ISBLANK('A-RACHNATMAK'!AS160)),"B",IF(NOT(ISBLANK('A-RACHNATMAK'!AS159)),"C","")))</f>
        <v/>
      </c>
      <c r="AQ145" s="622" t="str">
        <f>IF(NOT(ISBLANK('A-RACHNATMAK'!AT161)),"A",IF(NOT(ISBLANK('A-RACHNATMAK'!AT160)),"B",IF(NOT(ISBLANK('A-RACHNATMAK'!AT159)),"C","")))</f>
        <v/>
      </c>
      <c r="AR145" s="622" t="str">
        <f>IF(NOT(ISBLANK('A-RACHNATMAK'!AU161)),"A",IF(NOT(ISBLANK('A-RACHNATMAK'!AU160)),"B",IF(NOT(ISBLANK('A-RACHNATMAK'!AU159)),"C","")))</f>
        <v/>
      </c>
      <c r="AS145" s="622" t="str">
        <f>IF(NOT(ISBLANK('A-RACHNATMAK'!AV161)),"A",IF(NOT(ISBLANK('A-RACHNATMAK'!AV160)),"B",IF(NOT(ISBLANK('A-RACHNATMAK'!AV159)),"C","")))</f>
        <v/>
      </c>
      <c r="AT145" s="622" t="str">
        <f>IF(NOT(ISBLANK('A-RACHNATMAK'!AW161)),"A",IF(NOT(ISBLANK('A-RACHNATMAK'!AW160)),"B",IF(NOT(ISBLANK('A-RACHNATMAK'!AW159)),"C","")))</f>
        <v/>
      </c>
      <c r="AU145" s="622">
        <f t="shared" ref="AU145" si="273">COUNTIF(AA145:AT145,"A")</f>
        <v>0</v>
      </c>
      <c r="AV145" s="622">
        <f t="shared" ref="AV145" si="274">COUNTIF(AA145:AT145,"B")</f>
        <v>0</v>
      </c>
      <c r="AW145" s="622">
        <f t="shared" ref="AW145" si="275">COUNTIF(AA145:AT145,"C")</f>
        <v>0</v>
      </c>
    </row>
    <row r="146" spans="1:49" ht="7.5" customHeight="1">
      <c r="A146" s="623"/>
      <c r="B146" s="622"/>
      <c r="C146" s="622"/>
      <c r="D146" s="622"/>
      <c r="E146" s="622"/>
      <c r="F146" s="622"/>
      <c r="G146" s="622"/>
      <c r="H146" s="622"/>
      <c r="I146" s="622"/>
      <c r="J146" s="622"/>
      <c r="K146" s="622"/>
      <c r="L146" s="622"/>
      <c r="M146" s="622"/>
      <c r="N146" s="622"/>
      <c r="O146" s="622"/>
      <c r="P146" s="622"/>
      <c r="Q146" s="622"/>
      <c r="R146" s="622"/>
      <c r="S146" s="622"/>
      <c r="T146" s="622"/>
      <c r="U146" s="622"/>
      <c r="V146" s="622"/>
      <c r="W146" s="622"/>
      <c r="X146" s="622"/>
      <c r="Y146" s="330"/>
      <c r="Z146" s="623"/>
      <c r="AA146" s="622"/>
      <c r="AB146" s="622"/>
      <c r="AC146" s="622"/>
      <c r="AD146" s="622"/>
      <c r="AE146" s="622"/>
      <c r="AF146" s="622"/>
      <c r="AG146" s="622"/>
      <c r="AH146" s="622"/>
      <c r="AI146" s="622"/>
      <c r="AJ146" s="622"/>
      <c r="AK146" s="622"/>
      <c r="AL146" s="622"/>
      <c r="AM146" s="622"/>
      <c r="AN146" s="622"/>
      <c r="AO146" s="622"/>
      <c r="AP146" s="622"/>
      <c r="AQ146" s="622"/>
      <c r="AR146" s="622"/>
      <c r="AS146" s="622"/>
      <c r="AT146" s="622"/>
      <c r="AU146" s="622"/>
      <c r="AV146" s="622"/>
      <c r="AW146" s="622"/>
    </row>
    <row r="147" spans="1:49" ht="7.5" customHeight="1">
      <c r="A147" s="623"/>
      <c r="B147" s="622"/>
      <c r="C147" s="622"/>
      <c r="D147" s="622"/>
      <c r="E147" s="622"/>
      <c r="F147" s="622"/>
      <c r="G147" s="622"/>
      <c r="H147" s="622"/>
      <c r="I147" s="622"/>
      <c r="J147" s="622"/>
      <c r="K147" s="622"/>
      <c r="L147" s="622"/>
      <c r="M147" s="622"/>
      <c r="N147" s="622"/>
      <c r="O147" s="622"/>
      <c r="P147" s="622"/>
      <c r="Q147" s="622"/>
      <c r="R147" s="622"/>
      <c r="S147" s="622"/>
      <c r="T147" s="622"/>
      <c r="U147" s="622"/>
      <c r="V147" s="622"/>
      <c r="W147" s="622"/>
      <c r="X147" s="622"/>
      <c r="Y147" s="330"/>
      <c r="Z147" s="623"/>
      <c r="AA147" s="622"/>
      <c r="AB147" s="622"/>
      <c r="AC147" s="622"/>
      <c r="AD147" s="622"/>
      <c r="AE147" s="622"/>
      <c r="AF147" s="622"/>
      <c r="AG147" s="622"/>
      <c r="AH147" s="622"/>
      <c r="AI147" s="622"/>
      <c r="AJ147" s="622"/>
      <c r="AK147" s="622"/>
      <c r="AL147" s="622"/>
      <c r="AM147" s="622"/>
      <c r="AN147" s="622"/>
      <c r="AO147" s="622"/>
      <c r="AP147" s="622"/>
      <c r="AQ147" s="622"/>
      <c r="AR147" s="622"/>
      <c r="AS147" s="622"/>
      <c r="AT147" s="622"/>
      <c r="AU147" s="622"/>
      <c r="AV147" s="622"/>
      <c r="AW147" s="622"/>
    </row>
    <row r="148" spans="1:49" ht="7.5" customHeight="1">
      <c r="A148" s="623">
        <v>14</v>
      </c>
      <c r="B148" s="622" t="str">
        <f>IF(NOT(ISBLANK('A-RACHNATMAK'!C164)),"A",IF(NOT(ISBLANK('A-RACHNATMAK'!C163)),"B",IF(NOT(ISBLANK('A-RACHNATMAK'!C162)),"C","")))</f>
        <v/>
      </c>
      <c r="C148" s="622" t="str">
        <f>IF(NOT(ISBLANK('A-RACHNATMAK'!D164)),"A",IF(NOT(ISBLANK('A-RACHNATMAK'!D163)),"B",IF(NOT(ISBLANK('A-RACHNATMAK'!D162)),"C","")))</f>
        <v/>
      </c>
      <c r="D148" s="622" t="str">
        <f>IF(NOT(ISBLANK('A-RACHNATMAK'!E164)),"A",IF(NOT(ISBLANK('A-RACHNATMAK'!E163)),"B",IF(NOT(ISBLANK('A-RACHNATMAK'!E162)),"C","")))</f>
        <v/>
      </c>
      <c r="E148" s="622" t="str">
        <f>IF(NOT(ISBLANK('A-RACHNATMAK'!F164)),"A",IF(NOT(ISBLANK('A-RACHNATMAK'!F163)),"B",IF(NOT(ISBLANK('A-RACHNATMAK'!F162)),"C","")))</f>
        <v/>
      </c>
      <c r="F148" s="622" t="str">
        <f>IF(NOT(ISBLANK('A-RACHNATMAK'!G164)),"A",IF(NOT(ISBLANK('A-RACHNATMAK'!G163)),"B",IF(NOT(ISBLANK('A-RACHNATMAK'!G162)),"C","")))</f>
        <v/>
      </c>
      <c r="G148" s="622" t="str">
        <f>IF(NOT(ISBLANK('A-RACHNATMAK'!H164)),"A",IF(NOT(ISBLANK('A-RACHNATMAK'!H163)),"B",IF(NOT(ISBLANK('A-RACHNATMAK'!H162)),"C","")))</f>
        <v/>
      </c>
      <c r="H148" s="622" t="str">
        <f>IF(NOT(ISBLANK('A-RACHNATMAK'!I164)),"A",IF(NOT(ISBLANK('A-RACHNATMAK'!I163)),"B",IF(NOT(ISBLANK('A-RACHNATMAK'!I162)),"C","")))</f>
        <v/>
      </c>
      <c r="I148" s="622" t="str">
        <f>IF(NOT(ISBLANK('A-RACHNATMAK'!J164)),"A",IF(NOT(ISBLANK('A-RACHNATMAK'!J163)),"B",IF(NOT(ISBLANK('A-RACHNATMAK'!J162)),"C","")))</f>
        <v/>
      </c>
      <c r="J148" s="622" t="str">
        <f>IF(NOT(ISBLANK('A-RACHNATMAK'!K164)),"A",IF(NOT(ISBLANK('A-RACHNATMAK'!K163)),"B",IF(NOT(ISBLANK('A-RACHNATMAK'!K162)),"C","")))</f>
        <v/>
      </c>
      <c r="K148" s="622" t="str">
        <f>IF(NOT(ISBLANK('A-RACHNATMAK'!L164)),"A",IF(NOT(ISBLANK('A-RACHNATMAK'!L163)),"B",IF(NOT(ISBLANK('A-RACHNATMAK'!L162)),"C","")))</f>
        <v/>
      </c>
      <c r="L148" s="622" t="str">
        <f>IF(NOT(ISBLANK('A-RACHNATMAK'!M164)),"A",IF(NOT(ISBLANK('A-RACHNATMAK'!M163)),"B",IF(NOT(ISBLANK('A-RACHNATMAK'!M162)),"C","")))</f>
        <v/>
      </c>
      <c r="M148" s="622" t="str">
        <f>IF(NOT(ISBLANK('A-RACHNATMAK'!N164)),"A",IF(NOT(ISBLANK('A-RACHNATMAK'!N163)),"B",IF(NOT(ISBLANK('A-RACHNATMAK'!N162)),"C","")))</f>
        <v/>
      </c>
      <c r="N148" s="622" t="str">
        <f>IF(NOT(ISBLANK('A-RACHNATMAK'!O164)),"A",IF(NOT(ISBLANK('A-RACHNATMAK'!O163)),"B",IF(NOT(ISBLANK('A-RACHNATMAK'!O162)),"C","")))</f>
        <v/>
      </c>
      <c r="O148" s="622" t="str">
        <f>IF(NOT(ISBLANK('A-RACHNATMAK'!P164)),"A",IF(NOT(ISBLANK('A-RACHNATMAK'!P163)),"B",IF(NOT(ISBLANK('A-RACHNATMAK'!P162)),"C","")))</f>
        <v/>
      </c>
      <c r="P148" s="622" t="str">
        <f>IF(NOT(ISBLANK('A-RACHNATMAK'!Q164)),"A",IF(NOT(ISBLANK('A-RACHNATMAK'!Q163)),"B",IF(NOT(ISBLANK('A-RACHNATMAK'!Q162)),"C","")))</f>
        <v/>
      </c>
      <c r="Q148" s="622" t="str">
        <f>IF(NOT(ISBLANK('A-RACHNATMAK'!R164)),"A",IF(NOT(ISBLANK('A-RACHNATMAK'!R163)),"B",IF(NOT(ISBLANK('A-RACHNATMAK'!R162)),"C","")))</f>
        <v/>
      </c>
      <c r="R148" s="622" t="str">
        <f>IF(NOT(ISBLANK('A-RACHNATMAK'!S164)),"A",IF(NOT(ISBLANK('A-RACHNATMAK'!S163)),"B",IF(NOT(ISBLANK('A-RACHNATMAK'!S162)),"C","")))</f>
        <v/>
      </c>
      <c r="S148" s="622" t="str">
        <f>IF(NOT(ISBLANK('A-RACHNATMAK'!T164)),"A",IF(NOT(ISBLANK('A-RACHNATMAK'!T163)),"B",IF(NOT(ISBLANK('A-RACHNATMAK'!T162)),"C","")))</f>
        <v/>
      </c>
      <c r="T148" s="622" t="str">
        <f>IF(NOT(ISBLANK('A-RACHNATMAK'!U164)),"A",IF(NOT(ISBLANK('A-RACHNATMAK'!U163)),"B",IF(NOT(ISBLANK('A-RACHNATMAK'!U162)),"C","")))</f>
        <v/>
      </c>
      <c r="U148" s="622" t="str">
        <f>IF(NOT(ISBLANK('A-RACHNATMAK'!V164)),"A",IF(NOT(ISBLANK('A-RACHNATMAK'!V163)),"B",IF(NOT(ISBLANK('A-RACHNATMAK'!V162)),"C","")))</f>
        <v/>
      </c>
      <c r="V148" s="622">
        <f t="shared" ref="V148" si="276">COUNTIF(B148:U148,"A")</f>
        <v>0</v>
      </c>
      <c r="W148" s="622">
        <f t="shared" ref="W148" si="277">COUNTIF(B148:U148,"B")</f>
        <v>0</v>
      </c>
      <c r="X148" s="622">
        <f t="shared" ref="X148" si="278">COUNTIF(B148:U148,"C")</f>
        <v>0</v>
      </c>
      <c r="Y148" s="330"/>
      <c r="Z148" s="623">
        <v>14</v>
      </c>
      <c r="AA148" s="622" t="str">
        <f>IF(NOT(ISBLANK('A-RACHNATMAK'!AD164)),"A",IF(NOT(ISBLANK('A-RACHNATMAK'!AD163)),"B",IF(NOT(ISBLANK('A-RACHNATMAK'!AD162)),"C","")))</f>
        <v/>
      </c>
      <c r="AB148" s="622" t="str">
        <f>IF(NOT(ISBLANK('A-RACHNATMAK'!AE164)),"A",IF(NOT(ISBLANK('A-RACHNATMAK'!AE163)),"B",IF(NOT(ISBLANK('A-RACHNATMAK'!AE162)),"C","")))</f>
        <v/>
      </c>
      <c r="AC148" s="622" t="str">
        <f>IF(NOT(ISBLANK('A-RACHNATMAK'!AF164)),"A",IF(NOT(ISBLANK('A-RACHNATMAK'!AF163)),"B",IF(NOT(ISBLANK('A-RACHNATMAK'!AF162)),"C","")))</f>
        <v/>
      </c>
      <c r="AD148" s="622" t="str">
        <f>IF(NOT(ISBLANK('A-RACHNATMAK'!AG164)),"A",IF(NOT(ISBLANK('A-RACHNATMAK'!AG163)),"B",IF(NOT(ISBLANK('A-RACHNATMAK'!AG162)),"C","")))</f>
        <v/>
      </c>
      <c r="AE148" s="622" t="str">
        <f>IF(NOT(ISBLANK('A-RACHNATMAK'!AH164)),"A",IF(NOT(ISBLANK('A-RACHNATMAK'!AH163)),"B",IF(NOT(ISBLANK('A-RACHNATMAK'!AH162)),"C","")))</f>
        <v/>
      </c>
      <c r="AF148" s="622" t="str">
        <f>IF(NOT(ISBLANK('A-RACHNATMAK'!AI164)),"A",IF(NOT(ISBLANK('A-RACHNATMAK'!AI163)),"B",IF(NOT(ISBLANK('A-RACHNATMAK'!AI162)),"C","")))</f>
        <v/>
      </c>
      <c r="AG148" s="622" t="str">
        <f>IF(NOT(ISBLANK('A-RACHNATMAK'!AJ164)),"A",IF(NOT(ISBLANK('A-RACHNATMAK'!AJ163)),"B",IF(NOT(ISBLANK('A-RACHNATMAK'!AJ162)),"C","")))</f>
        <v/>
      </c>
      <c r="AH148" s="622" t="str">
        <f>IF(NOT(ISBLANK('A-RACHNATMAK'!AK164)),"A",IF(NOT(ISBLANK('A-RACHNATMAK'!AK163)),"B",IF(NOT(ISBLANK('A-RACHNATMAK'!AK162)),"C","")))</f>
        <v/>
      </c>
      <c r="AI148" s="622" t="str">
        <f>IF(NOT(ISBLANK('A-RACHNATMAK'!AL164)),"A",IF(NOT(ISBLANK('A-RACHNATMAK'!AL163)),"B",IF(NOT(ISBLANK('A-RACHNATMAK'!AL162)),"C","")))</f>
        <v/>
      </c>
      <c r="AJ148" s="622" t="str">
        <f>IF(NOT(ISBLANK('A-RACHNATMAK'!AM164)),"A",IF(NOT(ISBLANK('A-RACHNATMAK'!AM163)),"B",IF(NOT(ISBLANK('A-RACHNATMAK'!AM162)),"C","")))</f>
        <v/>
      </c>
      <c r="AK148" s="622" t="str">
        <f>IF(NOT(ISBLANK('A-RACHNATMAK'!AN164)),"A",IF(NOT(ISBLANK('A-RACHNATMAK'!AN163)),"B",IF(NOT(ISBLANK('A-RACHNATMAK'!AN162)),"C","")))</f>
        <v/>
      </c>
      <c r="AL148" s="622" t="str">
        <f>IF(NOT(ISBLANK('A-RACHNATMAK'!AO164)),"A",IF(NOT(ISBLANK('A-RACHNATMAK'!AO163)),"B",IF(NOT(ISBLANK('A-RACHNATMAK'!AO162)),"C","")))</f>
        <v/>
      </c>
      <c r="AM148" s="622" t="str">
        <f>IF(NOT(ISBLANK('A-RACHNATMAK'!AP164)),"A",IF(NOT(ISBLANK('A-RACHNATMAK'!AP163)),"B",IF(NOT(ISBLANK('A-RACHNATMAK'!AP162)),"C","")))</f>
        <v/>
      </c>
      <c r="AN148" s="622" t="str">
        <f>IF(NOT(ISBLANK('A-RACHNATMAK'!AQ164)),"A",IF(NOT(ISBLANK('A-RACHNATMAK'!AQ163)),"B",IF(NOT(ISBLANK('A-RACHNATMAK'!AQ162)),"C","")))</f>
        <v/>
      </c>
      <c r="AO148" s="622" t="str">
        <f>IF(NOT(ISBLANK('A-RACHNATMAK'!AR164)),"A",IF(NOT(ISBLANK('A-RACHNATMAK'!AR163)),"B",IF(NOT(ISBLANK('A-RACHNATMAK'!AR162)),"C","")))</f>
        <v/>
      </c>
      <c r="AP148" s="622" t="str">
        <f>IF(NOT(ISBLANK('A-RACHNATMAK'!AS164)),"A",IF(NOT(ISBLANK('A-RACHNATMAK'!AS163)),"B",IF(NOT(ISBLANK('A-RACHNATMAK'!AS162)),"C","")))</f>
        <v/>
      </c>
      <c r="AQ148" s="622" t="str">
        <f>IF(NOT(ISBLANK('A-RACHNATMAK'!AT164)),"A",IF(NOT(ISBLANK('A-RACHNATMAK'!AT163)),"B",IF(NOT(ISBLANK('A-RACHNATMAK'!AT162)),"C","")))</f>
        <v/>
      </c>
      <c r="AR148" s="622" t="str">
        <f>IF(NOT(ISBLANK('A-RACHNATMAK'!AU164)),"A",IF(NOT(ISBLANK('A-RACHNATMAK'!AU163)),"B",IF(NOT(ISBLANK('A-RACHNATMAK'!AU162)),"C","")))</f>
        <v/>
      </c>
      <c r="AS148" s="622" t="str">
        <f>IF(NOT(ISBLANK('A-RACHNATMAK'!AV164)),"A",IF(NOT(ISBLANK('A-RACHNATMAK'!AV163)),"B",IF(NOT(ISBLANK('A-RACHNATMAK'!AV162)),"C","")))</f>
        <v/>
      </c>
      <c r="AT148" s="622" t="str">
        <f>IF(NOT(ISBLANK('A-RACHNATMAK'!AW164)),"A",IF(NOT(ISBLANK('A-RACHNATMAK'!AW163)),"B",IF(NOT(ISBLANK('A-RACHNATMAK'!AW162)),"C","")))</f>
        <v/>
      </c>
      <c r="AU148" s="622">
        <f t="shared" ref="AU148" si="279">COUNTIF(AA148:AT148,"A")</f>
        <v>0</v>
      </c>
      <c r="AV148" s="622">
        <f t="shared" ref="AV148" si="280">COUNTIF(AA148:AT148,"B")</f>
        <v>0</v>
      </c>
      <c r="AW148" s="622">
        <f t="shared" ref="AW148" si="281">COUNTIF(AA148:AT148,"C")</f>
        <v>0</v>
      </c>
    </row>
    <row r="149" spans="1:49" ht="7.5" customHeight="1">
      <c r="A149" s="623"/>
      <c r="B149" s="622"/>
      <c r="C149" s="622"/>
      <c r="D149" s="622"/>
      <c r="E149" s="622"/>
      <c r="F149" s="622"/>
      <c r="G149" s="622"/>
      <c r="H149" s="622"/>
      <c r="I149" s="622"/>
      <c r="J149" s="622"/>
      <c r="K149" s="622"/>
      <c r="L149" s="622"/>
      <c r="M149" s="622"/>
      <c r="N149" s="622"/>
      <c r="O149" s="622"/>
      <c r="P149" s="622"/>
      <c r="Q149" s="622"/>
      <c r="R149" s="622"/>
      <c r="S149" s="622"/>
      <c r="T149" s="622"/>
      <c r="U149" s="622"/>
      <c r="V149" s="622"/>
      <c r="W149" s="622"/>
      <c r="X149" s="622"/>
      <c r="Y149" s="330"/>
      <c r="Z149" s="623"/>
      <c r="AA149" s="622"/>
      <c r="AB149" s="622"/>
      <c r="AC149" s="622"/>
      <c r="AD149" s="622"/>
      <c r="AE149" s="622"/>
      <c r="AF149" s="622"/>
      <c r="AG149" s="622"/>
      <c r="AH149" s="622"/>
      <c r="AI149" s="622"/>
      <c r="AJ149" s="622"/>
      <c r="AK149" s="622"/>
      <c r="AL149" s="622"/>
      <c r="AM149" s="622"/>
      <c r="AN149" s="622"/>
      <c r="AO149" s="622"/>
      <c r="AP149" s="622"/>
      <c r="AQ149" s="622"/>
      <c r="AR149" s="622"/>
      <c r="AS149" s="622"/>
      <c r="AT149" s="622"/>
      <c r="AU149" s="622"/>
      <c r="AV149" s="622"/>
      <c r="AW149" s="622"/>
    </row>
    <row r="150" spans="1:49" ht="7.5" customHeight="1">
      <c r="A150" s="623"/>
      <c r="B150" s="622"/>
      <c r="C150" s="622"/>
      <c r="D150" s="622"/>
      <c r="E150" s="622"/>
      <c r="F150" s="622"/>
      <c r="G150" s="622"/>
      <c r="H150" s="622"/>
      <c r="I150" s="622"/>
      <c r="J150" s="622"/>
      <c r="K150" s="622"/>
      <c r="L150" s="622"/>
      <c r="M150" s="622"/>
      <c r="N150" s="622"/>
      <c r="O150" s="622"/>
      <c r="P150" s="622"/>
      <c r="Q150" s="622"/>
      <c r="R150" s="622"/>
      <c r="S150" s="622"/>
      <c r="T150" s="622"/>
      <c r="U150" s="622"/>
      <c r="V150" s="622"/>
      <c r="W150" s="622"/>
      <c r="X150" s="622"/>
      <c r="Y150" s="330"/>
      <c r="Z150" s="623"/>
      <c r="AA150" s="622"/>
      <c r="AB150" s="622"/>
      <c r="AC150" s="622"/>
      <c r="AD150" s="622"/>
      <c r="AE150" s="622"/>
      <c r="AF150" s="622"/>
      <c r="AG150" s="622"/>
      <c r="AH150" s="622"/>
      <c r="AI150" s="622"/>
      <c r="AJ150" s="622"/>
      <c r="AK150" s="622"/>
      <c r="AL150" s="622"/>
      <c r="AM150" s="622"/>
      <c r="AN150" s="622"/>
      <c r="AO150" s="622"/>
      <c r="AP150" s="622"/>
      <c r="AQ150" s="622"/>
      <c r="AR150" s="622"/>
      <c r="AS150" s="622"/>
      <c r="AT150" s="622"/>
      <c r="AU150" s="622"/>
      <c r="AV150" s="622"/>
      <c r="AW150" s="622"/>
    </row>
    <row r="151" spans="1:49" ht="7.5" customHeight="1">
      <c r="A151" s="623">
        <v>15</v>
      </c>
      <c r="B151" s="622" t="str">
        <f>IF(NOT(ISBLANK('A-RACHNATMAK'!C167)),"A",IF(NOT(ISBLANK('A-RACHNATMAK'!C166)),"B",IF(NOT(ISBLANK('A-RACHNATMAK'!C165)),"C","")))</f>
        <v/>
      </c>
      <c r="C151" s="622" t="str">
        <f>IF(NOT(ISBLANK('A-RACHNATMAK'!D167)),"A",IF(NOT(ISBLANK('A-RACHNATMAK'!D166)),"B",IF(NOT(ISBLANK('A-RACHNATMAK'!D165)),"C","")))</f>
        <v/>
      </c>
      <c r="D151" s="622" t="str">
        <f>IF(NOT(ISBLANK('A-RACHNATMAK'!E167)),"A",IF(NOT(ISBLANK('A-RACHNATMAK'!E166)),"B",IF(NOT(ISBLANK('A-RACHNATMAK'!E165)),"C","")))</f>
        <v/>
      </c>
      <c r="E151" s="622" t="str">
        <f>IF(NOT(ISBLANK('A-RACHNATMAK'!F167)),"A",IF(NOT(ISBLANK('A-RACHNATMAK'!F166)),"B",IF(NOT(ISBLANK('A-RACHNATMAK'!F165)),"C","")))</f>
        <v/>
      </c>
      <c r="F151" s="622" t="str">
        <f>IF(NOT(ISBLANK('A-RACHNATMAK'!G167)),"A",IF(NOT(ISBLANK('A-RACHNATMAK'!G166)),"B",IF(NOT(ISBLANK('A-RACHNATMAK'!G165)),"C","")))</f>
        <v/>
      </c>
      <c r="G151" s="622" t="str">
        <f>IF(NOT(ISBLANK('A-RACHNATMAK'!H167)),"A",IF(NOT(ISBLANK('A-RACHNATMAK'!H166)),"B",IF(NOT(ISBLANK('A-RACHNATMAK'!H165)),"C","")))</f>
        <v/>
      </c>
      <c r="H151" s="622" t="str">
        <f>IF(NOT(ISBLANK('A-RACHNATMAK'!I167)),"A",IF(NOT(ISBLANK('A-RACHNATMAK'!I166)),"B",IF(NOT(ISBLANK('A-RACHNATMAK'!I165)),"C","")))</f>
        <v/>
      </c>
      <c r="I151" s="622" t="str">
        <f>IF(NOT(ISBLANK('A-RACHNATMAK'!J167)),"A",IF(NOT(ISBLANK('A-RACHNATMAK'!J166)),"B",IF(NOT(ISBLANK('A-RACHNATMAK'!J165)),"C","")))</f>
        <v/>
      </c>
      <c r="J151" s="622" t="str">
        <f>IF(NOT(ISBLANK('A-RACHNATMAK'!K167)),"A",IF(NOT(ISBLANK('A-RACHNATMAK'!K166)),"B",IF(NOT(ISBLANK('A-RACHNATMAK'!K165)),"C","")))</f>
        <v/>
      </c>
      <c r="K151" s="622" t="str">
        <f>IF(NOT(ISBLANK('A-RACHNATMAK'!L167)),"A",IF(NOT(ISBLANK('A-RACHNATMAK'!L166)),"B",IF(NOT(ISBLANK('A-RACHNATMAK'!L165)),"C","")))</f>
        <v/>
      </c>
      <c r="L151" s="622" t="str">
        <f>IF(NOT(ISBLANK('A-RACHNATMAK'!M167)),"A",IF(NOT(ISBLANK('A-RACHNATMAK'!M166)),"B",IF(NOT(ISBLANK('A-RACHNATMAK'!M165)),"C","")))</f>
        <v/>
      </c>
      <c r="M151" s="622" t="str">
        <f>IF(NOT(ISBLANK('A-RACHNATMAK'!N167)),"A",IF(NOT(ISBLANK('A-RACHNATMAK'!N166)),"B",IF(NOT(ISBLANK('A-RACHNATMAK'!N165)),"C","")))</f>
        <v/>
      </c>
      <c r="N151" s="622" t="str">
        <f>IF(NOT(ISBLANK('A-RACHNATMAK'!O167)),"A",IF(NOT(ISBLANK('A-RACHNATMAK'!O166)),"B",IF(NOT(ISBLANK('A-RACHNATMAK'!O165)),"C","")))</f>
        <v/>
      </c>
      <c r="O151" s="622" t="str">
        <f>IF(NOT(ISBLANK('A-RACHNATMAK'!P167)),"A",IF(NOT(ISBLANK('A-RACHNATMAK'!P166)),"B",IF(NOT(ISBLANK('A-RACHNATMAK'!P165)),"C","")))</f>
        <v/>
      </c>
      <c r="P151" s="622" t="str">
        <f>IF(NOT(ISBLANK('A-RACHNATMAK'!Q167)),"A",IF(NOT(ISBLANK('A-RACHNATMAK'!Q166)),"B",IF(NOT(ISBLANK('A-RACHNATMAK'!Q165)),"C","")))</f>
        <v/>
      </c>
      <c r="Q151" s="622" t="str">
        <f>IF(NOT(ISBLANK('A-RACHNATMAK'!R167)),"A",IF(NOT(ISBLANK('A-RACHNATMAK'!R166)),"B",IF(NOT(ISBLANK('A-RACHNATMAK'!R165)),"C","")))</f>
        <v/>
      </c>
      <c r="R151" s="622" t="str">
        <f>IF(NOT(ISBLANK('A-RACHNATMAK'!S167)),"A",IF(NOT(ISBLANK('A-RACHNATMAK'!S166)),"B",IF(NOT(ISBLANK('A-RACHNATMAK'!S165)),"C","")))</f>
        <v/>
      </c>
      <c r="S151" s="622" t="str">
        <f>IF(NOT(ISBLANK('A-RACHNATMAK'!T167)),"A",IF(NOT(ISBLANK('A-RACHNATMAK'!T166)),"B",IF(NOT(ISBLANK('A-RACHNATMAK'!T165)),"C","")))</f>
        <v/>
      </c>
      <c r="T151" s="622" t="str">
        <f>IF(NOT(ISBLANK('A-RACHNATMAK'!U167)),"A",IF(NOT(ISBLANK('A-RACHNATMAK'!U166)),"B",IF(NOT(ISBLANK('A-RACHNATMAK'!U165)),"C","")))</f>
        <v/>
      </c>
      <c r="U151" s="622" t="str">
        <f>IF(NOT(ISBLANK('A-RACHNATMAK'!V167)),"A",IF(NOT(ISBLANK('A-RACHNATMAK'!V166)),"B",IF(NOT(ISBLANK('A-RACHNATMAK'!V165)),"C","")))</f>
        <v/>
      </c>
      <c r="V151" s="622">
        <f t="shared" ref="V151" si="282">COUNTIF(B151:U151,"A")</f>
        <v>0</v>
      </c>
      <c r="W151" s="622">
        <f t="shared" ref="W151" si="283">COUNTIF(B151:U151,"B")</f>
        <v>0</v>
      </c>
      <c r="X151" s="622">
        <f t="shared" ref="X151" si="284">COUNTIF(B151:U151,"C")</f>
        <v>0</v>
      </c>
      <c r="Y151" s="330"/>
      <c r="Z151" s="623">
        <v>15</v>
      </c>
      <c r="AA151" s="622" t="str">
        <f>IF(NOT(ISBLANK('A-RACHNATMAK'!AD167)),"A",IF(NOT(ISBLANK('A-RACHNATMAK'!AD166)),"B",IF(NOT(ISBLANK('A-RACHNATMAK'!AD165)),"C","")))</f>
        <v/>
      </c>
      <c r="AB151" s="622" t="str">
        <f>IF(NOT(ISBLANK('A-RACHNATMAK'!AE167)),"A",IF(NOT(ISBLANK('A-RACHNATMAK'!AE166)),"B",IF(NOT(ISBLANK('A-RACHNATMAK'!AE165)),"C","")))</f>
        <v/>
      </c>
      <c r="AC151" s="622" t="str">
        <f>IF(NOT(ISBLANK('A-RACHNATMAK'!AF167)),"A",IF(NOT(ISBLANK('A-RACHNATMAK'!AF166)),"B",IF(NOT(ISBLANK('A-RACHNATMAK'!AF165)),"C","")))</f>
        <v/>
      </c>
      <c r="AD151" s="622" t="str">
        <f>IF(NOT(ISBLANK('A-RACHNATMAK'!AG167)),"A",IF(NOT(ISBLANK('A-RACHNATMAK'!AG166)),"B",IF(NOT(ISBLANK('A-RACHNATMAK'!AG165)),"C","")))</f>
        <v/>
      </c>
      <c r="AE151" s="622" t="str">
        <f>IF(NOT(ISBLANK('A-RACHNATMAK'!AH167)),"A",IF(NOT(ISBLANK('A-RACHNATMAK'!AH166)),"B",IF(NOT(ISBLANK('A-RACHNATMAK'!AH165)),"C","")))</f>
        <v/>
      </c>
      <c r="AF151" s="622" t="str">
        <f>IF(NOT(ISBLANK('A-RACHNATMAK'!AI167)),"A",IF(NOT(ISBLANK('A-RACHNATMAK'!AI166)),"B",IF(NOT(ISBLANK('A-RACHNATMAK'!AI165)),"C","")))</f>
        <v/>
      </c>
      <c r="AG151" s="622" t="str">
        <f>IF(NOT(ISBLANK('A-RACHNATMAK'!AJ167)),"A",IF(NOT(ISBLANK('A-RACHNATMAK'!AJ166)),"B",IF(NOT(ISBLANK('A-RACHNATMAK'!AJ165)),"C","")))</f>
        <v/>
      </c>
      <c r="AH151" s="622" t="str">
        <f>IF(NOT(ISBLANK('A-RACHNATMAK'!AK167)),"A",IF(NOT(ISBLANK('A-RACHNATMAK'!AK166)),"B",IF(NOT(ISBLANK('A-RACHNATMAK'!AK165)),"C","")))</f>
        <v/>
      </c>
      <c r="AI151" s="622" t="str">
        <f>IF(NOT(ISBLANK('A-RACHNATMAK'!AL167)),"A",IF(NOT(ISBLANK('A-RACHNATMAK'!AL166)),"B",IF(NOT(ISBLANK('A-RACHNATMAK'!AL165)),"C","")))</f>
        <v/>
      </c>
      <c r="AJ151" s="622" t="str">
        <f>IF(NOT(ISBLANK('A-RACHNATMAK'!AM167)),"A",IF(NOT(ISBLANK('A-RACHNATMAK'!AM166)),"B",IF(NOT(ISBLANK('A-RACHNATMAK'!AM165)),"C","")))</f>
        <v/>
      </c>
      <c r="AK151" s="622" t="str">
        <f>IF(NOT(ISBLANK('A-RACHNATMAK'!AN167)),"A",IF(NOT(ISBLANK('A-RACHNATMAK'!AN166)),"B",IF(NOT(ISBLANK('A-RACHNATMAK'!AN165)),"C","")))</f>
        <v/>
      </c>
      <c r="AL151" s="622" t="str">
        <f>IF(NOT(ISBLANK('A-RACHNATMAK'!AO167)),"A",IF(NOT(ISBLANK('A-RACHNATMAK'!AO166)),"B",IF(NOT(ISBLANK('A-RACHNATMAK'!AO165)),"C","")))</f>
        <v/>
      </c>
      <c r="AM151" s="622" t="str">
        <f>IF(NOT(ISBLANK('A-RACHNATMAK'!AP167)),"A",IF(NOT(ISBLANK('A-RACHNATMAK'!AP166)),"B",IF(NOT(ISBLANK('A-RACHNATMAK'!AP165)),"C","")))</f>
        <v/>
      </c>
      <c r="AN151" s="622" t="str">
        <f>IF(NOT(ISBLANK('A-RACHNATMAK'!AQ167)),"A",IF(NOT(ISBLANK('A-RACHNATMAK'!AQ166)),"B",IF(NOT(ISBLANK('A-RACHNATMAK'!AQ165)),"C","")))</f>
        <v/>
      </c>
      <c r="AO151" s="622" t="str">
        <f>IF(NOT(ISBLANK('A-RACHNATMAK'!AR167)),"A",IF(NOT(ISBLANK('A-RACHNATMAK'!AR166)),"B",IF(NOT(ISBLANK('A-RACHNATMAK'!AR165)),"C","")))</f>
        <v/>
      </c>
      <c r="AP151" s="622" t="str">
        <f>IF(NOT(ISBLANK('A-RACHNATMAK'!AS167)),"A",IF(NOT(ISBLANK('A-RACHNATMAK'!AS166)),"B",IF(NOT(ISBLANK('A-RACHNATMAK'!AS165)),"C","")))</f>
        <v/>
      </c>
      <c r="AQ151" s="622" t="str">
        <f>IF(NOT(ISBLANK('A-RACHNATMAK'!AT167)),"A",IF(NOT(ISBLANK('A-RACHNATMAK'!AT166)),"B",IF(NOT(ISBLANK('A-RACHNATMAK'!AT165)),"C","")))</f>
        <v/>
      </c>
      <c r="AR151" s="622" t="str">
        <f>IF(NOT(ISBLANK('A-RACHNATMAK'!AU167)),"A",IF(NOT(ISBLANK('A-RACHNATMAK'!AU166)),"B",IF(NOT(ISBLANK('A-RACHNATMAK'!AU165)),"C","")))</f>
        <v/>
      </c>
      <c r="AS151" s="622" t="str">
        <f>IF(NOT(ISBLANK('A-RACHNATMAK'!AV167)),"A",IF(NOT(ISBLANK('A-RACHNATMAK'!AV166)),"B",IF(NOT(ISBLANK('A-RACHNATMAK'!AV165)),"C","")))</f>
        <v/>
      </c>
      <c r="AT151" s="622" t="str">
        <f>IF(NOT(ISBLANK('A-RACHNATMAK'!AW167)),"A",IF(NOT(ISBLANK('A-RACHNATMAK'!AW166)),"B",IF(NOT(ISBLANK('A-RACHNATMAK'!AW165)),"C","")))</f>
        <v/>
      </c>
      <c r="AU151" s="622">
        <f t="shared" ref="AU151" si="285">COUNTIF(AA151:AT151,"A")</f>
        <v>0</v>
      </c>
      <c r="AV151" s="622">
        <f t="shared" ref="AV151" si="286">COUNTIF(AA151:AT151,"B")</f>
        <v>0</v>
      </c>
      <c r="AW151" s="622">
        <f t="shared" ref="AW151" si="287">COUNTIF(AA151:AT151,"C")</f>
        <v>0</v>
      </c>
    </row>
    <row r="152" spans="1:49" ht="7.5" customHeight="1">
      <c r="A152" s="623"/>
      <c r="B152" s="622"/>
      <c r="C152" s="622"/>
      <c r="D152" s="622"/>
      <c r="E152" s="622"/>
      <c r="F152" s="622"/>
      <c r="G152" s="622"/>
      <c r="H152" s="622"/>
      <c r="I152" s="622"/>
      <c r="J152" s="622"/>
      <c r="K152" s="622"/>
      <c r="L152" s="622"/>
      <c r="M152" s="622"/>
      <c r="N152" s="622"/>
      <c r="O152" s="622"/>
      <c r="P152" s="622"/>
      <c r="Q152" s="622"/>
      <c r="R152" s="622"/>
      <c r="S152" s="622"/>
      <c r="T152" s="622"/>
      <c r="U152" s="622"/>
      <c r="V152" s="622"/>
      <c r="W152" s="622"/>
      <c r="X152" s="622"/>
      <c r="Y152" s="330"/>
      <c r="Z152" s="623"/>
      <c r="AA152" s="622"/>
      <c r="AB152" s="622"/>
      <c r="AC152" s="622"/>
      <c r="AD152" s="622"/>
      <c r="AE152" s="622"/>
      <c r="AF152" s="622"/>
      <c r="AG152" s="622"/>
      <c r="AH152" s="622"/>
      <c r="AI152" s="622"/>
      <c r="AJ152" s="622"/>
      <c r="AK152" s="622"/>
      <c r="AL152" s="622"/>
      <c r="AM152" s="622"/>
      <c r="AN152" s="622"/>
      <c r="AO152" s="622"/>
      <c r="AP152" s="622"/>
      <c r="AQ152" s="622"/>
      <c r="AR152" s="622"/>
      <c r="AS152" s="622"/>
      <c r="AT152" s="622"/>
      <c r="AU152" s="622"/>
      <c r="AV152" s="622"/>
      <c r="AW152" s="622"/>
    </row>
    <row r="153" spans="1:49" ht="7.5" customHeight="1">
      <c r="A153" s="623"/>
      <c r="B153" s="622"/>
      <c r="C153" s="622"/>
      <c r="D153" s="622"/>
      <c r="E153" s="622"/>
      <c r="F153" s="622"/>
      <c r="G153" s="622"/>
      <c r="H153" s="622"/>
      <c r="I153" s="622"/>
      <c r="J153" s="622"/>
      <c r="K153" s="622"/>
      <c r="L153" s="622"/>
      <c r="M153" s="622"/>
      <c r="N153" s="622"/>
      <c r="O153" s="622"/>
      <c r="P153" s="622"/>
      <c r="Q153" s="622"/>
      <c r="R153" s="622"/>
      <c r="S153" s="622"/>
      <c r="T153" s="622"/>
      <c r="U153" s="622"/>
      <c r="V153" s="622"/>
      <c r="W153" s="622"/>
      <c r="X153" s="622"/>
      <c r="Y153" s="330"/>
      <c r="Z153" s="623"/>
      <c r="AA153" s="622"/>
      <c r="AB153" s="622"/>
      <c r="AC153" s="622"/>
      <c r="AD153" s="622"/>
      <c r="AE153" s="622"/>
      <c r="AF153" s="622"/>
      <c r="AG153" s="622"/>
      <c r="AH153" s="622"/>
      <c r="AI153" s="622"/>
      <c r="AJ153" s="622"/>
      <c r="AK153" s="622"/>
      <c r="AL153" s="622"/>
      <c r="AM153" s="622"/>
      <c r="AN153" s="622"/>
      <c r="AO153" s="622"/>
      <c r="AP153" s="622"/>
      <c r="AQ153" s="622"/>
      <c r="AR153" s="622"/>
      <c r="AS153" s="622"/>
      <c r="AT153" s="622"/>
      <c r="AU153" s="622"/>
      <c r="AV153" s="622"/>
      <c r="AW153" s="622"/>
    </row>
    <row r="154" spans="1:49" ht="7.5" customHeight="1">
      <c r="A154" s="623">
        <v>16</v>
      </c>
      <c r="B154" s="622" t="str">
        <f>IF(NOT(ISBLANK('A-RACHNATMAK'!C170)),"A",IF(NOT(ISBLANK('A-RACHNATMAK'!C169)),"B",IF(NOT(ISBLANK('A-RACHNATMAK'!C168)),"C","")))</f>
        <v/>
      </c>
      <c r="C154" s="622" t="str">
        <f>IF(NOT(ISBLANK('A-RACHNATMAK'!D170)),"A",IF(NOT(ISBLANK('A-RACHNATMAK'!D169)),"B",IF(NOT(ISBLANK('A-RACHNATMAK'!D168)),"C","")))</f>
        <v/>
      </c>
      <c r="D154" s="622" t="str">
        <f>IF(NOT(ISBLANK('A-RACHNATMAK'!E170)),"A",IF(NOT(ISBLANK('A-RACHNATMAK'!E169)),"B",IF(NOT(ISBLANK('A-RACHNATMAK'!E168)),"C","")))</f>
        <v/>
      </c>
      <c r="E154" s="622" t="str">
        <f>IF(NOT(ISBLANK('A-RACHNATMAK'!F170)),"A",IF(NOT(ISBLANK('A-RACHNATMAK'!F169)),"B",IF(NOT(ISBLANK('A-RACHNATMAK'!F168)),"C","")))</f>
        <v/>
      </c>
      <c r="F154" s="622" t="str">
        <f>IF(NOT(ISBLANK('A-RACHNATMAK'!G170)),"A",IF(NOT(ISBLANK('A-RACHNATMAK'!G169)),"B",IF(NOT(ISBLANK('A-RACHNATMAK'!G168)),"C","")))</f>
        <v/>
      </c>
      <c r="G154" s="622" t="str">
        <f>IF(NOT(ISBLANK('A-RACHNATMAK'!H170)),"A",IF(NOT(ISBLANK('A-RACHNATMAK'!H169)),"B",IF(NOT(ISBLANK('A-RACHNATMAK'!H168)),"C","")))</f>
        <v/>
      </c>
      <c r="H154" s="622" t="str">
        <f>IF(NOT(ISBLANK('A-RACHNATMAK'!I170)),"A",IF(NOT(ISBLANK('A-RACHNATMAK'!I169)),"B",IF(NOT(ISBLANK('A-RACHNATMAK'!I168)),"C","")))</f>
        <v/>
      </c>
      <c r="I154" s="622" t="str">
        <f>IF(NOT(ISBLANK('A-RACHNATMAK'!J170)),"A",IF(NOT(ISBLANK('A-RACHNATMAK'!J169)),"B",IF(NOT(ISBLANK('A-RACHNATMAK'!J168)),"C","")))</f>
        <v/>
      </c>
      <c r="J154" s="622" t="str">
        <f>IF(NOT(ISBLANK('A-RACHNATMAK'!K170)),"A",IF(NOT(ISBLANK('A-RACHNATMAK'!K169)),"B",IF(NOT(ISBLANK('A-RACHNATMAK'!K168)),"C","")))</f>
        <v/>
      </c>
      <c r="K154" s="622" t="str">
        <f>IF(NOT(ISBLANK('A-RACHNATMAK'!L170)),"A",IF(NOT(ISBLANK('A-RACHNATMAK'!L169)),"B",IF(NOT(ISBLANK('A-RACHNATMAK'!L168)),"C","")))</f>
        <v/>
      </c>
      <c r="L154" s="622" t="str">
        <f>IF(NOT(ISBLANK('A-RACHNATMAK'!M170)),"A",IF(NOT(ISBLANK('A-RACHNATMAK'!M169)),"B",IF(NOT(ISBLANK('A-RACHNATMAK'!M168)),"C","")))</f>
        <v/>
      </c>
      <c r="M154" s="622" t="str">
        <f>IF(NOT(ISBLANK('A-RACHNATMAK'!N170)),"A",IF(NOT(ISBLANK('A-RACHNATMAK'!N169)),"B",IF(NOT(ISBLANK('A-RACHNATMAK'!N168)),"C","")))</f>
        <v/>
      </c>
      <c r="N154" s="622" t="str">
        <f>IF(NOT(ISBLANK('A-RACHNATMAK'!O170)),"A",IF(NOT(ISBLANK('A-RACHNATMAK'!O169)),"B",IF(NOT(ISBLANK('A-RACHNATMAK'!O168)),"C","")))</f>
        <v/>
      </c>
      <c r="O154" s="622" t="str">
        <f>IF(NOT(ISBLANK('A-RACHNATMAK'!P170)),"A",IF(NOT(ISBLANK('A-RACHNATMAK'!P169)),"B",IF(NOT(ISBLANK('A-RACHNATMAK'!P168)),"C","")))</f>
        <v/>
      </c>
      <c r="P154" s="622" t="str">
        <f>IF(NOT(ISBLANK('A-RACHNATMAK'!Q170)),"A",IF(NOT(ISBLANK('A-RACHNATMAK'!Q169)),"B",IF(NOT(ISBLANK('A-RACHNATMAK'!Q168)),"C","")))</f>
        <v/>
      </c>
      <c r="Q154" s="622" t="str">
        <f>IF(NOT(ISBLANK('A-RACHNATMAK'!R170)),"A",IF(NOT(ISBLANK('A-RACHNATMAK'!R169)),"B",IF(NOT(ISBLANK('A-RACHNATMAK'!R168)),"C","")))</f>
        <v/>
      </c>
      <c r="R154" s="622" t="str">
        <f>IF(NOT(ISBLANK('A-RACHNATMAK'!S170)),"A",IF(NOT(ISBLANK('A-RACHNATMAK'!S169)),"B",IF(NOT(ISBLANK('A-RACHNATMAK'!S168)),"C","")))</f>
        <v/>
      </c>
      <c r="S154" s="622" t="str">
        <f>IF(NOT(ISBLANK('A-RACHNATMAK'!T170)),"A",IF(NOT(ISBLANK('A-RACHNATMAK'!T169)),"B",IF(NOT(ISBLANK('A-RACHNATMAK'!T168)),"C","")))</f>
        <v/>
      </c>
      <c r="T154" s="622" t="str">
        <f>IF(NOT(ISBLANK('A-RACHNATMAK'!U170)),"A",IF(NOT(ISBLANK('A-RACHNATMAK'!U169)),"B",IF(NOT(ISBLANK('A-RACHNATMAK'!U168)),"C","")))</f>
        <v/>
      </c>
      <c r="U154" s="622" t="str">
        <f>IF(NOT(ISBLANK('A-RACHNATMAK'!V170)),"A",IF(NOT(ISBLANK('A-RACHNATMAK'!V169)),"B",IF(NOT(ISBLANK('A-RACHNATMAK'!V168)),"C","")))</f>
        <v/>
      </c>
      <c r="V154" s="622">
        <f t="shared" ref="V154" si="288">COUNTIF(B154:U154,"A")</f>
        <v>0</v>
      </c>
      <c r="W154" s="622">
        <f t="shared" ref="W154" si="289">COUNTIF(B154:U154,"B")</f>
        <v>0</v>
      </c>
      <c r="X154" s="622">
        <f t="shared" ref="X154" si="290">COUNTIF(B154:U154,"C")</f>
        <v>0</v>
      </c>
      <c r="Y154" s="330"/>
      <c r="Z154" s="623">
        <v>16</v>
      </c>
      <c r="AA154" s="622" t="str">
        <f>IF(NOT(ISBLANK('A-RACHNATMAK'!AD170)),"A",IF(NOT(ISBLANK('A-RACHNATMAK'!AD169)),"B",IF(NOT(ISBLANK('A-RACHNATMAK'!AD168)),"C","")))</f>
        <v/>
      </c>
      <c r="AB154" s="622" t="str">
        <f>IF(NOT(ISBLANK('A-RACHNATMAK'!AE170)),"A",IF(NOT(ISBLANK('A-RACHNATMAK'!AE169)),"B",IF(NOT(ISBLANK('A-RACHNATMAK'!AE168)),"C","")))</f>
        <v/>
      </c>
      <c r="AC154" s="622" t="str">
        <f>IF(NOT(ISBLANK('A-RACHNATMAK'!AF170)),"A",IF(NOT(ISBLANK('A-RACHNATMAK'!AF169)),"B",IF(NOT(ISBLANK('A-RACHNATMAK'!AF168)),"C","")))</f>
        <v/>
      </c>
      <c r="AD154" s="622" t="str">
        <f>IF(NOT(ISBLANK('A-RACHNATMAK'!AG170)),"A",IF(NOT(ISBLANK('A-RACHNATMAK'!AG169)),"B",IF(NOT(ISBLANK('A-RACHNATMAK'!AG168)),"C","")))</f>
        <v/>
      </c>
      <c r="AE154" s="622" t="str">
        <f>IF(NOT(ISBLANK('A-RACHNATMAK'!AH170)),"A",IF(NOT(ISBLANK('A-RACHNATMAK'!AH169)),"B",IF(NOT(ISBLANK('A-RACHNATMAK'!AH168)),"C","")))</f>
        <v/>
      </c>
      <c r="AF154" s="622" t="str">
        <f>IF(NOT(ISBLANK('A-RACHNATMAK'!AI170)),"A",IF(NOT(ISBLANK('A-RACHNATMAK'!AI169)),"B",IF(NOT(ISBLANK('A-RACHNATMAK'!AI168)),"C","")))</f>
        <v/>
      </c>
      <c r="AG154" s="622" t="str">
        <f>IF(NOT(ISBLANK('A-RACHNATMAK'!AJ170)),"A",IF(NOT(ISBLANK('A-RACHNATMAK'!AJ169)),"B",IF(NOT(ISBLANK('A-RACHNATMAK'!AJ168)),"C","")))</f>
        <v/>
      </c>
      <c r="AH154" s="622" t="str">
        <f>IF(NOT(ISBLANK('A-RACHNATMAK'!AK170)),"A",IF(NOT(ISBLANK('A-RACHNATMAK'!AK169)),"B",IF(NOT(ISBLANK('A-RACHNATMAK'!AK168)),"C","")))</f>
        <v/>
      </c>
      <c r="AI154" s="622" t="str">
        <f>IF(NOT(ISBLANK('A-RACHNATMAK'!AL170)),"A",IF(NOT(ISBLANK('A-RACHNATMAK'!AL169)),"B",IF(NOT(ISBLANK('A-RACHNATMAK'!AL168)),"C","")))</f>
        <v/>
      </c>
      <c r="AJ154" s="622" t="str">
        <f>IF(NOT(ISBLANK('A-RACHNATMAK'!AM170)),"A",IF(NOT(ISBLANK('A-RACHNATMAK'!AM169)),"B",IF(NOT(ISBLANK('A-RACHNATMAK'!AM168)),"C","")))</f>
        <v/>
      </c>
      <c r="AK154" s="622" t="str">
        <f>IF(NOT(ISBLANK('A-RACHNATMAK'!AN170)),"A",IF(NOT(ISBLANK('A-RACHNATMAK'!AN169)),"B",IF(NOT(ISBLANK('A-RACHNATMAK'!AN168)),"C","")))</f>
        <v/>
      </c>
      <c r="AL154" s="622" t="str">
        <f>IF(NOT(ISBLANK('A-RACHNATMAK'!AO170)),"A",IF(NOT(ISBLANK('A-RACHNATMAK'!AO169)),"B",IF(NOT(ISBLANK('A-RACHNATMAK'!AO168)),"C","")))</f>
        <v/>
      </c>
      <c r="AM154" s="622" t="str">
        <f>IF(NOT(ISBLANK('A-RACHNATMAK'!AP170)),"A",IF(NOT(ISBLANK('A-RACHNATMAK'!AP169)),"B",IF(NOT(ISBLANK('A-RACHNATMAK'!AP168)),"C","")))</f>
        <v/>
      </c>
      <c r="AN154" s="622" t="str">
        <f>IF(NOT(ISBLANK('A-RACHNATMAK'!AQ170)),"A",IF(NOT(ISBLANK('A-RACHNATMAK'!AQ169)),"B",IF(NOT(ISBLANK('A-RACHNATMAK'!AQ168)),"C","")))</f>
        <v/>
      </c>
      <c r="AO154" s="622" t="str">
        <f>IF(NOT(ISBLANK('A-RACHNATMAK'!AR170)),"A",IF(NOT(ISBLANK('A-RACHNATMAK'!AR169)),"B",IF(NOT(ISBLANK('A-RACHNATMAK'!AR168)),"C","")))</f>
        <v/>
      </c>
      <c r="AP154" s="622" t="str">
        <f>IF(NOT(ISBLANK('A-RACHNATMAK'!AS170)),"A",IF(NOT(ISBLANK('A-RACHNATMAK'!AS169)),"B",IF(NOT(ISBLANK('A-RACHNATMAK'!AS168)),"C","")))</f>
        <v/>
      </c>
      <c r="AQ154" s="622" t="str">
        <f>IF(NOT(ISBLANK('A-RACHNATMAK'!AT170)),"A",IF(NOT(ISBLANK('A-RACHNATMAK'!AT169)),"B",IF(NOT(ISBLANK('A-RACHNATMAK'!AT168)),"C","")))</f>
        <v/>
      </c>
      <c r="AR154" s="622" t="str">
        <f>IF(NOT(ISBLANK('A-RACHNATMAK'!AU170)),"A",IF(NOT(ISBLANK('A-RACHNATMAK'!AU169)),"B",IF(NOT(ISBLANK('A-RACHNATMAK'!AU168)),"C","")))</f>
        <v/>
      </c>
      <c r="AS154" s="622" t="str">
        <f>IF(NOT(ISBLANK('A-RACHNATMAK'!AV170)),"A",IF(NOT(ISBLANK('A-RACHNATMAK'!AV169)),"B",IF(NOT(ISBLANK('A-RACHNATMAK'!AV168)),"C","")))</f>
        <v/>
      </c>
      <c r="AT154" s="622" t="str">
        <f>IF(NOT(ISBLANK('A-RACHNATMAK'!AW170)),"A",IF(NOT(ISBLANK('A-RACHNATMAK'!AW169)),"B",IF(NOT(ISBLANK('A-RACHNATMAK'!AW168)),"C","")))</f>
        <v/>
      </c>
      <c r="AU154" s="622">
        <f t="shared" ref="AU154" si="291">COUNTIF(AA154:AT154,"A")</f>
        <v>0</v>
      </c>
      <c r="AV154" s="622">
        <f t="shared" ref="AV154" si="292">COUNTIF(AA154:AT154,"B")</f>
        <v>0</v>
      </c>
      <c r="AW154" s="622">
        <f t="shared" ref="AW154" si="293">COUNTIF(AA154:AT154,"C")</f>
        <v>0</v>
      </c>
    </row>
    <row r="155" spans="1:49" ht="7.5" customHeight="1">
      <c r="A155" s="623"/>
      <c r="B155" s="622"/>
      <c r="C155" s="622"/>
      <c r="D155" s="622"/>
      <c r="E155" s="622"/>
      <c r="F155" s="622"/>
      <c r="G155" s="622"/>
      <c r="H155" s="622"/>
      <c r="I155" s="622"/>
      <c r="J155" s="622"/>
      <c r="K155" s="622"/>
      <c r="L155" s="622"/>
      <c r="M155" s="622"/>
      <c r="N155" s="622"/>
      <c r="O155" s="622"/>
      <c r="P155" s="622"/>
      <c r="Q155" s="622"/>
      <c r="R155" s="622"/>
      <c r="S155" s="622"/>
      <c r="T155" s="622"/>
      <c r="U155" s="622"/>
      <c r="V155" s="622"/>
      <c r="W155" s="622"/>
      <c r="X155" s="622"/>
      <c r="Y155" s="330"/>
      <c r="Z155" s="623"/>
      <c r="AA155" s="622"/>
      <c r="AB155" s="622"/>
      <c r="AC155" s="622"/>
      <c r="AD155" s="622"/>
      <c r="AE155" s="622"/>
      <c r="AF155" s="622"/>
      <c r="AG155" s="622"/>
      <c r="AH155" s="622"/>
      <c r="AI155" s="622"/>
      <c r="AJ155" s="622"/>
      <c r="AK155" s="622"/>
      <c r="AL155" s="622"/>
      <c r="AM155" s="622"/>
      <c r="AN155" s="622"/>
      <c r="AO155" s="622"/>
      <c r="AP155" s="622"/>
      <c r="AQ155" s="622"/>
      <c r="AR155" s="622"/>
      <c r="AS155" s="622"/>
      <c r="AT155" s="622"/>
      <c r="AU155" s="622"/>
      <c r="AV155" s="622"/>
      <c r="AW155" s="622"/>
    </row>
    <row r="156" spans="1:49" ht="7.5" customHeight="1">
      <c r="A156" s="623"/>
      <c r="B156" s="622"/>
      <c r="C156" s="622"/>
      <c r="D156" s="622"/>
      <c r="E156" s="622"/>
      <c r="F156" s="622"/>
      <c r="G156" s="622"/>
      <c r="H156" s="622"/>
      <c r="I156" s="622"/>
      <c r="J156" s="622"/>
      <c r="K156" s="622"/>
      <c r="L156" s="622"/>
      <c r="M156" s="622"/>
      <c r="N156" s="622"/>
      <c r="O156" s="622"/>
      <c r="P156" s="622"/>
      <c r="Q156" s="622"/>
      <c r="R156" s="622"/>
      <c r="S156" s="622"/>
      <c r="T156" s="622"/>
      <c r="U156" s="622"/>
      <c r="V156" s="622"/>
      <c r="W156" s="622"/>
      <c r="X156" s="622"/>
      <c r="Y156" s="330"/>
      <c r="Z156" s="623"/>
      <c r="AA156" s="622"/>
      <c r="AB156" s="622"/>
      <c r="AC156" s="622"/>
      <c r="AD156" s="622"/>
      <c r="AE156" s="622"/>
      <c r="AF156" s="622"/>
      <c r="AG156" s="622"/>
      <c r="AH156" s="622"/>
      <c r="AI156" s="622"/>
      <c r="AJ156" s="622"/>
      <c r="AK156" s="622"/>
      <c r="AL156" s="622"/>
      <c r="AM156" s="622"/>
      <c r="AN156" s="622"/>
      <c r="AO156" s="622"/>
      <c r="AP156" s="622"/>
      <c r="AQ156" s="622"/>
      <c r="AR156" s="622"/>
      <c r="AS156" s="622"/>
      <c r="AT156" s="622"/>
      <c r="AU156" s="622"/>
      <c r="AV156" s="622"/>
      <c r="AW156" s="622"/>
    </row>
    <row r="157" spans="1:49" ht="7.5" customHeight="1">
      <c r="A157" s="623">
        <v>17</v>
      </c>
      <c r="B157" s="622" t="str">
        <f>IF(NOT(ISBLANK('A-RACHNATMAK'!C173)),"A",IF(NOT(ISBLANK('A-RACHNATMAK'!C172)),"B",IF(NOT(ISBLANK('A-RACHNATMAK'!C171)),"C","")))</f>
        <v/>
      </c>
      <c r="C157" s="622" t="str">
        <f>IF(NOT(ISBLANK('A-RACHNATMAK'!D173)),"A",IF(NOT(ISBLANK('A-RACHNATMAK'!D172)),"B",IF(NOT(ISBLANK('A-RACHNATMAK'!D171)),"C","")))</f>
        <v/>
      </c>
      <c r="D157" s="622" t="str">
        <f>IF(NOT(ISBLANK('A-RACHNATMAK'!E173)),"A",IF(NOT(ISBLANK('A-RACHNATMAK'!E172)),"B",IF(NOT(ISBLANK('A-RACHNATMAK'!E171)),"C","")))</f>
        <v/>
      </c>
      <c r="E157" s="622" t="str">
        <f>IF(NOT(ISBLANK('A-RACHNATMAK'!F173)),"A",IF(NOT(ISBLANK('A-RACHNATMAK'!F172)),"B",IF(NOT(ISBLANK('A-RACHNATMAK'!F171)),"C","")))</f>
        <v/>
      </c>
      <c r="F157" s="622" t="str">
        <f>IF(NOT(ISBLANK('A-RACHNATMAK'!G173)),"A",IF(NOT(ISBLANK('A-RACHNATMAK'!G172)),"B",IF(NOT(ISBLANK('A-RACHNATMAK'!G171)),"C","")))</f>
        <v/>
      </c>
      <c r="G157" s="622" t="str">
        <f>IF(NOT(ISBLANK('A-RACHNATMAK'!H173)),"A",IF(NOT(ISBLANK('A-RACHNATMAK'!H172)),"B",IF(NOT(ISBLANK('A-RACHNATMAK'!H171)),"C","")))</f>
        <v/>
      </c>
      <c r="H157" s="622" t="str">
        <f>IF(NOT(ISBLANK('A-RACHNATMAK'!I173)),"A",IF(NOT(ISBLANK('A-RACHNATMAK'!I172)),"B",IF(NOT(ISBLANK('A-RACHNATMAK'!I171)),"C","")))</f>
        <v/>
      </c>
      <c r="I157" s="622" t="str">
        <f>IF(NOT(ISBLANK('A-RACHNATMAK'!J173)),"A",IF(NOT(ISBLANK('A-RACHNATMAK'!J172)),"B",IF(NOT(ISBLANK('A-RACHNATMAK'!J171)),"C","")))</f>
        <v/>
      </c>
      <c r="J157" s="622" t="str">
        <f>IF(NOT(ISBLANK('A-RACHNATMAK'!K173)),"A",IF(NOT(ISBLANK('A-RACHNATMAK'!K172)),"B",IF(NOT(ISBLANK('A-RACHNATMAK'!K171)),"C","")))</f>
        <v/>
      </c>
      <c r="K157" s="622" t="str">
        <f>IF(NOT(ISBLANK('A-RACHNATMAK'!L173)),"A",IF(NOT(ISBLANK('A-RACHNATMAK'!L172)),"B",IF(NOT(ISBLANK('A-RACHNATMAK'!L171)),"C","")))</f>
        <v/>
      </c>
      <c r="L157" s="622" t="str">
        <f>IF(NOT(ISBLANK('A-RACHNATMAK'!M173)),"A",IF(NOT(ISBLANK('A-RACHNATMAK'!M172)),"B",IF(NOT(ISBLANK('A-RACHNATMAK'!M171)),"C","")))</f>
        <v/>
      </c>
      <c r="M157" s="622" t="str">
        <f>IF(NOT(ISBLANK('A-RACHNATMAK'!N173)),"A",IF(NOT(ISBLANK('A-RACHNATMAK'!N172)),"B",IF(NOT(ISBLANK('A-RACHNATMAK'!N171)),"C","")))</f>
        <v/>
      </c>
      <c r="N157" s="622" t="str">
        <f>IF(NOT(ISBLANK('A-RACHNATMAK'!O173)),"A",IF(NOT(ISBLANK('A-RACHNATMAK'!O172)),"B",IF(NOT(ISBLANK('A-RACHNATMAK'!O171)),"C","")))</f>
        <v/>
      </c>
      <c r="O157" s="622" t="str">
        <f>IF(NOT(ISBLANK('A-RACHNATMAK'!P173)),"A",IF(NOT(ISBLANK('A-RACHNATMAK'!P172)),"B",IF(NOT(ISBLANK('A-RACHNATMAK'!P171)),"C","")))</f>
        <v/>
      </c>
      <c r="P157" s="622" t="str">
        <f>IF(NOT(ISBLANK('A-RACHNATMAK'!Q173)),"A",IF(NOT(ISBLANK('A-RACHNATMAK'!Q172)),"B",IF(NOT(ISBLANK('A-RACHNATMAK'!Q171)),"C","")))</f>
        <v/>
      </c>
      <c r="Q157" s="622" t="str">
        <f>IF(NOT(ISBLANK('A-RACHNATMAK'!R173)),"A",IF(NOT(ISBLANK('A-RACHNATMAK'!R172)),"B",IF(NOT(ISBLANK('A-RACHNATMAK'!R171)),"C","")))</f>
        <v/>
      </c>
      <c r="R157" s="622" t="str">
        <f>IF(NOT(ISBLANK('A-RACHNATMAK'!S173)),"A",IF(NOT(ISBLANK('A-RACHNATMAK'!S172)),"B",IF(NOT(ISBLANK('A-RACHNATMAK'!S171)),"C","")))</f>
        <v/>
      </c>
      <c r="S157" s="622" t="str">
        <f>IF(NOT(ISBLANK('A-RACHNATMAK'!T173)),"A",IF(NOT(ISBLANK('A-RACHNATMAK'!T172)),"B",IF(NOT(ISBLANK('A-RACHNATMAK'!T171)),"C","")))</f>
        <v/>
      </c>
      <c r="T157" s="622" t="str">
        <f>IF(NOT(ISBLANK('A-RACHNATMAK'!U173)),"A",IF(NOT(ISBLANK('A-RACHNATMAK'!U172)),"B",IF(NOT(ISBLANK('A-RACHNATMAK'!U171)),"C","")))</f>
        <v/>
      </c>
      <c r="U157" s="622" t="str">
        <f>IF(NOT(ISBLANK('A-RACHNATMAK'!V173)),"A",IF(NOT(ISBLANK('A-RACHNATMAK'!V172)),"B",IF(NOT(ISBLANK('A-RACHNATMAK'!V171)),"C","")))</f>
        <v/>
      </c>
      <c r="V157" s="622">
        <f t="shared" ref="V157" si="294">COUNTIF(B157:U157,"A")</f>
        <v>0</v>
      </c>
      <c r="W157" s="622">
        <f t="shared" ref="W157" si="295">COUNTIF(B157:U157,"B")</f>
        <v>0</v>
      </c>
      <c r="X157" s="622">
        <f t="shared" ref="X157" si="296">COUNTIF(B157:U157,"C")</f>
        <v>0</v>
      </c>
      <c r="Y157" s="330"/>
      <c r="Z157" s="623">
        <v>17</v>
      </c>
      <c r="AA157" s="622" t="str">
        <f>IF(NOT(ISBLANK('A-RACHNATMAK'!AD173)),"A",IF(NOT(ISBLANK('A-RACHNATMAK'!AD172)),"B",IF(NOT(ISBLANK('A-RACHNATMAK'!AD171)),"C","")))</f>
        <v/>
      </c>
      <c r="AB157" s="622" t="str">
        <f>IF(NOT(ISBLANK('A-RACHNATMAK'!AE173)),"A",IF(NOT(ISBLANK('A-RACHNATMAK'!AE172)),"B",IF(NOT(ISBLANK('A-RACHNATMAK'!AE171)),"C","")))</f>
        <v/>
      </c>
      <c r="AC157" s="622" t="str">
        <f>IF(NOT(ISBLANK('A-RACHNATMAK'!AF173)),"A",IF(NOT(ISBLANK('A-RACHNATMAK'!AF172)),"B",IF(NOT(ISBLANK('A-RACHNATMAK'!AF171)),"C","")))</f>
        <v/>
      </c>
      <c r="AD157" s="622" t="str">
        <f>IF(NOT(ISBLANK('A-RACHNATMAK'!AG173)),"A",IF(NOT(ISBLANK('A-RACHNATMAK'!AG172)),"B",IF(NOT(ISBLANK('A-RACHNATMAK'!AG171)),"C","")))</f>
        <v/>
      </c>
      <c r="AE157" s="622" t="str">
        <f>IF(NOT(ISBLANK('A-RACHNATMAK'!AH173)),"A",IF(NOT(ISBLANK('A-RACHNATMAK'!AH172)),"B",IF(NOT(ISBLANK('A-RACHNATMAK'!AH171)),"C","")))</f>
        <v/>
      </c>
      <c r="AF157" s="622" t="str">
        <f>IF(NOT(ISBLANK('A-RACHNATMAK'!AI173)),"A",IF(NOT(ISBLANK('A-RACHNATMAK'!AI172)),"B",IF(NOT(ISBLANK('A-RACHNATMAK'!AI171)),"C","")))</f>
        <v/>
      </c>
      <c r="AG157" s="622" t="str">
        <f>IF(NOT(ISBLANK('A-RACHNATMAK'!AJ173)),"A",IF(NOT(ISBLANK('A-RACHNATMAK'!AJ172)),"B",IF(NOT(ISBLANK('A-RACHNATMAK'!AJ171)),"C","")))</f>
        <v/>
      </c>
      <c r="AH157" s="622" t="str">
        <f>IF(NOT(ISBLANK('A-RACHNATMAK'!AK173)),"A",IF(NOT(ISBLANK('A-RACHNATMAK'!AK172)),"B",IF(NOT(ISBLANK('A-RACHNATMAK'!AK171)),"C","")))</f>
        <v/>
      </c>
      <c r="AI157" s="622" t="str">
        <f>IF(NOT(ISBLANK('A-RACHNATMAK'!AL173)),"A",IF(NOT(ISBLANK('A-RACHNATMAK'!AL172)),"B",IF(NOT(ISBLANK('A-RACHNATMAK'!AL171)),"C","")))</f>
        <v/>
      </c>
      <c r="AJ157" s="622" t="str">
        <f>IF(NOT(ISBLANK('A-RACHNATMAK'!AM173)),"A",IF(NOT(ISBLANK('A-RACHNATMAK'!AM172)),"B",IF(NOT(ISBLANK('A-RACHNATMAK'!AM171)),"C","")))</f>
        <v/>
      </c>
      <c r="AK157" s="622" t="str">
        <f>IF(NOT(ISBLANK('A-RACHNATMAK'!AN173)),"A",IF(NOT(ISBLANK('A-RACHNATMAK'!AN172)),"B",IF(NOT(ISBLANK('A-RACHNATMAK'!AN171)),"C","")))</f>
        <v/>
      </c>
      <c r="AL157" s="622" t="str">
        <f>IF(NOT(ISBLANK('A-RACHNATMAK'!AO173)),"A",IF(NOT(ISBLANK('A-RACHNATMAK'!AO172)),"B",IF(NOT(ISBLANK('A-RACHNATMAK'!AO171)),"C","")))</f>
        <v/>
      </c>
      <c r="AM157" s="622" t="str">
        <f>IF(NOT(ISBLANK('A-RACHNATMAK'!AP173)),"A",IF(NOT(ISBLANK('A-RACHNATMAK'!AP172)),"B",IF(NOT(ISBLANK('A-RACHNATMAK'!AP171)),"C","")))</f>
        <v/>
      </c>
      <c r="AN157" s="622" t="str">
        <f>IF(NOT(ISBLANK('A-RACHNATMAK'!AQ173)),"A",IF(NOT(ISBLANK('A-RACHNATMAK'!AQ172)),"B",IF(NOT(ISBLANK('A-RACHNATMAK'!AQ171)),"C","")))</f>
        <v/>
      </c>
      <c r="AO157" s="622" t="str">
        <f>IF(NOT(ISBLANK('A-RACHNATMAK'!AR173)),"A",IF(NOT(ISBLANK('A-RACHNATMAK'!AR172)),"B",IF(NOT(ISBLANK('A-RACHNATMAK'!AR171)),"C","")))</f>
        <v/>
      </c>
      <c r="AP157" s="622" t="str">
        <f>IF(NOT(ISBLANK('A-RACHNATMAK'!AS173)),"A",IF(NOT(ISBLANK('A-RACHNATMAK'!AS172)),"B",IF(NOT(ISBLANK('A-RACHNATMAK'!AS171)),"C","")))</f>
        <v/>
      </c>
      <c r="AQ157" s="622" t="str">
        <f>IF(NOT(ISBLANK('A-RACHNATMAK'!AT173)),"A",IF(NOT(ISBLANK('A-RACHNATMAK'!AT172)),"B",IF(NOT(ISBLANK('A-RACHNATMAK'!AT171)),"C","")))</f>
        <v/>
      </c>
      <c r="AR157" s="622" t="str">
        <f>IF(NOT(ISBLANK('A-RACHNATMAK'!AU173)),"A",IF(NOT(ISBLANK('A-RACHNATMAK'!AU172)),"B",IF(NOT(ISBLANK('A-RACHNATMAK'!AU171)),"C","")))</f>
        <v/>
      </c>
      <c r="AS157" s="622" t="str">
        <f>IF(NOT(ISBLANK('A-RACHNATMAK'!AV173)),"A",IF(NOT(ISBLANK('A-RACHNATMAK'!AV172)),"B",IF(NOT(ISBLANK('A-RACHNATMAK'!AV171)),"C","")))</f>
        <v/>
      </c>
      <c r="AT157" s="622" t="str">
        <f>IF(NOT(ISBLANK('A-RACHNATMAK'!AW173)),"A",IF(NOT(ISBLANK('A-RACHNATMAK'!AW172)),"B",IF(NOT(ISBLANK('A-RACHNATMAK'!AW171)),"C","")))</f>
        <v/>
      </c>
      <c r="AU157" s="622">
        <f t="shared" ref="AU157" si="297">COUNTIF(AA157:AT157,"A")</f>
        <v>0</v>
      </c>
      <c r="AV157" s="622">
        <f t="shared" ref="AV157" si="298">COUNTIF(AA157:AT157,"B")</f>
        <v>0</v>
      </c>
      <c r="AW157" s="622">
        <f t="shared" ref="AW157" si="299">COUNTIF(AA157:AT157,"C")</f>
        <v>0</v>
      </c>
    </row>
    <row r="158" spans="1:49" ht="7.5" customHeight="1">
      <c r="A158" s="623"/>
      <c r="B158" s="622"/>
      <c r="C158" s="622"/>
      <c r="D158" s="622"/>
      <c r="E158" s="622"/>
      <c r="F158" s="622"/>
      <c r="G158" s="622"/>
      <c r="H158" s="622"/>
      <c r="I158" s="622"/>
      <c r="J158" s="622"/>
      <c r="K158" s="622"/>
      <c r="L158" s="622"/>
      <c r="M158" s="622"/>
      <c r="N158" s="622"/>
      <c r="O158" s="622"/>
      <c r="P158" s="622"/>
      <c r="Q158" s="622"/>
      <c r="R158" s="622"/>
      <c r="S158" s="622"/>
      <c r="T158" s="622"/>
      <c r="U158" s="622"/>
      <c r="V158" s="622"/>
      <c r="W158" s="622"/>
      <c r="X158" s="622"/>
      <c r="Y158" s="330"/>
      <c r="Z158" s="623"/>
      <c r="AA158" s="622"/>
      <c r="AB158" s="622"/>
      <c r="AC158" s="622"/>
      <c r="AD158" s="622"/>
      <c r="AE158" s="622"/>
      <c r="AF158" s="622"/>
      <c r="AG158" s="622"/>
      <c r="AH158" s="622"/>
      <c r="AI158" s="622"/>
      <c r="AJ158" s="622"/>
      <c r="AK158" s="622"/>
      <c r="AL158" s="622"/>
      <c r="AM158" s="622"/>
      <c r="AN158" s="622"/>
      <c r="AO158" s="622"/>
      <c r="AP158" s="622"/>
      <c r="AQ158" s="622"/>
      <c r="AR158" s="622"/>
      <c r="AS158" s="622"/>
      <c r="AT158" s="622"/>
      <c r="AU158" s="622"/>
      <c r="AV158" s="622"/>
      <c r="AW158" s="622"/>
    </row>
    <row r="159" spans="1:49" ht="7.5" customHeight="1">
      <c r="A159" s="623"/>
      <c r="B159" s="622"/>
      <c r="C159" s="622"/>
      <c r="D159" s="622"/>
      <c r="E159" s="622"/>
      <c r="F159" s="622"/>
      <c r="G159" s="622"/>
      <c r="H159" s="622"/>
      <c r="I159" s="622"/>
      <c r="J159" s="622"/>
      <c r="K159" s="622"/>
      <c r="L159" s="622"/>
      <c r="M159" s="622"/>
      <c r="N159" s="622"/>
      <c r="O159" s="622"/>
      <c r="P159" s="622"/>
      <c r="Q159" s="622"/>
      <c r="R159" s="622"/>
      <c r="S159" s="622"/>
      <c r="T159" s="622"/>
      <c r="U159" s="622"/>
      <c r="V159" s="622"/>
      <c r="W159" s="622"/>
      <c r="X159" s="622"/>
      <c r="Y159" s="330"/>
      <c r="Z159" s="623"/>
      <c r="AA159" s="622"/>
      <c r="AB159" s="622"/>
      <c r="AC159" s="622"/>
      <c r="AD159" s="622"/>
      <c r="AE159" s="622"/>
      <c r="AF159" s="622"/>
      <c r="AG159" s="622"/>
      <c r="AH159" s="622"/>
      <c r="AI159" s="622"/>
      <c r="AJ159" s="622"/>
      <c r="AK159" s="622"/>
      <c r="AL159" s="622"/>
      <c r="AM159" s="622"/>
      <c r="AN159" s="622"/>
      <c r="AO159" s="622"/>
      <c r="AP159" s="622"/>
      <c r="AQ159" s="622"/>
      <c r="AR159" s="622"/>
      <c r="AS159" s="622"/>
      <c r="AT159" s="622"/>
      <c r="AU159" s="622"/>
      <c r="AV159" s="622"/>
      <c r="AW159" s="622"/>
    </row>
    <row r="160" spans="1:49" ht="7.5" customHeight="1">
      <c r="A160" s="623">
        <v>18</v>
      </c>
      <c r="B160" s="622" t="str">
        <f>IF(NOT(ISBLANK('A-RACHNATMAK'!C176)),"A",IF(NOT(ISBLANK('A-RACHNATMAK'!C175)),"B",IF(NOT(ISBLANK('A-RACHNATMAK'!C174)),"C","")))</f>
        <v/>
      </c>
      <c r="C160" s="622" t="str">
        <f>IF(NOT(ISBLANK('A-RACHNATMAK'!D176)),"A",IF(NOT(ISBLANK('A-RACHNATMAK'!D175)),"B",IF(NOT(ISBLANK('A-RACHNATMAK'!D174)),"C","")))</f>
        <v/>
      </c>
      <c r="D160" s="622" t="str">
        <f>IF(NOT(ISBLANK('A-RACHNATMAK'!E176)),"A",IF(NOT(ISBLANK('A-RACHNATMAK'!E175)),"B",IF(NOT(ISBLANK('A-RACHNATMAK'!E174)),"C","")))</f>
        <v/>
      </c>
      <c r="E160" s="622" t="str">
        <f>IF(NOT(ISBLANK('A-RACHNATMAK'!F176)),"A",IF(NOT(ISBLANK('A-RACHNATMAK'!F175)),"B",IF(NOT(ISBLANK('A-RACHNATMAK'!F174)),"C","")))</f>
        <v/>
      </c>
      <c r="F160" s="622" t="str">
        <f>IF(NOT(ISBLANK('A-RACHNATMAK'!G176)),"A",IF(NOT(ISBLANK('A-RACHNATMAK'!G175)),"B",IF(NOT(ISBLANK('A-RACHNATMAK'!G174)),"C","")))</f>
        <v/>
      </c>
      <c r="G160" s="622" t="str">
        <f>IF(NOT(ISBLANK('A-RACHNATMAK'!H176)),"A",IF(NOT(ISBLANK('A-RACHNATMAK'!H175)),"B",IF(NOT(ISBLANK('A-RACHNATMAK'!H174)),"C","")))</f>
        <v/>
      </c>
      <c r="H160" s="622" t="str">
        <f>IF(NOT(ISBLANK('A-RACHNATMAK'!I176)),"A",IF(NOT(ISBLANK('A-RACHNATMAK'!I175)),"B",IF(NOT(ISBLANK('A-RACHNATMAK'!I174)),"C","")))</f>
        <v/>
      </c>
      <c r="I160" s="622" t="str">
        <f>IF(NOT(ISBLANK('A-RACHNATMAK'!J176)),"A",IF(NOT(ISBLANK('A-RACHNATMAK'!J175)),"B",IF(NOT(ISBLANK('A-RACHNATMAK'!J174)),"C","")))</f>
        <v/>
      </c>
      <c r="J160" s="622" t="str">
        <f>IF(NOT(ISBLANK('A-RACHNATMAK'!K176)),"A",IF(NOT(ISBLANK('A-RACHNATMAK'!K175)),"B",IF(NOT(ISBLANK('A-RACHNATMAK'!K174)),"C","")))</f>
        <v/>
      </c>
      <c r="K160" s="622" t="str">
        <f>IF(NOT(ISBLANK('A-RACHNATMAK'!L176)),"A",IF(NOT(ISBLANK('A-RACHNATMAK'!L175)),"B",IF(NOT(ISBLANK('A-RACHNATMAK'!L174)),"C","")))</f>
        <v/>
      </c>
      <c r="L160" s="622" t="str">
        <f>IF(NOT(ISBLANK('A-RACHNATMAK'!M176)),"A",IF(NOT(ISBLANK('A-RACHNATMAK'!M175)),"B",IF(NOT(ISBLANK('A-RACHNATMAK'!M174)),"C","")))</f>
        <v/>
      </c>
      <c r="M160" s="622" t="str">
        <f>IF(NOT(ISBLANK('A-RACHNATMAK'!N176)),"A",IF(NOT(ISBLANK('A-RACHNATMAK'!N175)),"B",IF(NOT(ISBLANK('A-RACHNATMAK'!N174)),"C","")))</f>
        <v/>
      </c>
      <c r="N160" s="622" t="str">
        <f>IF(NOT(ISBLANK('A-RACHNATMAK'!O176)),"A",IF(NOT(ISBLANK('A-RACHNATMAK'!O175)),"B",IF(NOT(ISBLANK('A-RACHNATMAK'!O174)),"C","")))</f>
        <v/>
      </c>
      <c r="O160" s="622" t="str">
        <f>IF(NOT(ISBLANK('A-RACHNATMAK'!P176)),"A",IF(NOT(ISBLANK('A-RACHNATMAK'!P175)),"B",IF(NOT(ISBLANK('A-RACHNATMAK'!P174)),"C","")))</f>
        <v/>
      </c>
      <c r="P160" s="622" t="str">
        <f>IF(NOT(ISBLANK('A-RACHNATMAK'!Q176)),"A",IF(NOT(ISBLANK('A-RACHNATMAK'!Q175)),"B",IF(NOT(ISBLANK('A-RACHNATMAK'!Q174)),"C","")))</f>
        <v/>
      </c>
      <c r="Q160" s="622" t="str">
        <f>IF(NOT(ISBLANK('A-RACHNATMAK'!R176)),"A",IF(NOT(ISBLANK('A-RACHNATMAK'!R175)),"B",IF(NOT(ISBLANK('A-RACHNATMAK'!R174)),"C","")))</f>
        <v/>
      </c>
      <c r="R160" s="622" t="str">
        <f>IF(NOT(ISBLANK('A-RACHNATMAK'!S176)),"A",IF(NOT(ISBLANK('A-RACHNATMAK'!S175)),"B",IF(NOT(ISBLANK('A-RACHNATMAK'!S174)),"C","")))</f>
        <v/>
      </c>
      <c r="S160" s="622" t="str">
        <f>IF(NOT(ISBLANK('A-RACHNATMAK'!T176)),"A",IF(NOT(ISBLANK('A-RACHNATMAK'!T175)),"B",IF(NOT(ISBLANK('A-RACHNATMAK'!T174)),"C","")))</f>
        <v/>
      </c>
      <c r="T160" s="622" t="str">
        <f>IF(NOT(ISBLANK('A-RACHNATMAK'!U176)),"A",IF(NOT(ISBLANK('A-RACHNATMAK'!U175)),"B",IF(NOT(ISBLANK('A-RACHNATMAK'!U174)),"C","")))</f>
        <v/>
      </c>
      <c r="U160" s="622" t="str">
        <f>IF(NOT(ISBLANK('A-RACHNATMAK'!V176)),"A",IF(NOT(ISBLANK('A-RACHNATMAK'!V175)),"B",IF(NOT(ISBLANK('A-RACHNATMAK'!V174)),"C","")))</f>
        <v/>
      </c>
      <c r="V160" s="622">
        <f t="shared" ref="V160" si="300">COUNTIF(B160:U160,"A")</f>
        <v>0</v>
      </c>
      <c r="W160" s="622">
        <f t="shared" ref="W160" si="301">COUNTIF(B160:U160,"B")</f>
        <v>0</v>
      </c>
      <c r="X160" s="622">
        <f t="shared" ref="X160" si="302">COUNTIF(B160:U160,"C")</f>
        <v>0</v>
      </c>
      <c r="Y160" s="330"/>
      <c r="Z160" s="623">
        <v>18</v>
      </c>
      <c r="AA160" s="622" t="str">
        <f>IF(NOT(ISBLANK('A-RACHNATMAK'!AD176)),"A",IF(NOT(ISBLANK('A-RACHNATMAK'!AD175)),"B",IF(NOT(ISBLANK('A-RACHNATMAK'!AD174)),"C","")))</f>
        <v/>
      </c>
      <c r="AB160" s="622" t="str">
        <f>IF(NOT(ISBLANK('A-RACHNATMAK'!AE176)),"A",IF(NOT(ISBLANK('A-RACHNATMAK'!AE175)),"B",IF(NOT(ISBLANK('A-RACHNATMAK'!AE174)),"C","")))</f>
        <v/>
      </c>
      <c r="AC160" s="622" t="str">
        <f>IF(NOT(ISBLANK('A-RACHNATMAK'!AF176)),"A",IF(NOT(ISBLANK('A-RACHNATMAK'!AF175)),"B",IF(NOT(ISBLANK('A-RACHNATMAK'!AF174)),"C","")))</f>
        <v/>
      </c>
      <c r="AD160" s="622" t="str">
        <f>IF(NOT(ISBLANK('A-RACHNATMAK'!AG176)),"A",IF(NOT(ISBLANK('A-RACHNATMAK'!AG175)),"B",IF(NOT(ISBLANK('A-RACHNATMAK'!AG174)),"C","")))</f>
        <v/>
      </c>
      <c r="AE160" s="622" t="str">
        <f>IF(NOT(ISBLANK('A-RACHNATMAK'!AH176)),"A",IF(NOT(ISBLANK('A-RACHNATMAK'!AH175)),"B",IF(NOT(ISBLANK('A-RACHNATMAK'!AH174)),"C","")))</f>
        <v/>
      </c>
      <c r="AF160" s="622" t="str">
        <f>IF(NOT(ISBLANK('A-RACHNATMAK'!AI176)),"A",IF(NOT(ISBLANK('A-RACHNATMAK'!AI175)),"B",IF(NOT(ISBLANK('A-RACHNATMAK'!AI174)),"C","")))</f>
        <v/>
      </c>
      <c r="AG160" s="622" t="str">
        <f>IF(NOT(ISBLANK('A-RACHNATMAK'!AJ176)),"A",IF(NOT(ISBLANK('A-RACHNATMAK'!AJ175)),"B",IF(NOT(ISBLANK('A-RACHNATMAK'!AJ174)),"C","")))</f>
        <v/>
      </c>
      <c r="AH160" s="622" t="str">
        <f>IF(NOT(ISBLANK('A-RACHNATMAK'!AK176)),"A",IF(NOT(ISBLANK('A-RACHNATMAK'!AK175)),"B",IF(NOT(ISBLANK('A-RACHNATMAK'!AK174)),"C","")))</f>
        <v/>
      </c>
      <c r="AI160" s="622" t="str">
        <f>IF(NOT(ISBLANK('A-RACHNATMAK'!AL176)),"A",IF(NOT(ISBLANK('A-RACHNATMAK'!AL175)),"B",IF(NOT(ISBLANK('A-RACHNATMAK'!AL174)),"C","")))</f>
        <v/>
      </c>
      <c r="AJ160" s="622" t="str">
        <f>IF(NOT(ISBLANK('A-RACHNATMAK'!AM176)),"A",IF(NOT(ISBLANK('A-RACHNATMAK'!AM175)),"B",IF(NOT(ISBLANK('A-RACHNATMAK'!AM174)),"C","")))</f>
        <v/>
      </c>
      <c r="AK160" s="622" t="str">
        <f>IF(NOT(ISBLANK('A-RACHNATMAK'!AN176)),"A",IF(NOT(ISBLANK('A-RACHNATMAK'!AN175)),"B",IF(NOT(ISBLANK('A-RACHNATMAK'!AN174)),"C","")))</f>
        <v/>
      </c>
      <c r="AL160" s="622" t="str">
        <f>IF(NOT(ISBLANK('A-RACHNATMAK'!AO176)),"A",IF(NOT(ISBLANK('A-RACHNATMAK'!AO175)),"B",IF(NOT(ISBLANK('A-RACHNATMAK'!AO174)),"C","")))</f>
        <v/>
      </c>
      <c r="AM160" s="622" t="str">
        <f>IF(NOT(ISBLANK('A-RACHNATMAK'!AP176)),"A",IF(NOT(ISBLANK('A-RACHNATMAK'!AP175)),"B",IF(NOT(ISBLANK('A-RACHNATMAK'!AP174)),"C","")))</f>
        <v/>
      </c>
      <c r="AN160" s="622" t="str">
        <f>IF(NOT(ISBLANK('A-RACHNATMAK'!AQ176)),"A",IF(NOT(ISBLANK('A-RACHNATMAK'!AQ175)),"B",IF(NOT(ISBLANK('A-RACHNATMAK'!AQ174)),"C","")))</f>
        <v/>
      </c>
      <c r="AO160" s="622" t="str">
        <f>IF(NOT(ISBLANK('A-RACHNATMAK'!AR176)),"A",IF(NOT(ISBLANK('A-RACHNATMAK'!AR175)),"B",IF(NOT(ISBLANK('A-RACHNATMAK'!AR174)),"C","")))</f>
        <v/>
      </c>
      <c r="AP160" s="622" t="str">
        <f>IF(NOT(ISBLANK('A-RACHNATMAK'!AS176)),"A",IF(NOT(ISBLANK('A-RACHNATMAK'!AS175)),"B",IF(NOT(ISBLANK('A-RACHNATMAK'!AS174)),"C","")))</f>
        <v/>
      </c>
      <c r="AQ160" s="622" t="str">
        <f>IF(NOT(ISBLANK('A-RACHNATMAK'!AT176)),"A",IF(NOT(ISBLANK('A-RACHNATMAK'!AT175)),"B",IF(NOT(ISBLANK('A-RACHNATMAK'!AT174)),"C","")))</f>
        <v/>
      </c>
      <c r="AR160" s="622" t="str">
        <f>IF(NOT(ISBLANK('A-RACHNATMAK'!AU176)),"A",IF(NOT(ISBLANK('A-RACHNATMAK'!AU175)),"B",IF(NOT(ISBLANK('A-RACHNATMAK'!AU174)),"C","")))</f>
        <v/>
      </c>
      <c r="AS160" s="622" t="str">
        <f>IF(NOT(ISBLANK('A-RACHNATMAK'!AV176)),"A",IF(NOT(ISBLANK('A-RACHNATMAK'!AV175)),"B",IF(NOT(ISBLANK('A-RACHNATMAK'!AV174)),"C","")))</f>
        <v/>
      </c>
      <c r="AT160" s="622" t="str">
        <f>IF(NOT(ISBLANK('A-RACHNATMAK'!AW176)),"A",IF(NOT(ISBLANK('A-RACHNATMAK'!AW175)),"B",IF(NOT(ISBLANK('A-RACHNATMAK'!AW174)),"C","")))</f>
        <v/>
      </c>
      <c r="AU160" s="622">
        <f t="shared" ref="AU160" si="303">COUNTIF(AA160:AT160,"A")</f>
        <v>0</v>
      </c>
      <c r="AV160" s="622">
        <f t="shared" ref="AV160" si="304">COUNTIF(AA160:AT160,"B")</f>
        <v>0</v>
      </c>
      <c r="AW160" s="622">
        <f t="shared" ref="AW160" si="305">COUNTIF(AA160:AT160,"C")</f>
        <v>0</v>
      </c>
    </row>
    <row r="161" spans="1:49" ht="7.5" customHeight="1">
      <c r="A161" s="623"/>
      <c r="B161" s="622"/>
      <c r="C161" s="622"/>
      <c r="D161" s="622"/>
      <c r="E161" s="622"/>
      <c r="F161" s="622"/>
      <c r="G161" s="622"/>
      <c r="H161" s="622"/>
      <c r="I161" s="622"/>
      <c r="J161" s="622"/>
      <c r="K161" s="622"/>
      <c r="L161" s="622"/>
      <c r="M161" s="622"/>
      <c r="N161" s="622"/>
      <c r="O161" s="622"/>
      <c r="P161" s="622"/>
      <c r="Q161" s="622"/>
      <c r="R161" s="622"/>
      <c r="S161" s="622"/>
      <c r="T161" s="622"/>
      <c r="U161" s="622"/>
      <c r="V161" s="622"/>
      <c r="W161" s="622"/>
      <c r="X161" s="622"/>
      <c r="Y161" s="330"/>
      <c r="Z161" s="623"/>
      <c r="AA161" s="622"/>
      <c r="AB161" s="622"/>
      <c r="AC161" s="622"/>
      <c r="AD161" s="622"/>
      <c r="AE161" s="622"/>
      <c r="AF161" s="622"/>
      <c r="AG161" s="622"/>
      <c r="AH161" s="622"/>
      <c r="AI161" s="622"/>
      <c r="AJ161" s="622"/>
      <c r="AK161" s="622"/>
      <c r="AL161" s="622"/>
      <c r="AM161" s="622"/>
      <c r="AN161" s="622"/>
      <c r="AO161" s="622"/>
      <c r="AP161" s="622"/>
      <c r="AQ161" s="622"/>
      <c r="AR161" s="622"/>
      <c r="AS161" s="622"/>
      <c r="AT161" s="622"/>
      <c r="AU161" s="622"/>
      <c r="AV161" s="622"/>
      <c r="AW161" s="622"/>
    </row>
    <row r="162" spans="1:49" ht="7.5" customHeight="1">
      <c r="A162" s="623"/>
      <c r="B162" s="622"/>
      <c r="C162" s="622"/>
      <c r="D162" s="622"/>
      <c r="E162" s="622"/>
      <c r="F162" s="622"/>
      <c r="G162" s="622"/>
      <c r="H162" s="622"/>
      <c r="I162" s="622"/>
      <c r="J162" s="622"/>
      <c r="K162" s="622"/>
      <c r="L162" s="622"/>
      <c r="M162" s="622"/>
      <c r="N162" s="622"/>
      <c r="O162" s="622"/>
      <c r="P162" s="622"/>
      <c r="Q162" s="622"/>
      <c r="R162" s="622"/>
      <c r="S162" s="622"/>
      <c r="T162" s="622"/>
      <c r="U162" s="622"/>
      <c r="V162" s="622"/>
      <c r="W162" s="622"/>
      <c r="X162" s="622"/>
      <c r="Y162" s="330"/>
      <c r="Z162" s="623"/>
      <c r="AA162" s="622"/>
      <c r="AB162" s="622"/>
      <c r="AC162" s="622"/>
      <c r="AD162" s="622"/>
      <c r="AE162" s="622"/>
      <c r="AF162" s="622"/>
      <c r="AG162" s="622"/>
      <c r="AH162" s="622"/>
      <c r="AI162" s="622"/>
      <c r="AJ162" s="622"/>
      <c r="AK162" s="622"/>
      <c r="AL162" s="622"/>
      <c r="AM162" s="622"/>
      <c r="AN162" s="622"/>
      <c r="AO162" s="622"/>
      <c r="AP162" s="622"/>
      <c r="AQ162" s="622"/>
      <c r="AR162" s="622"/>
      <c r="AS162" s="622"/>
      <c r="AT162" s="622"/>
      <c r="AU162" s="622"/>
      <c r="AV162" s="622"/>
      <c r="AW162" s="622"/>
    </row>
    <row r="163" spans="1:49" ht="7.5" customHeight="1">
      <c r="A163" s="623">
        <v>19</v>
      </c>
      <c r="B163" s="622" t="str">
        <f>IF(NOT(ISBLANK('A-RACHNATMAK'!C179)),"A",IF(NOT(ISBLANK('A-RACHNATMAK'!C178)),"B",IF(NOT(ISBLANK('A-RACHNATMAK'!C177)),"C","")))</f>
        <v/>
      </c>
      <c r="C163" s="622" t="str">
        <f>IF(NOT(ISBLANK('A-RACHNATMAK'!D179)),"A",IF(NOT(ISBLANK('A-RACHNATMAK'!D178)),"B",IF(NOT(ISBLANK('A-RACHNATMAK'!D177)),"C","")))</f>
        <v/>
      </c>
      <c r="D163" s="622" t="str">
        <f>IF(NOT(ISBLANK('A-RACHNATMAK'!E179)),"A",IF(NOT(ISBLANK('A-RACHNATMAK'!E178)),"B",IF(NOT(ISBLANK('A-RACHNATMAK'!E177)),"C","")))</f>
        <v/>
      </c>
      <c r="E163" s="622" t="str">
        <f>IF(NOT(ISBLANK('A-RACHNATMAK'!F179)),"A",IF(NOT(ISBLANK('A-RACHNATMAK'!F178)),"B",IF(NOT(ISBLANK('A-RACHNATMAK'!F177)),"C","")))</f>
        <v/>
      </c>
      <c r="F163" s="622" t="str">
        <f>IF(NOT(ISBLANK('A-RACHNATMAK'!G179)),"A",IF(NOT(ISBLANK('A-RACHNATMAK'!G178)),"B",IF(NOT(ISBLANK('A-RACHNATMAK'!G177)),"C","")))</f>
        <v/>
      </c>
      <c r="G163" s="622" t="str">
        <f>IF(NOT(ISBLANK('A-RACHNATMAK'!H179)),"A",IF(NOT(ISBLANK('A-RACHNATMAK'!H178)),"B",IF(NOT(ISBLANK('A-RACHNATMAK'!H177)),"C","")))</f>
        <v/>
      </c>
      <c r="H163" s="622" t="str">
        <f>IF(NOT(ISBLANK('A-RACHNATMAK'!I179)),"A",IF(NOT(ISBLANK('A-RACHNATMAK'!I178)),"B",IF(NOT(ISBLANK('A-RACHNATMAK'!I177)),"C","")))</f>
        <v/>
      </c>
      <c r="I163" s="622" t="str">
        <f>IF(NOT(ISBLANK('A-RACHNATMAK'!J179)),"A",IF(NOT(ISBLANK('A-RACHNATMAK'!J178)),"B",IF(NOT(ISBLANK('A-RACHNATMAK'!J177)),"C","")))</f>
        <v/>
      </c>
      <c r="J163" s="622" t="str">
        <f>IF(NOT(ISBLANK('A-RACHNATMAK'!K179)),"A",IF(NOT(ISBLANK('A-RACHNATMAK'!K178)),"B",IF(NOT(ISBLANK('A-RACHNATMAK'!K177)),"C","")))</f>
        <v/>
      </c>
      <c r="K163" s="622" t="str">
        <f>IF(NOT(ISBLANK('A-RACHNATMAK'!L179)),"A",IF(NOT(ISBLANK('A-RACHNATMAK'!L178)),"B",IF(NOT(ISBLANK('A-RACHNATMAK'!L177)),"C","")))</f>
        <v/>
      </c>
      <c r="L163" s="622" t="str">
        <f>IF(NOT(ISBLANK('A-RACHNATMAK'!M179)),"A",IF(NOT(ISBLANK('A-RACHNATMAK'!M178)),"B",IF(NOT(ISBLANK('A-RACHNATMAK'!M177)),"C","")))</f>
        <v/>
      </c>
      <c r="M163" s="622" t="str">
        <f>IF(NOT(ISBLANK('A-RACHNATMAK'!N179)),"A",IF(NOT(ISBLANK('A-RACHNATMAK'!N178)),"B",IF(NOT(ISBLANK('A-RACHNATMAK'!N177)),"C","")))</f>
        <v/>
      </c>
      <c r="N163" s="622" t="str">
        <f>IF(NOT(ISBLANK('A-RACHNATMAK'!O179)),"A",IF(NOT(ISBLANK('A-RACHNATMAK'!O178)),"B",IF(NOT(ISBLANK('A-RACHNATMAK'!O177)),"C","")))</f>
        <v/>
      </c>
      <c r="O163" s="622" t="str">
        <f>IF(NOT(ISBLANK('A-RACHNATMAK'!P179)),"A",IF(NOT(ISBLANK('A-RACHNATMAK'!P178)),"B",IF(NOT(ISBLANK('A-RACHNATMAK'!P177)),"C","")))</f>
        <v/>
      </c>
      <c r="P163" s="622" t="str">
        <f>IF(NOT(ISBLANK('A-RACHNATMAK'!Q179)),"A",IF(NOT(ISBLANK('A-RACHNATMAK'!Q178)),"B",IF(NOT(ISBLANK('A-RACHNATMAK'!Q177)),"C","")))</f>
        <v/>
      </c>
      <c r="Q163" s="622" t="str">
        <f>IF(NOT(ISBLANK('A-RACHNATMAK'!R179)),"A",IF(NOT(ISBLANK('A-RACHNATMAK'!R178)),"B",IF(NOT(ISBLANK('A-RACHNATMAK'!R177)),"C","")))</f>
        <v/>
      </c>
      <c r="R163" s="622" t="str">
        <f>IF(NOT(ISBLANK('A-RACHNATMAK'!S179)),"A",IF(NOT(ISBLANK('A-RACHNATMAK'!S178)),"B",IF(NOT(ISBLANK('A-RACHNATMAK'!S177)),"C","")))</f>
        <v/>
      </c>
      <c r="S163" s="622" t="str">
        <f>IF(NOT(ISBLANK('A-RACHNATMAK'!T179)),"A",IF(NOT(ISBLANK('A-RACHNATMAK'!T178)),"B",IF(NOT(ISBLANK('A-RACHNATMAK'!T177)),"C","")))</f>
        <v/>
      </c>
      <c r="T163" s="622" t="str">
        <f>IF(NOT(ISBLANK('A-RACHNATMAK'!U179)),"A",IF(NOT(ISBLANK('A-RACHNATMAK'!U178)),"B",IF(NOT(ISBLANK('A-RACHNATMAK'!U177)),"C","")))</f>
        <v/>
      </c>
      <c r="U163" s="622" t="str">
        <f>IF(NOT(ISBLANK('A-RACHNATMAK'!V179)),"A",IF(NOT(ISBLANK('A-RACHNATMAK'!V178)),"B",IF(NOT(ISBLANK('A-RACHNATMAK'!V177)),"C","")))</f>
        <v/>
      </c>
      <c r="V163" s="622">
        <f t="shared" ref="V163" si="306">COUNTIF(B163:U163,"A")</f>
        <v>0</v>
      </c>
      <c r="W163" s="622">
        <f t="shared" ref="W163" si="307">COUNTIF(B163:U163,"B")</f>
        <v>0</v>
      </c>
      <c r="X163" s="622">
        <f t="shared" ref="X163" si="308">COUNTIF(B163:U163,"C")</f>
        <v>0</v>
      </c>
      <c r="Y163" s="330"/>
      <c r="Z163" s="623">
        <v>19</v>
      </c>
      <c r="AA163" s="622" t="str">
        <f>IF(NOT(ISBLANK('A-RACHNATMAK'!AD179)),"A",IF(NOT(ISBLANK('A-RACHNATMAK'!AD178)),"B",IF(NOT(ISBLANK('A-RACHNATMAK'!AD177)),"C","")))</f>
        <v/>
      </c>
      <c r="AB163" s="622" t="str">
        <f>IF(NOT(ISBLANK('A-RACHNATMAK'!AE179)),"A",IF(NOT(ISBLANK('A-RACHNATMAK'!AE178)),"B",IF(NOT(ISBLANK('A-RACHNATMAK'!AE177)),"C","")))</f>
        <v/>
      </c>
      <c r="AC163" s="622" t="str">
        <f>IF(NOT(ISBLANK('A-RACHNATMAK'!AF179)),"A",IF(NOT(ISBLANK('A-RACHNATMAK'!AF178)),"B",IF(NOT(ISBLANK('A-RACHNATMAK'!AF177)),"C","")))</f>
        <v/>
      </c>
      <c r="AD163" s="622" t="str">
        <f>IF(NOT(ISBLANK('A-RACHNATMAK'!AG179)),"A",IF(NOT(ISBLANK('A-RACHNATMAK'!AG178)),"B",IF(NOT(ISBLANK('A-RACHNATMAK'!AG177)),"C","")))</f>
        <v/>
      </c>
      <c r="AE163" s="622" t="str">
        <f>IF(NOT(ISBLANK('A-RACHNATMAK'!AH179)),"A",IF(NOT(ISBLANK('A-RACHNATMAK'!AH178)),"B",IF(NOT(ISBLANK('A-RACHNATMAK'!AH177)),"C","")))</f>
        <v/>
      </c>
      <c r="AF163" s="622" t="str">
        <f>IF(NOT(ISBLANK('A-RACHNATMAK'!AI179)),"A",IF(NOT(ISBLANK('A-RACHNATMAK'!AI178)),"B",IF(NOT(ISBLANK('A-RACHNATMAK'!AI177)),"C","")))</f>
        <v/>
      </c>
      <c r="AG163" s="622" t="str">
        <f>IF(NOT(ISBLANK('A-RACHNATMAK'!AJ179)),"A",IF(NOT(ISBLANK('A-RACHNATMAK'!AJ178)),"B",IF(NOT(ISBLANK('A-RACHNATMAK'!AJ177)),"C","")))</f>
        <v/>
      </c>
      <c r="AH163" s="622" t="str">
        <f>IF(NOT(ISBLANK('A-RACHNATMAK'!AK179)),"A",IF(NOT(ISBLANK('A-RACHNATMAK'!AK178)),"B",IF(NOT(ISBLANK('A-RACHNATMAK'!AK177)),"C","")))</f>
        <v/>
      </c>
      <c r="AI163" s="622" t="str">
        <f>IF(NOT(ISBLANK('A-RACHNATMAK'!AL179)),"A",IF(NOT(ISBLANK('A-RACHNATMAK'!AL178)),"B",IF(NOT(ISBLANK('A-RACHNATMAK'!AL177)),"C","")))</f>
        <v/>
      </c>
      <c r="AJ163" s="622" t="str">
        <f>IF(NOT(ISBLANK('A-RACHNATMAK'!AM179)),"A",IF(NOT(ISBLANK('A-RACHNATMAK'!AM178)),"B",IF(NOT(ISBLANK('A-RACHNATMAK'!AM177)),"C","")))</f>
        <v/>
      </c>
      <c r="AK163" s="622" t="str">
        <f>IF(NOT(ISBLANK('A-RACHNATMAK'!AN179)),"A",IF(NOT(ISBLANK('A-RACHNATMAK'!AN178)),"B",IF(NOT(ISBLANK('A-RACHNATMAK'!AN177)),"C","")))</f>
        <v/>
      </c>
      <c r="AL163" s="622" t="str">
        <f>IF(NOT(ISBLANK('A-RACHNATMAK'!AO179)),"A",IF(NOT(ISBLANK('A-RACHNATMAK'!AO178)),"B",IF(NOT(ISBLANK('A-RACHNATMAK'!AO177)),"C","")))</f>
        <v/>
      </c>
      <c r="AM163" s="622" t="str">
        <f>IF(NOT(ISBLANK('A-RACHNATMAK'!AP179)),"A",IF(NOT(ISBLANK('A-RACHNATMAK'!AP178)),"B",IF(NOT(ISBLANK('A-RACHNATMAK'!AP177)),"C","")))</f>
        <v/>
      </c>
      <c r="AN163" s="622" t="str">
        <f>IF(NOT(ISBLANK('A-RACHNATMAK'!AQ179)),"A",IF(NOT(ISBLANK('A-RACHNATMAK'!AQ178)),"B",IF(NOT(ISBLANK('A-RACHNATMAK'!AQ177)),"C","")))</f>
        <v/>
      </c>
      <c r="AO163" s="622" t="str">
        <f>IF(NOT(ISBLANK('A-RACHNATMAK'!AR179)),"A",IF(NOT(ISBLANK('A-RACHNATMAK'!AR178)),"B",IF(NOT(ISBLANK('A-RACHNATMAK'!AR177)),"C","")))</f>
        <v/>
      </c>
      <c r="AP163" s="622" t="str">
        <f>IF(NOT(ISBLANK('A-RACHNATMAK'!AS179)),"A",IF(NOT(ISBLANK('A-RACHNATMAK'!AS178)),"B",IF(NOT(ISBLANK('A-RACHNATMAK'!AS177)),"C","")))</f>
        <v/>
      </c>
      <c r="AQ163" s="622" t="str">
        <f>IF(NOT(ISBLANK('A-RACHNATMAK'!AT179)),"A",IF(NOT(ISBLANK('A-RACHNATMAK'!AT178)),"B",IF(NOT(ISBLANK('A-RACHNATMAK'!AT177)),"C","")))</f>
        <v/>
      </c>
      <c r="AR163" s="622" t="str">
        <f>IF(NOT(ISBLANK('A-RACHNATMAK'!AU179)),"A",IF(NOT(ISBLANK('A-RACHNATMAK'!AU178)),"B",IF(NOT(ISBLANK('A-RACHNATMAK'!AU177)),"C","")))</f>
        <v/>
      </c>
      <c r="AS163" s="622" t="str">
        <f>IF(NOT(ISBLANK('A-RACHNATMAK'!AV179)),"A",IF(NOT(ISBLANK('A-RACHNATMAK'!AV178)),"B",IF(NOT(ISBLANK('A-RACHNATMAK'!AV177)),"C","")))</f>
        <v/>
      </c>
      <c r="AT163" s="622" t="str">
        <f>IF(NOT(ISBLANK('A-RACHNATMAK'!AW179)),"A",IF(NOT(ISBLANK('A-RACHNATMAK'!AW178)),"B",IF(NOT(ISBLANK('A-RACHNATMAK'!AW177)),"C","")))</f>
        <v/>
      </c>
      <c r="AU163" s="622">
        <f t="shared" ref="AU163" si="309">COUNTIF(AA163:AT163,"A")</f>
        <v>0</v>
      </c>
      <c r="AV163" s="622">
        <f t="shared" ref="AV163" si="310">COUNTIF(AA163:AT163,"B")</f>
        <v>0</v>
      </c>
      <c r="AW163" s="622">
        <f t="shared" ref="AW163" si="311">COUNTIF(AA163:AT163,"C")</f>
        <v>0</v>
      </c>
    </row>
    <row r="164" spans="1:49" ht="7.5" customHeight="1">
      <c r="A164" s="623"/>
      <c r="B164" s="622"/>
      <c r="C164" s="622"/>
      <c r="D164" s="622"/>
      <c r="E164" s="622"/>
      <c r="F164" s="622"/>
      <c r="G164" s="622"/>
      <c r="H164" s="622"/>
      <c r="I164" s="622"/>
      <c r="J164" s="622"/>
      <c r="K164" s="622"/>
      <c r="L164" s="622"/>
      <c r="M164" s="622"/>
      <c r="N164" s="622"/>
      <c r="O164" s="622"/>
      <c r="P164" s="622"/>
      <c r="Q164" s="622"/>
      <c r="R164" s="622"/>
      <c r="S164" s="622"/>
      <c r="T164" s="622"/>
      <c r="U164" s="622"/>
      <c r="V164" s="622"/>
      <c r="W164" s="622"/>
      <c r="X164" s="622"/>
      <c r="Y164" s="330"/>
      <c r="Z164" s="623"/>
      <c r="AA164" s="622"/>
      <c r="AB164" s="622"/>
      <c r="AC164" s="622"/>
      <c r="AD164" s="622"/>
      <c r="AE164" s="622"/>
      <c r="AF164" s="622"/>
      <c r="AG164" s="622"/>
      <c r="AH164" s="622"/>
      <c r="AI164" s="622"/>
      <c r="AJ164" s="622"/>
      <c r="AK164" s="622"/>
      <c r="AL164" s="622"/>
      <c r="AM164" s="622"/>
      <c r="AN164" s="622"/>
      <c r="AO164" s="622"/>
      <c r="AP164" s="622"/>
      <c r="AQ164" s="622"/>
      <c r="AR164" s="622"/>
      <c r="AS164" s="622"/>
      <c r="AT164" s="622"/>
      <c r="AU164" s="622"/>
      <c r="AV164" s="622"/>
      <c r="AW164" s="622"/>
    </row>
    <row r="165" spans="1:49" ht="7.5" customHeight="1">
      <c r="A165" s="623"/>
      <c r="B165" s="622"/>
      <c r="C165" s="622"/>
      <c r="D165" s="622"/>
      <c r="E165" s="622"/>
      <c r="F165" s="622"/>
      <c r="G165" s="622"/>
      <c r="H165" s="622"/>
      <c r="I165" s="622"/>
      <c r="J165" s="622"/>
      <c r="K165" s="622"/>
      <c r="L165" s="622"/>
      <c r="M165" s="622"/>
      <c r="N165" s="622"/>
      <c r="O165" s="622"/>
      <c r="P165" s="622"/>
      <c r="Q165" s="622"/>
      <c r="R165" s="622"/>
      <c r="S165" s="622"/>
      <c r="T165" s="622"/>
      <c r="U165" s="622"/>
      <c r="V165" s="622"/>
      <c r="W165" s="622"/>
      <c r="X165" s="622"/>
      <c r="Y165" s="330"/>
      <c r="Z165" s="623"/>
      <c r="AA165" s="622"/>
      <c r="AB165" s="622"/>
      <c r="AC165" s="622"/>
      <c r="AD165" s="622"/>
      <c r="AE165" s="622"/>
      <c r="AF165" s="622"/>
      <c r="AG165" s="622"/>
      <c r="AH165" s="622"/>
      <c r="AI165" s="622"/>
      <c r="AJ165" s="622"/>
      <c r="AK165" s="622"/>
      <c r="AL165" s="622"/>
      <c r="AM165" s="622"/>
      <c r="AN165" s="622"/>
      <c r="AO165" s="622"/>
      <c r="AP165" s="622"/>
      <c r="AQ165" s="622"/>
      <c r="AR165" s="622"/>
      <c r="AS165" s="622"/>
      <c r="AT165" s="622"/>
      <c r="AU165" s="622"/>
      <c r="AV165" s="622"/>
      <c r="AW165" s="622"/>
    </row>
    <row r="166" spans="1:49" ht="7.5" customHeight="1">
      <c r="A166" s="623">
        <v>20</v>
      </c>
      <c r="B166" s="622" t="str">
        <f>IF(NOT(ISBLANK('A-RACHNATMAK'!C182)),"A",IF(NOT(ISBLANK('A-RACHNATMAK'!C181)),"B",IF(NOT(ISBLANK('A-RACHNATMAK'!C180)),"C","")))</f>
        <v/>
      </c>
      <c r="C166" s="622" t="str">
        <f>IF(NOT(ISBLANK('A-RACHNATMAK'!D182)),"A",IF(NOT(ISBLANK('A-RACHNATMAK'!D181)),"B",IF(NOT(ISBLANK('A-RACHNATMAK'!D180)),"C","")))</f>
        <v/>
      </c>
      <c r="D166" s="622" t="str">
        <f>IF(NOT(ISBLANK('A-RACHNATMAK'!E182)),"A",IF(NOT(ISBLANK('A-RACHNATMAK'!E181)),"B",IF(NOT(ISBLANK('A-RACHNATMAK'!E180)),"C","")))</f>
        <v/>
      </c>
      <c r="E166" s="622" t="str">
        <f>IF(NOT(ISBLANK('A-RACHNATMAK'!F182)),"A",IF(NOT(ISBLANK('A-RACHNATMAK'!F181)),"B",IF(NOT(ISBLANK('A-RACHNATMAK'!F180)),"C","")))</f>
        <v/>
      </c>
      <c r="F166" s="622" t="str">
        <f>IF(NOT(ISBLANK('A-RACHNATMAK'!G182)),"A",IF(NOT(ISBLANK('A-RACHNATMAK'!G181)),"B",IF(NOT(ISBLANK('A-RACHNATMAK'!G180)),"C","")))</f>
        <v/>
      </c>
      <c r="G166" s="622" t="str">
        <f>IF(NOT(ISBLANK('A-RACHNATMAK'!H182)),"A",IF(NOT(ISBLANK('A-RACHNATMAK'!H181)),"B",IF(NOT(ISBLANK('A-RACHNATMAK'!H180)),"C","")))</f>
        <v/>
      </c>
      <c r="H166" s="622" t="str">
        <f>IF(NOT(ISBLANK('A-RACHNATMAK'!I182)),"A",IF(NOT(ISBLANK('A-RACHNATMAK'!I181)),"B",IF(NOT(ISBLANK('A-RACHNATMAK'!I180)),"C","")))</f>
        <v/>
      </c>
      <c r="I166" s="622" t="str">
        <f>IF(NOT(ISBLANK('A-RACHNATMAK'!J182)),"A",IF(NOT(ISBLANK('A-RACHNATMAK'!J181)),"B",IF(NOT(ISBLANK('A-RACHNATMAK'!J180)),"C","")))</f>
        <v/>
      </c>
      <c r="J166" s="622" t="str">
        <f>IF(NOT(ISBLANK('A-RACHNATMAK'!K182)),"A",IF(NOT(ISBLANK('A-RACHNATMAK'!K181)),"B",IF(NOT(ISBLANK('A-RACHNATMAK'!K180)),"C","")))</f>
        <v/>
      </c>
      <c r="K166" s="622" t="str">
        <f>IF(NOT(ISBLANK('A-RACHNATMAK'!L182)),"A",IF(NOT(ISBLANK('A-RACHNATMAK'!L181)),"B",IF(NOT(ISBLANK('A-RACHNATMAK'!L180)),"C","")))</f>
        <v/>
      </c>
      <c r="L166" s="622" t="str">
        <f>IF(NOT(ISBLANK('A-RACHNATMAK'!M182)),"A",IF(NOT(ISBLANK('A-RACHNATMAK'!M181)),"B",IF(NOT(ISBLANK('A-RACHNATMAK'!M180)),"C","")))</f>
        <v/>
      </c>
      <c r="M166" s="622" t="str">
        <f>IF(NOT(ISBLANK('A-RACHNATMAK'!N182)),"A",IF(NOT(ISBLANK('A-RACHNATMAK'!N181)),"B",IF(NOT(ISBLANK('A-RACHNATMAK'!N180)),"C","")))</f>
        <v/>
      </c>
      <c r="N166" s="622" t="str">
        <f>IF(NOT(ISBLANK('A-RACHNATMAK'!O182)),"A",IF(NOT(ISBLANK('A-RACHNATMAK'!O181)),"B",IF(NOT(ISBLANK('A-RACHNATMAK'!O180)),"C","")))</f>
        <v/>
      </c>
      <c r="O166" s="622" t="str">
        <f>IF(NOT(ISBLANK('A-RACHNATMAK'!P182)),"A",IF(NOT(ISBLANK('A-RACHNATMAK'!P181)),"B",IF(NOT(ISBLANK('A-RACHNATMAK'!P180)),"C","")))</f>
        <v/>
      </c>
      <c r="P166" s="622" t="str">
        <f>IF(NOT(ISBLANK('A-RACHNATMAK'!Q182)),"A",IF(NOT(ISBLANK('A-RACHNATMAK'!Q181)),"B",IF(NOT(ISBLANK('A-RACHNATMAK'!Q180)),"C","")))</f>
        <v/>
      </c>
      <c r="Q166" s="622" t="str">
        <f>IF(NOT(ISBLANK('A-RACHNATMAK'!R182)),"A",IF(NOT(ISBLANK('A-RACHNATMAK'!R181)),"B",IF(NOT(ISBLANK('A-RACHNATMAK'!R180)),"C","")))</f>
        <v/>
      </c>
      <c r="R166" s="622" t="str">
        <f>IF(NOT(ISBLANK('A-RACHNATMAK'!S182)),"A",IF(NOT(ISBLANK('A-RACHNATMAK'!S181)),"B",IF(NOT(ISBLANK('A-RACHNATMAK'!S180)),"C","")))</f>
        <v/>
      </c>
      <c r="S166" s="622" t="str">
        <f>IF(NOT(ISBLANK('A-RACHNATMAK'!T182)),"A",IF(NOT(ISBLANK('A-RACHNATMAK'!T181)),"B",IF(NOT(ISBLANK('A-RACHNATMAK'!T180)),"C","")))</f>
        <v/>
      </c>
      <c r="T166" s="622" t="str">
        <f>IF(NOT(ISBLANK('A-RACHNATMAK'!U182)),"A",IF(NOT(ISBLANK('A-RACHNATMAK'!U181)),"B",IF(NOT(ISBLANK('A-RACHNATMAK'!U180)),"C","")))</f>
        <v/>
      </c>
      <c r="U166" s="622" t="str">
        <f>IF(NOT(ISBLANK('A-RACHNATMAK'!V182)),"A",IF(NOT(ISBLANK('A-RACHNATMAK'!V181)),"B",IF(NOT(ISBLANK('A-RACHNATMAK'!V180)),"C","")))</f>
        <v/>
      </c>
      <c r="V166" s="622">
        <f t="shared" ref="V166" si="312">COUNTIF(B166:U166,"A")</f>
        <v>0</v>
      </c>
      <c r="W166" s="622">
        <f t="shared" ref="W166" si="313">COUNTIF(B166:U166,"B")</f>
        <v>0</v>
      </c>
      <c r="X166" s="622">
        <f t="shared" ref="X166" si="314">COUNTIF(B166:U166,"C")</f>
        <v>0</v>
      </c>
      <c r="Y166" s="330"/>
      <c r="Z166" s="623">
        <v>20</v>
      </c>
      <c r="AA166" s="622" t="str">
        <f>IF(NOT(ISBLANK('A-RACHNATMAK'!AD182)),"A",IF(NOT(ISBLANK('A-RACHNATMAK'!AD181)),"B",IF(NOT(ISBLANK('A-RACHNATMAK'!AD180)),"C","")))</f>
        <v/>
      </c>
      <c r="AB166" s="622" t="str">
        <f>IF(NOT(ISBLANK('A-RACHNATMAK'!AE182)),"A",IF(NOT(ISBLANK('A-RACHNATMAK'!AE181)),"B",IF(NOT(ISBLANK('A-RACHNATMAK'!AE180)),"C","")))</f>
        <v/>
      </c>
      <c r="AC166" s="622" t="str">
        <f>IF(NOT(ISBLANK('A-RACHNATMAK'!AF182)),"A",IF(NOT(ISBLANK('A-RACHNATMAK'!AF181)),"B",IF(NOT(ISBLANK('A-RACHNATMAK'!AF180)),"C","")))</f>
        <v/>
      </c>
      <c r="AD166" s="622" t="str">
        <f>IF(NOT(ISBLANK('A-RACHNATMAK'!AG182)),"A",IF(NOT(ISBLANK('A-RACHNATMAK'!AG181)),"B",IF(NOT(ISBLANK('A-RACHNATMAK'!AG180)),"C","")))</f>
        <v/>
      </c>
      <c r="AE166" s="622" t="str">
        <f>IF(NOT(ISBLANK('A-RACHNATMAK'!AH182)),"A",IF(NOT(ISBLANK('A-RACHNATMAK'!AH181)),"B",IF(NOT(ISBLANK('A-RACHNATMAK'!AH180)),"C","")))</f>
        <v/>
      </c>
      <c r="AF166" s="622" t="str">
        <f>IF(NOT(ISBLANK('A-RACHNATMAK'!AI182)),"A",IF(NOT(ISBLANK('A-RACHNATMAK'!AI181)),"B",IF(NOT(ISBLANK('A-RACHNATMAK'!AI180)),"C","")))</f>
        <v/>
      </c>
      <c r="AG166" s="622" t="str">
        <f>IF(NOT(ISBLANK('A-RACHNATMAK'!AJ182)),"A",IF(NOT(ISBLANK('A-RACHNATMAK'!AJ181)),"B",IF(NOT(ISBLANK('A-RACHNATMAK'!AJ180)),"C","")))</f>
        <v/>
      </c>
      <c r="AH166" s="622" t="str">
        <f>IF(NOT(ISBLANK('A-RACHNATMAK'!AK182)),"A",IF(NOT(ISBLANK('A-RACHNATMAK'!AK181)),"B",IF(NOT(ISBLANK('A-RACHNATMAK'!AK180)),"C","")))</f>
        <v/>
      </c>
      <c r="AI166" s="622" t="str">
        <f>IF(NOT(ISBLANK('A-RACHNATMAK'!AL182)),"A",IF(NOT(ISBLANK('A-RACHNATMAK'!AL181)),"B",IF(NOT(ISBLANK('A-RACHNATMAK'!AL180)),"C","")))</f>
        <v/>
      </c>
      <c r="AJ166" s="622" t="str">
        <f>IF(NOT(ISBLANK('A-RACHNATMAK'!AM182)),"A",IF(NOT(ISBLANK('A-RACHNATMAK'!AM181)),"B",IF(NOT(ISBLANK('A-RACHNATMAK'!AM180)),"C","")))</f>
        <v/>
      </c>
      <c r="AK166" s="622" t="str">
        <f>IF(NOT(ISBLANK('A-RACHNATMAK'!AN182)),"A",IF(NOT(ISBLANK('A-RACHNATMAK'!AN181)),"B",IF(NOT(ISBLANK('A-RACHNATMAK'!AN180)),"C","")))</f>
        <v/>
      </c>
      <c r="AL166" s="622" t="str">
        <f>IF(NOT(ISBLANK('A-RACHNATMAK'!AO182)),"A",IF(NOT(ISBLANK('A-RACHNATMAK'!AO181)),"B",IF(NOT(ISBLANK('A-RACHNATMAK'!AO180)),"C","")))</f>
        <v/>
      </c>
      <c r="AM166" s="622" t="str">
        <f>IF(NOT(ISBLANK('A-RACHNATMAK'!AP182)),"A",IF(NOT(ISBLANK('A-RACHNATMAK'!AP181)),"B",IF(NOT(ISBLANK('A-RACHNATMAK'!AP180)),"C","")))</f>
        <v/>
      </c>
      <c r="AN166" s="622" t="str">
        <f>IF(NOT(ISBLANK('A-RACHNATMAK'!AQ182)),"A",IF(NOT(ISBLANK('A-RACHNATMAK'!AQ181)),"B",IF(NOT(ISBLANK('A-RACHNATMAK'!AQ180)),"C","")))</f>
        <v/>
      </c>
      <c r="AO166" s="622" t="str">
        <f>IF(NOT(ISBLANK('A-RACHNATMAK'!AR182)),"A",IF(NOT(ISBLANK('A-RACHNATMAK'!AR181)),"B",IF(NOT(ISBLANK('A-RACHNATMAK'!AR180)),"C","")))</f>
        <v/>
      </c>
      <c r="AP166" s="622" t="str">
        <f>IF(NOT(ISBLANK('A-RACHNATMAK'!AS182)),"A",IF(NOT(ISBLANK('A-RACHNATMAK'!AS181)),"B",IF(NOT(ISBLANK('A-RACHNATMAK'!AS180)),"C","")))</f>
        <v/>
      </c>
      <c r="AQ166" s="622" t="str">
        <f>IF(NOT(ISBLANK('A-RACHNATMAK'!AT182)),"A",IF(NOT(ISBLANK('A-RACHNATMAK'!AT181)),"B",IF(NOT(ISBLANK('A-RACHNATMAK'!AT180)),"C","")))</f>
        <v/>
      </c>
      <c r="AR166" s="622" t="str">
        <f>IF(NOT(ISBLANK('A-RACHNATMAK'!AU182)),"A",IF(NOT(ISBLANK('A-RACHNATMAK'!AU181)),"B",IF(NOT(ISBLANK('A-RACHNATMAK'!AU180)),"C","")))</f>
        <v/>
      </c>
      <c r="AS166" s="622" t="str">
        <f>IF(NOT(ISBLANK('A-RACHNATMAK'!AV182)),"A",IF(NOT(ISBLANK('A-RACHNATMAK'!AV181)),"B",IF(NOT(ISBLANK('A-RACHNATMAK'!AV180)),"C","")))</f>
        <v/>
      </c>
      <c r="AT166" s="622" t="str">
        <f>IF(NOT(ISBLANK('A-RACHNATMAK'!AW182)),"A",IF(NOT(ISBLANK('A-RACHNATMAK'!AW181)),"B",IF(NOT(ISBLANK('A-RACHNATMAK'!AW180)),"C","")))</f>
        <v/>
      </c>
      <c r="AU166" s="622">
        <f t="shared" ref="AU166" si="315">COUNTIF(AA166:AT166,"A")</f>
        <v>0</v>
      </c>
      <c r="AV166" s="622">
        <f t="shared" ref="AV166" si="316">COUNTIF(AA166:AT166,"B")</f>
        <v>0</v>
      </c>
      <c r="AW166" s="622">
        <f t="shared" ref="AW166" si="317">COUNTIF(AA166:AT166,"C")</f>
        <v>0</v>
      </c>
    </row>
    <row r="167" spans="1:49" ht="7.5" customHeight="1">
      <c r="A167" s="623"/>
      <c r="B167" s="622"/>
      <c r="C167" s="622"/>
      <c r="D167" s="622"/>
      <c r="E167" s="622"/>
      <c r="F167" s="622"/>
      <c r="G167" s="622"/>
      <c r="H167" s="622"/>
      <c r="I167" s="622"/>
      <c r="J167" s="622"/>
      <c r="K167" s="622"/>
      <c r="L167" s="622"/>
      <c r="M167" s="622"/>
      <c r="N167" s="622"/>
      <c r="O167" s="622"/>
      <c r="P167" s="622"/>
      <c r="Q167" s="622"/>
      <c r="R167" s="622"/>
      <c r="S167" s="622"/>
      <c r="T167" s="622"/>
      <c r="U167" s="622"/>
      <c r="V167" s="622"/>
      <c r="W167" s="622"/>
      <c r="X167" s="622"/>
      <c r="Y167" s="330"/>
      <c r="Z167" s="623"/>
      <c r="AA167" s="622"/>
      <c r="AB167" s="622"/>
      <c r="AC167" s="622"/>
      <c r="AD167" s="622"/>
      <c r="AE167" s="622"/>
      <c r="AF167" s="622"/>
      <c r="AG167" s="622"/>
      <c r="AH167" s="622"/>
      <c r="AI167" s="622"/>
      <c r="AJ167" s="622"/>
      <c r="AK167" s="622"/>
      <c r="AL167" s="622"/>
      <c r="AM167" s="622"/>
      <c r="AN167" s="622"/>
      <c r="AO167" s="622"/>
      <c r="AP167" s="622"/>
      <c r="AQ167" s="622"/>
      <c r="AR167" s="622"/>
      <c r="AS167" s="622"/>
      <c r="AT167" s="622"/>
      <c r="AU167" s="622"/>
      <c r="AV167" s="622"/>
      <c r="AW167" s="622"/>
    </row>
    <row r="168" spans="1:49" ht="7.5" customHeight="1">
      <c r="A168" s="623"/>
      <c r="B168" s="622"/>
      <c r="C168" s="622"/>
      <c r="D168" s="622"/>
      <c r="E168" s="622"/>
      <c r="F168" s="622"/>
      <c r="G168" s="622"/>
      <c r="H168" s="622"/>
      <c r="I168" s="622"/>
      <c r="J168" s="622"/>
      <c r="K168" s="622"/>
      <c r="L168" s="622"/>
      <c r="M168" s="622"/>
      <c r="N168" s="622"/>
      <c r="O168" s="622"/>
      <c r="P168" s="622"/>
      <c r="Q168" s="622"/>
      <c r="R168" s="622"/>
      <c r="S168" s="622"/>
      <c r="T168" s="622"/>
      <c r="U168" s="622"/>
      <c r="V168" s="622"/>
      <c r="W168" s="622"/>
      <c r="X168" s="622"/>
      <c r="Y168" s="330"/>
      <c r="Z168" s="623"/>
      <c r="AA168" s="622"/>
      <c r="AB168" s="622"/>
      <c r="AC168" s="622"/>
      <c r="AD168" s="622"/>
      <c r="AE168" s="622"/>
      <c r="AF168" s="622"/>
      <c r="AG168" s="622"/>
      <c r="AH168" s="622"/>
      <c r="AI168" s="622"/>
      <c r="AJ168" s="622"/>
      <c r="AK168" s="622"/>
      <c r="AL168" s="622"/>
      <c r="AM168" s="622"/>
      <c r="AN168" s="622"/>
      <c r="AO168" s="622"/>
      <c r="AP168" s="622"/>
      <c r="AQ168" s="622"/>
      <c r="AR168" s="622"/>
      <c r="AS168" s="622"/>
      <c r="AT168" s="622"/>
      <c r="AU168" s="622"/>
      <c r="AV168" s="622"/>
      <c r="AW168" s="622"/>
    </row>
    <row r="169" spans="1:49" ht="7.5" customHeight="1">
      <c r="A169" s="623">
        <v>21</v>
      </c>
      <c r="B169" s="622" t="str">
        <f>IF(NOT(ISBLANK('A-RACHNATMAK'!C185)),"A",IF(NOT(ISBLANK('A-RACHNATMAK'!C184)),"B",IF(NOT(ISBLANK('A-RACHNATMAK'!C183)),"C","")))</f>
        <v/>
      </c>
      <c r="C169" s="622" t="str">
        <f>IF(NOT(ISBLANK('A-RACHNATMAK'!D185)),"A",IF(NOT(ISBLANK('A-RACHNATMAK'!D184)),"B",IF(NOT(ISBLANK('A-RACHNATMAK'!D183)),"C","")))</f>
        <v/>
      </c>
      <c r="D169" s="622" t="str">
        <f>IF(NOT(ISBLANK('A-RACHNATMAK'!E185)),"A",IF(NOT(ISBLANK('A-RACHNATMAK'!E184)),"B",IF(NOT(ISBLANK('A-RACHNATMAK'!E183)),"C","")))</f>
        <v/>
      </c>
      <c r="E169" s="622" t="str">
        <f>IF(NOT(ISBLANK('A-RACHNATMAK'!F185)),"A",IF(NOT(ISBLANK('A-RACHNATMAK'!F184)),"B",IF(NOT(ISBLANK('A-RACHNATMAK'!F183)),"C","")))</f>
        <v/>
      </c>
      <c r="F169" s="622" t="str">
        <f>IF(NOT(ISBLANK('A-RACHNATMAK'!G185)),"A",IF(NOT(ISBLANK('A-RACHNATMAK'!G184)),"B",IF(NOT(ISBLANK('A-RACHNATMAK'!G183)),"C","")))</f>
        <v/>
      </c>
      <c r="G169" s="622" t="str">
        <f>IF(NOT(ISBLANK('A-RACHNATMAK'!H185)),"A",IF(NOT(ISBLANK('A-RACHNATMAK'!H184)),"B",IF(NOT(ISBLANK('A-RACHNATMAK'!H183)),"C","")))</f>
        <v/>
      </c>
      <c r="H169" s="622" t="str">
        <f>IF(NOT(ISBLANK('A-RACHNATMAK'!I185)),"A",IF(NOT(ISBLANK('A-RACHNATMAK'!I184)),"B",IF(NOT(ISBLANK('A-RACHNATMAK'!I183)),"C","")))</f>
        <v/>
      </c>
      <c r="I169" s="622" t="str">
        <f>IF(NOT(ISBLANK('A-RACHNATMAK'!J185)),"A",IF(NOT(ISBLANK('A-RACHNATMAK'!J184)),"B",IF(NOT(ISBLANK('A-RACHNATMAK'!J183)),"C","")))</f>
        <v/>
      </c>
      <c r="J169" s="622" t="str">
        <f>IF(NOT(ISBLANK('A-RACHNATMAK'!K185)),"A",IF(NOT(ISBLANK('A-RACHNATMAK'!K184)),"B",IF(NOT(ISBLANK('A-RACHNATMAK'!K183)),"C","")))</f>
        <v/>
      </c>
      <c r="K169" s="622" t="str">
        <f>IF(NOT(ISBLANK('A-RACHNATMAK'!L185)),"A",IF(NOT(ISBLANK('A-RACHNATMAK'!L184)),"B",IF(NOT(ISBLANK('A-RACHNATMAK'!L183)),"C","")))</f>
        <v/>
      </c>
      <c r="L169" s="622" t="str">
        <f>IF(NOT(ISBLANK('A-RACHNATMAK'!M185)),"A",IF(NOT(ISBLANK('A-RACHNATMAK'!M184)),"B",IF(NOT(ISBLANK('A-RACHNATMAK'!M183)),"C","")))</f>
        <v/>
      </c>
      <c r="M169" s="622" t="str">
        <f>IF(NOT(ISBLANK('A-RACHNATMAK'!N185)),"A",IF(NOT(ISBLANK('A-RACHNATMAK'!N184)),"B",IF(NOT(ISBLANK('A-RACHNATMAK'!N183)),"C","")))</f>
        <v/>
      </c>
      <c r="N169" s="622" t="str">
        <f>IF(NOT(ISBLANK('A-RACHNATMAK'!O185)),"A",IF(NOT(ISBLANK('A-RACHNATMAK'!O184)),"B",IF(NOT(ISBLANK('A-RACHNATMAK'!O183)),"C","")))</f>
        <v/>
      </c>
      <c r="O169" s="622" t="str">
        <f>IF(NOT(ISBLANK('A-RACHNATMAK'!P185)),"A",IF(NOT(ISBLANK('A-RACHNATMAK'!P184)),"B",IF(NOT(ISBLANK('A-RACHNATMAK'!P183)),"C","")))</f>
        <v/>
      </c>
      <c r="P169" s="622" t="str">
        <f>IF(NOT(ISBLANK('A-RACHNATMAK'!Q185)),"A",IF(NOT(ISBLANK('A-RACHNATMAK'!Q184)),"B",IF(NOT(ISBLANK('A-RACHNATMAK'!Q183)),"C","")))</f>
        <v/>
      </c>
      <c r="Q169" s="622" t="str">
        <f>IF(NOT(ISBLANK('A-RACHNATMAK'!R185)),"A",IF(NOT(ISBLANK('A-RACHNATMAK'!R184)),"B",IF(NOT(ISBLANK('A-RACHNATMAK'!R183)),"C","")))</f>
        <v/>
      </c>
      <c r="R169" s="622" t="str">
        <f>IF(NOT(ISBLANK('A-RACHNATMAK'!S185)),"A",IF(NOT(ISBLANK('A-RACHNATMAK'!S184)),"B",IF(NOT(ISBLANK('A-RACHNATMAK'!S183)),"C","")))</f>
        <v/>
      </c>
      <c r="S169" s="622" t="str">
        <f>IF(NOT(ISBLANK('A-RACHNATMAK'!T185)),"A",IF(NOT(ISBLANK('A-RACHNATMAK'!T184)),"B",IF(NOT(ISBLANK('A-RACHNATMAK'!T183)),"C","")))</f>
        <v/>
      </c>
      <c r="T169" s="622" t="str">
        <f>IF(NOT(ISBLANK('A-RACHNATMAK'!U185)),"A",IF(NOT(ISBLANK('A-RACHNATMAK'!U184)),"B",IF(NOT(ISBLANK('A-RACHNATMAK'!U183)),"C","")))</f>
        <v/>
      </c>
      <c r="U169" s="622" t="str">
        <f>IF(NOT(ISBLANK('A-RACHNATMAK'!V185)),"A",IF(NOT(ISBLANK('A-RACHNATMAK'!V184)),"B",IF(NOT(ISBLANK('A-RACHNATMAK'!V183)),"C","")))</f>
        <v/>
      </c>
      <c r="V169" s="622">
        <f t="shared" ref="V169" si="318">COUNTIF(B169:U169,"A")</f>
        <v>0</v>
      </c>
      <c r="W169" s="622">
        <f t="shared" ref="W169" si="319">COUNTIF(B169:U169,"B")</f>
        <v>0</v>
      </c>
      <c r="X169" s="622">
        <f t="shared" ref="X169" si="320">COUNTIF(B169:U169,"C")</f>
        <v>0</v>
      </c>
      <c r="Y169" s="330"/>
      <c r="Z169" s="623">
        <v>21</v>
      </c>
      <c r="AA169" s="622" t="str">
        <f>IF(NOT(ISBLANK('A-RACHNATMAK'!AD185)),"A",IF(NOT(ISBLANK('A-RACHNATMAK'!AD184)),"B",IF(NOT(ISBLANK('A-RACHNATMAK'!AD183)),"C","")))</f>
        <v/>
      </c>
      <c r="AB169" s="622" t="str">
        <f>IF(NOT(ISBLANK('A-RACHNATMAK'!AE185)),"A",IF(NOT(ISBLANK('A-RACHNATMAK'!AE184)),"B",IF(NOT(ISBLANK('A-RACHNATMAK'!AE183)),"C","")))</f>
        <v/>
      </c>
      <c r="AC169" s="622" t="str">
        <f>IF(NOT(ISBLANK('A-RACHNATMAK'!AF185)),"A",IF(NOT(ISBLANK('A-RACHNATMAK'!AF184)),"B",IF(NOT(ISBLANK('A-RACHNATMAK'!AF183)),"C","")))</f>
        <v/>
      </c>
      <c r="AD169" s="622" t="str">
        <f>IF(NOT(ISBLANK('A-RACHNATMAK'!AG185)),"A",IF(NOT(ISBLANK('A-RACHNATMAK'!AG184)),"B",IF(NOT(ISBLANK('A-RACHNATMAK'!AG183)),"C","")))</f>
        <v/>
      </c>
      <c r="AE169" s="622" t="str">
        <f>IF(NOT(ISBLANK('A-RACHNATMAK'!AH185)),"A",IF(NOT(ISBLANK('A-RACHNATMAK'!AH184)),"B",IF(NOT(ISBLANK('A-RACHNATMAK'!AH183)),"C","")))</f>
        <v/>
      </c>
      <c r="AF169" s="622" t="str">
        <f>IF(NOT(ISBLANK('A-RACHNATMAK'!AI185)),"A",IF(NOT(ISBLANK('A-RACHNATMAK'!AI184)),"B",IF(NOT(ISBLANK('A-RACHNATMAK'!AI183)),"C","")))</f>
        <v/>
      </c>
      <c r="AG169" s="622" t="str">
        <f>IF(NOT(ISBLANK('A-RACHNATMAK'!AJ185)),"A",IF(NOT(ISBLANK('A-RACHNATMAK'!AJ184)),"B",IF(NOT(ISBLANK('A-RACHNATMAK'!AJ183)),"C","")))</f>
        <v/>
      </c>
      <c r="AH169" s="622" t="str">
        <f>IF(NOT(ISBLANK('A-RACHNATMAK'!AK185)),"A",IF(NOT(ISBLANK('A-RACHNATMAK'!AK184)),"B",IF(NOT(ISBLANK('A-RACHNATMAK'!AK183)),"C","")))</f>
        <v/>
      </c>
      <c r="AI169" s="622" t="str">
        <f>IF(NOT(ISBLANK('A-RACHNATMAK'!AL185)),"A",IF(NOT(ISBLANK('A-RACHNATMAK'!AL184)),"B",IF(NOT(ISBLANK('A-RACHNATMAK'!AL183)),"C","")))</f>
        <v/>
      </c>
      <c r="AJ169" s="622" t="str">
        <f>IF(NOT(ISBLANK('A-RACHNATMAK'!AM185)),"A",IF(NOT(ISBLANK('A-RACHNATMAK'!AM184)),"B",IF(NOT(ISBLANK('A-RACHNATMAK'!AM183)),"C","")))</f>
        <v/>
      </c>
      <c r="AK169" s="622" t="str">
        <f>IF(NOT(ISBLANK('A-RACHNATMAK'!AN185)),"A",IF(NOT(ISBLANK('A-RACHNATMAK'!AN184)),"B",IF(NOT(ISBLANK('A-RACHNATMAK'!AN183)),"C","")))</f>
        <v/>
      </c>
      <c r="AL169" s="622" t="str">
        <f>IF(NOT(ISBLANK('A-RACHNATMAK'!AO185)),"A",IF(NOT(ISBLANK('A-RACHNATMAK'!AO184)),"B",IF(NOT(ISBLANK('A-RACHNATMAK'!AO183)),"C","")))</f>
        <v/>
      </c>
      <c r="AM169" s="622" t="str">
        <f>IF(NOT(ISBLANK('A-RACHNATMAK'!AP185)),"A",IF(NOT(ISBLANK('A-RACHNATMAK'!AP184)),"B",IF(NOT(ISBLANK('A-RACHNATMAK'!AP183)),"C","")))</f>
        <v/>
      </c>
      <c r="AN169" s="622" t="str">
        <f>IF(NOT(ISBLANK('A-RACHNATMAK'!AQ185)),"A",IF(NOT(ISBLANK('A-RACHNATMAK'!AQ184)),"B",IF(NOT(ISBLANK('A-RACHNATMAK'!AQ183)),"C","")))</f>
        <v/>
      </c>
      <c r="AO169" s="622" t="str">
        <f>IF(NOT(ISBLANK('A-RACHNATMAK'!AR185)),"A",IF(NOT(ISBLANK('A-RACHNATMAK'!AR184)),"B",IF(NOT(ISBLANK('A-RACHNATMAK'!AR183)),"C","")))</f>
        <v/>
      </c>
      <c r="AP169" s="622" t="str">
        <f>IF(NOT(ISBLANK('A-RACHNATMAK'!AS185)),"A",IF(NOT(ISBLANK('A-RACHNATMAK'!AS184)),"B",IF(NOT(ISBLANK('A-RACHNATMAK'!AS183)),"C","")))</f>
        <v/>
      </c>
      <c r="AQ169" s="622" t="str">
        <f>IF(NOT(ISBLANK('A-RACHNATMAK'!AT185)),"A",IF(NOT(ISBLANK('A-RACHNATMAK'!AT184)),"B",IF(NOT(ISBLANK('A-RACHNATMAK'!AT183)),"C","")))</f>
        <v/>
      </c>
      <c r="AR169" s="622" t="str">
        <f>IF(NOT(ISBLANK('A-RACHNATMAK'!AU185)),"A",IF(NOT(ISBLANK('A-RACHNATMAK'!AU184)),"B",IF(NOT(ISBLANK('A-RACHNATMAK'!AU183)),"C","")))</f>
        <v/>
      </c>
      <c r="AS169" s="622" t="str">
        <f>IF(NOT(ISBLANK('A-RACHNATMAK'!AV185)),"A",IF(NOT(ISBLANK('A-RACHNATMAK'!AV184)),"B",IF(NOT(ISBLANK('A-RACHNATMAK'!AV183)),"C","")))</f>
        <v/>
      </c>
      <c r="AT169" s="622" t="str">
        <f>IF(NOT(ISBLANK('A-RACHNATMAK'!AW185)),"A",IF(NOT(ISBLANK('A-RACHNATMAK'!AW184)),"B",IF(NOT(ISBLANK('A-RACHNATMAK'!AW183)),"C","")))</f>
        <v/>
      </c>
      <c r="AU169" s="622">
        <f t="shared" ref="AU169" si="321">COUNTIF(AA169:AT169,"A")</f>
        <v>0</v>
      </c>
      <c r="AV169" s="622">
        <f t="shared" ref="AV169" si="322">COUNTIF(AA169:AT169,"B")</f>
        <v>0</v>
      </c>
      <c r="AW169" s="622">
        <f t="shared" ref="AW169" si="323">COUNTIF(AA169:AT169,"C")</f>
        <v>0</v>
      </c>
    </row>
    <row r="170" spans="1:49" ht="7.5" customHeight="1">
      <c r="A170" s="623"/>
      <c r="B170" s="622"/>
      <c r="C170" s="622"/>
      <c r="D170" s="622"/>
      <c r="E170" s="622"/>
      <c r="F170" s="622"/>
      <c r="G170" s="622"/>
      <c r="H170" s="622"/>
      <c r="I170" s="622"/>
      <c r="J170" s="622"/>
      <c r="K170" s="622"/>
      <c r="L170" s="622"/>
      <c r="M170" s="622"/>
      <c r="N170" s="622"/>
      <c r="O170" s="622"/>
      <c r="P170" s="622"/>
      <c r="Q170" s="622"/>
      <c r="R170" s="622"/>
      <c r="S170" s="622"/>
      <c r="T170" s="622"/>
      <c r="U170" s="622"/>
      <c r="V170" s="622"/>
      <c r="W170" s="622"/>
      <c r="X170" s="622"/>
      <c r="Y170" s="330"/>
      <c r="Z170" s="623"/>
      <c r="AA170" s="622"/>
      <c r="AB170" s="622"/>
      <c r="AC170" s="622"/>
      <c r="AD170" s="622"/>
      <c r="AE170" s="622"/>
      <c r="AF170" s="622"/>
      <c r="AG170" s="622"/>
      <c r="AH170" s="622"/>
      <c r="AI170" s="622"/>
      <c r="AJ170" s="622"/>
      <c r="AK170" s="622"/>
      <c r="AL170" s="622"/>
      <c r="AM170" s="622"/>
      <c r="AN170" s="622"/>
      <c r="AO170" s="622"/>
      <c r="AP170" s="622"/>
      <c r="AQ170" s="622"/>
      <c r="AR170" s="622"/>
      <c r="AS170" s="622"/>
      <c r="AT170" s="622"/>
      <c r="AU170" s="622"/>
      <c r="AV170" s="622"/>
      <c r="AW170" s="622"/>
    </row>
    <row r="171" spans="1:49" ht="7.5" customHeight="1">
      <c r="A171" s="623"/>
      <c r="B171" s="622"/>
      <c r="C171" s="622"/>
      <c r="D171" s="622"/>
      <c r="E171" s="622"/>
      <c r="F171" s="622"/>
      <c r="G171" s="622"/>
      <c r="H171" s="622"/>
      <c r="I171" s="622"/>
      <c r="J171" s="622"/>
      <c r="K171" s="622"/>
      <c r="L171" s="622"/>
      <c r="M171" s="622"/>
      <c r="N171" s="622"/>
      <c r="O171" s="622"/>
      <c r="P171" s="622"/>
      <c r="Q171" s="622"/>
      <c r="R171" s="622"/>
      <c r="S171" s="622"/>
      <c r="T171" s="622"/>
      <c r="U171" s="622"/>
      <c r="V171" s="622"/>
      <c r="W171" s="622"/>
      <c r="X171" s="622"/>
      <c r="Y171" s="330"/>
      <c r="Z171" s="623"/>
      <c r="AA171" s="622"/>
      <c r="AB171" s="622"/>
      <c r="AC171" s="622"/>
      <c r="AD171" s="622"/>
      <c r="AE171" s="622"/>
      <c r="AF171" s="622"/>
      <c r="AG171" s="622"/>
      <c r="AH171" s="622"/>
      <c r="AI171" s="622"/>
      <c r="AJ171" s="622"/>
      <c r="AK171" s="622"/>
      <c r="AL171" s="622"/>
      <c r="AM171" s="622"/>
      <c r="AN171" s="622"/>
      <c r="AO171" s="622"/>
      <c r="AP171" s="622"/>
      <c r="AQ171" s="622"/>
      <c r="AR171" s="622"/>
      <c r="AS171" s="622"/>
      <c r="AT171" s="622"/>
      <c r="AU171" s="622"/>
      <c r="AV171" s="622"/>
      <c r="AW171" s="622"/>
    </row>
    <row r="172" spans="1:49" ht="7.5" customHeight="1">
      <c r="A172" s="623">
        <v>22</v>
      </c>
      <c r="B172" s="622" t="str">
        <f>IF(NOT(ISBLANK('A-RACHNATMAK'!C188)),"A",IF(NOT(ISBLANK('A-RACHNATMAK'!C187)),"B",IF(NOT(ISBLANK('A-RACHNATMAK'!C186)),"C","")))</f>
        <v/>
      </c>
      <c r="C172" s="622" t="str">
        <f>IF(NOT(ISBLANK('A-RACHNATMAK'!D188)),"A",IF(NOT(ISBLANK('A-RACHNATMAK'!D187)),"B",IF(NOT(ISBLANK('A-RACHNATMAK'!D186)),"C","")))</f>
        <v/>
      </c>
      <c r="D172" s="622" t="str">
        <f>IF(NOT(ISBLANK('A-RACHNATMAK'!E188)),"A",IF(NOT(ISBLANK('A-RACHNATMAK'!E187)),"B",IF(NOT(ISBLANK('A-RACHNATMAK'!E186)),"C","")))</f>
        <v/>
      </c>
      <c r="E172" s="622" t="str">
        <f>IF(NOT(ISBLANK('A-RACHNATMAK'!F188)),"A",IF(NOT(ISBLANK('A-RACHNATMAK'!F187)),"B",IF(NOT(ISBLANK('A-RACHNATMAK'!F186)),"C","")))</f>
        <v/>
      </c>
      <c r="F172" s="622" t="str">
        <f>IF(NOT(ISBLANK('A-RACHNATMAK'!G188)),"A",IF(NOT(ISBLANK('A-RACHNATMAK'!G187)),"B",IF(NOT(ISBLANK('A-RACHNATMAK'!G186)),"C","")))</f>
        <v/>
      </c>
      <c r="G172" s="622" t="str">
        <f>IF(NOT(ISBLANK('A-RACHNATMAK'!H188)),"A",IF(NOT(ISBLANK('A-RACHNATMAK'!H187)),"B",IF(NOT(ISBLANK('A-RACHNATMAK'!H186)),"C","")))</f>
        <v/>
      </c>
      <c r="H172" s="622" t="str">
        <f>IF(NOT(ISBLANK('A-RACHNATMAK'!I188)),"A",IF(NOT(ISBLANK('A-RACHNATMAK'!I187)),"B",IF(NOT(ISBLANK('A-RACHNATMAK'!I186)),"C","")))</f>
        <v/>
      </c>
      <c r="I172" s="622" t="str">
        <f>IF(NOT(ISBLANK('A-RACHNATMAK'!J188)),"A",IF(NOT(ISBLANK('A-RACHNATMAK'!J187)),"B",IF(NOT(ISBLANK('A-RACHNATMAK'!J186)),"C","")))</f>
        <v/>
      </c>
      <c r="J172" s="622" t="str">
        <f>IF(NOT(ISBLANK('A-RACHNATMAK'!K188)),"A",IF(NOT(ISBLANK('A-RACHNATMAK'!K187)),"B",IF(NOT(ISBLANK('A-RACHNATMAK'!K186)),"C","")))</f>
        <v/>
      </c>
      <c r="K172" s="622" t="str">
        <f>IF(NOT(ISBLANK('A-RACHNATMAK'!L188)),"A",IF(NOT(ISBLANK('A-RACHNATMAK'!L187)),"B",IF(NOT(ISBLANK('A-RACHNATMAK'!L186)),"C","")))</f>
        <v/>
      </c>
      <c r="L172" s="622" t="str">
        <f>IF(NOT(ISBLANK('A-RACHNATMAK'!M188)),"A",IF(NOT(ISBLANK('A-RACHNATMAK'!M187)),"B",IF(NOT(ISBLANK('A-RACHNATMAK'!M186)),"C","")))</f>
        <v/>
      </c>
      <c r="M172" s="622" t="str">
        <f>IF(NOT(ISBLANK('A-RACHNATMAK'!N188)),"A",IF(NOT(ISBLANK('A-RACHNATMAK'!N187)),"B",IF(NOT(ISBLANK('A-RACHNATMAK'!N186)),"C","")))</f>
        <v/>
      </c>
      <c r="N172" s="622" t="str">
        <f>IF(NOT(ISBLANK('A-RACHNATMAK'!O188)),"A",IF(NOT(ISBLANK('A-RACHNATMAK'!O187)),"B",IF(NOT(ISBLANK('A-RACHNATMAK'!O186)),"C","")))</f>
        <v/>
      </c>
      <c r="O172" s="622" t="str">
        <f>IF(NOT(ISBLANK('A-RACHNATMAK'!P188)),"A",IF(NOT(ISBLANK('A-RACHNATMAK'!P187)),"B",IF(NOT(ISBLANK('A-RACHNATMAK'!P186)),"C","")))</f>
        <v/>
      </c>
      <c r="P172" s="622" t="str">
        <f>IF(NOT(ISBLANK('A-RACHNATMAK'!Q188)),"A",IF(NOT(ISBLANK('A-RACHNATMAK'!Q187)),"B",IF(NOT(ISBLANK('A-RACHNATMAK'!Q186)),"C","")))</f>
        <v/>
      </c>
      <c r="Q172" s="622" t="str">
        <f>IF(NOT(ISBLANK('A-RACHNATMAK'!R188)),"A",IF(NOT(ISBLANK('A-RACHNATMAK'!R187)),"B",IF(NOT(ISBLANK('A-RACHNATMAK'!R186)),"C","")))</f>
        <v/>
      </c>
      <c r="R172" s="622" t="str">
        <f>IF(NOT(ISBLANK('A-RACHNATMAK'!S188)),"A",IF(NOT(ISBLANK('A-RACHNATMAK'!S187)),"B",IF(NOT(ISBLANK('A-RACHNATMAK'!S186)),"C","")))</f>
        <v/>
      </c>
      <c r="S172" s="622" t="str">
        <f>IF(NOT(ISBLANK('A-RACHNATMAK'!T188)),"A",IF(NOT(ISBLANK('A-RACHNATMAK'!T187)),"B",IF(NOT(ISBLANK('A-RACHNATMAK'!T186)),"C","")))</f>
        <v/>
      </c>
      <c r="T172" s="622" t="str">
        <f>IF(NOT(ISBLANK('A-RACHNATMAK'!U188)),"A",IF(NOT(ISBLANK('A-RACHNATMAK'!U187)),"B",IF(NOT(ISBLANK('A-RACHNATMAK'!U186)),"C","")))</f>
        <v/>
      </c>
      <c r="U172" s="622" t="str">
        <f>IF(NOT(ISBLANK('A-RACHNATMAK'!V188)),"A",IF(NOT(ISBLANK('A-RACHNATMAK'!V187)),"B",IF(NOT(ISBLANK('A-RACHNATMAK'!V186)),"C","")))</f>
        <v/>
      </c>
      <c r="V172" s="622">
        <f t="shared" ref="V172" si="324">COUNTIF(B172:U172,"A")</f>
        <v>0</v>
      </c>
      <c r="W172" s="622">
        <f t="shared" ref="W172" si="325">COUNTIF(B172:U172,"B")</f>
        <v>0</v>
      </c>
      <c r="X172" s="622">
        <f t="shared" ref="X172" si="326">COUNTIF(B172:U172,"C")</f>
        <v>0</v>
      </c>
      <c r="Y172" s="330"/>
      <c r="Z172" s="623">
        <v>22</v>
      </c>
      <c r="AA172" s="622" t="str">
        <f>IF(NOT(ISBLANK('A-RACHNATMAK'!AD188)),"A",IF(NOT(ISBLANK('A-RACHNATMAK'!AD187)),"B",IF(NOT(ISBLANK('A-RACHNATMAK'!AD186)),"C","")))</f>
        <v/>
      </c>
      <c r="AB172" s="622" t="str">
        <f>IF(NOT(ISBLANK('A-RACHNATMAK'!AE188)),"A",IF(NOT(ISBLANK('A-RACHNATMAK'!AE187)),"B",IF(NOT(ISBLANK('A-RACHNATMAK'!AE186)),"C","")))</f>
        <v/>
      </c>
      <c r="AC172" s="622" t="str">
        <f>IF(NOT(ISBLANK('A-RACHNATMAK'!AF188)),"A",IF(NOT(ISBLANK('A-RACHNATMAK'!AF187)),"B",IF(NOT(ISBLANK('A-RACHNATMAK'!AF186)),"C","")))</f>
        <v/>
      </c>
      <c r="AD172" s="622" t="str">
        <f>IF(NOT(ISBLANK('A-RACHNATMAK'!AG188)),"A",IF(NOT(ISBLANK('A-RACHNATMAK'!AG187)),"B",IF(NOT(ISBLANK('A-RACHNATMAK'!AG186)),"C","")))</f>
        <v/>
      </c>
      <c r="AE172" s="622" t="str">
        <f>IF(NOT(ISBLANK('A-RACHNATMAK'!AH188)),"A",IF(NOT(ISBLANK('A-RACHNATMAK'!AH187)),"B",IF(NOT(ISBLANK('A-RACHNATMAK'!AH186)),"C","")))</f>
        <v/>
      </c>
      <c r="AF172" s="622" t="str">
        <f>IF(NOT(ISBLANK('A-RACHNATMAK'!AI188)),"A",IF(NOT(ISBLANK('A-RACHNATMAK'!AI187)),"B",IF(NOT(ISBLANK('A-RACHNATMAK'!AI186)),"C","")))</f>
        <v/>
      </c>
      <c r="AG172" s="622" t="str">
        <f>IF(NOT(ISBLANK('A-RACHNATMAK'!AJ188)),"A",IF(NOT(ISBLANK('A-RACHNATMAK'!AJ187)),"B",IF(NOT(ISBLANK('A-RACHNATMAK'!AJ186)),"C","")))</f>
        <v/>
      </c>
      <c r="AH172" s="622" t="str">
        <f>IF(NOT(ISBLANK('A-RACHNATMAK'!AK188)),"A",IF(NOT(ISBLANK('A-RACHNATMAK'!AK187)),"B",IF(NOT(ISBLANK('A-RACHNATMAK'!AK186)),"C","")))</f>
        <v/>
      </c>
      <c r="AI172" s="622" t="str">
        <f>IF(NOT(ISBLANK('A-RACHNATMAK'!AL188)),"A",IF(NOT(ISBLANK('A-RACHNATMAK'!AL187)),"B",IF(NOT(ISBLANK('A-RACHNATMAK'!AL186)),"C","")))</f>
        <v/>
      </c>
      <c r="AJ172" s="622" t="str">
        <f>IF(NOT(ISBLANK('A-RACHNATMAK'!AM188)),"A",IF(NOT(ISBLANK('A-RACHNATMAK'!AM187)),"B",IF(NOT(ISBLANK('A-RACHNATMAK'!AM186)),"C","")))</f>
        <v/>
      </c>
      <c r="AK172" s="622" t="str">
        <f>IF(NOT(ISBLANK('A-RACHNATMAK'!AN188)),"A",IF(NOT(ISBLANK('A-RACHNATMAK'!AN187)),"B",IF(NOT(ISBLANK('A-RACHNATMAK'!AN186)),"C","")))</f>
        <v/>
      </c>
      <c r="AL172" s="622" t="str">
        <f>IF(NOT(ISBLANK('A-RACHNATMAK'!AO188)),"A",IF(NOT(ISBLANK('A-RACHNATMAK'!AO187)),"B",IF(NOT(ISBLANK('A-RACHNATMAK'!AO186)),"C","")))</f>
        <v/>
      </c>
      <c r="AM172" s="622" t="str">
        <f>IF(NOT(ISBLANK('A-RACHNATMAK'!AP188)),"A",IF(NOT(ISBLANK('A-RACHNATMAK'!AP187)),"B",IF(NOT(ISBLANK('A-RACHNATMAK'!AP186)),"C","")))</f>
        <v/>
      </c>
      <c r="AN172" s="622" t="str">
        <f>IF(NOT(ISBLANK('A-RACHNATMAK'!AQ188)),"A",IF(NOT(ISBLANK('A-RACHNATMAK'!AQ187)),"B",IF(NOT(ISBLANK('A-RACHNATMAK'!AQ186)),"C","")))</f>
        <v/>
      </c>
      <c r="AO172" s="622" t="str">
        <f>IF(NOT(ISBLANK('A-RACHNATMAK'!AR188)),"A",IF(NOT(ISBLANK('A-RACHNATMAK'!AR187)),"B",IF(NOT(ISBLANK('A-RACHNATMAK'!AR186)),"C","")))</f>
        <v/>
      </c>
      <c r="AP172" s="622" t="str">
        <f>IF(NOT(ISBLANK('A-RACHNATMAK'!AS188)),"A",IF(NOT(ISBLANK('A-RACHNATMAK'!AS187)),"B",IF(NOT(ISBLANK('A-RACHNATMAK'!AS186)),"C","")))</f>
        <v/>
      </c>
      <c r="AQ172" s="622" t="str">
        <f>IF(NOT(ISBLANK('A-RACHNATMAK'!AT188)),"A",IF(NOT(ISBLANK('A-RACHNATMAK'!AT187)),"B",IF(NOT(ISBLANK('A-RACHNATMAK'!AT186)),"C","")))</f>
        <v/>
      </c>
      <c r="AR172" s="622" t="str">
        <f>IF(NOT(ISBLANK('A-RACHNATMAK'!AU188)),"A",IF(NOT(ISBLANK('A-RACHNATMAK'!AU187)),"B",IF(NOT(ISBLANK('A-RACHNATMAK'!AU186)),"C","")))</f>
        <v/>
      </c>
      <c r="AS172" s="622" t="str">
        <f>IF(NOT(ISBLANK('A-RACHNATMAK'!AV188)),"A",IF(NOT(ISBLANK('A-RACHNATMAK'!AV187)),"B",IF(NOT(ISBLANK('A-RACHNATMAK'!AV186)),"C","")))</f>
        <v/>
      </c>
      <c r="AT172" s="622" t="str">
        <f>IF(NOT(ISBLANK('A-RACHNATMAK'!AW188)),"A",IF(NOT(ISBLANK('A-RACHNATMAK'!AW187)),"B",IF(NOT(ISBLANK('A-RACHNATMAK'!AW186)),"C","")))</f>
        <v/>
      </c>
      <c r="AU172" s="622">
        <f t="shared" ref="AU172" si="327">COUNTIF(AA172:AT172,"A")</f>
        <v>0</v>
      </c>
      <c r="AV172" s="622">
        <f t="shared" ref="AV172" si="328">COUNTIF(AA172:AT172,"B")</f>
        <v>0</v>
      </c>
      <c r="AW172" s="622">
        <f t="shared" ref="AW172" si="329">COUNTIF(AA172:AT172,"C")</f>
        <v>0</v>
      </c>
    </row>
    <row r="173" spans="1:49" ht="7.5" customHeight="1">
      <c r="A173" s="623"/>
      <c r="B173" s="622"/>
      <c r="C173" s="622"/>
      <c r="D173" s="622"/>
      <c r="E173" s="622"/>
      <c r="F173" s="622"/>
      <c r="G173" s="622"/>
      <c r="H173" s="622"/>
      <c r="I173" s="622"/>
      <c r="J173" s="622"/>
      <c r="K173" s="622"/>
      <c r="L173" s="622"/>
      <c r="M173" s="622"/>
      <c r="N173" s="622"/>
      <c r="O173" s="622"/>
      <c r="P173" s="622"/>
      <c r="Q173" s="622"/>
      <c r="R173" s="622"/>
      <c r="S173" s="622"/>
      <c r="T173" s="622"/>
      <c r="U173" s="622"/>
      <c r="V173" s="622"/>
      <c r="W173" s="622"/>
      <c r="X173" s="622"/>
      <c r="Y173" s="330"/>
      <c r="Z173" s="623"/>
      <c r="AA173" s="622"/>
      <c r="AB173" s="622"/>
      <c r="AC173" s="622"/>
      <c r="AD173" s="622"/>
      <c r="AE173" s="622"/>
      <c r="AF173" s="622"/>
      <c r="AG173" s="622"/>
      <c r="AH173" s="622"/>
      <c r="AI173" s="622"/>
      <c r="AJ173" s="622"/>
      <c r="AK173" s="622"/>
      <c r="AL173" s="622"/>
      <c r="AM173" s="622"/>
      <c r="AN173" s="622"/>
      <c r="AO173" s="622"/>
      <c r="AP173" s="622"/>
      <c r="AQ173" s="622"/>
      <c r="AR173" s="622"/>
      <c r="AS173" s="622"/>
      <c r="AT173" s="622"/>
      <c r="AU173" s="622"/>
      <c r="AV173" s="622"/>
      <c r="AW173" s="622"/>
    </row>
    <row r="174" spans="1:49" ht="7.5" customHeight="1">
      <c r="A174" s="623"/>
      <c r="B174" s="622"/>
      <c r="C174" s="622"/>
      <c r="D174" s="622"/>
      <c r="E174" s="622"/>
      <c r="F174" s="622"/>
      <c r="G174" s="622"/>
      <c r="H174" s="622"/>
      <c r="I174" s="622"/>
      <c r="J174" s="622"/>
      <c r="K174" s="622"/>
      <c r="L174" s="622"/>
      <c r="M174" s="622"/>
      <c r="N174" s="622"/>
      <c r="O174" s="622"/>
      <c r="P174" s="622"/>
      <c r="Q174" s="622"/>
      <c r="R174" s="622"/>
      <c r="S174" s="622"/>
      <c r="T174" s="622"/>
      <c r="U174" s="622"/>
      <c r="V174" s="622"/>
      <c r="W174" s="622"/>
      <c r="X174" s="622"/>
      <c r="Y174" s="330"/>
      <c r="Z174" s="623"/>
      <c r="AA174" s="622"/>
      <c r="AB174" s="622"/>
      <c r="AC174" s="622"/>
      <c r="AD174" s="622"/>
      <c r="AE174" s="622"/>
      <c r="AF174" s="622"/>
      <c r="AG174" s="622"/>
      <c r="AH174" s="622"/>
      <c r="AI174" s="622"/>
      <c r="AJ174" s="622"/>
      <c r="AK174" s="622"/>
      <c r="AL174" s="622"/>
      <c r="AM174" s="622"/>
      <c r="AN174" s="622"/>
      <c r="AO174" s="622"/>
      <c r="AP174" s="622"/>
      <c r="AQ174" s="622"/>
      <c r="AR174" s="622"/>
      <c r="AS174" s="622"/>
      <c r="AT174" s="622"/>
      <c r="AU174" s="622"/>
      <c r="AV174" s="622"/>
      <c r="AW174" s="622"/>
    </row>
    <row r="175" spans="1:49" ht="7.5" customHeight="1">
      <c r="A175" s="623">
        <v>23</v>
      </c>
      <c r="B175" s="622" t="str">
        <f>IF(NOT(ISBLANK('A-RACHNATMAK'!C191)),"A",IF(NOT(ISBLANK('A-RACHNATMAK'!C190)),"B",IF(NOT(ISBLANK('A-RACHNATMAK'!C189)),"C","")))</f>
        <v/>
      </c>
      <c r="C175" s="622" t="str">
        <f>IF(NOT(ISBLANK('A-RACHNATMAK'!D191)),"A",IF(NOT(ISBLANK('A-RACHNATMAK'!D190)),"B",IF(NOT(ISBLANK('A-RACHNATMAK'!D189)),"C","")))</f>
        <v/>
      </c>
      <c r="D175" s="622" t="str">
        <f>IF(NOT(ISBLANK('A-RACHNATMAK'!E191)),"A",IF(NOT(ISBLANK('A-RACHNATMAK'!E190)),"B",IF(NOT(ISBLANK('A-RACHNATMAK'!E189)),"C","")))</f>
        <v/>
      </c>
      <c r="E175" s="622" t="str">
        <f>IF(NOT(ISBLANK('A-RACHNATMAK'!F191)),"A",IF(NOT(ISBLANK('A-RACHNATMAK'!F190)),"B",IF(NOT(ISBLANK('A-RACHNATMAK'!F189)),"C","")))</f>
        <v/>
      </c>
      <c r="F175" s="622" t="str">
        <f>IF(NOT(ISBLANK('A-RACHNATMAK'!G191)),"A",IF(NOT(ISBLANK('A-RACHNATMAK'!G190)),"B",IF(NOT(ISBLANK('A-RACHNATMAK'!G189)),"C","")))</f>
        <v/>
      </c>
      <c r="G175" s="622" t="str">
        <f>IF(NOT(ISBLANK('A-RACHNATMAK'!H191)),"A",IF(NOT(ISBLANK('A-RACHNATMAK'!H190)),"B",IF(NOT(ISBLANK('A-RACHNATMAK'!H189)),"C","")))</f>
        <v/>
      </c>
      <c r="H175" s="622" t="str">
        <f>IF(NOT(ISBLANK('A-RACHNATMAK'!I191)),"A",IF(NOT(ISBLANK('A-RACHNATMAK'!I190)),"B",IF(NOT(ISBLANK('A-RACHNATMAK'!I189)),"C","")))</f>
        <v/>
      </c>
      <c r="I175" s="622" t="str">
        <f>IF(NOT(ISBLANK('A-RACHNATMAK'!J191)),"A",IF(NOT(ISBLANK('A-RACHNATMAK'!J190)),"B",IF(NOT(ISBLANK('A-RACHNATMAK'!J189)),"C","")))</f>
        <v/>
      </c>
      <c r="J175" s="622" t="str">
        <f>IF(NOT(ISBLANK('A-RACHNATMAK'!K191)),"A",IF(NOT(ISBLANK('A-RACHNATMAK'!K190)),"B",IF(NOT(ISBLANK('A-RACHNATMAK'!K189)),"C","")))</f>
        <v/>
      </c>
      <c r="K175" s="622" t="str">
        <f>IF(NOT(ISBLANK('A-RACHNATMAK'!L191)),"A",IF(NOT(ISBLANK('A-RACHNATMAK'!L190)),"B",IF(NOT(ISBLANK('A-RACHNATMAK'!L189)),"C","")))</f>
        <v/>
      </c>
      <c r="L175" s="622" t="str">
        <f>IF(NOT(ISBLANK('A-RACHNATMAK'!M191)),"A",IF(NOT(ISBLANK('A-RACHNATMAK'!M190)),"B",IF(NOT(ISBLANK('A-RACHNATMAK'!M189)),"C","")))</f>
        <v/>
      </c>
      <c r="M175" s="622" t="str">
        <f>IF(NOT(ISBLANK('A-RACHNATMAK'!N191)),"A",IF(NOT(ISBLANK('A-RACHNATMAK'!N190)),"B",IF(NOT(ISBLANK('A-RACHNATMAK'!N189)),"C","")))</f>
        <v/>
      </c>
      <c r="N175" s="622" t="str">
        <f>IF(NOT(ISBLANK('A-RACHNATMAK'!O191)),"A",IF(NOT(ISBLANK('A-RACHNATMAK'!O190)),"B",IF(NOT(ISBLANK('A-RACHNATMAK'!O189)),"C","")))</f>
        <v/>
      </c>
      <c r="O175" s="622" t="str">
        <f>IF(NOT(ISBLANK('A-RACHNATMAK'!P191)),"A",IF(NOT(ISBLANK('A-RACHNATMAK'!P190)),"B",IF(NOT(ISBLANK('A-RACHNATMAK'!P189)),"C","")))</f>
        <v/>
      </c>
      <c r="P175" s="622" t="str">
        <f>IF(NOT(ISBLANK('A-RACHNATMAK'!Q191)),"A",IF(NOT(ISBLANK('A-RACHNATMAK'!Q190)),"B",IF(NOT(ISBLANK('A-RACHNATMAK'!Q189)),"C","")))</f>
        <v/>
      </c>
      <c r="Q175" s="622" t="str">
        <f>IF(NOT(ISBLANK('A-RACHNATMAK'!R191)),"A",IF(NOT(ISBLANK('A-RACHNATMAK'!R190)),"B",IF(NOT(ISBLANK('A-RACHNATMAK'!R189)),"C","")))</f>
        <v/>
      </c>
      <c r="R175" s="622" t="str">
        <f>IF(NOT(ISBLANK('A-RACHNATMAK'!S191)),"A",IF(NOT(ISBLANK('A-RACHNATMAK'!S190)),"B",IF(NOT(ISBLANK('A-RACHNATMAK'!S189)),"C","")))</f>
        <v/>
      </c>
      <c r="S175" s="622" t="str">
        <f>IF(NOT(ISBLANK('A-RACHNATMAK'!T191)),"A",IF(NOT(ISBLANK('A-RACHNATMAK'!T190)),"B",IF(NOT(ISBLANK('A-RACHNATMAK'!T189)),"C","")))</f>
        <v/>
      </c>
      <c r="T175" s="622" t="str">
        <f>IF(NOT(ISBLANK('A-RACHNATMAK'!U191)),"A",IF(NOT(ISBLANK('A-RACHNATMAK'!U190)),"B",IF(NOT(ISBLANK('A-RACHNATMAK'!U189)),"C","")))</f>
        <v/>
      </c>
      <c r="U175" s="622" t="str">
        <f>IF(NOT(ISBLANK('A-RACHNATMAK'!V191)),"A",IF(NOT(ISBLANK('A-RACHNATMAK'!V190)),"B",IF(NOT(ISBLANK('A-RACHNATMAK'!V189)),"C","")))</f>
        <v/>
      </c>
      <c r="V175" s="622">
        <f t="shared" ref="V175" si="330">COUNTIF(B175:U175,"A")</f>
        <v>0</v>
      </c>
      <c r="W175" s="622">
        <f t="shared" ref="W175" si="331">COUNTIF(B175:U175,"B")</f>
        <v>0</v>
      </c>
      <c r="X175" s="622">
        <f t="shared" ref="X175" si="332">COUNTIF(B175:U175,"C")</f>
        <v>0</v>
      </c>
      <c r="Y175" s="330"/>
      <c r="Z175" s="623">
        <v>23</v>
      </c>
      <c r="AA175" s="622" t="str">
        <f>IF(NOT(ISBLANK('A-RACHNATMAK'!AD191)),"A",IF(NOT(ISBLANK('A-RACHNATMAK'!AD190)),"B",IF(NOT(ISBLANK('A-RACHNATMAK'!AD189)),"C","")))</f>
        <v/>
      </c>
      <c r="AB175" s="622" t="str">
        <f>IF(NOT(ISBLANK('A-RACHNATMAK'!AE191)),"A",IF(NOT(ISBLANK('A-RACHNATMAK'!AE190)),"B",IF(NOT(ISBLANK('A-RACHNATMAK'!AE189)),"C","")))</f>
        <v/>
      </c>
      <c r="AC175" s="622" t="str">
        <f>IF(NOT(ISBLANK('A-RACHNATMAK'!AF191)),"A",IF(NOT(ISBLANK('A-RACHNATMAK'!AF190)),"B",IF(NOT(ISBLANK('A-RACHNATMAK'!AF189)),"C","")))</f>
        <v/>
      </c>
      <c r="AD175" s="622" t="str">
        <f>IF(NOT(ISBLANK('A-RACHNATMAK'!AG191)),"A",IF(NOT(ISBLANK('A-RACHNATMAK'!AG190)),"B",IF(NOT(ISBLANK('A-RACHNATMAK'!AG189)),"C","")))</f>
        <v/>
      </c>
      <c r="AE175" s="622" t="str">
        <f>IF(NOT(ISBLANK('A-RACHNATMAK'!AH191)),"A",IF(NOT(ISBLANK('A-RACHNATMAK'!AH190)),"B",IF(NOT(ISBLANK('A-RACHNATMAK'!AH189)),"C","")))</f>
        <v/>
      </c>
      <c r="AF175" s="622" t="str">
        <f>IF(NOT(ISBLANK('A-RACHNATMAK'!AI191)),"A",IF(NOT(ISBLANK('A-RACHNATMAK'!AI190)),"B",IF(NOT(ISBLANK('A-RACHNATMAK'!AI189)),"C","")))</f>
        <v/>
      </c>
      <c r="AG175" s="622" t="str">
        <f>IF(NOT(ISBLANK('A-RACHNATMAK'!AJ191)),"A",IF(NOT(ISBLANK('A-RACHNATMAK'!AJ190)),"B",IF(NOT(ISBLANK('A-RACHNATMAK'!AJ189)),"C","")))</f>
        <v/>
      </c>
      <c r="AH175" s="622" t="str">
        <f>IF(NOT(ISBLANK('A-RACHNATMAK'!AK191)),"A",IF(NOT(ISBLANK('A-RACHNATMAK'!AK190)),"B",IF(NOT(ISBLANK('A-RACHNATMAK'!AK189)),"C","")))</f>
        <v/>
      </c>
      <c r="AI175" s="622" t="str">
        <f>IF(NOT(ISBLANK('A-RACHNATMAK'!AL191)),"A",IF(NOT(ISBLANK('A-RACHNATMAK'!AL190)),"B",IF(NOT(ISBLANK('A-RACHNATMAK'!AL189)),"C","")))</f>
        <v/>
      </c>
      <c r="AJ175" s="622" t="str">
        <f>IF(NOT(ISBLANK('A-RACHNATMAK'!AM191)),"A",IF(NOT(ISBLANK('A-RACHNATMAK'!AM190)),"B",IF(NOT(ISBLANK('A-RACHNATMAK'!AM189)),"C","")))</f>
        <v/>
      </c>
      <c r="AK175" s="622" t="str">
        <f>IF(NOT(ISBLANK('A-RACHNATMAK'!AN191)),"A",IF(NOT(ISBLANK('A-RACHNATMAK'!AN190)),"B",IF(NOT(ISBLANK('A-RACHNATMAK'!AN189)),"C","")))</f>
        <v/>
      </c>
      <c r="AL175" s="622" t="str">
        <f>IF(NOT(ISBLANK('A-RACHNATMAK'!AO191)),"A",IF(NOT(ISBLANK('A-RACHNATMAK'!AO190)),"B",IF(NOT(ISBLANK('A-RACHNATMAK'!AO189)),"C","")))</f>
        <v/>
      </c>
      <c r="AM175" s="622" t="str">
        <f>IF(NOT(ISBLANK('A-RACHNATMAK'!AP191)),"A",IF(NOT(ISBLANK('A-RACHNATMAK'!AP190)),"B",IF(NOT(ISBLANK('A-RACHNATMAK'!AP189)),"C","")))</f>
        <v/>
      </c>
      <c r="AN175" s="622" t="str">
        <f>IF(NOT(ISBLANK('A-RACHNATMAK'!AQ191)),"A",IF(NOT(ISBLANK('A-RACHNATMAK'!AQ190)),"B",IF(NOT(ISBLANK('A-RACHNATMAK'!AQ189)),"C","")))</f>
        <v/>
      </c>
      <c r="AO175" s="622" t="str">
        <f>IF(NOT(ISBLANK('A-RACHNATMAK'!AR191)),"A",IF(NOT(ISBLANK('A-RACHNATMAK'!AR190)),"B",IF(NOT(ISBLANK('A-RACHNATMAK'!AR189)),"C","")))</f>
        <v/>
      </c>
      <c r="AP175" s="622" t="str">
        <f>IF(NOT(ISBLANK('A-RACHNATMAK'!AS191)),"A",IF(NOT(ISBLANK('A-RACHNATMAK'!AS190)),"B",IF(NOT(ISBLANK('A-RACHNATMAK'!AS189)),"C","")))</f>
        <v/>
      </c>
      <c r="AQ175" s="622" t="str">
        <f>IF(NOT(ISBLANK('A-RACHNATMAK'!AT191)),"A",IF(NOT(ISBLANK('A-RACHNATMAK'!AT190)),"B",IF(NOT(ISBLANK('A-RACHNATMAK'!AT189)),"C","")))</f>
        <v/>
      </c>
      <c r="AR175" s="622" t="str">
        <f>IF(NOT(ISBLANK('A-RACHNATMAK'!AU191)),"A",IF(NOT(ISBLANK('A-RACHNATMAK'!AU190)),"B",IF(NOT(ISBLANK('A-RACHNATMAK'!AU189)),"C","")))</f>
        <v/>
      </c>
      <c r="AS175" s="622" t="str">
        <f>IF(NOT(ISBLANK('A-RACHNATMAK'!AV191)),"A",IF(NOT(ISBLANK('A-RACHNATMAK'!AV190)),"B",IF(NOT(ISBLANK('A-RACHNATMAK'!AV189)),"C","")))</f>
        <v/>
      </c>
      <c r="AT175" s="622" t="str">
        <f>IF(NOT(ISBLANK('A-RACHNATMAK'!AW191)),"A",IF(NOT(ISBLANK('A-RACHNATMAK'!AW190)),"B",IF(NOT(ISBLANK('A-RACHNATMAK'!AW189)),"C","")))</f>
        <v/>
      </c>
      <c r="AU175" s="622">
        <f t="shared" ref="AU175" si="333">COUNTIF(AA175:AT175,"A")</f>
        <v>0</v>
      </c>
      <c r="AV175" s="622">
        <f t="shared" ref="AV175" si="334">COUNTIF(AA175:AT175,"B")</f>
        <v>0</v>
      </c>
      <c r="AW175" s="622">
        <f t="shared" ref="AW175" si="335">COUNTIF(AA175:AT175,"C")</f>
        <v>0</v>
      </c>
    </row>
    <row r="176" spans="1:49" ht="7.5" customHeight="1">
      <c r="A176" s="623"/>
      <c r="B176" s="622"/>
      <c r="C176" s="622"/>
      <c r="D176" s="622"/>
      <c r="E176" s="622"/>
      <c r="F176" s="622"/>
      <c r="G176" s="622"/>
      <c r="H176" s="622"/>
      <c r="I176" s="622"/>
      <c r="J176" s="622"/>
      <c r="K176" s="622"/>
      <c r="L176" s="622"/>
      <c r="M176" s="622"/>
      <c r="N176" s="622"/>
      <c r="O176" s="622"/>
      <c r="P176" s="622"/>
      <c r="Q176" s="622"/>
      <c r="R176" s="622"/>
      <c r="S176" s="622"/>
      <c r="T176" s="622"/>
      <c r="U176" s="622"/>
      <c r="V176" s="622"/>
      <c r="W176" s="622"/>
      <c r="X176" s="622"/>
      <c r="Y176" s="330"/>
      <c r="Z176" s="623"/>
      <c r="AA176" s="622"/>
      <c r="AB176" s="622"/>
      <c r="AC176" s="622"/>
      <c r="AD176" s="622"/>
      <c r="AE176" s="622"/>
      <c r="AF176" s="622"/>
      <c r="AG176" s="622"/>
      <c r="AH176" s="622"/>
      <c r="AI176" s="622"/>
      <c r="AJ176" s="622"/>
      <c r="AK176" s="622"/>
      <c r="AL176" s="622"/>
      <c r="AM176" s="622"/>
      <c r="AN176" s="622"/>
      <c r="AO176" s="622"/>
      <c r="AP176" s="622"/>
      <c r="AQ176" s="622"/>
      <c r="AR176" s="622"/>
      <c r="AS176" s="622"/>
      <c r="AT176" s="622"/>
      <c r="AU176" s="622"/>
      <c r="AV176" s="622"/>
      <c r="AW176" s="622"/>
    </row>
    <row r="177" spans="1:49" ht="7.5" customHeight="1">
      <c r="A177" s="623"/>
      <c r="B177" s="622"/>
      <c r="C177" s="622"/>
      <c r="D177" s="622"/>
      <c r="E177" s="622"/>
      <c r="F177" s="622"/>
      <c r="G177" s="622"/>
      <c r="H177" s="622"/>
      <c r="I177" s="622"/>
      <c r="J177" s="622"/>
      <c r="K177" s="622"/>
      <c r="L177" s="622"/>
      <c r="M177" s="622"/>
      <c r="N177" s="622"/>
      <c r="O177" s="622"/>
      <c r="P177" s="622"/>
      <c r="Q177" s="622"/>
      <c r="R177" s="622"/>
      <c r="S177" s="622"/>
      <c r="T177" s="622"/>
      <c r="U177" s="622"/>
      <c r="V177" s="622"/>
      <c r="W177" s="622"/>
      <c r="X177" s="622"/>
      <c r="Y177" s="330"/>
      <c r="Z177" s="623"/>
      <c r="AA177" s="622"/>
      <c r="AB177" s="622"/>
      <c r="AC177" s="622"/>
      <c r="AD177" s="622"/>
      <c r="AE177" s="622"/>
      <c r="AF177" s="622"/>
      <c r="AG177" s="622"/>
      <c r="AH177" s="622"/>
      <c r="AI177" s="622"/>
      <c r="AJ177" s="622"/>
      <c r="AK177" s="622"/>
      <c r="AL177" s="622"/>
      <c r="AM177" s="622"/>
      <c r="AN177" s="622"/>
      <c r="AO177" s="622"/>
      <c r="AP177" s="622"/>
      <c r="AQ177" s="622"/>
      <c r="AR177" s="622"/>
      <c r="AS177" s="622"/>
      <c r="AT177" s="622"/>
      <c r="AU177" s="622"/>
      <c r="AV177" s="622"/>
      <c r="AW177" s="622"/>
    </row>
    <row r="178" spans="1:49" ht="7.5" customHeight="1">
      <c r="A178" s="623">
        <v>24</v>
      </c>
      <c r="B178" s="622" t="str">
        <f>IF(NOT(ISBLANK('A-RACHNATMAK'!C194)),"A",IF(NOT(ISBLANK('A-RACHNATMAK'!C193)),"B",IF(NOT(ISBLANK('A-RACHNATMAK'!C192)),"C","")))</f>
        <v/>
      </c>
      <c r="C178" s="622" t="str">
        <f>IF(NOT(ISBLANK('A-RACHNATMAK'!D194)),"A",IF(NOT(ISBLANK('A-RACHNATMAK'!D193)),"B",IF(NOT(ISBLANK('A-RACHNATMAK'!D192)),"C","")))</f>
        <v/>
      </c>
      <c r="D178" s="622" t="str">
        <f>IF(NOT(ISBLANK('A-RACHNATMAK'!E194)),"A",IF(NOT(ISBLANK('A-RACHNATMAK'!E193)),"B",IF(NOT(ISBLANK('A-RACHNATMAK'!E192)),"C","")))</f>
        <v/>
      </c>
      <c r="E178" s="622" t="str">
        <f>IF(NOT(ISBLANK('A-RACHNATMAK'!F194)),"A",IF(NOT(ISBLANK('A-RACHNATMAK'!F193)),"B",IF(NOT(ISBLANK('A-RACHNATMAK'!F192)),"C","")))</f>
        <v/>
      </c>
      <c r="F178" s="622" t="str">
        <f>IF(NOT(ISBLANK('A-RACHNATMAK'!G194)),"A",IF(NOT(ISBLANK('A-RACHNATMAK'!G193)),"B",IF(NOT(ISBLANK('A-RACHNATMAK'!G192)),"C","")))</f>
        <v/>
      </c>
      <c r="G178" s="622" t="str">
        <f>IF(NOT(ISBLANK('A-RACHNATMAK'!H194)),"A",IF(NOT(ISBLANK('A-RACHNATMAK'!H193)),"B",IF(NOT(ISBLANK('A-RACHNATMAK'!H192)),"C","")))</f>
        <v/>
      </c>
      <c r="H178" s="622" t="str">
        <f>IF(NOT(ISBLANK('A-RACHNATMAK'!I194)),"A",IF(NOT(ISBLANK('A-RACHNATMAK'!I193)),"B",IF(NOT(ISBLANK('A-RACHNATMAK'!I192)),"C","")))</f>
        <v/>
      </c>
      <c r="I178" s="622" t="str">
        <f>IF(NOT(ISBLANK('A-RACHNATMAK'!J194)),"A",IF(NOT(ISBLANK('A-RACHNATMAK'!J193)),"B",IF(NOT(ISBLANK('A-RACHNATMAK'!J192)),"C","")))</f>
        <v/>
      </c>
      <c r="J178" s="622" t="str">
        <f>IF(NOT(ISBLANK('A-RACHNATMAK'!K194)),"A",IF(NOT(ISBLANK('A-RACHNATMAK'!K193)),"B",IF(NOT(ISBLANK('A-RACHNATMAK'!K192)),"C","")))</f>
        <v/>
      </c>
      <c r="K178" s="622" t="str">
        <f>IF(NOT(ISBLANK('A-RACHNATMAK'!L194)),"A",IF(NOT(ISBLANK('A-RACHNATMAK'!L193)),"B",IF(NOT(ISBLANK('A-RACHNATMAK'!L192)),"C","")))</f>
        <v/>
      </c>
      <c r="L178" s="622" t="str">
        <f>IF(NOT(ISBLANK('A-RACHNATMAK'!M194)),"A",IF(NOT(ISBLANK('A-RACHNATMAK'!M193)),"B",IF(NOT(ISBLANK('A-RACHNATMAK'!M192)),"C","")))</f>
        <v/>
      </c>
      <c r="M178" s="622" t="str">
        <f>IF(NOT(ISBLANK('A-RACHNATMAK'!N194)),"A",IF(NOT(ISBLANK('A-RACHNATMAK'!N193)),"B",IF(NOT(ISBLANK('A-RACHNATMAK'!N192)),"C","")))</f>
        <v/>
      </c>
      <c r="N178" s="622" t="str">
        <f>IF(NOT(ISBLANK('A-RACHNATMAK'!O194)),"A",IF(NOT(ISBLANK('A-RACHNATMAK'!O193)),"B",IF(NOT(ISBLANK('A-RACHNATMAK'!O192)),"C","")))</f>
        <v/>
      </c>
      <c r="O178" s="622" t="str">
        <f>IF(NOT(ISBLANK('A-RACHNATMAK'!P194)),"A",IF(NOT(ISBLANK('A-RACHNATMAK'!P193)),"B",IF(NOT(ISBLANK('A-RACHNATMAK'!P192)),"C","")))</f>
        <v/>
      </c>
      <c r="P178" s="622" t="str">
        <f>IF(NOT(ISBLANK('A-RACHNATMAK'!Q194)),"A",IF(NOT(ISBLANK('A-RACHNATMAK'!Q193)),"B",IF(NOT(ISBLANK('A-RACHNATMAK'!Q192)),"C","")))</f>
        <v/>
      </c>
      <c r="Q178" s="622" t="str">
        <f>IF(NOT(ISBLANK('A-RACHNATMAK'!R194)),"A",IF(NOT(ISBLANK('A-RACHNATMAK'!R193)),"B",IF(NOT(ISBLANK('A-RACHNATMAK'!R192)),"C","")))</f>
        <v/>
      </c>
      <c r="R178" s="622" t="str">
        <f>IF(NOT(ISBLANK('A-RACHNATMAK'!S194)),"A",IF(NOT(ISBLANK('A-RACHNATMAK'!S193)),"B",IF(NOT(ISBLANK('A-RACHNATMAK'!S192)),"C","")))</f>
        <v/>
      </c>
      <c r="S178" s="622" t="str">
        <f>IF(NOT(ISBLANK('A-RACHNATMAK'!T194)),"A",IF(NOT(ISBLANK('A-RACHNATMAK'!T193)),"B",IF(NOT(ISBLANK('A-RACHNATMAK'!T192)),"C","")))</f>
        <v/>
      </c>
      <c r="T178" s="622" t="str">
        <f>IF(NOT(ISBLANK('A-RACHNATMAK'!U194)),"A",IF(NOT(ISBLANK('A-RACHNATMAK'!U193)),"B",IF(NOT(ISBLANK('A-RACHNATMAK'!U192)),"C","")))</f>
        <v/>
      </c>
      <c r="U178" s="622" t="str">
        <f>IF(NOT(ISBLANK('A-RACHNATMAK'!V194)),"A",IF(NOT(ISBLANK('A-RACHNATMAK'!V193)),"B",IF(NOT(ISBLANK('A-RACHNATMAK'!V192)),"C","")))</f>
        <v/>
      </c>
      <c r="V178" s="622">
        <f t="shared" ref="V178" si="336">COUNTIF(B178:U178,"A")</f>
        <v>0</v>
      </c>
      <c r="W178" s="622">
        <f t="shared" ref="W178" si="337">COUNTIF(B178:U178,"B")</f>
        <v>0</v>
      </c>
      <c r="X178" s="622">
        <f t="shared" ref="X178" si="338">COUNTIF(B178:U178,"C")</f>
        <v>0</v>
      </c>
      <c r="Y178" s="330"/>
      <c r="Z178" s="623">
        <v>24</v>
      </c>
      <c r="AA178" s="622" t="str">
        <f>IF(NOT(ISBLANK('A-RACHNATMAK'!AD194)),"A",IF(NOT(ISBLANK('A-RACHNATMAK'!AD193)),"B",IF(NOT(ISBLANK('A-RACHNATMAK'!AD192)),"C","")))</f>
        <v/>
      </c>
      <c r="AB178" s="622" t="str">
        <f>IF(NOT(ISBLANK('A-RACHNATMAK'!AE194)),"A",IF(NOT(ISBLANK('A-RACHNATMAK'!AE193)),"B",IF(NOT(ISBLANK('A-RACHNATMAK'!AE192)),"C","")))</f>
        <v/>
      </c>
      <c r="AC178" s="622" t="str">
        <f>IF(NOT(ISBLANK('A-RACHNATMAK'!AF194)),"A",IF(NOT(ISBLANK('A-RACHNATMAK'!AF193)),"B",IF(NOT(ISBLANK('A-RACHNATMAK'!AF192)),"C","")))</f>
        <v/>
      </c>
      <c r="AD178" s="622" t="str">
        <f>IF(NOT(ISBLANK('A-RACHNATMAK'!AG194)),"A",IF(NOT(ISBLANK('A-RACHNATMAK'!AG193)),"B",IF(NOT(ISBLANK('A-RACHNATMAK'!AG192)),"C","")))</f>
        <v/>
      </c>
      <c r="AE178" s="622" t="str">
        <f>IF(NOT(ISBLANK('A-RACHNATMAK'!AH194)),"A",IF(NOT(ISBLANK('A-RACHNATMAK'!AH193)),"B",IF(NOT(ISBLANK('A-RACHNATMAK'!AH192)),"C","")))</f>
        <v/>
      </c>
      <c r="AF178" s="622" t="str">
        <f>IF(NOT(ISBLANK('A-RACHNATMAK'!AI194)),"A",IF(NOT(ISBLANK('A-RACHNATMAK'!AI193)),"B",IF(NOT(ISBLANK('A-RACHNATMAK'!AI192)),"C","")))</f>
        <v/>
      </c>
      <c r="AG178" s="622" t="str">
        <f>IF(NOT(ISBLANK('A-RACHNATMAK'!AJ194)),"A",IF(NOT(ISBLANK('A-RACHNATMAK'!AJ193)),"B",IF(NOT(ISBLANK('A-RACHNATMAK'!AJ192)),"C","")))</f>
        <v/>
      </c>
      <c r="AH178" s="622" t="str">
        <f>IF(NOT(ISBLANK('A-RACHNATMAK'!AK194)),"A",IF(NOT(ISBLANK('A-RACHNATMAK'!AK193)),"B",IF(NOT(ISBLANK('A-RACHNATMAK'!AK192)),"C","")))</f>
        <v/>
      </c>
      <c r="AI178" s="622" t="str">
        <f>IF(NOT(ISBLANK('A-RACHNATMAK'!AL194)),"A",IF(NOT(ISBLANK('A-RACHNATMAK'!AL193)),"B",IF(NOT(ISBLANK('A-RACHNATMAK'!AL192)),"C","")))</f>
        <v/>
      </c>
      <c r="AJ178" s="622" t="str">
        <f>IF(NOT(ISBLANK('A-RACHNATMAK'!AM194)),"A",IF(NOT(ISBLANK('A-RACHNATMAK'!AM193)),"B",IF(NOT(ISBLANK('A-RACHNATMAK'!AM192)),"C","")))</f>
        <v/>
      </c>
      <c r="AK178" s="622" t="str">
        <f>IF(NOT(ISBLANK('A-RACHNATMAK'!AN194)),"A",IF(NOT(ISBLANK('A-RACHNATMAK'!AN193)),"B",IF(NOT(ISBLANK('A-RACHNATMAK'!AN192)),"C","")))</f>
        <v/>
      </c>
      <c r="AL178" s="622" t="str">
        <f>IF(NOT(ISBLANK('A-RACHNATMAK'!AO194)),"A",IF(NOT(ISBLANK('A-RACHNATMAK'!AO193)),"B",IF(NOT(ISBLANK('A-RACHNATMAK'!AO192)),"C","")))</f>
        <v/>
      </c>
      <c r="AM178" s="622" t="str">
        <f>IF(NOT(ISBLANK('A-RACHNATMAK'!AP194)),"A",IF(NOT(ISBLANK('A-RACHNATMAK'!AP193)),"B",IF(NOT(ISBLANK('A-RACHNATMAK'!AP192)),"C","")))</f>
        <v/>
      </c>
      <c r="AN178" s="622" t="str">
        <f>IF(NOT(ISBLANK('A-RACHNATMAK'!AQ194)),"A",IF(NOT(ISBLANK('A-RACHNATMAK'!AQ193)),"B",IF(NOT(ISBLANK('A-RACHNATMAK'!AQ192)),"C","")))</f>
        <v/>
      </c>
      <c r="AO178" s="622" t="str">
        <f>IF(NOT(ISBLANK('A-RACHNATMAK'!AR194)),"A",IF(NOT(ISBLANK('A-RACHNATMAK'!AR193)),"B",IF(NOT(ISBLANK('A-RACHNATMAK'!AR192)),"C","")))</f>
        <v/>
      </c>
      <c r="AP178" s="622" t="str">
        <f>IF(NOT(ISBLANK('A-RACHNATMAK'!AS194)),"A",IF(NOT(ISBLANK('A-RACHNATMAK'!AS193)),"B",IF(NOT(ISBLANK('A-RACHNATMAK'!AS192)),"C","")))</f>
        <v/>
      </c>
      <c r="AQ178" s="622" t="str">
        <f>IF(NOT(ISBLANK('A-RACHNATMAK'!AT194)),"A",IF(NOT(ISBLANK('A-RACHNATMAK'!AT193)),"B",IF(NOT(ISBLANK('A-RACHNATMAK'!AT192)),"C","")))</f>
        <v/>
      </c>
      <c r="AR178" s="622" t="str">
        <f>IF(NOT(ISBLANK('A-RACHNATMAK'!AU194)),"A",IF(NOT(ISBLANK('A-RACHNATMAK'!AU193)),"B",IF(NOT(ISBLANK('A-RACHNATMAK'!AU192)),"C","")))</f>
        <v/>
      </c>
      <c r="AS178" s="622" t="str">
        <f>IF(NOT(ISBLANK('A-RACHNATMAK'!AV194)),"A",IF(NOT(ISBLANK('A-RACHNATMAK'!AV193)),"B",IF(NOT(ISBLANK('A-RACHNATMAK'!AV192)),"C","")))</f>
        <v/>
      </c>
      <c r="AT178" s="622" t="str">
        <f>IF(NOT(ISBLANK('A-RACHNATMAK'!AW194)),"A",IF(NOT(ISBLANK('A-RACHNATMAK'!AW193)),"B",IF(NOT(ISBLANK('A-RACHNATMAK'!AW192)),"C","")))</f>
        <v/>
      </c>
      <c r="AU178" s="622">
        <f t="shared" ref="AU178" si="339">COUNTIF(AA178:AT178,"A")</f>
        <v>0</v>
      </c>
      <c r="AV178" s="622">
        <f t="shared" ref="AV178" si="340">COUNTIF(AA178:AT178,"B")</f>
        <v>0</v>
      </c>
      <c r="AW178" s="622">
        <f t="shared" ref="AW178" si="341">COUNTIF(AA178:AT178,"C")</f>
        <v>0</v>
      </c>
    </row>
    <row r="179" spans="1:49" ht="7.5" customHeight="1">
      <c r="A179" s="623"/>
      <c r="B179" s="622"/>
      <c r="C179" s="622"/>
      <c r="D179" s="622"/>
      <c r="E179" s="622"/>
      <c r="F179" s="622"/>
      <c r="G179" s="622"/>
      <c r="H179" s="622"/>
      <c r="I179" s="622"/>
      <c r="J179" s="622"/>
      <c r="K179" s="622"/>
      <c r="L179" s="622"/>
      <c r="M179" s="622"/>
      <c r="N179" s="622"/>
      <c r="O179" s="622"/>
      <c r="P179" s="622"/>
      <c r="Q179" s="622"/>
      <c r="R179" s="622"/>
      <c r="S179" s="622"/>
      <c r="T179" s="622"/>
      <c r="U179" s="622"/>
      <c r="V179" s="622"/>
      <c r="W179" s="622"/>
      <c r="X179" s="622"/>
      <c r="Y179" s="330"/>
      <c r="Z179" s="623"/>
      <c r="AA179" s="622"/>
      <c r="AB179" s="622"/>
      <c r="AC179" s="622"/>
      <c r="AD179" s="622"/>
      <c r="AE179" s="622"/>
      <c r="AF179" s="622"/>
      <c r="AG179" s="622"/>
      <c r="AH179" s="622"/>
      <c r="AI179" s="622"/>
      <c r="AJ179" s="622"/>
      <c r="AK179" s="622"/>
      <c r="AL179" s="622"/>
      <c r="AM179" s="622"/>
      <c r="AN179" s="622"/>
      <c r="AO179" s="622"/>
      <c r="AP179" s="622"/>
      <c r="AQ179" s="622"/>
      <c r="AR179" s="622"/>
      <c r="AS179" s="622"/>
      <c r="AT179" s="622"/>
      <c r="AU179" s="622"/>
      <c r="AV179" s="622"/>
      <c r="AW179" s="622"/>
    </row>
    <row r="180" spans="1:49" ht="7.5" customHeight="1">
      <c r="A180" s="623"/>
      <c r="B180" s="622"/>
      <c r="C180" s="622"/>
      <c r="D180" s="622"/>
      <c r="E180" s="622"/>
      <c r="F180" s="622"/>
      <c r="G180" s="622"/>
      <c r="H180" s="622"/>
      <c r="I180" s="622"/>
      <c r="J180" s="622"/>
      <c r="K180" s="622"/>
      <c r="L180" s="622"/>
      <c r="M180" s="622"/>
      <c r="N180" s="622"/>
      <c r="O180" s="622"/>
      <c r="P180" s="622"/>
      <c r="Q180" s="622"/>
      <c r="R180" s="622"/>
      <c r="S180" s="622"/>
      <c r="T180" s="622"/>
      <c r="U180" s="622"/>
      <c r="V180" s="622"/>
      <c r="W180" s="622"/>
      <c r="X180" s="622"/>
      <c r="Y180" s="330"/>
      <c r="Z180" s="623"/>
      <c r="AA180" s="622"/>
      <c r="AB180" s="622"/>
      <c r="AC180" s="622"/>
      <c r="AD180" s="622"/>
      <c r="AE180" s="622"/>
      <c r="AF180" s="622"/>
      <c r="AG180" s="622"/>
      <c r="AH180" s="622"/>
      <c r="AI180" s="622"/>
      <c r="AJ180" s="622"/>
      <c r="AK180" s="622"/>
      <c r="AL180" s="622"/>
      <c r="AM180" s="622"/>
      <c r="AN180" s="622"/>
      <c r="AO180" s="622"/>
      <c r="AP180" s="622"/>
      <c r="AQ180" s="622"/>
      <c r="AR180" s="622"/>
      <c r="AS180" s="622"/>
      <c r="AT180" s="622"/>
      <c r="AU180" s="622"/>
      <c r="AV180" s="622"/>
      <c r="AW180" s="622"/>
    </row>
    <row r="181" spans="1:49" ht="7.5" customHeight="1">
      <c r="A181" s="623">
        <v>25</v>
      </c>
      <c r="B181" s="622" t="str">
        <f>IF(NOT(ISBLANK('A-RACHNATMAK'!C197)),"A",IF(NOT(ISBLANK('A-RACHNATMAK'!C196)),"B",IF(NOT(ISBLANK('A-RACHNATMAK'!C195)),"C","")))</f>
        <v/>
      </c>
      <c r="C181" s="622" t="str">
        <f>IF(NOT(ISBLANK('A-RACHNATMAK'!D197)),"A",IF(NOT(ISBLANK('A-RACHNATMAK'!D196)),"B",IF(NOT(ISBLANK('A-RACHNATMAK'!D195)),"C","")))</f>
        <v/>
      </c>
      <c r="D181" s="622" t="str">
        <f>IF(NOT(ISBLANK('A-RACHNATMAK'!E197)),"A",IF(NOT(ISBLANK('A-RACHNATMAK'!E196)),"B",IF(NOT(ISBLANK('A-RACHNATMAK'!E195)),"C","")))</f>
        <v/>
      </c>
      <c r="E181" s="622" t="str">
        <f>IF(NOT(ISBLANK('A-RACHNATMAK'!F197)),"A",IF(NOT(ISBLANK('A-RACHNATMAK'!F196)),"B",IF(NOT(ISBLANK('A-RACHNATMAK'!F195)),"C","")))</f>
        <v/>
      </c>
      <c r="F181" s="622" t="str">
        <f>IF(NOT(ISBLANK('A-RACHNATMAK'!G197)),"A",IF(NOT(ISBLANK('A-RACHNATMAK'!G196)),"B",IF(NOT(ISBLANK('A-RACHNATMAK'!G195)),"C","")))</f>
        <v/>
      </c>
      <c r="G181" s="622" t="str">
        <f>IF(NOT(ISBLANK('A-RACHNATMAK'!H197)),"A",IF(NOT(ISBLANK('A-RACHNATMAK'!H196)),"B",IF(NOT(ISBLANK('A-RACHNATMAK'!H195)),"C","")))</f>
        <v/>
      </c>
      <c r="H181" s="622" t="str">
        <f>IF(NOT(ISBLANK('A-RACHNATMAK'!I197)),"A",IF(NOT(ISBLANK('A-RACHNATMAK'!I196)),"B",IF(NOT(ISBLANK('A-RACHNATMAK'!I195)),"C","")))</f>
        <v/>
      </c>
      <c r="I181" s="622" t="str">
        <f>IF(NOT(ISBLANK('A-RACHNATMAK'!J197)),"A",IF(NOT(ISBLANK('A-RACHNATMAK'!J196)),"B",IF(NOT(ISBLANK('A-RACHNATMAK'!J195)),"C","")))</f>
        <v/>
      </c>
      <c r="J181" s="622" t="str">
        <f>IF(NOT(ISBLANK('A-RACHNATMAK'!K197)),"A",IF(NOT(ISBLANK('A-RACHNATMAK'!K196)),"B",IF(NOT(ISBLANK('A-RACHNATMAK'!K195)),"C","")))</f>
        <v/>
      </c>
      <c r="K181" s="622" t="str">
        <f>IF(NOT(ISBLANK('A-RACHNATMAK'!L197)),"A",IF(NOT(ISBLANK('A-RACHNATMAK'!L196)),"B",IF(NOT(ISBLANK('A-RACHNATMAK'!L195)),"C","")))</f>
        <v/>
      </c>
      <c r="L181" s="622" t="str">
        <f>IF(NOT(ISBLANK('A-RACHNATMAK'!M197)),"A",IF(NOT(ISBLANK('A-RACHNATMAK'!M196)),"B",IF(NOT(ISBLANK('A-RACHNATMAK'!M195)),"C","")))</f>
        <v/>
      </c>
      <c r="M181" s="622" t="str">
        <f>IF(NOT(ISBLANK('A-RACHNATMAK'!N197)),"A",IF(NOT(ISBLANK('A-RACHNATMAK'!N196)),"B",IF(NOT(ISBLANK('A-RACHNATMAK'!N195)),"C","")))</f>
        <v/>
      </c>
      <c r="N181" s="622" t="str">
        <f>IF(NOT(ISBLANK('A-RACHNATMAK'!O197)),"A",IF(NOT(ISBLANK('A-RACHNATMAK'!O196)),"B",IF(NOT(ISBLANK('A-RACHNATMAK'!O195)),"C","")))</f>
        <v/>
      </c>
      <c r="O181" s="622" t="str">
        <f>IF(NOT(ISBLANK('A-RACHNATMAK'!P197)),"A",IF(NOT(ISBLANK('A-RACHNATMAK'!P196)),"B",IF(NOT(ISBLANK('A-RACHNATMAK'!P195)),"C","")))</f>
        <v/>
      </c>
      <c r="P181" s="622" t="str">
        <f>IF(NOT(ISBLANK('A-RACHNATMAK'!Q197)),"A",IF(NOT(ISBLANK('A-RACHNATMAK'!Q196)),"B",IF(NOT(ISBLANK('A-RACHNATMAK'!Q195)),"C","")))</f>
        <v/>
      </c>
      <c r="Q181" s="622" t="str">
        <f>IF(NOT(ISBLANK('A-RACHNATMAK'!R197)),"A",IF(NOT(ISBLANK('A-RACHNATMAK'!R196)),"B",IF(NOT(ISBLANK('A-RACHNATMAK'!R195)),"C","")))</f>
        <v/>
      </c>
      <c r="R181" s="622" t="str">
        <f>IF(NOT(ISBLANK('A-RACHNATMAK'!S197)),"A",IF(NOT(ISBLANK('A-RACHNATMAK'!S196)),"B",IF(NOT(ISBLANK('A-RACHNATMAK'!S195)),"C","")))</f>
        <v/>
      </c>
      <c r="S181" s="622" t="str">
        <f>IF(NOT(ISBLANK('A-RACHNATMAK'!T197)),"A",IF(NOT(ISBLANK('A-RACHNATMAK'!T196)),"B",IF(NOT(ISBLANK('A-RACHNATMAK'!T195)),"C","")))</f>
        <v/>
      </c>
      <c r="T181" s="622" t="str">
        <f>IF(NOT(ISBLANK('A-RACHNATMAK'!U197)),"A",IF(NOT(ISBLANK('A-RACHNATMAK'!U196)),"B",IF(NOT(ISBLANK('A-RACHNATMAK'!U195)),"C","")))</f>
        <v/>
      </c>
      <c r="U181" s="622" t="str">
        <f>IF(NOT(ISBLANK('A-RACHNATMAK'!V197)),"A",IF(NOT(ISBLANK('A-RACHNATMAK'!V196)),"B",IF(NOT(ISBLANK('A-RACHNATMAK'!V195)),"C","")))</f>
        <v/>
      </c>
      <c r="V181" s="622">
        <f t="shared" ref="V181" si="342">COUNTIF(B181:U181,"A")</f>
        <v>0</v>
      </c>
      <c r="W181" s="622">
        <f t="shared" ref="W181" si="343">COUNTIF(B181:U181,"B")</f>
        <v>0</v>
      </c>
      <c r="X181" s="622">
        <f t="shared" ref="X181" si="344">COUNTIF(B181:U181,"C")</f>
        <v>0</v>
      </c>
      <c r="Y181" s="330"/>
      <c r="Z181" s="623">
        <v>25</v>
      </c>
      <c r="AA181" s="622" t="str">
        <f>IF(NOT(ISBLANK('A-RACHNATMAK'!AD197)),"A",IF(NOT(ISBLANK('A-RACHNATMAK'!AD196)),"B",IF(NOT(ISBLANK('A-RACHNATMAK'!AD195)),"C","")))</f>
        <v/>
      </c>
      <c r="AB181" s="622" t="str">
        <f>IF(NOT(ISBLANK('A-RACHNATMAK'!AE197)),"A",IF(NOT(ISBLANK('A-RACHNATMAK'!AE196)),"B",IF(NOT(ISBLANK('A-RACHNATMAK'!AE195)),"C","")))</f>
        <v/>
      </c>
      <c r="AC181" s="622" t="str">
        <f>IF(NOT(ISBLANK('A-RACHNATMAK'!AF197)),"A",IF(NOT(ISBLANK('A-RACHNATMAK'!AF196)),"B",IF(NOT(ISBLANK('A-RACHNATMAK'!AF195)),"C","")))</f>
        <v/>
      </c>
      <c r="AD181" s="622" t="str">
        <f>IF(NOT(ISBLANK('A-RACHNATMAK'!AG197)),"A",IF(NOT(ISBLANK('A-RACHNATMAK'!AG196)),"B",IF(NOT(ISBLANK('A-RACHNATMAK'!AG195)),"C","")))</f>
        <v/>
      </c>
      <c r="AE181" s="622" t="str">
        <f>IF(NOT(ISBLANK('A-RACHNATMAK'!AH197)),"A",IF(NOT(ISBLANK('A-RACHNATMAK'!AH196)),"B",IF(NOT(ISBLANK('A-RACHNATMAK'!AH195)),"C","")))</f>
        <v/>
      </c>
      <c r="AF181" s="622" t="str">
        <f>IF(NOT(ISBLANK('A-RACHNATMAK'!AI197)),"A",IF(NOT(ISBLANK('A-RACHNATMAK'!AI196)),"B",IF(NOT(ISBLANK('A-RACHNATMAK'!AI195)),"C","")))</f>
        <v/>
      </c>
      <c r="AG181" s="622" t="str">
        <f>IF(NOT(ISBLANK('A-RACHNATMAK'!AJ197)),"A",IF(NOT(ISBLANK('A-RACHNATMAK'!AJ196)),"B",IF(NOT(ISBLANK('A-RACHNATMAK'!AJ195)),"C","")))</f>
        <v/>
      </c>
      <c r="AH181" s="622" t="str">
        <f>IF(NOT(ISBLANK('A-RACHNATMAK'!AK197)),"A",IF(NOT(ISBLANK('A-RACHNATMAK'!AK196)),"B",IF(NOT(ISBLANK('A-RACHNATMAK'!AK195)),"C","")))</f>
        <v/>
      </c>
      <c r="AI181" s="622" t="str">
        <f>IF(NOT(ISBLANK('A-RACHNATMAK'!AL197)),"A",IF(NOT(ISBLANK('A-RACHNATMAK'!AL196)),"B",IF(NOT(ISBLANK('A-RACHNATMAK'!AL195)),"C","")))</f>
        <v/>
      </c>
      <c r="AJ181" s="622" t="str">
        <f>IF(NOT(ISBLANK('A-RACHNATMAK'!AM197)),"A",IF(NOT(ISBLANK('A-RACHNATMAK'!AM196)),"B",IF(NOT(ISBLANK('A-RACHNATMAK'!AM195)),"C","")))</f>
        <v/>
      </c>
      <c r="AK181" s="622" t="str">
        <f>IF(NOT(ISBLANK('A-RACHNATMAK'!AN197)),"A",IF(NOT(ISBLANK('A-RACHNATMAK'!AN196)),"B",IF(NOT(ISBLANK('A-RACHNATMAK'!AN195)),"C","")))</f>
        <v/>
      </c>
      <c r="AL181" s="622" t="str">
        <f>IF(NOT(ISBLANK('A-RACHNATMAK'!AO197)),"A",IF(NOT(ISBLANK('A-RACHNATMAK'!AO196)),"B",IF(NOT(ISBLANK('A-RACHNATMAK'!AO195)),"C","")))</f>
        <v/>
      </c>
      <c r="AM181" s="622" t="str">
        <f>IF(NOT(ISBLANK('A-RACHNATMAK'!AP197)),"A",IF(NOT(ISBLANK('A-RACHNATMAK'!AP196)),"B",IF(NOT(ISBLANK('A-RACHNATMAK'!AP195)),"C","")))</f>
        <v/>
      </c>
      <c r="AN181" s="622" t="str">
        <f>IF(NOT(ISBLANK('A-RACHNATMAK'!AQ197)),"A",IF(NOT(ISBLANK('A-RACHNATMAK'!AQ196)),"B",IF(NOT(ISBLANK('A-RACHNATMAK'!AQ195)),"C","")))</f>
        <v/>
      </c>
      <c r="AO181" s="622" t="str">
        <f>IF(NOT(ISBLANK('A-RACHNATMAK'!AR197)),"A",IF(NOT(ISBLANK('A-RACHNATMAK'!AR196)),"B",IF(NOT(ISBLANK('A-RACHNATMAK'!AR195)),"C","")))</f>
        <v/>
      </c>
      <c r="AP181" s="622" t="str">
        <f>IF(NOT(ISBLANK('A-RACHNATMAK'!AS197)),"A",IF(NOT(ISBLANK('A-RACHNATMAK'!AS196)),"B",IF(NOT(ISBLANK('A-RACHNATMAK'!AS195)),"C","")))</f>
        <v/>
      </c>
      <c r="AQ181" s="622" t="str">
        <f>IF(NOT(ISBLANK('A-RACHNATMAK'!AT197)),"A",IF(NOT(ISBLANK('A-RACHNATMAK'!AT196)),"B",IF(NOT(ISBLANK('A-RACHNATMAK'!AT195)),"C","")))</f>
        <v/>
      </c>
      <c r="AR181" s="622" t="str">
        <f>IF(NOT(ISBLANK('A-RACHNATMAK'!AU197)),"A",IF(NOT(ISBLANK('A-RACHNATMAK'!AU196)),"B",IF(NOT(ISBLANK('A-RACHNATMAK'!AU195)),"C","")))</f>
        <v/>
      </c>
      <c r="AS181" s="622" t="str">
        <f>IF(NOT(ISBLANK('A-RACHNATMAK'!AV197)),"A",IF(NOT(ISBLANK('A-RACHNATMAK'!AV196)),"B",IF(NOT(ISBLANK('A-RACHNATMAK'!AV195)),"C","")))</f>
        <v/>
      </c>
      <c r="AT181" s="622" t="str">
        <f>IF(NOT(ISBLANK('A-RACHNATMAK'!AW197)),"A",IF(NOT(ISBLANK('A-RACHNATMAK'!AW196)),"B",IF(NOT(ISBLANK('A-RACHNATMAK'!AW195)),"C","")))</f>
        <v/>
      </c>
      <c r="AU181" s="622">
        <f t="shared" ref="AU181" si="345">COUNTIF(AA181:AT181,"A")</f>
        <v>0</v>
      </c>
      <c r="AV181" s="622">
        <f t="shared" ref="AV181" si="346">COUNTIF(AA181:AT181,"B")</f>
        <v>0</v>
      </c>
      <c r="AW181" s="622">
        <f t="shared" ref="AW181" si="347">COUNTIF(AA181:AT181,"C")</f>
        <v>0</v>
      </c>
    </row>
    <row r="182" spans="1:49" ht="7.5" customHeight="1">
      <c r="A182" s="623"/>
      <c r="B182" s="622"/>
      <c r="C182" s="622"/>
      <c r="D182" s="622"/>
      <c r="E182" s="622"/>
      <c r="F182" s="622"/>
      <c r="G182" s="622"/>
      <c r="H182" s="622"/>
      <c r="I182" s="622"/>
      <c r="J182" s="622"/>
      <c r="K182" s="622"/>
      <c r="L182" s="622"/>
      <c r="M182" s="622"/>
      <c r="N182" s="622"/>
      <c r="O182" s="622"/>
      <c r="P182" s="622"/>
      <c r="Q182" s="622"/>
      <c r="R182" s="622"/>
      <c r="S182" s="622"/>
      <c r="T182" s="622"/>
      <c r="U182" s="622"/>
      <c r="V182" s="622"/>
      <c r="W182" s="622"/>
      <c r="X182" s="622"/>
      <c r="Y182" s="330"/>
      <c r="Z182" s="623"/>
      <c r="AA182" s="622"/>
      <c r="AB182" s="622"/>
      <c r="AC182" s="622"/>
      <c r="AD182" s="622"/>
      <c r="AE182" s="622"/>
      <c r="AF182" s="622"/>
      <c r="AG182" s="622"/>
      <c r="AH182" s="622"/>
      <c r="AI182" s="622"/>
      <c r="AJ182" s="622"/>
      <c r="AK182" s="622"/>
      <c r="AL182" s="622"/>
      <c r="AM182" s="622"/>
      <c r="AN182" s="622"/>
      <c r="AO182" s="622"/>
      <c r="AP182" s="622"/>
      <c r="AQ182" s="622"/>
      <c r="AR182" s="622"/>
      <c r="AS182" s="622"/>
      <c r="AT182" s="622"/>
      <c r="AU182" s="622"/>
      <c r="AV182" s="622"/>
      <c r="AW182" s="622"/>
    </row>
    <row r="183" spans="1:49" ht="7.5" customHeight="1">
      <c r="A183" s="623"/>
      <c r="B183" s="622"/>
      <c r="C183" s="622"/>
      <c r="D183" s="622"/>
      <c r="E183" s="622"/>
      <c r="F183" s="622"/>
      <c r="G183" s="622"/>
      <c r="H183" s="622"/>
      <c r="I183" s="622"/>
      <c r="J183" s="622"/>
      <c r="K183" s="622"/>
      <c r="L183" s="622"/>
      <c r="M183" s="622"/>
      <c r="N183" s="622"/>
      <c r="O183" s="622"/>
      <c r="P183" s="622"/>
      <c r="Q183" s="622"/>
      <c r="R183" s="622"/>
      <c r="S183" s="622"/>
      <c r="T183" s="622"/>
      <c r="U183" s="622"/>
      <c r="V183" s="622"/>
      <c r="W183" s="622"/>
      <c r="X183" s="622"/>
      <c r="Y183" s="330"/>
      <c r="Z183" s="623"/>
      <c r="AA183" s="622"/>
      <c r="AB183" s="622"/>
      <c r="AC183" s="622"/>
      <c r="AD183" s="622"/>
      <c r="AE183" s="622"/>
      <c r="AF183" s="622"/>
      <c r="AG183" s="622"/>
      <c r="AH183" s="622"/>
      <c r="AI183" s="622"/>
      <c r="AJ183" s="622"/>
      <c r="AK183" s="622"/>
      <c r="AL183" s="622"/>
      <c r="AM183" s="622"/>
      <c r="AN183" s="622"/>
      <c r="AO183" s="622"/>
      <c r="AP183" s="622"/>
      <c r="AQ183" s="622"/>
      <c r="AR183" s="622"/>
      <c r="AS183" s="622"/>
      <c r="AT183" s="622"/>
      <c r="AU183" s="622"/>
      <c r="AV183" s="622"/>
      <c r="AW183" s="622"/>
    </row>
    <row r="184" spans="1:49" ht="7.5" customHeight="1">
      <c r="A184" s="623">
        <v>26</v>
      </c>
      <c r="B184" s="622" t="str">
        <f>IF(NOT(ISBLANK('A-RACHNATMAK'!C200)),"A",IF(NOT(ISBLANK('A-RACHNATMAK'!C199)),"B",IF(NOT(ISBLANK('A-RACHNATMAK'!C198)),"C","")))</f>
        <v/>
      </c>
      <c r="C184" s="622" t="str">
        <f>IF(NOT(ISBLANK('A-RACHNATMAK'!D200)),"A",IF(NOT(ISBLANK('A-RACHNATMAK'!D199)),"B",IF(NOT(ISBLANK('A-RACHNATMAK'!D198)),"C","")))</f>
        <v/>
      </c>
      <c r="D184" s="622" t="str">
        <f>IF(NOT(ISBLANK('A-RACHNATMAK'!E200)),"A",IF(NOT(ISBLANK('A-RACHNATMAK'!E199)),"B",IF(NOT(ISBLANK('A-RACHNATMAK'!E198)),"C","")))</f>
        <v/>
      </c>
      <c r="E184" s="622" t="str">
        <f>IF(NOT(ISBLANK('A-RACHNATMAK'!F200)),"A",IF(NOT(ISBLANK('A-RACHNATMAK'!F199)),"B",IF(NOT(ISBLANK('A-RACHNATMAK'!F198)),"C","")))</f>
        <v/>
      </c>
      <c r="F184" s="622" t="str">
        <f>IF(NOT(ISBLANK('A-RACHNATMAK'!G200)),"A",IF(NOT(ISBLANK('A-RACHNATMAK'!G199)),"B",IF(NOT(ISBLANK('A-RACHNATMAK'!G198)),"C","")))</f>
        <v/>
      </c>
      <c r="G184" s="622" t="str">
        <f>IF(NOT(ISBLANK('A-RACHNATMAK'!H200)),"A",IF(NOT(ISBLANK('A-RACHNATMAK'!H199)),"B",IF(NOT(ISBLANK('A-RACHNATMAK'!H198)),"C","")))</f>
        <v/>
      </c>
      <c r="H184" s="622" t="str">
        <f>IF(NOT(ISBLANK('A-RACHNATMAK'!I200)),"A",IF(NOT(ISBLANK('A-RACHNATMAK'!I199)),"B",IF(NOT(ISBLANK('A-RACHNATMAK'!I198)),"C","")))</f>
        <v/>
      </c>
      <c r="I184" s="622" t="str">
        <f>IF(NOT(ISBLANK('A-RACHNATMAK'!J200)),"A",IF(NOT(ISBLANK('A-RACHNATMAK'!J199)),"B",IF(NOT(ISBLANK('A-RACHNATMAK'!J198)),"C","")))</f>
        <v/>
      </c>
      <c r="J184" s="622" t="str">
        <f>IF(NOT(ISBLANK('A-RACHNATMAK'!K200)),"A",IF(NOT(ISBLANK('A-RACHNATMAK'!K199)),"B",IF(NOT(ISBLANK('A-RACHNATMAK'!K198)),"C","")))</f>
        <v/>
      </c>
      <c r="K184" s="622" t="str">
        <f>IF(NOT(ISBLANK('A-RACHNATMAK'!L200)),"A",IF(NOT(ISBLANK('A-RACHNATMAK'!L199)),"B",IF(NOT(ISBLANK('A-RACHNATMAK'!L198)),"C","")))</f>
        <v/>
      </c>
      <c r="L184" s="622" t="str">
        <f>IF(NOT(ISBLANK('A-RACHNATMAK'!M200)),"A",IF(NOT(ISBLANK('A-RACHNATMAK'!M199)),"B",IF(NOT(ISBLANK('A-RACHNATMAK'!M198)),"C","")))</f>
        <v/>
      </c>
      <c r="M184" s="622" t="str">
        <f>IF(NOT(ISBLANK('A-RACHNATMAK'!N200)),"A",IF(NOT(ISBLANK('A-RACHNATMAK'!N199)),"B",IF(NOT(ISBLANK('A-RACHNATMAK'!N198)),"C","")))</f>
        <v/>
      </c>
      <c r="N184" s="622" t="str">
        <f>IF(NOT(ISBLANK('A-RACHNATMAK'!O200)),"A",IF(NOT(ISBLANK('A-RACHNATMAK'!O199)),"B",IF(NOT(ISBLANK('A-RACHNATMAK'!O198)),"C","")))</f>
        <v/>
      </c>
      <c r="O184" s="622" t="str">
        <f>IF(NOT(ISBLANK('A-RACHNATMAK'!P200)),"A",IF(NOT(ISBLANK('A-RACHNATMAK'!P199)),"B",IF(NOT(ISBLANK('A-RACHNATMAK'!P198)),"C","")))</f>
        <v/>
      </c>
      <c r="P184" s="622" t="str">
        <f>IF(NOT(ISBLANK('A-RACHNATMAK'!Q200)),"A",IF(NOT(ISBLANK('A-RACHNATMAK'!Q199)),"B",IF(NOT(ISBLANK('A-RACHNATMAK'!Q198)),"C","")))</f>
        <v/>
      </c>
      <c r="Q184" s="622" t="str">
        <f>IF(NOT(ISBLANK('A-RACHNATMAK'!R200)),"A",IF(NOT(ISBLANK('A-RACHNATMAK'!R199)),"B",IF(NOT(ISBLANK('A-RACHNATMAK'!R198)),"C","")))</f>
        <v/>
      </c>
      <c r="R184" s="622" t="str">
        <f>IF(NOT(ISBLANK('A-RACHNATMAK'!S200)),"A",IF(NOT(ISBLANK('A-RACHNATMAK'!S199)),"B",IF(NOT(ISBLANK('A-RACHNATMAK'!S198)),"C","")))</f>
        <v/>
      </c>
      <c r="S184" s="622" t="str">
        <f>IF(NOT(ISBLANK('A-RACHNATMAK'!T200)),"A",IF(NOT(ISBLANK('A-RACHNATMAK'!T199)),"B",IF(NOT(ISBLANK('A-RACHNATMAK'!T198)),"C","")))</f>
        <v/>
      </c>
      <c r="T184" s="622" t="str">
        <f>IF(NOT(ISBLANK('A-RACHNATMAK'!U200)),"A",IF(NOT(ISBLANK('A-RACHNATMAK'!U199)),"B",IF(NOT(ISBLANK('A-RACHNATMAK'!U198)),"C","")))</f>
        <v/>
      </c>
      <c r="U184" s="622" t="str">
        <f>IF(NOT(ISBLANK('A-RACHNATMAK'!V200)),"A",IF(NOT(ISBLANK('A-RACHNATMAK'!V199)),"B",IF(NOT(ISBLANK('A-RACHNATMAK'!V198)),"C","")))</f>
        <v/>
      </c>
      <c r="V184" s="622">
        <f t="shared" ref="V184" si="348">COUNTIF(B184:U184,"A")</f>
        <v>0</v>
      </c>
      <c r="W184" s="622">
        <f t="shared" ref="W184" si="349">COUNTIF(B184:U184,"B")</f>
        <v>0</v>
      </c>
      <c r="X184" s="622">
        <f t="shared" ref="X184" si="350">COUNTIF(B184:U184,"C")</f>
        <v>0</v>
      </c>
      <c r="Y184" s="330"/>
      <c r="Z184" s="623">
        <v>26</v>
      </c>
      <c r="AA184" s="622" t="str">
        <f>IF(NOT(ISBLANK('A-RACHNATMAK'!AD200)),"A",IF(NOT(ISBLANK('A-RACHNATMAK'!AD199)),"B",IF(NOT(ISBLANK('A-RACHNATMAK'!AD198)),"C","")))</f>
        <v/>
      </c>
      <c r="AB184" s="622" t="str">
        <f>IF(NOT(ISBLANK('A-RACHNATMAK'!AE200)),"A",IF(NOT(ISBLANK('A-RACHNATMAK'!AE199)),"B",IF(NOT(ISBLANK('A-RACHNATMAK'!AE198)),"C","")))</f>
        <v/>
      </c>
      <c r="AC184" s="622" t="str">
        <f>IF(NOT(ISBLANK('A-RACHNATMAK'!AF200)),"A",IF(NOT(ISBLANK('A-RACHNATMAK'!AF199)),"B",IF(NOT(ISBLANK('A-RACHNATMAK'!AF198)),"C","")))</f>
        <v/>
      </c>
      <c r="AD184" s="622" t="str">
        <f>IF(NOT(ISBLANK('A-RACHNATMAK'!AG200)),"A",IF(NOT(ISBLANK('A-RACHNATMAK'!AG199)),"B",IF(NOT(ISBLANK('A-RACHNATMAK'!AG198)),"C","")))</f>
        <v/>
      </c>
      <c r="AE184" s="622" t="str">
        <f>IF(NOT(ISBLANK('A-RACHNATMAK'!AH200)),"A",IF(NOT(ISBLANK('A-RACHNATMAK'!AH199)),"B",IF(NOT(ISBLANK('A-RACHNATMAK'!AH198)),"C","")))</f>
        <v/>
      </c>
      <c r="AF184" s="622" t="str">
        <f>IF(NOT(ISBLANK('A-RACHNATMAK'!AI200)),"A",IF(NOT(ISBLANK('A-RACHNATMAK'!AI199)),"B",IF(NOT(ISBLANK('A-RACHNATMAK'!AI198)),"C","")))</f>
        <v/>
      </c>
      <c r="AG184" s="622" t="str">
        <f>IF(NOT(ISBLANK('A-RACHNATMAK'!AJ200)),"A",IF(NOT(ISBLANK('A-RACHNATMAK'!AJ199)),"B",IF(NOT(ISBLANK('A-RACHNATMAK'!AJ198)),"C","")))</f>
        <v/>
      </c>
      <c r="AH184" s="622" t="str">
        <f>IF(NOT(ISBLANK('A-RACHNATMAK'!AK200)),"A",IF(NOT(ISBLANK('A-RACHNATMAK'!AK199)),"B",IF(NOT(ISBLANK('A-RACHNATMAK'!AK198)),"C","")))</f>
        <v/>
      </c>
      <c r="AI184" s="622" t="str">
        <f>IF(NOT(ISBLANK('A-RACHNATMAK'!AL200)),"A",IF(NOT(ISBLANK('A-RACHNATMAK'!AL199)),"B",IF(NOT(ISBLANK('A-RACHNATMAK'!AL198)),"C","")))</f>
        <v/>
      </c>
      <c r="AJ184" s="622" t="str">
        <f>IF(NOT(ISBLANK('A-RACHNATMAK'!AM200)),"A",IF(NOT(ISBLANK('A-RACHNATMAK'!AM199)),"B",IF(NOT(ISBLANK('A-RACHNATMAK'!AM198)),"C","")))</f>
        <v/>
      </c>
      <c r="AK184" s="622" t="str">
        <f>IF(NOT(ISBLANK('A-RACHNATMAK'!AN200)),"A",IF(NOT(ISBLANK('A-RACHNATMAK'!AN199)),"B",IF(NOT(ISBLANK('A-RACHNATMAK'!AN198)),"C","")))</f>
        <v/>
      </c>
      <c r="AL184" s="622" t="str">
        <f>IF(NOT(ISBLANK('A-RACHNATMAK'!AO200)),"A",IF(NOT(ISBLANK('A-RACHNATMAK'!AO199)),"B",IF(NOT(ISBLANK('A-RACHNATMAK'!AO198)),"C","")))</f>
        <v/>
      </c>
      <c r="AM184" s="622" t="str">
        <f>IF(NOT(ISBLANK('A-RACHNATMAK'!AP200)),"A",IF(NOT(ISBLANK('A-RACHNATMAK'!AP199)),"B",IF(NOT(ISBLANK('A-RACHNATMAK'!AP198)),"C","")))</f>
        <v/>
      </c>
      <c r="AN184" s="622" t="str">
        <f>IF(NOT(ISBLANK('A-RACHNATMAK'!AQ200)),"A",IF(NOT(ISBLANK('A-RACHNATMAK'!AQ199)),"B",IF(NOT(ISBLANK('A-RACHNATMAK'!AQ198)),"C","")))</f>
        <v/>
      </c>
      <c r="AO184" s="622" t="str">
        <f>IF(NOT(ISBLANK('A-RACHNATMAK'!AR200)),"A",IF(NOT(ISBLANK('A-RACHNATMAK'!AR199)),"B",IF(NOT(ISBLANK('A-RACHNATMAK'!AR198)),"C","")))</f>
        <v/>
      </c>
      <c r="AP184" s="622" t="str">
        <f>IF(NOT(ISBLANK('A-RACHNATMAK'!AS200)),"A",IF(NOT(ISBLANK('A-RACHNATMAK'!AS199)),"B",IF(NOT(ISBLANK('A-RACHNATMAK'!AS198)),"C","")))</f>
        <v/>
      </c>
      <c r="AQ184" s="622" t="str">
        <f>IF(NOT(ISBLANK('A-RACHNATMAK'!AT200)),"A",IF(NOT(ISBLANK('A-RACHNATMAK'!AT199)),"B",IF(NOT(ISBLANK('A-RACHNATMAK'!AT198)),"C","")))</f>
        <v/>
      </c>
      <c r="AR184" s="622" t="str">
        <f>IF(NOT(ISBLANK('A-RACHNATMAK'!AU200)),"A",IF(NOT(ISBLANK('A-RACHNATMAK'!AU199)),"B",IF(NOT(ISBLANK('A-RACHNATMAK'!AU198)),"C","")))</f>
        <v/>
      </c>
      <c r="AS184" s="622" t="str">
        <f>IF(NOT(ISBLANK('A-RACHNATMAK'!AV200)),"A",IF(NOT(ISBLANK('A-RACHNATMAK'!AV199)),"B",IF(NOT(ISBLANK('A-RACHNATMAK'!AV198)),"C","")))</f>
        <v/>
      </c>
      <c r="AT184" s="622" t="str">
        <f>IF(NOT(ISBLANK('A-RACHNATMAK'!AW200)),"A",IF(NOT(ISBLANK('A-RACHNATMAK'!AW199)),"B",IF(NOT(ISBLANK('A-RACHNATMAK'!AW198)),"C","")))</f>
        <v/>
      </c>
      <c r="AU184" s="622">
        <f t="shared" ref="AU184" si="351">COUNTIF(AA184:AT184,"A")</f>
        <v>0</v>
      </c>
      <c r="AV184" s="622">
        <f t="shared" ref="AV184" si="352">COUNTIF(AA184:AT184,"B")</f>
        <v>0</v>
      </c>
      <c r="AW184" s="622">
        <f t="shared" ref="AW184" si="353">COUNTIF(AA184:AT184,"C")</f>
        <v>0</v>
      </c>
    </row>
    <row r="185" spans="1:49" ht="7.5" customHeight="1">
      <c r="A185" s="623"/>
      <c r="B185" s="622"/>
      <c r="C185" s="622"/>
      <c r="D185" s="622"/>
      <c r="E185" s="622"/>
      <c r="F185" s="622"/>
      <c r="G185" s="622"/>
      <c r="H185" s="622"/>
      <c r="I185" s="622"/>
      <c r="J185" s="622"/>
      <c r="K185" s="622"/>
      <c r="L185" s="622"/>
      <c r="M185" s="622"/>
      <c r="N185" s="622"/>
      <c r="O185" s="622"/>
      <c r="P185" s="622"/>
      <c r="Q185" s="622"/>
      <c r="R185" s="622"/>
      <c r="S185" s="622"/>
      <c r="T185" s="622"/>
      <c r="U185" s="622"/>
      <c r="V185" s="622"/>
      <c r="W185" s="622"/>
      <c r="X185" s="622"/>
      <c r="Y185" s="330"/>
      <c r="Z185" s="623"/>
      <c r="AA185" s="622"/>
      <c r="AB185" s="622"/>
      <c r="AC185" s="622"/>
      <c r="AD185" s="622"/>
      <c r="AE185" s="622"/>
      <c r="AF185" s="622"/>
      <c r="AG185" s="622"/>
      <c r="AH185" s="622"/>
      <c r="AI185" s="622"/>
      <c r="AJ185" s="622"/>
      <c r="AK185" s="622"/>
      <c r="AL185" s="622"/>
      <c r="AM185" s="622"/>
      <c r="AN185" s="622"/>
      <c r="AO185" s="622"/>
      <c r="AP185" s="622"/>
      <c r="AQ185" s="622"/>
      <c r="AR185" s="622"/>
      <c r="AS185" s="622"/>
      <c r="AT185" s="622"/>
      <c r="AU185" s="622"/>
      <c r="AV185" s="622"/>
      <c r="AW185" s="622"/>
    </row>
    <row r="186" spans="1:49" ht="7.5" customHeight="1">
      <c r="A186" s="623"/>
      <c r="B186" s="622"/>
      <c r="C186" s="622"/>
      <c r="D186" s="622"/>
      <c r="E186" s="622"/>
      <c r="F186" s="622"/>
      <c r="G186" s="622"/>
      <c r="H186" s="622"/>
      <c r="I186" s="622"/>
      <c r="J186" s="622"/>
      <c r="K186" s="622"/>
      <c r="L186" s="622"/>
      <c r="M186" s="622"/>
      <c r="N186" s="622"/>
      <c r="O186" s="622"/>
      <c r="P186" s="622"/>
      <c r="Q186" s="622"/>
      <c r="R186" s="622"/>
      <c r="S186" s="622"/>
      <c r="T186" s="622"/>
      <c r="U186" s="622"/>
      <c r="V186" s="622"/>
      <c r="W186" s="622"/>
      <c r="X186" s="622"/>
      <c r="Y186" s="330"/>
      <c r="Z186" s="623"/>
      <c r="AA186" s="622"/>
      <c r="AB186" s="622"/>
      <c r="AC186" s="622"/>
      <c r="AD186" s="622"/>
      <c r="AE186" s="622"/>
      <c r="AF186" s="622"/>
      <c r="AG186" s="622"/>
      <c r="AH186" s="622"/>
      <c r="AI186" s="622"/>
      <c r="AJ186" s="622"/>
      <c r="AK186" s="622"/>
      <c r="AL186" s="622"/>
      <c r="AM186" s="622"/>
      <c r="AN186" s="622"/>
      <c r="AO186" s="622"/>
      <c r="AP186" s="622"/>
      <c r="AQ186" s="622"/>
      <c r="AR186" s="622"/>
      <c r="AS186" s="622"/>
      <c r="AT186" s="622"/>
      <c r="AU186" s="622"/>
      <c r="AV186" s="622"/>
      <c r="AW186" s="622"/>
    </row>
    <row r="187" spans="1:49" ht="7.5" customHeight="1">
      <c r="A187" s="623">
        <v>27</v>
      </c>
      <c r="B187" s="622" t="str">
        <f>IF(NOT(ISBLANK('A-RACHNATMAK'!C203)),"A",IF(NOT(ISBLANK('A-RACHNATMAK'!C202)),"B",IF(NOT(ISBLANK('A-RACHNATMAK'!C201)),"C","")))</f>
        <v/>
      </c>
      <c r="C187" s="622" t="str">
        <f>IF(NOT(ISBLANK('A-RACHNATMAK'!D203)),"A",IF(NOT(ISBLANK('A-RACHNATMAK'!D202)),"B",IF(NOT(ISBLANK('A-RACHNATMAK'!D201)),"C","")))</f>
        <v/>
      </c>
      <c r="D187" s="622" t="str">
        <f>IF(NOT(ISBLANK('A-RACHNATMAK'!E203)),"A",IF(NOT(ISBLANK('A-RACHNATMAK'!E202)),"B",IF(NOT(ISBLANK('A-RACHNATMAK'!E201)),"C","")))</f>
        <v/>
      </c>
      <c r="E187" s="622" t="str">
        <f>IF(NOT(ISBLANK('A-RACHNATMAK'!F203)),"A",IF(NOT(ISBLANK('A-RACHNATMAK'!F202)),"B",IF(NOT(ISBLANK('A-RACHNATMAK'!F201)),"C","")))</f>
        <v/>
      </c>
      <c r="F187" s="622" t="str">
        <f>IF(NOT(ISBLANK('A-RACHNATMAK'!G203)),"A",IF(NOT(ISBLANK('A-RACHNATMAK'!G202)),"B",IF(NOT(ISBLANK('A-RACHNATMAK'!G201)),"C","")))</f>
        <v/>
      </c>
      <c r="G187" s="622" t="str">
        <f>IF(NOT(ISBLANK('A-RACHNATMAK'!H203)),"A",IF(NOT(ISBLANK('A-RACHNATMAK'!H202)),"B",IF(NOT(ISBLANK('A-RACHNATMAK'!H201)),"C","")))</f>
        <v/>
      </c>
      <c r="H187" s="622" t="str">
        <f>IF(NOT(ISBLANK('A-RACHNATMAK'!I203)),"A",IF(NOT(ISBLANK('A-RACHNATMAK'!I202)),"B",IF(NOT(ISBLANK('A-RACHNATMAK'!I201)),"C","")))</f>
        <v/>
      </c>
      <c r="I187" s="622" t="str">
        <f>IF(NOT(ISBLANK('A-RACHNATMAK'!J203)),"A",IF(NOT(ISBLANK('A-RACHNATMAK'!J202)),"B",IF(NOT(ISBLANK('A-RACHNATMAK'!J201)),"C","")))</f>
        <v/>
      </c>
      <c r="J187" s="622" t="str">
        <f>IF(NOT(ISBLANK('A-RACHNATMAK'!K203)),"A",IF(NOT(ISBLANK('A-RACHNATMAK'!K202)),"B",IF(NOT(ISBLANK('A-RACHNATMAK'!K201)),"C","")))</f>
        <v/>
      </c>
      <c r="K187" s="622" t="str">
        <f>IF(NOT(ISBLANK('A-RACHNATMAK'!L203)),"A",IF(NOT(ISBLANK('A-RACHNATMAK'!L202)),"B",IF(NOT(ISBLANK('A-RACHNATMAK'!L201)),"C","")))</f>
        <v/>
      </c>
      <c r="L187" s="622" t="str">
        <f>IF(NOT(ISBLANK('A-RACHNATMAK'!M203)),"A",IF(NOT(ISBLANK('A-RACHNATMAK'!M202)),"B",IF(NOT(ISBLANK('A-RACHNATMAK'!M201)),"C","")))</f>
        <v/>
      </c>
      <c r="M187" s="622" t="str">
        <f>IF(NOT(ISBLANK('A-RACHNATMAK'!N203)),"A",IF(NOT(ISBLANK('A-RACHNATMAK'!N202)),"B",IF(NOT(ISBLANK('A-RACHNATMAK'!N201)),"C","")))</f>
        <v/>
      </c>
      <c r="N187" s="622" t="str">
        <f>IF(NOT(ISBLANK('A-RACHNATMAK'!O203)),"A",IF(NOT(ISBLANK('A-RACHNATMAK'!O202)),"B",IF(NOT(ISBLANK('A-RACHNATMAK'!O201)),"C","")))</f>
        <v/>
      </c>
      <c r="O187" s="622" t="str">
        <f>IF(NOT(ISBLANK('A-RACHNATMAK'!P203)),"A",IF(NOT(ISBLANK('A-RACHNATMAK'!P202)),"B",IF(NOT(ISBLANK('A-RACHNATMAK'!P201)),"C","")))</f>
        <v/>
      </c>
      <c r="P187" s="622" t="str">
        <f>IF(NOT(ISBLANK('A-RACHNATMAK'!Q203)),"A",IF(NOT(ISBLANK('A-RACHNATMAK'!Q202)),"B",IF(NOT(ISBLANK('A-RACHNATMAK'!Q201)),"C","")))</f>
        <v/>
      </c>
      <c r="Q187" s="622" t="str">
        <f>IF(NOT(ISBLANK('A-RACHNATMAK'!R203)),"A",IF(NOT(ISBLANK('A-RACHNATMAK'!R202)),"B",IF(NOT(ISBLANK('A-RACHNATMAK'!R201)),"C","")))</f>
        <v/>
      </c>
      <c r="R187" s="622" t="str">
        <f>IF(NOT(ISBLANK('A-RACHNATMAK'!S203)),"A",IF(NOT(ISBLANK('A-RACHNATMAK'!S202)),"B",IF(NOT(ISBLANK('A-RACHNATMAK'!S201)),"C","")))</f>
        <v/>
      </c>
      <c r="S187" s="622" t="str">
        <f>IF(NOT(ISBLANK('A-RACHNATMAK'!T203)),"A",IF(NOT(ISBLANK('A-RACHNATMAK'!T202)),"B",IF(NOT(ISBLANK('A-RACHNATMAK'!T201)),"C","")))</f>
        <v/>
      </c>
      <c r="T187" s="622" t="str">
        <f>IF(NOT(ISBLANK('A-RACHNATMAK'!U203)),"A",IF(NOT(ISBLANK('A-RACHNATMAK'!U202)),"B",IF(NOT(ISBLANK('A-RACHNATMAK'!U201)),"C","")))</f>
        <v/>
      </c>
      <c r="U187" s="622" t="str">
        <f>IF(NOT(ISBLANK('A-RACHNATMAK'!V203)),"A",IF(NOT(ISBLANK('A-RACHNATMAK'!V202)),"B",IF(NOT(ISBLANK('A-RACHNATMAK'!V201)),"C","")))</f>
        <v/>
      </c>
      <c r="V187" s="622">
        <f t="shared" ref="V187" si="354">COUNTIF(B187:U187,"A")</f>
        <v>0</v>
      </c>
      <c r="W187" s="622">
        <f t="shared" ref="W187" si="355">COUNTIF(B187:U187,"B")</f>
        <v>0</v>
      </c>
      <c r="X187" s="622">
        <f t="shared" ref="X187" si="356">COUNTIF(B187:U187,"C")</f>
        <v>0</v>
      </c>
      <c r="Y187" s="330"/>
      <c r="Z187" s="623">
        <v>27</v>
      </c>
      <c r="AA187" s="622" t="str">
        <f>IF(NOT(ISBLANK('A-RACHNATMAK'!AD203)),"A",IF(NOT(ISBLANK('A-RACHNATMAK'!AD202)),"B",IF(NOT(ISBLANK('A-RACHNATMAK'!AD201)),"C","")))</f>
        <v/>
      </c>
      <c r="AB187" s="622" t="str">
        <f>IF(NOT(ISBLANK('A-RACHNATMAK'!AE203)),"A",IF(NOT(ISBLANK('A-RACHNATMAK'!AE202)),"B",IF(NOT(ISBLANK('A-RACHNATMAK'!AE201)),"C","")))</f>
        <v/>
      </c>
      <c r="AC187" s="622" t="str">
        <f>IF(NOT(ISBLANK('A-RACHNATMAK'!AF203)),"A",IF(NOT(ISBLANK('A-RACHNATMAK'!AF202)),"B",IF(NOT(ISBLANK('A-RACHNATMAK'!AF201)),"C","")))</f>
        <v/>
      </c>
      <c r="AD187" s="622" t="str">
        <f>IF(NOT(ISBLANK('A-RACHNATMAK'!AG203)),"A",IF(NOT(ISBLANK('A-RACHNATMAK'!AG202)),"B",IF(NOT(ISBLANK('A-RACHNATMAK'!AG201)),"C","")))</f>
        <v/>
      </c>
      <c r="AE187" s="622" t="str">
        <f>IF(NOT(ISBLANK('A-RACHNATMAK'!AH203)),"A",IF(NOT(ISBLANK('A-RACHNATMAK'!AH202)),"B",IF(NOT(ISBLANK('A-RACHNATMAK'!AH201)),"C","")))</f>
        <v/>
      </c>
      <c r="AF187" s="622" t="str">
        <f>IF(NOT(ISBLANK('A-RACHNATMAK'!AI203)),"A",IF(NOT(ISBLANK('A-RACHNATMAK'!AI202)),"B",IF(NOT(ISBLANK('A-RACHNATMAK'!AI201)),"C","")))</f>
        <v/>
      </c>
      <c r="AG187" s="622" t="str">
        <f>IF(NOT(ISBLANK('A-RACHNATMAK'!AJ203)),"A",IF(NOT(ISBLANK('A-RACHNATMAK'!AJ202)),"B",IF(NOT(ISBLANK('A-RACHNATMAK'!AJ201)),"C","")))</f>
        <v/>
      </c>
      <c r="AH187" s="622" t="str">
        <f>IF(NOT(ISBLANK('A-RACHNATMAK'!AK203)),"A",IF(NOT(ISBLANK('A-RACHNATMAK'!AK202)),"B",IF(NOT(ISBLANK('A-RACHNATMAK'!AK201)),"C","")))</f>
        <v/>
      </c>
      <c r="AI187" s="622" t="str">
        <f>IF(NOT(ISBLANK('A-RACHNATMAK'!AL203)),"A",IF(NOT(ISBLANK('A-RACHNATMAK'!AL202)),"B",IF(NOT(ISBLANK('A-RACHNATMAK'!AL201)),"C","")))</f>
        <v/>
      </c>
      <c r="AJ187" s="622" t="str">
        <f>IF(NOT(ISBLANK('A-RACHNATMAK'!AM203)),"A",IF(NOT(ISBLANK('A-RACHNATMAK'!AM202)),"B",IF(NOT(ISBLANK('A-RACHNATMAK'!AM201)),"C","")))</f>
        <v/>
      </c>
      <c r="AK187" s="622" t="str">
        <f>IF(NOT(ISBLANK('A-RACHNATMAK'!AN203)),"A",IF(NOT(ISBLANK('A-RACHNATMAK'!AN202)),"B",IF(NOT(ISBLANK('A-RACHNATMAK'!AN201)),"C","")))</f>
        <v/>
      </c>
      <c r="AL187" s="622" t="str">
        <f>IF(NOT(ISBLANK('A-RACHNATMAK'!AO203)),"A",IF(NOT(ISBLANK('A-RACHNATMAK'!AO202)),"B",IF(NOT(ISBLANK('A-RACHNATMAK'!AO201)),"C","")))</f>
        <v/>
      </c>
      <c r="AM187" s="622" t="str">
        <f>IF(NOT(ISBLANK('A-RACHNATMAK'!AP203)),"A",IF(NOT(ISBLANK('A-RACHNATMAK'!AP202)),"B",IF(NOT(ISBLANK('A-RACHNATMAK'!AP201)),"C","")))</f>
        <v/>
      </c>
      <c r="AN187" s="622" t="str">
        <f>IF(NOT(ISBLANK('A-RACHNATMAK'!AQ203)),"A",IF(NOT(ISBLANK('A-RACHNATMAK'!AQ202)),"B",IF(NOT(ISBLANK('A-RACHNATMAK'!AQ201)),"C","")))</f>
        <v/>
      </c>
      <c r="AO187" s="622" t="str">
        <f>IF(NOT(ISBLANK('A-RACHNATMAK'!AR203)),"A",IF(NOT(ISBLANK('A-RACHNATMAK'!AR202)),"B",IF(NOT(ISBLANK('A-RACHNATMAK'!AR201)),"C","")))</f>
        <v/>
      </c>
      <c r="AP187" s="622" t="str">
        <f>IF(NOT(ISBLANK('A-RACHNATMAK'!AS203)),"A",IF(NOT(ISBLANK('A-RACHNATMAK'!AS202)),"B",IF(NOT(ISBLANK('A-RACHNATMAK'!AS201)),"C","")))</f>
        <v/>
      </c>
      <c r="AQ187" s="622" t="str">
        <f>IF(NOT(ISBLANK('A-RACHNATMAK'!AT203)),"A",IF(NOT(ISBLANK('A-RACHNATMAK'!AT202)),"B",IF(NOT(ISBLANK('A-RACHNATMAK'!AT201)),"C","")))</f>
        <v/>
      </c>
      <c r="AR187" s="622" t="str">
        <f>IF(NOT(ISBLANK('A-RACHNATMAK'!AU203)),"A",IF(NOT(ISBLANK('A-RACHNATMAK'!AU202)),"B",IF(NOT(ISBLANK('A-RACHNATMAK'!AU201)),"C","")))</f>
        <v/>
      </c>
      <c r="AS187" s="622" t="str">
        <f>IF(NOT(ISBLANK('A-RACHNATMAK'!AV203)),"A",IF(NOT(ISBLANK('A-RACHNATMAK'!AV202)),"B",IF(NOT(ISBLANK('A-RACHNATMAK'!AV201)),"C","")))</f>
        <v/>
      </c>
      <c r="AT187" s="622" t="str">
        <f>IF(NOT(ISBLANK('A-RACHNATMAK'!AW203)),"A",IF(NOT(ISBLANK('A-RACHNATMAK'!AW202)),"B",IF(NOT(ISBLANK('A-RACHNATMAK'!AW201)),"C","")))</f>
        <v/>
      </c>
      <c r="AU187" s="622">
        <f t="shared" ref="AU187" si="357">COUNTIF(AA187:AT187,"A")</f>
        <v>0</v>
      </c>
      <c r="AV187" s="622">
        <f t="shared" ref="AV187" si="358">COUNTIF(AA187:AT187,"B")</f>
        <v>0</v>
      </c>
      <c r="AW187" s="622">
        <f t="shared" ref="AW187" si="359">COUNTIF(AA187:AT187,"C")</f>
        <v>0</v>
      </c>
    </row>
    <row r="188" spans="1:49" ht="7.5" customHeight="1">
      <c r="A188" s="623"/>
      <c r="B188" s="622"/>
      <c r="C188" s="622"/>
      <c r="D188" s="622"/>
      <c r="E188" s="622"/>
      <c r="F188" s="622"/>
      <c r="G188" s="622"/>
      <c r="H188" s="622"/>
      <c r="I188" s="622"/>
      <c r="J188" s="622"/>
      <c r="K188" s="622"/>
      <c r="L188" s="622"/>
      <c r="M188" s="622"/>
      <c r="N188" s="622"/>
      <c r="O188" s="622"/>
      <c r="P188" s="622"/>
      <c r="Q188" s="622"/>
      <c r="R188" s="622"/>
      <c r="S188" s="622"/>
      <c r="T188" s="622"/>
      <c r="U188" s="622"/>
      <c r="V188" s="622"/>
      <c r="W188" s="622"/>
      <c r="X188" s="622"/>
      <c r="Y188" s="330"/>
      <c r="Z188" s="623"/>
      <c r="AA188" s="622"/>
      <c r="AB188" s="622"/>
      <c r="AC188" s="622"/>
      <c r="AD188" s="622"/>
      <c r="AE188" s="622"/>
      <c r="AF188" s="622"/>
      <c r="AG188" s="622"/>
      <c r="AH188" s="622"/>
      <c r="AI188" s="622"/>
      <c r="AJ188" s="622"/>
      <c r="AK188" s="622"/>
      <c r="AL188" s="622"/>
      <c r="AM188" s="622"/>
      <c r="AN188" s="622"/>
      <c r="AO188" s="622"/>
      <c r="AP188" s="622"/>
      <c r="AQ188" s="622"/>
      <c r="AR188" s="622"/>
      <c r="AS188" s="622"/>
      <c r="AT188" s="622"/>
      <c r="AU188" s="622"/>
      <c r="AV188" s="622"/>
      <c r="AW188" s="622"/>
    </row>
    <row r="189" spans="1:49" ht="7.5" customHeight="1">
      <c r="A189" s="623"/>
      <c r="B189" s="622"/>
      <c r="C189" s="622"/>
      <c r="D189" s="622"/>
      <c r="E189" s="622"/>
      <c r="F189" s="622"/>
      <c r="G189" s="622"/>
      <c r="H189" s="622"/>
      <c r="I189" s="622"/>
      <c r="J189" s="622"/>
      <c r="K189" s="622"/>
      <c r="L189" s="622"/>
      <c r="M189" s="622"/>
      <c r="N189" s="622"/>
      <c r="O189" s="622"/>
      <c r="P189" s="622"/>
      <c r="Q189" s="622"/>
      <c r="R189" s="622"/>
      <c r="S189" s="622"/>
      <c r="T189" s="622"/>
      <c r="U189" s="622"/>
      <c r="V189" s="622"/>
      <c r="W189" s="622"/>
      <c r="X189" s="622"/>
      <c r="Y189" s="330"/>
      <c r="Z189" s="623"/>
      <c r="AA189" s="622"/>
      <c r="AB189" s="622"/>
      <c r="AC189" s="622"/>
      <c r="AD189" s="622"/>
      <c r="AE189" s="622"/>
      <c r="AF189" s="622"/>
      <c r="AG189" s="622"/>
      <c r="AH189" s="622"/>
      <c r="AI189" s="622"/>
      <c r="AJ189" s="622"/>
      <c r="AK189" s="622"/>
      <c r="AL189" s="622"/>
      <c r="AM189" s="622"/>
      <c r="AN189" s="622"/>
      <c r="AO189" s="622"/>
      <c r="AP189" s="622"/>
      <c r="AQ189" s="622"/>
      <c r="AR189" s="622"/>
      <c r="AS189" s="622"/>
      <c r="AT189" s="622"/>
      <c r="AU189" s="622"/>
      <c r="AV189" s="622"/>
      <c r="AW189" s="622"/>
    </row>
    <row r="190" spans="1:49" ht="7.5" customHeight="1">
      <c r="A190" s="623">
        <v>28</v>
      </c>
      <c r="B190" s="622" t="str">
        <f>IF(NOT(ISBLANK('A-RACHNATMAK'!C206)),"A",IF(NOT(ISBLANK('A-RACHNATMAK'!C205)),"B",IF(NOT(ISBLANK('A-RACHNATMAK'!C204)),"C","")))</f>
        <v/>
      </c>
      <c r="C190" s="622" t="str">
        <f>IF(NOT(ISBLANK('A-RACHNATMAK'!D206)),"A",IF(NOT(ISBLANK('A-RACHNATMAK'!D205)),"B",IF(NOT(ISBLANK('A-RACHNATMAK'!D204)),"C","")))</f>
        <v/>
      </c>
      <c r="D190" s="622" t="str">
        <f>IF(NOT(ISBLANK('A-RACHNATMAK'!E206)),"A",IF(NOT(ISBLANK('A-RACHNATMAK'!E205)),"B",IF(NOT(ISBLANK('A-RACHNATMAK'!E204)),"C","")))</f>
        <v/>
      </c>
      <c r="E190" s="622" t="str">
        <f>IF(NOT(ISBLANK('A-RACHNATMAK'!F206)),"A",IF(NOT(ISBLANK('A-RACHNATMAK'!F205)),"B",IF(NOT(ISBLANK('A-RACHNATMAK'!F204)),"C","")))</f>
        <v/>
      </c>
      <c r="F190" s="622" t="str">
        <f>IF(NOT(ISBLANK('A-RACHNATMAK'!G206)),"A",IF(NOT(ISBLANK('A-RACHNATMAK'!G205)),"B",IF(NOT(ISBLANK('A-RACHNATMAK'!G204)),"C","")))</f>
        <v/>
      </c>
      <c r="G190" s="622" t="str">
        <f>IF(NOT(ISBLANK('A-RACHNATMAK'!H206)),"A",IF(NOT(ISBLANK('A-RACHNATMAK'!H205)),"B",IF(NOT(ISBLANK('A-RACHNATMAK'!H204)),"C","")))</f>
        <v/>
      </c>
      <c r="H190" s="622" t="str">
        <f>IF(NOT(ISBLANK('A-RACHNATMAK'!I206)),"A",IF(NOT(ISBLANK('A-RACHNATMAK'!I205)),"B",IF(NOT(ISBLANK('A-RACHNATMAK'!I204)),"C","")))</f>
        <v/>
      </c>
      <c r="I190" s="622" t="str">
        <f>IF(NOT(ISBLANK('A-RACHNATMAK'!J206)),"A",IF(NOT(ISBLANK('A-RACHNATMAK'!J205)),"B",IF(NOT(ISBLANK('A-RACHNATMAK'!J204)),"C","")))</f>
        <v/>
      </c>
      <c r="J190" s="622" t="str">
        <f>IF(NOT(ISBLANK('A-RACHNATMAK'!K206)),"A",IF(NOT(ISBLANK('A-RACHNATMAK'!K205)),"B",IF(NOT(ISBLANK('A-RACHNATMAK'!K204)),"C","")))</f>
        <v/>
      </c>
      <c r="K190" s="622" t="str">
        <f>IF(NOT(ISBLANK('A-RACHNATMAK'!L206)),"A",IF(NOT(ISBLANK('A-RACHNATMAK'!L205)),"B",IF(NOT(ISBLANK('A-RACHNATMAK'!L204)),"C","")))</f>
        <v/>
      </c>
      <c r="L190" s="622" t="str">
        <f>IF(NOT(ISBLANK('A-RACHNATMAK'!M206)),"A",IF(NOT(ISBLANK('A-RACHNATMAK'!M205)),"B",IF(NOT(ISBLANK('A-RACHNATMAK'!M204)),"C","")))</f>
        <v/>
      </c>
      <c r="M190" s="622" t="str">
        <f>IF(NOT(ISBLANK('A-RACHNATMAK'!N206)),"A",IF(NOT(ISBLANK('A-RACHNATMAK'!N205)),"B",IF(NOT(ISBLANK('A-RACHNATMAK'!N204)),"C","")))</f>
        <v/>
      </c>
      <c r="N190" s="622" t="str">
        <f>IF(NOT(ISBLANK('A-RACHNATMAK'!O206)),"A",IF(NOT(ISBLANK('A-RACHNATMAK'!O205)),"B",IF(NOT(ISBLANK('A-RACHNATMAK'!O204)),"C","")))</f>
        <v/>
      </c>
      <c r="O190" s="622" t="str">
        <f>IF(NOT(ISBLANK('A-RACHNATMAK'!P206)),"A",IF(NOT(ISBLANK('A-RACHNATMAK'!P205)),"B",IF(NOT(ISBLANK('A-RACHNATMAK'!P204)),"C","")))</f>
        <v/>
      </c>
      <c r="P190" s="622" t="str">
        <f>IF(NOT(ISBLANK('A-RACHNATMAK'!Q206)),"A",IF(NOT(ISBLANK('A-RACHNATMAK'!Q205)),"B",IF(NOT(ISBLANK('A-RACHNATMAK'!Q204)),"C","")))</f>
        <v/>
      </c>
      <c r="Q190" s="622" t="str">
        <f>IF(NOT(ISBLANK('A-RACHNATMAK'!R206)),"A",IF(NOT(ISBLANK('A-RACHNATMAK'!R205)),"B",IF(NOT(ISBLANK('A-RACHNATMAK'!R204)),"C","")))</f>
        <v/>
      </c>
      <c r="R190" s="622" t="str">
        <f>IF(NOT(ISBLANK('A-RACHNATMAK'!S206)),"A",IF(NOT(ISBLANK('A-RACHNATMAK'!S205)),"B",IF(NOT(ISBLANK('A-RACHNATMAK'!S204)),"C","")))</f>
        <v/>
      </c>
      <c r="S190" s="622" t="str">
        <f>IF(NOT(ISBLANK('A-RACHNATMAK'!T206)),"A",IF(NOT(ISBLANK('A-RACHNATMAK'!T205)),"B",IF(NOT(ISBLANK('A-RACHNATMAK'!T204)),"C","")))</f>
        <v/>
      </c>
      <c r="T190" s="622" t="str">
        <f>IF(NOT(ISBLANK('A-RACHNATMAK'!U206)),"A",IF(NOT(ISBLANK('A-RACHNATMAK'!U205)),"B",IF(NOT(ISBLANK('A-RACHNATMAK'!U204)),"C","")))</f>
        <v/>
      </c>
      <c r="U190" s="622" t="str">
        <f>IF(NOT(ISBLANK('A-RACHNATMAK'!V206)),"A",IF(NOT(ISBLANK('A-RACHNATMAK'!V205)),"B",IF(NOT(ISBLANK('A-RACHNATMAK'!V204)),"C","")))</f>
        <v/>
      </c>
      <c r="V190" s="622">
        <f t="shared" ref="V190" si="360">COUNTIF(B190:U190,"A")</f>
        <v>0</v>
      </c>
      <c r="W190" s="622">
        <f t="shared" ref="W190" si="361">COUNTIF(B190:U190,"B")</f>
        <v>0</v>
      </c>
      <c r="X190" s="622">
        <f t="shared" ref="X190" si="362">COUNTIF(B190:U190,"C")</f>
        <v>0</v>
      </c>
      <c r="Y190" s="330"/>
      <c r="Z190" s="623">
        <v>28</v>
      </c>
      <c r="AA190" s="622" t="str">
        <f>IF(NOT(ISBLANK('A-RACHNATMAK'!AD206)),"A",IF(NOT(ISBLANK('A-RACHNATMAK'!AD205)),"B",IF(NOT(ISBLANK('A-RACHNATMAK'!AD204)),"C","")))</f>
        <v/>
      </c>
      <c r="AB190" s="622" t="str">
        <f>IF(NOT(ISBLANK('A-RACHNATMAK'!AE206)),"A",IF(NOT(ISBLANK('A-RACHNATMAK'!AE205)),"B",IF(NOT(ISBLANK('A-RACHNATMAK'!AE204)),"C","")))</f>
        <v/>
      </c>
      <c r="AC190" s="622" t="str">
        <f>IF(NOT(ISBLANK('A-RACHNATMAK'!AF206)),"A",IF(NOT(ISBLANK('A-RACHNATMAK'!AF205)),"B",IF(NOT(ISBLANK('A-RACHNATMAK'!AF204)),"C","")))</f>
        <v/>
      </c>
      <c r="AD190" s="622" t="str">
        <f>IF(NOT(ISBLANK('A-RACHNATMAK'!AG206)),"A",IF(NOT(ISBLANK('A-RACHNATMAK'!AG205)),"B",IF(NOT(ISBLANK('A-RACHNATMAK'!AG204)),"C","")))</f>
        <v/>
      </c>
      <c r="AE190" s="622" t="str">
        <f>IF(NOT(ISBLANK('A-RACHNATMAK'!AH206)),"A",IF(NOT(ISBLANK('A-RACHNATMAK'!AH205)),"B",IF(NOT(ISBLANK('A-RACHNATMAK'!AH204)),"C","")))</f>
        <v/>
      </c>
      <c r="AF190" s="622" t="str">
        <f>IF(NOT(ISBLANK('A-RACHNATMAK'!AI206)),"A",IF(NOT(ISBLANK('A-RACHNATMAK'!AI205)),"B",IF(NOT(ISBLANK('A-RACHNATMAK'!AI204)),"C","")))</f>
        <v/>
      </c>
      <c r="AG190" s="622" t="str">
        <f>IF(NOT(ISBLANK('A-RACHNATMAK'!AJ206)),"A",IF(NOT(ISBLANK('A-RACHNATMAK'!AJ205)),"B",IF(NOT(ISBLANK('A-RACHNATMAK'!AJ204)),"C","")))</f>
        <v/>
      </c>
      <c r="AH190" s="622" t="str">
        <f>IF(NOT(ISBLANK('A-RACHNATMAK'!AK206)),"A",IF(NOT(ISBLANK('A-RACHNATMAK'!AK205)),"B",IF(NOT(ISBLANK('A-RACHNATMAK'!AK204)),"C","")))</f>
        <v/>
      </c>
      <c r="AI190" s="622" t="str">
        <f>IF(NOT(ISBLANK('A-RACHNATMAK'!AL206)),"A",IF(NOT(ISBLANK('A-RACHNATMAK'!AL205)),"B",IF(NOT(ISBLANK('A-RACHNATMAK'!AL204)),"C","")))</f>
        <v/>
      </c>
      <c r="AJ190" s="622" t="str">
        <f>IF(NOT(ISBLANK('A-RACHNATMAK'!AM206)),"A",IF(NOT(ISBLANK('A-RACHNATMAK'!AM205)),"B",IF(NOT(ISBLANK('A-RACHNATMAK'!AM204)),"C","")))</f>
        <v/>
      </c>
      <c r="AK190" s="622" t="str">
        <f>IF(NOT(ISBLANK('A-RACHNATMAK'!AN206)),"A",IF(NOT(ISBLANK('A-RACHNATMAK'!AN205)),"B",IF(NOT(ISBLANK('A-RACHNATMAK'!AN204)),"C","")))</f>
        <v/>
      </c>
      <c r="AL190" s="622" t="str">
        <f>IF(NOT(ISBLANK('A-RACHNATMAK'!AO206)),"A",IF(NOT(ISBLANK('A-RACHNATMAK'!AO205)),"B",IF(NOT(ISBLANK('A-RACHNATMAK'!AO204)),"C","")))</f>
        <v/>
      </c>
      <c r="AM190" s="622" t="str">
        <f>IF(NOT(ISBLANK('A-RACHNATMAK'!AP206)),"A",IF(NOT(ISBLANK('A-RACHNATMAK'!AP205)),"B",IF(NOT(ISBLANK('A-RACHNATMAK'!AP204)),"C","")))</f>
        <v/>
      </c>
      <c r="AN190" s="622" t="str">
        <f>IF(NOT(ISBLANK('A-RACHNATMAK'!AQ206)),"A",IF(NOT(ISBLANK('A-RACHNATMAK'!AQ205)),"B",IF(NOT(ISBLANK('A-RACHNATMAK'!AQ204)),"C","")))</f>
        <v/>
      </c>
      <c r="AO190" s="622" t="str">
        <f>IF(NOT(ISBLANK('A-RACHNATMAK'!AR206)),"A",IF(NOT(ISBLANK('A-RACHNATMAK'!AR205)),"B",IF(NOT(ISBLANK('A-RACHNATMAK'!AR204)),"C","")))</f>
        <v/>
      </c>
      <c r="AP190" s="622" t="str">
        <f>IF(NOT(ISBLANK('A-RACHNATMAK'!AS206)),"A",IF(NOT(ISBLANK('A-RACHNATMAK'!AS205)),"B",IF(NOT(ISBLANK('A-RACHNATMAK'!AS204)),"C","")))</f>
        <v/>
      </c>
      <c r="AQ190" s="622" t="str">
        <f>IF(NOT(ISBLANK('A-RACHNATMAK'!AT206)),"A",IF(NOT(ISBLANK('A-RACHNATMAK'!AT205)),"B",IF(NOT(ISBLANK('A-RACHNATMAK'!AT204)),"C","")))</f>
        <v/>
      </c>
      <c r="AR190" s="622" t="str">
        <f>IF(NOT(ISBLANK('A-RACHNATMAK'!AU206)),"A",IF(NOT(ISBLANK('A-RACHNATMAK'!AU205)),"B",IF(NOT(ISBLANK('A-RACHNATMAK'!AU204)),"C","")))</f>
        <v/>
      </c>
      <c r="AS190" s="622" t="str">
        <f>IF(NOT(ISBLANK('A-RACHNATMAK'!AV206)),"A",IF(NOT(ISBLANK('A-RACHNATMAK'!AV205)),"B",IF(NOT(ISBLANK('A-RACHNATMAK'!AV204)),"C","")))</f>
        <v/>
      </c>
      <c r="AT190" s="622" t="str">
        <f>IF(NOT(ISBLANK('A-RACHNATMAK'!AW206)),"A",IF(NOT(ISBLANK('A-RACHNATMAK'!AW205)),"B",IF(NOT(ISBLANK('A-RACHNATMAK'!AW204)),"C","")))</f>
        <v/>
      </c>
      <c r="AU190" s="622">
        <f t="shared" ref="AU190" si="363">COUNTIF(AA190:AT190,"A")</f>
        <v>0</v>
      </c>
      <c r="AV190" s="622">
        <f t="shared" ref="AV190" si="364">COUNTIF(AA190:AT190,"B")</f>
        <v>0</v>
      </c>
      <c r="AW190" s="622">
        <f t="shared" ref="AW190" si="365">COUNTIF(AA190:AT190,"C")</f>
        <v>0</v>
      </c>
    </row>
    <row r="191" spans="1:49" ht="7.5" customHeight="1">
      <c r="A191" s="623"/>
      <c r="B191" s="622"/>
      <c r="C191" s="622"/>
      <c r="D191" s="622"/>
      <c r="E191" s="622"/>
      <c r="F191" s="622"/>
      <c r="G191" s="622"/>
      <c r="H191" s="622"/>
      <c r="I191" s="622"/>
      <c r="J191" s="622"/>
      <c r="K191" s="622"/>
      <c r="L191" s="622"/>
      <c r="M191" s="622"/>
      <c r="N191" s="622"/>
      <c r="O191" s="622"/>
      <c r="P191" s="622"/>
      <c r="Q191" s="622"/>
      <c r="R191" s="622"/>
      <c r="S191" s="622"/>
      <c r="T191" s="622"/>
      <c r="U191" s="622"/>
      <c r="V191" s="622"/>
      <c r="W191" s="622"/>
      <c r="X191" s="622"/>
      <c r="Y191" s="330"/>
      <c r="Z191" s="623"/>
      <c r="AA191" s="622"/>
      <c r="AB191" s="622"/>
      <c r="AC191" s="622"/>
      <c r="AD191" s="622"/>
      <c r="AE191" s="622"/>
      <c r="AF191" s="622"/>
      <c r="AG191" s="622"/>
      <c r="AH191" s="622"/>
      <c r="AI191" s="622"/>
      <c r="AJ191" s="622"/>
      <c r="AK191" s="622"/>
      <c r="AL191" s="622"/>
      <c r="AM191" s="622"/>
      <c r="AN191" s="622"/>
      <c r="AO191" s="622"/>
      <c r="AP191" s="622"/>
      <c r="AQ191" s="622"/>
      <c r="AR191" s="622"/>
      <c r="AS191" s="622"/>
      <c r="AT191" s="622"/>
      <c r="AU191" s="622"/>
      <c r="AV191" s="622"/>
      <c r="AW191" s="622"/>
    </row>
    <row r="192" spans="1:49" ht="7.5" customHeight="1">
      <c r="A192" s="623"/>
      <c r="B192" s="622"/>
      <c r="C192" s="622"/>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330"/>
      <c r="Z192" s="623"/>
      <c r="AA192" s="622"/>
      <c r="AB192" s="622"/>
      <c r="AC192" s="622"/>
      <c r="AD192" s="622"/>
      <c r="AE192" s="622"/>
      <c r="AF192" s="622"/>
      <c r="AG192" s="622"/>
      <c r="AH192" s="622"/>
      <c r="AI192" s="622"/>
      <c r="AJ192" s="622"/>
      <c r="AK192" s="622"/>
      <c r="AL192" s="622"/>
      <c r="AM192" s="622"/>
      <c r="AN192" s="622"/>
      <c r="AO192" s="622"/>
      <c r="AP192" s="622"/>
      <c r="AQ192" s="622"/>
      <c r="AR192" s="622"/>
      <c r="AS192" s="622"/>
      <c r="AT192" s="622"/>
      <c r="AU192" s="622"/>
      <c r="AV192" s="622"/>
      <c r="AW192" s="622"/>
    </row>
    <row r="193" spans="1:49" ht="7.5" customHeight="1">
      <c r="A193" s="623">
        <v>29</v>
      </c>
      <c r="B193" s="622" t="str">
        <f>IF(NOT(ISBLANK('A-RACHNATMAK'!C209)),"A",IF(NOT(ISBLANK('A-RACHNATMAK'!C208)),"B",IF(NOT(ISBLANK('A-RACHNATMAK'!C207)),"C","")))</f>
        <v/>
      </c>
      <c r="C193" s="622" t="str">
        <f>IF(NOT(ISBLANK('A-RACHNATMAK'!D209)),"A",IF(NOT(ISBLANK('A-RACHNATMAK'!D208)),"B",IF(NOT(ISBLANK('A-RACHNATMAK'!D207)),"C","")))</f>
        <v/>
      </c>
      <c r="D193" s="622" t="str">
        <f>IF(NOT(ISBLANK('A-RACHNATMAK'!E209)),"A",IF(NOT(ISBLANK('A-RACHNATMAK'!E208)),"B",IF(NOT(ISBLANK('A-RACHNATMAK'!E207)),"C","")))</f>
        <v/>
      </c>
      <c r="E193" s="622" t="str">
        <f>IF(NOT(ISBLANK('A-RACHNATMAK'!F209)),"A",IF(NOT(ISBLANK('A-RACHNATMAK'!F208)),"B",IF(NOT(ISBLANK('A-RACHNATMAK'!F207)),"C","")))</f>
        <v/>
      </c>
      <c r="F193" s="622" t="str">
        <f>IF(NOT(ISBLANK('A-RACHNATMAK'!G209)),"A",IF(NOT(ISBLANK('A-RACHNATMAK'!G208)),"B",IF(NOT(ISBLANK('A-RACHNATMAK'!G207)),"C","")))</f>
        <v/>
      </c>
      <c r="G193" s="622" t="str">
        <f>IF(NOT(ISBLANK('A-RACHNATMAK'!H209)),"A",IF(NOT(ISBLANK('A-RACHNATMAK'!H208)),"B",IF(NOT(ISBLANK('A-RACHNATMAK'!H207)),"C","")))</f>
        <v/>
      </c>
      <c r="H193" s="622" t="str">
        <f>IF(NOT(ISBLANK('A-RACHNATMAK'!I209)),"A",IF(NOT(ISBLANK('A-RACHNATMAK'!I208)),"B",IF(NOT(ISBLANK('A-RACHNATMAK'!I207)),"C","")))</f>
        <v/>
      </c>
      <c r="I193" s="622" t="str">
        <f>IF(NOT(ISBLANK('A-RACHNATMAK'!J209)),"A",IF(NOT(ISBLANK('A-RACHNATMAK'!J208)),"B",IF(NOT(ISBLANK('A-RACHNATMAK'!J207)),"C","")))</f>
        <v/>
      </c>
      <c r="J193" s="622" t="str">
        <f>IF(NOT(ISBLANK('A-RACHNATMAK'!K209)),"A",IF(NOT(ISBLANK('A-RACHNATMAK'!K208)),"B",IF(NOT(ISBLANK('A-RACHNATMAK'!K207)),"C","")))</f>
        <v/>
      </c>
      <c r="K193" s="622" t="str">
        <f>IF(NOT(ISBLANK('A-RACHNATMAK'!L209)),"A",IF(NOT(ISBLANK('A-RACHNATMAK'!L208)),"B",IF(NOT(ISBLANK('A-RACHNATMAK'!L207)),"C","")))</f>
        <v/>
      </c>
      <c r="L193" s="622" t="str">
        <f>IF(NOT(ISBLANK('A-RACHNATMAK'!M209)),"A",IF(NOT(ISBLANK('A-RACHNATMAK'!M208)),"B",IF(NOT(ISBLANK('A-RACHNATMAK'!M207)),"C","")))</f>
        <v/>
      </c>
      <c r="M193" s="622" t="str">
        <f>IF(NOT(ISBLANK('A-RACHNATMAK'!N209)),"A",IF(NOT(ISBLANK('A-RACHNATMAK'!N208)),"B",IF(NOT(ISBLANK('A-RACHNATMAK'!N207)),"C","")))</f>
        <v/>
      </c>
      <c r="N193" s="622" t="str">
        <f>IF(NOT(ISBLANK('A-RACHNATMAK'!O209)),"A",IF(NOT(ISBLANK('A-RACHNATMAK'!O208)),"B",IF(NOT(ISBLANK('A-RACHNATMAK'!O207)),"C","")))</f>
        <v/>
      </c>
      <c r="O193" s="622" t="str">
        <f>IF(NOT(ISBLANK('A-RACHNATMAK'!P209)),"A",IF(NOT(ISBLANK('A-RACHNATMAK'!P208)),"B",IF(NOT(ISBLANK('A-RACHNATMAK'!P207)),"C","")))</f>
        <v/>
      </c>
      <c r="P193" s="622" t="str">
        <f>IF(NOT(ISBLANK('A-RACHNATMAK'!Q209)),"A",IF(NOT(ISBLANK('A-RACHNATMAK'!Q208)),"B",IF(NOT(ISBLANK('A-RACHNATMAK'!Q207)),"C","")))</f>
        <v/>
      </c>
      <c r="Q193" s="622" t="str">
        <f>IF(NOT(ISBLANK('A-RACHNATMAK'!R209)),"A",IF(NOT(ISBLANK('A-RACHNATMAK'!R208)),"B",IF(NOT(ISBLANK('A-RACHNATMAK'!R207)),"C","")))</f>
        <v/>
      </c>
      <c r="R193" s="622" t="str">
        <f>IF(NOT(ISBLANK('A-RACHNATMAK'!S209)),"A",IF(NOT(ISBLANK('A-RACHNATMAK'!S208)),"B",IF(NOT(ISBLANK('A-RACHNATMAK'!S207)),"C","")))</f>
        <v/>
      </c>
      <c r="S193" s="622" t="str">
        <f>IF(NOT(ISBLANK('A-RACHNATMAK'!T209)),"A",IF(NOT(ISBLANK('A-RACHNATMAK'!T208)),"B",IF(NOT(ISBLANK('A-RACHNATMAK'!T207)),"C","")))</f>
        <v/>
      </c>
      <c r="T193" s="622" t="str">
        <f>IF(NOT(ISBLANK('A-RACHNATMAK'!U209)),"A",IF(NOT(ISBLANK('A-RACHNATMAK'!U208)),"B",IF(NOT(ISBLANK('A-RACHNATMAK'!U207)),"C","")))</f>
        <v/>
      </c>
      <c r="U193" s="622" t="str">
        <f>IF(NOT(ISBLANK('A-RACHNATMAK'!V209)),"A",IF(NOT(ISBLANK('A-RACHNATMAK'!V208)),"B",IF(NOT(ISBLANK('A-RACHNATMAK'!V207)),"C","")))</f>
        <v/>
      </c>
      <c r="V193" s="622">
        <f t="shared" ref="V193" si="366">COUNTIF(B193:U193,"A")</f>
        <v>0</v>
      </c>
      <c r="W193" s="622">
        <f t="shared" ref="W193" si="367">COUNTIF(B193:U193,"B")</f>
        <v>0</v>
      </c>
      <c r="X193" s="622">
        <f t="shared" ref="X193" si="368">COUNTIF(B193:U193,"C")</f>
        <v>0</v>
      </c>
      <c r="Y193" s="330"/>
      <c r="Z193" s="623">
        <v>29</v>
      </c>
      <c r="AA193" s="622" t="str">
        <f>IF(NOT(ISBLANK('A-RACHNATMAK'!AD209)),"A",IF(NOT(ISBLANK('A-RACHNATMAK'!AD208)),"B",IF(NOT(ISBLANK('A-RACHNATMAK'!AD207)),"C","")))</f>
        <v/>
      </c>
      <c r="AB193" s="622" t="str">
        <f>IF(NOT(ISBLANK('A-RACHNATMAK'!AE209)),"A",IF(NOT(ISBLANK('A-RACHNATMAK'!AE208)),"B",IF(NOT(ISBLANK('A-RACHNATMAK'!AE207)),"C","")))</f>
        <v/>
      </c>
      <c r="AC193" s="622" t="str">
        <f>IF(NOT(ISBLANK('A-RACHNATMAK'!AF209)),"A",IF(NOT(ISBLANK('A-RACHNATMAK'!AF208)),"B",IF(NOT(ISBLANK('A-RACHNATMAK'!AF207)),"C","")))</f>
        <v/>
      </c>
      <c r="AD193" s="622" t="str">
        <f>IF(NOT(ISBLANK('A-RACHNATMAK'!AG209)),"A",IF(NOT(ISBLANK('A-RACHNATMAK'!AG208)),"B",IF(NOT(ISBLANK('A-RACHNATMAK'!AG207)),"C","")))</f>
        <v/>
      </c>
      <c r="AE193" s="622" t="str">
        <f>IF(NOT(ISBLANK('A-RACHNATMAK'!AH209)),"A",IF(NOT(ISBLANK('A-RACHNATMAK'!AH208)),"B",IF(NOT(ISBLANK('A-RACHNATMAK'!AH207)),"C","")))</f>
        <v/>
      </c>
      <c r="AF193" s="622" t="str">
        <f>IF(NOT(ISBLANK('A-RACHNATMAK'!AI209)),"A",IF(NOT(ISBLANK('A-RACHNATMAK'!AI208)),"B",IF(NOT(ISBLANK('A-RACHNATMAK'!AI207)),"C","")))</f>
        <v/>
      </c>
      <c r="AG193" s="622" t="str">
        <f>IF(NOT(ISBLANK('A-RACHNATMAK'!AJ209)),"A",IF(NOT(ISBLANK('A-RACHNATMAK'!AJ208)),"B",IF(NOT(ISBLANK('A-RACHNATMAK'!AJ207)),"C","")))</f>
        <v/>
      </c>
      <c r="AH193" s="622" t="str">
        <f>IF(NOT(ISBLANK('A-RACHNATMAK'!AK209)),"A",IF(NOT(ISBLANK('A-RACHNATMAK'!AK208)),"B",IF(NOT(ISBLANK('A-RACHNATMAK'!AK207)),"C","")))</f>
        <v/>
      </c>
      <c r="AI193" s="622" t="str">
        <f>IF(NOT(ISBLANK('A-RACHNATMAK'!AL209)),"A",IF(NOT(ISBLANK('A-RACHNATMAK'!AL208)),"B",IF(NOT(ISBLANK('A-RACHNATMAK'!AL207)),"C","")))</f>
        <v/>
      </c>
      <c r="AJ193" s="622" t="str">
        <f>IF(NOT(ISBLANK('A-RACHNATMAK'!AM209)),"A",IF(NOT(ISBLANK('A-RACHNATMAK'!AM208)),"B",IF(NOT(ISBLANK('A-RACHNATMAK'!AM207)),"C","")))</f>
        <v/>
      </c>
      <c r="AK193" s="622" t="str">
        <f>IF(NOT(ISBLANK('A-RACHNATMAK'!AN209)),"A",IF(NOT(ISBLANK('A-RACHNATMAK'!AN208)),"B",IF(NOT(ISBLANK('A-RACHNATMAK'!AN207)),"C","")))</f>
        <v/>
      </c>
      <c r="AL193" s="622" t="str">
        <f>IF(NOT(ISBLANK('A-RACHNATMAK'!AO209)),"A",IF(NOT(ISBLANK('A-RACHNATMAK'!AO208)),"B",IF(NOT(ISBLANK('A-RACHNATMAK'!AO207)),"C","")))</f>
        <v/>
      </c>
      <c r="AM193" s="622" t="str">
        <f>IF(NOT(ISBLANK('A-RACHNATMAK'!AP209)),"A",IF(NOT(ISBLANK('A-RACHNATMAK'!AP208)),"B",IF(NOT(ISBLANK('A-RACHNATMAK'!AP207)),"C","")))</f>
        <v/>
      </c>
      <c r="AN193" s="622" t="str">
        <f>IF(NOT(ISBLANK('A-RACHNATMAK'!AQ209)),"A",IF(NOT(ISBLANK('A-RACHNATMAK'!AQ208)),"B",IF(NOT(ISBLANK('A-RACHNATMAK'!AQ207)),"C","")))</f>
        <v/>
      </c>
      <c r="AO193" s="622" t="str">
        <f>IF(NOT(ISBLANK('A-RACHNATMAK'!AR209)),"A",IF(NOT(ISBLANK('A-RACHNATMAK'!AR208)),"B",IF(NOT(ISBLANK('A-RACHNATMAK'!AR207)),"C","")))</f>
        <v/>
      </c>
      <c r="AP193" s="622" t="str">
        <f>IF(NOT(ISBLANK('A-RACHNATMAK'!AS209)),"A",IF(NOT(ISBLANK('A-RACHNATMAK'!AS208)),"B",IF(NOT(ISBLANK('A-RACHNATMAK'!AS207)),"C","")))</f>
        <v/>
      </c>
      <c r="AQ193" s="622" t="str">
        <f>IF(NOT(ISBLANK('A-RACHNATMAK'!AT209)),"A",IF(NOT(ISBLANK('A-RACHNATMAK'!AT208)),"B",IF(NOT(ISBLANK('A-RACHNATMAK'!AT207)),"C","")))</f>
        <v/>
      </c>
      <c r="AR193" s="622" t="str">
        <f>IF(NOT(ISBLANK('A-RACHNATMAK'!AU209)),"A",IF(NOT(ISBLANK('A-RACHNATMAK'!AU208)),"B",IF(NOT(ISBLANK('A-RACHNATMAK'!AU207)),"C","")))</f>
        <v/>
      </c>
      <c r="AS193" s="622" t="str">
        <f>IF(NOT(ISBLANK('A-RACHNATMAK'!AV209)),"A",IF(NOT(ISBLANK('A-RACHNATMAK'!AV208)),"B",IF(NOT(ISBLANK('A-RACHNATMAK'!AV207)),"C","")))</f>
        <v/>
      </c>
      <c r="AT193" s="622" t="str">
        <f>IF(NOT(ISBLANK('A-RACHNATMAK'!AW209)),"A",IF(NOT(ISBLANK('A-RACHNATMAK'!AW208)),"B",IF(NOT(ISBLANK('A-RACHNATMAK'!AW207)),"C","")))</f>
        <v/>
      </c>
      <c r="AU193" s="622">
        <f t="shared" ref="AU193" si="369">COUNTIF(AA193:AT193,"A")</f>
        <v>0</v>
      </c>
      <c r="AV193" s="622">
        <f t="shared" ref="AV193" si="370">COUNTIF(AA193:AT193,"B")</f>
        <v>0</v>
      </c>
      <c r="AW193" s="622">
        <f t="shared" ref="AW193" si="371">COUNTIF(AA193:AT193,"C")</f>
        <v>0</v>
      </c>
    </row>
    <row r="194" spans="1:49" ht="7.5" customHeight="1">
      <c r="A194" s="623"/>
      <c r="B194" s="622"/>
      <c r="C194" s="622"/>
      <c r="D194" s="622"/>
      <c r="E194" s="622"/>
      <c r="F194" s="622"/>
      <c r="G194" s="622"/>
      <c r="H194" s="622"/>
      <c r="I194" s="622"/>
      <c r="J194" s="622"/>
      <c r="K194" s="622"/>
      <c r="L194" s="622"/>
      <c r="M194" s="622"/>
      <c r="N194" s="622"/>
      <c r="O194" s="622"/>
      <c r="P194" s="622"/>
      <c r="Q194" s="622"/>
      <c r="R194" s="622"/>
      <c r="S194" s="622"/>
      <c r="T194" s="622"/>
      <c r="U194" s="622"/>
      <c r="V194" s="622"/>
      <c r="W194" s="622"/>
      <c r="X194" s="622"/>
      <c r="Y194" s="330"/>
      <c r="Z194" s="623"/>
      <c r="AA194" s="622"/>
      <c r="AB194" s="622"/>
      <c r="AC194" s="622"/>
      <c r="AD194" s="622"/>
      <c r="AE194" s="622"/>
      <c r="AF194" s="622"/>
      <c r="AG194" s="622"/>
      <c r="AH194" s="622"/>
      <c r="AI194" s="622"/>
      <c r="AJ194" s="622"/>
      <c r="AK194" s="622"/>
      <c r="AL194" s="622"/>
      <c r="AM194" s="622"/>
      <c r="AN194" s="622"/>
      <c r="AO194" s="622"/>
      <c r="AP194" s="622"/>
      <c r="AQ194" s="622"/>
      <c r="AR194" s="622"/>
      <c r="AS194" s="622"/>
      <c r="AT194" s="622"/>
      <c r="AU194" s="622"/>
      <c r="AV194" s="622"/>
      <c r="AW194" s="622"/>
    </row>
    <row r="195" spans="1:49" ht="7.5" customHeight="1">
      <c r="A195" s="623"/>
      <c r="B195" s="622"/>
      <c r="C195" s="622"/>
      <c r="D195" s="622"/>
      <c r="E195" s="622"/>
      <c r="F195" s="622"/>
      <c r="G195" s="622"/>
      <c r="H195" s="622"/>
      <c r="I195" s="622"/>
      <c r="J195" s="622"/>
      <c r="K195" s="622"/>
      <c r="L195" s="622"/>
      <c r="M195" s="622"/>
      <c r="N195" s="622"/>
      <c r="O195" s="622"/>
      <c r="P195" s="622"/>
      <c r="Q195" s="622"/>
      <c r="R195" s="622"/>
      <c r="S195" s="622"/>
      <c r="T195" s="622"/>
      <c r="U195" s="622"/>
      <c r="V195" s="622"/>
      <c r="W195" s="622"/>
      <c r="X195" s="622"/>
      <c r="Y195" s="330"/>
      <c r="Z195" s="623"/>
      <c r="AA195" s="622"/>
      <c r="AB195" s="622"/>
      <c r="AC195" s="622"/>
      <c r="AD195" s="622"/>
      <c r="AE195" s="622"/>
      <c r="AF195" s="622"/>
      <c r="AG195" s="622"/>
      <c r="AH195" s="622"/>
      <c r="AI195" s="622"/>
      <c r="AJ195" s="622"/>
      <c r="AK195" s="622"/>
      <c r="AL195" s="622"/>
      <c r="AM195" s="622"/>
      <c r="AN195" s="622"/>
      <c r="AO195" s="622"/>
      <c r="AP195" s="622"/>
      <c r="AQ195" s="622"/>
      <c r="AR195" s="622"/>
      <c r="AS195" s="622"/>
      <c r="AT195" s="622"/>
      <c r="AU195" s="622"/>
      <c r="AV195" s="622"/>
      <c r="AW195" s="622"/>
    </row>
    <row r="196" spans="1:49" ht="7.5" customHeight="1">
      <c r="A196" s="623">
        <v>30</v>
      </c>
      <c r="B196" s="622" t="str">
        <f>IF(NOT(ISBLANK('A-RACHNATMAK'!C212)),"A",IF(NOT(ISBLANK('A-RACHNATMAK'!C211)),"B",IF(NOT(ISBLANK('A-RACHNATMAK'!C210)),"C","")))</f>
        <v/>
      </c>
      <c r="C196" s="622" t="str">
        <f>IF(NOT(ISBLANK('A-RACHNATMAK'!D212)),"A",IF(NOT(ISBLANK('A-RACHNATMAK'!D211)),"B",IF(NOT(ISBLANK('A-RACHNATMAK'!D210)),"C","")))</f>
        <v/>
      </c>
      <c r="D196" s="622" t="str">
        <f>IF(NOT(ISBLANK('A-RACHNATMAK'!E212)),"A",IF(NOT(ISBLANK('A-RACHNATMAK'!E211)),"B",IF(NOT(ISBLANK('A-RACHNATMAK'!E210)),"C","")))</f>
        <v/>
      </c>
      <c r="E196" s="622" t="str">
        <f>IF(NOT(ISBLANK('A-RACHNATMAK'!F212)),"A",IF(NOT(ISBLANK('A-RACHNATMAK'!F211)),"B",IF(NOT(ISBLANK('A-RACHNATMAK'!F210)),"C","")))</f>
        <v/>
      </c>
      <c r="F196" s="622" t="str">
        <f>IF(NOT(ISBLANK('A-RACHNATMAK'!G212)),"A",IF(NOT(ISBLANK('A-RACHNATMAK'!G211)),"B",IF(NOT(ISBLANK('A-RACHNATMAK'!G210)),"C","")))</f>
        <v/>
      </c>
      <c r="G196" s="622" t="str">
        <f>IF(NOT(ISBLANK('A-RACHNATMAK'!H212)),"A",IF(NOT(ISBLANK('A-RACHNATMAK'!H211)),"B",IF(NOT(ISBLANK('A-RACHNATMAK'!H210)),"C","")))</f>
        <v/>
      </c>
      <c r="H196" s="622" t="str">
        <f>IF(NOT(ISBLANK('A-RACHNATMAK'!I212)),"A",IF(NOT(ISBLANK('A-RACHNATMAK'!I211)),"B",IF(NOT(ISBLANK('A-RACHNATMAK'!I210)),"C","")))</f>
        <v/>
      </c>
      <c r="I196" s="622" t="str">
        <f>IF(NOT(ISBLANK('A-RACHNATMAK'!J212)),"A",IF(NOT(ISBLANK('A-RACHNATMAK'!J211)),"B",IF(NOT(ISBLANK('A-RACHNATMAK'!J210)),"C","")))</f>
        <v/>
      </c>
      <c r="J196" s="622" t="str">
        <f>IF(NOT(ISBLANK('A-RACHNATMAK'!K212)),"A",IF(NOT(ISBLANK('A-RACHNATMAK'!K211)),"B",IF(NOT(ISBLANK('A-RACHNATMAK'!K210)),"C","")))</f>
        <v/>
      </c>
      <c r="K196" s="622" t="str">
        <f>IF(NOT(ISBLANK('A-RACHNATMAK'!L212)),"A",IF(NOT(ISBLANK('A-RACHNATMAK'!L211)),"B",IF(NOT(ISBLANK('A-RACHNATMAK'!L210)),"C","")))</f>
        <v/>
      </c>
      <c r="L196" s="622" t="str">
        <f>IF(NOT(ISBLANK('A-RACHNATMAK'!M212)),"A",IF(NOT(ISBLANK('A-RACHNATMAK'!M211)),"B",IF(NOT(ISBLANK('A-RACHNATMAK'!M210)),"C","")))</f>
        <v/>
      </c>
      <c r="M196" s="622" t="str">
        <f>IF(NOT(ISBLANK('A-RACHNATMAK'!N212)),"A",IF(NOT(ISBLANK('A-RACHNATMAK'!N211)),"B",IF(NOT(ISBLANK('A-RACHNATMAK'!N210)),"C","")))</f>
        <v/>
      </c>
      <c r="N196" s="622" t="str">
        <f>IF(NOT(ISBLANK('A-RACHNATMAK'!O212)),"A",IF(NOT(ISBLANK('A-RACHNATMAK'!O211)),"B",IF(NOT(ISBLANK('A-RACHNATMAK'!O210)),"C","")))</f>
        <v/>
      </c>
      <c r="O196" s="622" t="str">
        <f>IF(NOT(ISBLANK('A-RACHNATMAK'!P212)),"A",IF(NOT(ISBLANK('A-RACHNATMAK'!P211)),"B",IF(NOT(ISBLANK('A-RACHNATMAK'!P210)),"C","")))</f>
        <v/>
      </c>
      <c r="P196" s="622" t="str">
        <f>IF(NOT(ISBLANK('A-RACHNATMAK'!Q212)),"A",IF(NOT(ISBLANK('A-RACHNATMAK'!Q211)),"B",IF(NOT(ISBLANK('A-RACHNATMAK'!Q210)),"C","")))</f>
        <v/>
      </c>
      <c r="Q196" s="622" t="str">
        <f>IF(NOT(ISBLANK('A-RACHNATMAK'!R212)),"A",IF(NOT(ISBLANK('A-RACHNATMAK'!R211)),"B",IF(NOT(ISBLANK('A-RACHNATMAK'!R210)),"C","")))</f>
        <v/>
      </c>
      <c r="R196" s="622" t="str">
        <f>IF(NOT(ISBLANK('A-RACHNATMAK'!S212)),"A",IF(NOT(ISBLANK('A-RACHNATMAK'!S211)),"B",IF(NOT(ISBLANK('A-RACHNATMAK'!S210)),"C","")))</f>
        <v/>
      </c>
      <c r="S196" s="622" t="str">
        <f>IF(NOT(ISBLANK('A-RACHNATMAK'!T212)),"A",IF(NOT(ISBLANK('A-RACHNATMAK'!T211)),"B",IF(NOT(ISBLANK('A-RACHNATMAK'!T210)),"C","")))</f>
        <v/>
      </c>
      <c r="T196" s="622" t="str">
        <f>IF(NOT(ISBLANK('A-RACHNATMAK'!U212)),"A",IF(NOT(ISBLANK('A-RACHNATMAK'!U211)),"B",IF(NOT(ISBLANK('A-RACHNATMAK'!U210)),"C","")))</f>
        <v/>
      </c>
      <c r="U196" s="622" t="str">
        <f>IF(NOT(ISBLANK('A-RACHNATMAK'!V212)),"A",IF(NOT(ISBLANK('A-RACHNATMAK'!V211)),"B",IF(NOT(ISBLANK('A-RACHNATMAK'!V210)),"C","")))</f>
        <v/>
      </c>
      <c r="V196" s="622">
        <f t="shared" ref="V196" si="372">COUNTIF(B196:U196,"A")</f>
        <v>0</v>
      </c>
      <c r="W196" s="622">
        <f t="shared" ref="W196" si="373">COUNTIF(B196:U196,"B")</f>
        <v>0</v>
      </c>
      <c r="X196" s="622">
        <f t="shared" ref="X196" si="374">COUNTIF(B196:U196,"C")</f>
        <v>0</v>
      </c>
      <c r="Y196" s="330"/>
      <c r="Z196" s="623">
        <v>30</v>
      </c>
      <c r="AA196" s="622" t="str">
        <f>IF(NOT(ISBLANK('A-RACHNATMAK'!AD212)),"A",IF(NOT(ISBLANK('A-RACHNATMAK'!AD211)),"B",IF(NOT(ISBLANK('A-RACHNATMAK'!AD210)),"C","")))</f>
        <v/>
      </c>
      <c r="AB196" s="622" t="str">
        <f>IF(NOT(ISBLANK('A-RACHNATMAK'!AE212)),"A",IF(NOT(ISBLANK('A-RACHNATMAK'!AE211)),"B",IF(NOT(ISBLANK('A-RACHNATMAK'!AE210)),"C","")))</f>
        <v/>
      </c>
      <c r="AC196" s="622" t="str">
        <f>IF(NOT(ISBLANK('A-RACHNATMAK'!AF212)),"A",IF(NOT(ISBLANK('A-RACHNATMAK'!AF211)),"B",IF(NOT(ISBLANK('A-RACHNATMAK'!AF210)),"C","")))</f>
        <v/>
      </c>
      <c r="AD196" s="622" t="str">
        <f>IF(NOT(ISBLANK('A-RACHNATMAK'!AG212)),"A",IF(NOT(ISBLANK('A-RACHNATMAK'!AG211)),"B",IF(NOT(ISBLANK('A-RACHNATMAK'!AG210)),"C","")))</f>
        <v/>
      </c>
      <c r="AE196" s="622" t="str">
        <f>IF(NOT(ISBLANK('A-RACHNATMAK'!AH212)),"A",IF(NOT(ISBLANK('A-RACHNATMAK'!AH211)),"B",IF(NOT(ISBLANK('A-RACHNATMAK'!AH210)),"C","")))</f>
        <v/>
      </c>
      <c r="AF196" s="622" t="str">
        <f>IF(NOT(ISBLANK('A-RACHNATMAK'!AI212)),"A",IF(NOT(ISBLANK('A-RACHNATMAK'!AI211)),"B",IF(NOT(ISBLANK('A-RACHNATMAK'!AI210)),"C","")))</f>
        <v/>
      </c>
      <c r="AG196" s="622" t="str">
        <f>IF(NOT(ISBLANK('A-RACHNATMAK'!AJ212)),"A",IF(NOT(ISBLANK('A-RACHNATMAK'!AJ211)),"B",IF(NOT(ISBLANK('A-RACHNATMAK'!AJ210)),"C","")))</f>
        <v/>
      </c>
      <c r="AH196" s="622" t="str">
        <f>IF(NOT(ISBLANK('A-RACHNATMAK'!AK212)),"A",IF(NOT(ISBLANK('A-RACHNATMAK'!AK211)),"B",IF(NOT(ISBLANK('A-RACHNATMAK'!AK210)),"C","")))</f>
        <v/>
      </c>
      <c r="AI196" s="622" t="str">
        <f>IF(NOT(ISBLANK('A-RACHNATMAK'!AL212)),"A",IF(NOT(ISBLANK('A-RACHNATMAK'!AL211)),"B",IF(NOT(ISBLANK('A-RACHNATMAK'!AL210)),"C","")))</f>
        <v/>
      </c>
      <c r="AJ196" s="622" t="str">
        <f>IF(NOT(ISBLANK('A-RACHNATMAK'!AM212)),"A",IF(NOT(ISBLANK('A-RACHNATMAK'!AM211)),"B",IF(NOT(ISBLANK('A-RACHNATMAK'!AM210)),"C","")))</f>
        <v/>
      </c>
      <c r="AK196" s="622" t="str">
        <f>IF(NOT(ISBLANK('A-RACHNATMAK'!AN212)),"A",IF(NOT(ISBLANK('A-RACHNATMAK'!AN211)),"B",IF(NOT(ISBLANK('A-RACHNATMAK'!AN210)),"C","")))</f>
        <v/>
      </c>
      <c r="AL196" s="622" t="str">
        <f>IF(NOT(ISBLANK('A-RACHNATMAK'!AO212)),"A",IF(NOT(ISBLANK('A-RACHNATMAK'!AO211)),"B",IF(NOT(ISBLANK('A-RACHNATMAK'!AO210)),"C","")))</f>
        <v/>
      </c>
      <c r="AM196" s="622" t="str">
        <f>IF(NOT(ISBLANK('A-RACHNATMAK'!AP212)),"A",IF(NOT(ISBLANK('A-RACHNATMAK'!AP211)),"B",IF(NOT(ISBLANK('A-RACHNATMAK'!AP210)),"C","")))</f>
        <v/>
      </c>
      <c r="AN196" s="622" t="str">
        <f>IF(NOT(ISBLANK('A-RACHNATMAK'!AQ212)),"A",IF(NOT(ISBLANK('A-RACHNATMAK'!AQ211)),"B",IF(NOT(ISBLANK('A-RACHNATMAK'!AQ210)),"C","")))</f>
        <v/>
      </c>
      <c r="AO196" s="622" t="str">
        <f>IF(NOT(ISBLANK('A-RACHNATMAK'!AR212)),"A",IF(NOT(ISBLANK('A-RACHNATMAK'!AR211)),"B",IF(NOT(ISBLANK('A-RACHNATMAK'!AR210)),"C","")))</f>
        <v/>
      </c>
      <c r="AP196" s="622" t="str">
        <f>IF(NOT(ISBLANK('A-RACHNATMAK'!AS212)),"A",IF(NOT(ISBLANK('A-RACHNATMAK'!AS211)),"B",IF(NOT(ISBLANK('A-RACHNATMAK'!AS210)),"C","")))</f>
        <v/>
      </c>
      <c r="AQ196" s="622" t="str">
        <f>IF(NOT(ISBLANK('A-RACHNATMAK'!AT212)),"A",IF(NOT(ISBLANK('A-RACHNATMAK'!AT211)),"B",IF(NOT(ISBLANK('A-RACHNATMAK'!AT210)),"C","")))</f>
        <v/>
      </c>
      <c r="AR196" s="622" t="str">
        <f>IF(NOT(ISBLANK('A-RACHNATMAK'!AU212)),"A",IF(NOT(ISBLANK('A-RACHNATMAK'!AU211)),"B",IF(NOT(ISBLANK('A-RACHNATMAK'!AU210)),"C","")))</f>
        <v/>
      </c>
      <c r="AS196" s="622" t="str">
        <f>IF(NOT(ISBLANK('A-RACHNATMAK'!AV212)),"A",IF(NOT(ISBLANK('A-RACHNATMAK'!AV211)),"B",IF(NOT(ISBLANK('A-RACHNATMAK'!AV210)),"C","")))</f>
        <v/>
      </c>
      <c r="AT196" s="622" t="str">
        <f>IF(NOT(ISBLANK('A-RACHNATMAK'!AW212)),"A",IF(NOT(ISBLANK('A-RACHNATMAK'!AW211)),"B",IF(NOT(ISBLANK('A-RACHNATMAK'!AW210)),"C","")))</f>
        <v/>
      </c>
      <c r="AU196" s="622">
        <f t="shared" ref="AU196" si="375">COUNTIF(AA196:AT196,"A")</f>
        <v>0</v>
      </c>
      <c r="AV196" s="622">
        <f t="shared" ref="AV196" si="376">COUNTIF(AA196:AT196,"B")</f>
        <v>0</v>
      </c>
      <c r="AW196" s="622">
        <f t="shared" ref="AW196" si="377">COUNTIF(AA196:AT196,"C")</f>
        <v>0</v>
      </c>
    </row>
    <row r="197" spans="1:49" ht="7.5" customHeight="1">
      <c r="A197" s="623"/>
      <c r="B197" s="622"/>
      <c r="C197" s="622"/>
      <c r="D197" s="622"/>
      <c r="E197" s="622"/>
      <c r="F197" s="622"/>
      <c r="G197" s="622"/>
      <c r="H197" s="622"/>
      <c r="I197" s="622"/>
      <c r="J197" s="622"/>
      <c r="K197" s="622"/>
      <c r="L197" s="622"/>
      <c r="M197" s="622"/>
      <c r="N197" s="622"/>
      <c r="O197" s="622"/>
      <c r="P197" s="622"/>
      <c r="Q197" s="622"/>
      <c r="R197" s="622"/>
      <c r="S197" s="622"/>
      <c r="T197" s="622"/>
      <c r="U197" s="622"/>
      <c r="V197" s="622"/>
      <c r="W197" s="622"/>
      <c r="X197" s="622"/>
      <c r="Y197" s="330"/>
      <c r="Z197" s="623"/>
      <c r="AA197" s="622"/>
      <c r="AB197" s="622"/>
      <c r="AC197" s="622"/>
      <c r="AD197" s="622"/>
      <c r="AE197" s="622"/>
      <c r="AF197" s="622"/>
      <c r="AG197" s="622"/>
      <c r="AH197" s="622"/>
      <c r="AI197" s="622"/>
      <c r="AJ197" s="622"/>
      <c r="AK197" s="622"/>
      <c r="AL197" s="622"/>
      <c r="AM197" s="622"/>
      <c r="AN197" s="622"/>
      <c r="AO197" s="622"/>
      <c r="AP197" s="622"/>
      <c r="AQ197" s="622"/>
      <c r="AR197" s="622"/>
      <c r="AS197" s="622"/>
      <c r="AT197" s="622"/>
      <c r="AU197" s="622"/>
      <c r="AV197" s="622"/>
      <c r="AW197" s="622"/>
    </row>
    <row r="198" spans="1:49" ht="7.5" customHeight="1">
      <c r="A198" s="623"/>
      <c r="B198" s="622"/>
      <c r="C198" s="622"/>
      <c r="D198" s="622"/>
      <c r="E198" s="622"/>
      <c r="F198" s="622"/>
      <c r="G198" s="622"/>
      <c r="H198" s="622"/>
      <c r="I198" s="622"/>
      <c r="J198" s="622"/>
      <c r="K198" s="622"/>
      <c r="L198" s="622"/>
      <c r="M198" s="622"/>
      <c r="N198" s="622"/>
      <c r="O198" s="622"/>
      <c r="P198" s="622"/>
      <c r="Q198" s="622"/>
      <c r="R198" s="622"/>
      <c r="S198" s="622"/>
      <c r="T198" s="622"/>
      <c r="U198" s="622"/>
      <c r="V198" s="622"/>
      <c r="W198" s="622"/>
      <c r="X198" s="622"/>
      <c r="Y198" s="330"/>
      <c r="Z198" s="623"/>
      <c r="AA198" s="622"/>
      <c r="AB198" s="622"/>
      <c r="AC198" s="622"/>
      <c r="AD198" s="622"/>
      <c r="AE198" s="622"/>
      <c r="AF198" s="622"/>
      <c r="AG198" s="622"/>
      <c r="AH198" s="622"/>
      <c r="AI198" s="622"/>
      <c r="AJ198" s="622"/>
      <c r="AK198" s="622"/>
      <c r="AL198" s="622"/>
      <c r="AM198" s="622"/>
      <c r="AN198" s="622"/>
      <c r="AO198" s="622"/>
      <c r="AP198" s="622"/>
      <c r="AQ198" s="622"/>
      <c r="AR198" s="622"/>
      <c r="AS198" s="622"/>
      <c r="AT198" s="622"/>
      <c r="AU198" s="622"/>
      <c r="AV198" s="622"/>
      <c r="AW198" s="622"/>
    </row>
    <row r="199" spans="1:49" ht="7.5" customHeight="1">
      <c r="A199" s="623">
        <v>31</v>
      </c>
      <c r="B199" s="622" t="str">
        <f>IF(NOT(ISBLANK('A-RACHNATMAK'!C215)),"A",IF(NOT(ISBLANK('A-RACHNATMAK'!C214)),"B",IF(NOT(ISBLANK('A-RACHNATMAK'!C213)),"C","")))</f>
        <v/>
      </c>
      <c r="C199" s="622" t="str">
        <f>IF(NOT(ISBLANK('A-RACHNATMAK'!D215)),"A",IF(NOT(ISBLANK('A-RACHNATMAK'!D214)),"B",IF(NOT(ISBLANK('A-RACHNATMAK'!D213)),"C","")))</f>
        <v/>
      </c>
      <c r="D199" s="622" t="str">
        <f>IF(NOT(ISBLANK('A-RACHNATMAK'!E215)),"A",IF(NOT(ISBLANK('A-RACHNATMAK'!E214)),"B",IF(NOT(ISBLANK('A-RACHNATMAK'!E213)),"C","")))</f>
        <v/>
      </c>
      <c r="E199" s="622" t="str">
        <f>IF(NOT(ISBLANK('A-RACHNATMAK'!F215)),"A",IF(NOT(ISBLANK('A-RACHNATMAK'!F214)),"B",IF(NOT(ISBLANK('A-RACHNATMAK'!F213)),"C","")))</f>
        <v/>
      </c>
      <c r="F199" s="622" t="str">
        <f>IF(NOT(ISBLANK('A-RACHNATMAK'!G215)),"A",IF(NOT(ISBLANK('A-RACHNATMAK'!G214)),"B",IF(NOT(ISBLANK('A-RACHNATMAK'!G213)),"C","")))</f>
        <v/>
      </c>
      <c r="G199" s="622" t="str">
        <f>IF(NOT(ISBLANK('A-RACHNATMAK'!H215)),"A",IF(NOT(ISBLANK('A-RACHNATMAK'!H214)),"B",IF(NOT(ISBLANK('A-RACHNATMAK'!H213)),"C","")))</f>
        <v/>
      </c>
      <c r="H199" s="622" t="str">
        <f>IF(NOT(ISBLANK('A-RACHNATMAK'!I215)),"A",IF(NOT(ISBLANK('A-RACHNATMAK'!I214)),"B",IF(NOT(ISBLANK('A-RACHNATMAK'!I213)),"C","")))</f>
        <v/>
      </c>
      <c r="I199" s="622" t="str">
        <f>IF(NOT(ISBLANK('A-RACHNATMAK'!J215)),"A",IF(NOT(ISBLANK('A-RACHNATMAK'!J214)),"B",IF(NOT(ISBLANK('A-RACHNATMAK'!J213)),"C","")))</f>
        <v/>
      </c>
      <c r="J199" s="622" t="str">
        <f>IF(NOT(ISBLANK('A-RACHNATMAK'!K215)),"A",IF(NOT(ISBLANK('A-RACHNATMAK'!K214)),"B",IF(NOT(ISBLANK('A-RACHNATMAK'!K213)),"C","")))</f>
        <v/>
      </c>
      <c r="K199" s="622" t="str">
        <f>IF(NOT(ISBLANK('A-RACHNATMAK'!L215)),"A",IF(NOT(ISBLANK('A-RACHNATMAK'!L214)),"B",IF(NOT(ISBLANK('A-RACHNATMAK'!L213)),"C","")))</f>
        <v/>
      </c>
      <c r="L199" s="622" t="str">
        <f>IF(NOT(ISBLANK('A-RACHNATMAK'!M215)),"A",IF(NOT(ISBLANK('A-RACHNATMAK'!M214)),"B",IF(NOT(ISBLANK('A-RACHNATMAK'!M213)),"C","")))</f>
        <v/>
      </c>
      <c r="M199" s="622" t="str">
        <f>IF(NOT(ISBLANK('A-RACHNATMAK'!N215)),"A",IF(NOT(ISBLANK('A-RACHNATMAK'!N214)),"B",IF(NOT(ISBLANK('A-RACHNATMAK'!N213)),"C","")))</f>
        <v/>
      </c>
      <c r="N199" s="622" t="str">
        <f>IF(NOT(ISBLANK('A-RACHNATMAK'!O215)),"A",IF(NOT(ISBLANK('A-RACHNATMAK'!O214)),"B",IF(NOT(ISBLANK('A-RACHNATMAK'!O213)),"C","")))</f>
        <v/>
      </c>
      <c r="O199" s="622" t="str">
        <f>IF(NOT(ISBLANK('A-RACHNATMAK'!P215)),"A",IF(NOT(ISBLANK('A-RACHNATMAK'!P214)),"B",IF(NOT(ISBLANK('A-RACHNATMAK'!P213)),"C","")))</f>
        <v/>
      </c>
      <c r="P199" s="622" t="str">
        <f>IF(NOT(ISBLANK('A-RACHNATMAK'!Q215)),"A",IF(NOT(ISBLANK('A-RACHNATMAK'!Q214)),"B",IF(NOT(ISBLANK('A-RACHNATMAK'!Q213)),"C","")))</f>
        <v/>
      </c>
      <c r="Q199" s="622" t="str">
        <f>IF(NOT(ISBLANK('A-RACHNATMAK'!R215)),"A",IF(NOT(ISBLANK('A-RACHNATMAK'!R214)),"B",IF(NOT(ISBLANK('A-RACHNATMAK'!R213)),"C","")))</f>
        <v/>
      </c>
      <c r="R199" s="622" t="str">
        <f>IF(NOT(ISBLANK('A-RACHNATMAK'!S215)),"A",IF(NOT(ISBLANK('A-RACHNATMAK'!S214)),"B",IF(NOT(ISBLANK('A-RACHNATMAK'!S213)),"C","")))</f>
        <v/>
      </c>
      <c r="S199" s="622" t="str">
        <f>IF(NOT(ISBLANK('A-RACHNATMAK'!T215)),"A",IF(NOT(ISBLANK('A-RACHNATMAK'!T214)),"B",IF(NOT(ISBLANK('A-RACHNATMAK'!T213)),"C","")))</f>
        <v/>
      </c>
      <c r="T199" s="622" t="str">
        <f>IF(NOT(ISBLANK('A-RACHNATMAK'!U215)),"A",IF(NOT(ISBLANK('A-RACHNATMAK'!U214)),"B",IF(NOT(ISBLANK('A-RACHNATMAK'!U213)),"C","")))</f>
        <v/>
      </c>
      <c r="U199" s="622" t="str">
        <f>IF(NOT(ISBLANK('A-RACHNATMAK'!V215)),"A",IF(NOT(ISBLANK('A-RACHNATMAK'!V214)),"B",IF(NOT(ISBLANK('A-RACHNATMAK'!V213)),"C","")))</f>
        <v/>
      </c>
      <c r="V199" s="622">
        <f t="shared" ref="V199" si="378">COUNTIF(B199:U199,"A")</f>
        <v>0</v>
      </c>
      <c r="W199" s="622">
        <f t="shared" ref="W199" si="379">COUNTIF(B199:U199,"B")</f>
        <v>0</v>
      </c>
      <c r="X199" s="622">
        <f t="shared" ref="X199" si="380">COUNTIF(B199:U199,"C")</f>
        <v>0</v>
      </c>
      <c r="Y199" s="330"/>
      <c r="Z199" s="623">
        <v>31</v>
      </c>
      <c r="AA199" s="622" t="str">
        <f>IF(NOT(ISBLANK('A-RACHNATMAK'!AD215)),"A",IF(NOT(ISBLANK('A-RACHNATMAK'!AD214)),"B",IF(NOT(ISBLANK('A-RACHNATMAK'!AD213)),"C","")))</f>
        <v/>
      </c>
      <c r="AB199" s="622" t="str">
        <f>IF(NOT(ISBLANK('A-RACHNATMAK'!AE215)),"A",IF(NOT(ISBLANK('A-RACHNATMAK'!AE214)),"B",IF(NOT(ISBLANK('A-RACHNATMAK'!AE213)),"C","")))</f>
        <v/>
      </c>
      <c r="AC199" s="622" t="str">
        <f>IF(NOT(ISBLANK('A-RACHNATMAK'!AF215)),"A",IF(NOT(ISBLANK('A-RACHNATMAK'!AF214)),"B",IF(NOT(ISBLANK('A-RACHNATMAK'!AF213)),"C","")))</f>
        <v/>
      </c>
      <c r="AD199" s="622" t="str">
        <f>IF(NOT(ISBLANK('A-RACHNATMAK'!AG215)),"A",IF(NOT(ISBLANK('A-RACHNATMAK'!AG214)),"B",IF(NOT(ISBLANK('A-RACHNATMAK'!AG213)),"C","")))</f>
        <v/>
      </c>
      <c r="AE199" s="622" t="str">
        <f>IF(NOT(ISBLANK('A-RACHNATMAK'!AH215)),"A",IF(NOT(ISBLANK('A-RACHNATMAK'!AH214)),"B",IF(NOT(ISBLANK('A-RACHNATMAK'!AH213)),"C","")))</f>
        <v/>
      </c>
      <c r="AF199" s="622" t="str">
        <f>IF(NOT(ISBLANK('A-RACHNATMAK'!AI215)),"A",IF(NOT(ISBLANK('A-RACHNATMAK'!AI214)),"B",IF(NOT(ISBLANK('A-RACHNATMAK'!AI213)),"C","")))</f>
        <v/>
      </c>
      <c r="AG199" s="622" t="str">
        <f>IF(NOT(ISBLANK('A-RACHNATMAK'!AJ215)),"A",IF(NOT(ISBLANK('A-RACHNATMAK'!AJ214)),"B",IF(NOT(ISBLANK('A-RACHNATMAK'!AJ213)),"C","")))</f>
        <v/>
      </c>
      <c r="AH199" s="622" t="str">
        <f>IF(NOT(ISBLANK('A-RACHNATMAK'!AK215)),"A",IF(NOT(ISBLANK('A-RACHNATMAK'!AK214)),"B",IF(NOT(ISBLANK('A-RACHNATMAK'!AK213)),"C","")))</f>
        <v/>
      </c>
      <c r="AI199" s="622" t="str">
        <f>IF(NOT(ISBLANK('A-RACHNATMAK'!AL215)),"A",IF(NOT(ISBLANK('A-RACHNATMAK'!AL214)),"B",IF(NOT(ISBLANK('A-RACHNATMAK'!AL213)),"C","")))</f>
        <v/>
      </c>
      <c r="AJ199" s="622" t="str">
        <f>IF(NOT(ISBLANK('A-RACHNATMAK'!AM215)),"A",IF(NOT(ISBLANK('A-RACHNATMAK'!AM214)),"B",IF(NOT(ISBLANK('A-RACHNATMAK'!AM213)),"C","")))</f>
        <v/>
      </c>
      <c r="AK199" s="622" t="str">
        <f>IF(NOT(ISBLANK('A-RACHNATMAK'!AN215)),"A",IF(NOT(ISBLANK('A-RACHNATMAK'!AN214)),"B",IF(NOT(ISBLANK('A-RACHNATMAK'!AN213)),"C","")))</f>
        <v/>
      </c>
      <c r="AL199" s="622" t="str">
        <f>IF(NOT(ISBLANK('A-RACHNATMAK'!AO215)),"A",IF(NOT(ISBLANK('A-RACHNATMAK'!AO214)),"B",IF(NOT(ISBLANK('A-RACHNATMAK'!AO213)),"C","")))</f>
        <v/>
      </c>
      <c r="AM199" s="622" t="str">
        <f>IF(NOT(ISBLANK('A-RACHNATMAK'!AP215)),"A",IF(NOT(ISBLANK('A-RACHNATMAK'!AP214)),"B",IF(NOT(ISBLANK('A-RACHNATMAK'!AP213)),"C","")))</f>
        <v/>
      </c>
      <c r="AN199" s="622" t="str">
        <f>IF(NOT(ISBLANK('A-RACHNATMAK'!AQ215)),"A",IF(NOT(ISBLANK('A-RACHNATMAK'!AQ214)),"B",IF(NOT(ISBLANK('A-RACHNATMAK'!AQ213)),"C","")))</f>
        <v/>
      </c>
      <c r="AO199" s="622" t="str">
        <f>IF(NOT(ISBLANK('A-RACHNATMAK'!AR215)),"A",IF(NOT(ISBLANK('A-RACHNATMAK'!AR214)),"B",IF(NOT(ISBLANK('A-RACHNATMAK'!AR213)),"C","")))</f>
        <v/>
      </c>
      <c r="AP199" s="622" t="str">
        <f>IF(NOT(ISBLANK('A-RACHNATMAK'!AS215)),"A",IF(NOT(ISBLANK('A-RACHNATMAK'!AS214)),"B",IF(NOT(ISBLANK('A-RACHNATMAK'!AS213)),"C","")))</f>
        <v/>
      </c>
      <c r="AQ199" s="622" t="str">
        <f>IF(NOT(ISBLANK('A-RACHNATMAK'!AT215)),"A",IF(NOT(ISBLANK('A-RACHNATMAK'!AT214)),"B",IF(NOT(ISBLANK('A-RACHNATMAK'!AT213)),"C","")))</f>
        <v/>
      </c>
      <c r="AR199" s="622" t="str">
        <f>IF(NOT(ISBLANK('A-RACHNATMAK'!AU215)),"A",IF(NOT(ISBLANK('A-RACHNATMAK'!AU214)),"B",IF(NOT(ISBLANK('A-RACHNATMAK'!AU213)),"C","")))</f>
        <v/>
      </c>
      <c r="AS199" s="622" t="str">
        <f>IF(NOT(ISBLANK('A-RACHNATMAK'!AV215)),"A",IF(NOT(ISBLANK('A-RACHNATMAK'!AV214)),"B",IF(NOT(ISBLANK('A-RACHNATMAK'!AV213)),"C","")))</f>
        <v/>
      </c>
      <c r="AT199" s="622" t="str">
        <f>IF(NOT(ISBLANK('A-RACHNATMAK'!AW215)),"A",IF(NOT(ISBLANK('A-RACHNATMAK'!AW214)),"B",IF(NOT(ISBLANK('A-RACHNATMAK'!AW213)),"C","")))</f>
        <v/>
      </c>
      <c r="AU199" s="622">
        <f t="shared" ref="AU199" si="381">COUNTIF(AA199:AT199,"A")</f>
        <v>0</v>
      </c>
      <c r="AV199" s="622">
        <f t="shared" ref="AV199" si="382">COUNTIF(AA199:AT199,"B")</f>
        <v>0</v>
      </c>
      <c r="AW199" s="622">
        <f t="shared" ref="AW199" si="383">COUNTIF(AA199:AT199,"C")</f>
        <v>0</v>
      </c>
    </row>
    <row r="200" spans="1:49" ht="7.5" customHeight="1">
      <c r="A200" s="623"/>
      <c r="B200" s="622"/>
      <c r="C200" s="622"/>
      <c r="D200" s="622"/>
      <c r="E200" s="622"/>
      <c r="F200" s="622"/>
      <c r="G200" s="622"/>
      <c r="H200" s="622"/>
      <c r="I200" s="622"/>
      <c r="J200" s="622"/>
      <c r="K200" s="622"/>
      <c r="L200" s="622"/>
      <c r="M200" s="622"/>
      <c r="N200" s="622"/>
      <c r="O200" s="622"/>
      <c r="P200" s="622"/>
      <c r="Q200" s="622"/>
      <c r="R200" s="622"/>
      <c r="S200" s="622"/>
      <c r="T200" s="622"/>
      <c r="U200" s="622"/>
      <c r="V200" s="622"/>
      <c r="W200" s="622"/>
      <c r="X200" s="622"/>
      <c r="Y200" s="330"/>
      <c r="Z200" s="623"/>
      <c r="AA200" s="622"/>
      <c r="AB200" s="622"/>
      <c r="AC200" s="622"/>
      <c r="AD200" s="622"/>
      <c r="AE200" s="622"/>
      <c r="AF200" s="622"/>
      <c r="AG200" s="622"/>
      <c r="AH200" s="622"/>
      <c r="AI200" s="622"/>
      <c r="AJ200" s="622"/>
      <c r="AK200" s="622"/>
      <c r="AL200" s="622"/>
      <c r="AM200" s="622"/>
      <c r="AN200" s="622"/>
      <c r="AO200" s="622"/>
      <c r="AP200" s="622"/>
      <c r="AQ200" s="622"/>
      <c r="AR200" s="622"/>
      <c r="AS200" s="622"/>
      <c r="AT200" s="622"/>
      <c r="AU200" s="622"/>
      <c r="AV200" s="622"/>
      <c r="AW200" s="622"/>
    </row>
    <row r="201" spans="1:49" ht="7.5" customHeight="1">
      <c r="A201" s="623"/>
      <c r="B201" s="622"/>
      <c r="C201" s="622"/>
      <c r="D201" s="622"/>
      <c r="E201" s="622"/>
      <c r="F201" s="622"/>
      <c r="G201" s="622"/>
      <c r="H201" s="622"/>
      <c r="I201" s="622"/>
      <c r="J201" s="622"/>
      <c r="K201" s="622"/>
      <c r="L201" s="622"/>
      <c r="M201" s="622"/>
      <c r="N201" s="622"/>
      <c r="O201" s="622"/>
      <c r="P201" s="622"/>
      <c r="Q201" s="622"/>
      <c r="R201" s="622"/>
      <c r="S201" s="622"/>
      <c r="T201" s="622"/>
      <c r="U201" s="622"/>
      <c r="V201" s="622"/>
      <c r="W201" s="622"/>
      <c r="X201" s="622"/>
      <c r="Y201" s="330"/>
      <c r="Z201" s="623"/>
      <c r="AA201" s="622"/>
      <c r="AB201" s="622"/>
      <c r="AC201" s="622"/>
      <c r="AD201" s="622"/>
      <c r="AE201" s="622"/>
      <c r="AF201" s="622"/>
      <c r="AG201" s="622"/>
      <c r="AH201" s="622"/>
      <c r="AI201" s="622"/>
      <c r="AJ201" s="622"/>
      <c r="AK201" s="622"/>
      <c r="AL201" s="622"/>
      <c r="AM201" s="622"/>
      <c r="AN201" s="622"/>
      <c r="AO201" s="622"/>
      <c r="AP201" s="622"/>
      <c r="AQ201" s="622"/>
      <c r="AR201" s="622"/>
      <c r="AS201" s="622"/>
      <c r="AT201" s="622"/>
      <c r="AU201" s="622"/>
      <c r="AV201" s="622"/>
      <c r="AW201" s="622"/>
    </row>
    <row r="202" spans="1:49" ht="7.5" customHeight="1">
      <c r="A202" s="623">
        <v>32</v>
      </c>
      <c r="B202" s="622" t="str">
        <f>IF(NOT(ISBLANK('A-RACHNATMAK'!C218)),"A",IF(NOT(ISBLANK('A-RACHNATMAK'!C217)),"B",IF(NOT(ISBLANK('A-RACHNATMAK'!C216)),"C","")))</f>
        <v/>
      </c>
      <c r="C202" s="622" t="str">
        <f>IF(NOT(ISBLANK('A-RACHNATMAK'!D218)),"A",IF(NOT(ISBLANK('A-RACHNATMAK'!D217)),"B",IF(NOT(ISBLANK('A-RACHNATMAK'!D216)),"C","")))</f>
        <v/>
      </c>
      <c r="D202" s="622" t="str">
        <f>IF(NOT(ISBLANK('A-RACHNATMAK'!E218)),"A",IF(NOT(ISBLANK('A-RACHNATMAK'!E217)),"B",IF(NOT(ISBLANK('A-RACHNATMAK'!E216)),"C","")))</f>
        <v/>
      </c>
      <c r="E202" s="622" t="str">
        <f>IF(NOT(ISBLANK('A-RACHNATMAK'!F218)),"A",IF(NOT(ISBLANK('A-RACHNATMAK'!F217)),"B",IF(NOT(ISBLANK('A-RACHNATMAK'!F216)),"C","")))</f>
        <v/>
      </c>
      <c r="F202" s="622" t="str">
        <f>IF(NOT(ISBLANK('A-RACHNATMAK'!G218)),"A",IF(NOT(ISBLANK('A-RACHNATMAK'!G217)),"B",IF(NOT(ISBLANK('A-RACHNATMAK'!G216)),"C","")))</f>
        <v/>
      </c>
      <c r="G202" s="622" t="str">
        <f>IF(NOT(ISBLANK('A-RACHNATMAK'!H218)),"A",IF(NOT(ISBLANK('A-RACHNATMAK'!H217)),"B",IF(NOT(ISBLANK('A-RACHNATMAK'!H216)),"C","")))</f>
        <v/>
      </c>
      <c r="H202" s="622" t="str">
        <f>IF(NOT(ISBLANK('A-RACHNATMAK'!I218)),"A",IF(NOT(ISBLANK('A-RACHNATMAK'!I217)),"B",IF(NOT(ISBLANK('A-RACHNATMAK'!I216)),"C","")))</f>
        <v/>
      </c>
      <c r="I202" s="622" t="str">
        <f>IF(NOT(ISBLANK('A-RACHNATMAK'!J218)),"A",IF(NOT(ISBLANK('A-RACHNATMAK'!J217)),"B",IF(NOT(ISBLANK('A-RACHNATMAK'!J216)),"C","")))</f>
        <v/>
      </c>
      <c r="J202" s="622" t="str">
        <f>IF(NOT(ISBLANK('A-RACHNATMAK'!K218)),"A",IF(NOT(ISBLANK('A-RACHNATMAK'!K217)),"B",IF(NOT(ISBLANK('A-RACHNATMAK'!K216)),"C","")))</f>
        <v/>
      </c>
      <c r="K202" s="622" t="str">
        <f>IF(NOT(ISBLANK('A-RACHNATMAK'!L218)),"A",IF(NOT(ISBLANK('A-RACHNATMAK'!L217)),"B",IF(NOT(ISBLANK('A-RACHNATMAK'!L216)),"C","")))</f>
        <v/>
      </c>
      <c r="L202" s="622" t="str">
        <f>IF(NOT(ISBLANK('A-RACHNATMAK'!M218)),"A",IF(NOT(ISBLANK('A-RACHNATMAK'!M217)),"B",IF(NOT(ISBLANK('A-RACHNATMAK'!M216)),"C","")))</f>
        <v/>
      </c>
      <c r="M202" s="622" t="str">
        <f>IF(NOT(ISBLANK('A-RACHNATMAK'!N218)),"A",IF(NOT(ISBLANK('A-RACHNATMAK'!N217)),"B",IF(NOT(ISBLANK('A-RACHNATMAK'!N216)),"C","")))</f>
        <v/>
      </c>
      <c r="N202" s="622" t="str">
        <f>IF(NOT(ISBLANK('A-RACHNATMAK'!O218)),"A",IF(NOT(ISBLANK('A-RACHNATMAK'!O217)),"B",IF(NOT(ISBLANK('A-RACHNATMAK'!O216)),"C","")))</f>
        <v/>
      </c>
      <c r="O202" s="622" t="str">
        <f>IF(NOT(ISBLANK('A-RACHNATMAK'!P218)),"A",IF(NOT(ISBLANK('A-RACHNATMAK'!P217)),"B",IF(NOT(ISBLANK('A-RACHNATMAK'!P216)),"C","")))</f>
        <v/>
      </c>
      <c r="P202" s="622" t="str">
        <f>IF(NOT(ISBLANK('A-RACHNATMAK'!Q218)),"A",IF(NOT(ISBLANK('A-RACHNATMAK'!Q217)),"B",IF(NOT(ISBLANK('A-RACHNATMAK'!Q216)),"C","")))</f>
        <v/>
      </c>
      <c r="Q202" s="622" t="str">
        <f>IF(NOT(ISBLANK('A-RACHNATMAK'!R218)),"A",IF(NOT(ISBLANK('A-RACHNATMAK'!R217)),"B",IF(NOT(ISBLANK('A-RACHNATMAK'!R216)),"C","")))</f>
        <v/>
      </c>
      <c r="R202" s="622" t="str">
        <f>IF(NOT(ISBLANK('A-RACHNATMAK'!S218)),"A",IF(NOT(ISBLANK('A-RACHNATMAK'!S217)),"B",IF(NOT(ISBLANK('A-RACHNATMAK'!S216)),"C","")))</f>
        <v/>
      </c>
      <c r="S202" s="622" t="str">
        <f>IF(NOT(ISBLANK('A-RACHNATMAK'!T218)),"A",IF(NOT(ISBLANK('A-RACHNATMAK'!T217)),"B",IF(NOT(ISBLANK('A-RACHNATMAK'!T216)),"C","")))</f>
        <v/>
      </c>
      <c r="T202" s="622" t="str">
        <f>IF(NOT(ISBLANK('A-RACHNATMAK'!U218)),"A",IF(NOT(ISBLANK('A-RACHNATMAK'!U217)),"B",IF(NOT(ISBLANK('A-RACHNATMAK'!U216)),"C","")))</f>
        <v/>
      </c>
      <c r="U202" s="622" t="str">
        <f>IF(NOT(ISBLANK('A-RACHNATMAK'!V218)),"A",IF(NOT(ISBLANK('A-RACHNATMAK'!V217)),"B",IF(NOT(ISBLANK('A-RACHNATMAK'!V216)),"C","")))</f>
        <v/>
      </c>
      <c r="V202" s="622">
        <f t="shared" ref="V202" si="384">COUNTIF(B202:U202,"A")</f>
        <v>0</v>
      </c>
      <c r="W202" s="622">
        <f t="shared" ref="W202" si="385">COUNTIF(B202:U202,"B")</f>
        <v>0</v>
      </c>
      <c r="X202" s="622">
        <f t="shared" ref="X202" si="386">COUNTIF(B202:U202,"C")</f>
        <v>0</v>
      </c>
      <c r="Y202" s="330"/>
      <c r="Z202" s="623">
        <v>32</v>
      </c>
      <c r="AA202" s="622" t="str">
        <f>IF(NOT(ISBLANK('A-RACHNATMAK'!AD218)),"A",IF(NOT(ISBLANK('A-RACHNATMAK'!AD217)),"B",IF(NOT(ISBLANK('A-RACHNATMAK'!AD216)),"C","")))</f>
        <v/>
      </c>
      <c r="AB202" s="622" t="str">
        <f>IF(NOT(ISBLANK('A-RACHNATMAK'!AE218)),"A",IF(NOT(ISBLANK('A-RACHNATMAK'!AE217)),"B",IF(NOT(ISBLANK('A-RACHNATMAK'!AE216)),"C","")))</f>
        <v/>
      </c>
      <c r="AC202" s="622" t="str">
        <f>IF(NOT(ISBLANK('A-RACHNATMAK'!AF218)),"A",IF(NOT(ISBLANK('A-RACHNATMAK'!AF217)),"B",IF(NOT(ISBLANK('A-RACHNATMAK'!AF216)),"C","")))</f>
        <v/>
      </c>
      <c r="AD202" s="622" t="str">
        <f>IF(NOT(ISBLANK('A-RACHNATMAK'!AG218)),"A",IF(NOT(ISBLANK('A-RACHNATMAK'!AG217)),"B",IF(NOT(ISBLANK('A-RACHNATMAK'!AG216)),"C","")))</f>
        <v/>
      </c>
      <c r="AE202" s="622" t="str">
        <f>IF(NOT(ISBLANK('A-RACHNATMAK'!AH218)),"A",IF(NOT(ISBLANK('A-RACHNATMAK'!AH217)),"B",IF(NOT(ISBLANK('A-RACHNATMAK'!AH216)),"C","")))</f>
        <v/>
      </c>
      <c r="AF202" s="622" t="str">
        <f>IF(NOT(ISBLANK('A-RACHNATMAK'!AI218)),"A",IF(NOT(ISBLANK('A-RACHNATMAK'!AI217)),"B",IF(NOT(ISBLANK('A-RACHNATMAK'!AI216)),"C","")))</f>
        <v/>
      </c>
      <c r="AG202" s="622" t="str">
        <f>IF(NOT(ISBLANK('A-RACHNATMAK'!AJ218)),"A",IF(NOT(ISBLANK('A-RACHNATMAK'!AJ217)),"B",IF(NOT(ISBLANK('A-RACHNATMAK'!AJ216)),"C","")))</f>
        <v/>
      </c>
      <c r="AH202" s="622" t="str">
        <f>IF(NOT(ISBLANK('A-RACHNATMAK'!AK218)),"A",IF(NOT(ISBLANK('A-RACHNATMAK'!AK217)),"B",IF(NOT(ISBLANK('A-RACHNATMAK'!AK216)),"C","")))</f>
        <v/>
      </c>
      <c r="AI202" s="622" t="str">
        <f>IF(NOT(ISBLANK('A-RACHNATMAK'!AL218)),"A",IF(NOT(ISBLANK('A-RACHNATMAK'!AL217)),"B",IF(NOT(ISBLANK('A-RACHNATMAK'!AL216)),"C","")))</f>
        <v/>
      </c>
      <c r="AJ202" s="622" t="str">
        <f>IF(NOT(ISBLANK('A-RACHNATMAK'!AM218)),"A",IF(NOT(ISBLANK('A-RACHNATMAK'!AM217)),"B",IF(NOT(ISBLANK('A-RACHNATMAK'!AM216)),"C","")))</f>
        <v/>
      </c>
      <c r="AK202" s="622" t="str">
        <f>IF(NOT(ISBLANK('A-RACHNATMAK'!AN218)),"A",IF(NOT(ISBLANK('A-RACHNATMAK'!AN217)),"B",IF(NOT(ISBLANK('A-RACHNATMAK'!AN216)),"C","")))</f>
        <v/>
      </c>
      <c r="AL202" s="622" t="str">
        <f>IF(NOT(ISBLANK('A-RACHNATMAK'!AO218)),"A",IF(NOT(ISBLANK('A-RACHNATMAK'!AO217)),"B",IF(NOT(ISBLANK('A-RACHNATMAK'!AO216)),"C","")))</f>
        <v/>
      </c>
      <c r="AM202" s="622" t="str">
        <f>IF(NOT(ISBLANK('A-RACHNATMAK'!AP218)),"A",IF(NOT(ISBLANK('A-RACHNATMAK'!AP217)),"B",IF(NOT(ISBLANK('A-RACHNATMAK'!AP216)),"C","")))</f>
        <v/>
      </c>
      <c r="AN202" s="622" t="str">
        <f>IF(NOT(ISBLANK('A-RACHNATMAK'!AQ218)),"A",IF(NOT(ISBLANK('A-RACHNATMAK'!AQ217)),"B",IF(NOT(ISBLANK('A-RACHNATMAK'!AQ216)),"C","")))</f>
        <v/>
      </c>
      <c r="AO202" s="622" t="str">
        <f>IF(NOT(ISBLANK('A-RACHNATMAK'!AR218)),"A",IF(NOT(ISBLANK('A-RACHNATMAK'!AR217)),"B",IF(NOT(ISBLANK('A-RACHNATMAK'!AR216)),"C","")))</f>
        <v/>
      </c>
      <c r="AP202" s="622" t="str">
        <f>IF(NOT(ISBLANK('A-RACHNATMAK'!AS218)),"A",IF(NOT(ISBLANK('A-RACHNATMAK'!AS217)),"B",IF(NOT(ISBLANK('A-RACHNATMAK'!AS216)),"C","")))</f>
        <v/>
      </c>
      <c r="AQ202" s="622" t="str">
        <f>IF(NOT(ISBLANK('A-RACHNATMAK'!AT218)),"A",IF(NOT(ISBLANK('A-RACHNATMAK'!AT217)),"B",IF(NOT(ISBLANK('A-RACHNATMAK'!AT216)),"C","")))</f>
        <v/>
      </c>
      <c r="AR202" s="622" t="str">
        <f>IF(NOT(ISBLANK('A-RACHNATMAK'!AU218)),"A",IF(NOT(ISBLANK('A-RACHNATMAK'!AU217)),"B",IF(NOT(ISBLANK('A-RACHNATMAK'!AU216)),"C","")))</f>
        <v/>
      </c>
      <c r="AS202" s="622" t="str">
        <f>IF(NOT(ISBLANK('A-RACHNATMAK'!AV218)),"A",IF(NOT(ISBLANK('A-RACHNATMAK'!AV217)),"B",IF(NOT(ISBLANK('A-RACHNATMAK'!AV216)),"C","")))</f>
        <v/>
      </c>
      <c r="AT202" s="622" t="str">
        <f>IF(NOT(ISBLANK('A-RACHNATMAK'!AW218)),"A",IF(NOT(ISBLANK('A-RACHNATMAK'!AW217)),"B",IF(NOT(ISBLANK('A-RACHNATMAK'!AW216)),"C","")))</f>
        <v/>
      </c>
      <c r="AU202" s="622">
        <f t="shared" ref="AU202" si="387">COUNTIF(AA202:AT202,"A")</f>
        <v>0</v>
      </c>
      <c r="AV202" s="622">
        <f t="shared" ref="AV202" si="388">COUNTIF(AA202:AT202,"B")</f>
        <v>0</v>
      </c>
      <c r="AW202" s="622">
        <f t="shared" ref="AW202" si="389">COUNTIF(AA202:AT202,"C")</f>
        <v>0</v>
      </c>
    </row>
    <row r="203" spans="1:49" ht="7.5" customHeight="1">
      <c r="A203" s="623"/>
      <c r="B203" s="622"/>
      <c r="C203" s="622"/>
      <c r="D203" s="622"/>
      <c r="E203" s="622"/>
      <c r="F203" s="622"/>
      <c r="G203" s="622"/>
      <c r="H203" s="622"/>
      <c r="I203" s="622"/>
      <c r="J203" s="622"/>
      <c r="K203" s="622"/>
      <c r="L203" s="622"/>
      <c r="M203" s="622"/>
      <c r="N203" s="622"/>
      <c r="O203" s="622"/>
      <c r="P203" s="622"/>
      <c r="Q203" s="622"/>
      <c r="R203" s="622"/>
      <c r="S203" s="622"/>
      <c r="T203" s="622"/>
      <c r="U203" s="622"/>
      <c r="V203" s="622"/>
      <c r="W203" s="622"/>
      <c r="X203" s="622"/>
      <c r="Y203" s="330"/>
      <c r="Z203" s="623"/>
      <c r="AA203" s="622"/>
      <c r="AB203" s="622"/>
      <c r="AC203" s="622"/>
      <c r="AD203" s="622"/>
      <c r="AE203" s="622"/>
      <c r="AF203" s="622"/>
      <c r="AG203" s="622"/>
      <c r="AH203" s="622"/>
      <c r="AI203" s="622"/>
      <c r="AJ203" s="622"/>
      <c r="AK203" s="622"/>
      <c r="AL203" s="622"/>
      <c r="AM203" s="622"/>
      <c r="AN203" s="622"/>
      <c r="AO203" s="622"/>
      <c r="AP203" s="622"/>
      <c r="AQ203" s="622"/>
      <c r="AR203" s="622"/>
      <c r="AS203" s="622"/>
      <c r="AT203" s="622"/>
      <c r="AU203" s="622"/>
      <c r="AV203" s="622"/>
      <c r="AW203" s="622"/>
    </row>
    <row r="204" spans="1:49" ht="7.5" customHeight="1">
      <c r="A204" s="623"/>
      <c r="B204" s="622"/>
      <c r="C204" s="622"/>
      <c r="D204" s="622"/>
      <c r="E204" s="622"/>
      <c r="F204" s="622"/>
      <c r="G204" s="622"/>
      <c r="H204" s="622"/>
      <c r="I204" s="622"/>
      <c r="J204" s="622"/>
      <c r="K204" s="622"/>
      <c r="L204" s="622"/>
      <c r="M204" s="622"/>
      <c r="N204" s="622"/>
      <c r="O204" s="622"/>
      <c r="P204" s="622"/>
      <c r="Q204" s="622"/>
      <c r="R204" s="622"/>
      <c r="S204" s="622"/>
      <c r="T204" s="622"/>
      <c r="U204" s="622"/>
      <c r="V204" s="622"/>
      <c r="W204" s="622"/>
      <c r="X204" s="622"/>
      <c r="Y204" s="330"/>
      <c r="Z204" s="623"/>
      <c r="AA204" s="622"/>
      <c r="AB204" s="622"/>
      <c r="AC204" s="622"/>
      <c r="AD204" s="622"/>
      <c r="AE204" s="622"/>
      <c r="AF204" s="622"/>
      <c r="AG204" s="622"/>
      <c r="AH204" s="622"/>
      <c r="AI204" s="622"/>
      <c r="AJ204" s="622"/>
      <c r="AK204" s="622"/>
      <c r="AL204" s="622"/>
      <c r="AM204" s="622"/>
      <c r="AN204" s="622"/>
      <c r="AO204" s="622"/>
      <c r="AP204" s="622"/>
      <c r="AQ204" s="622"/>
      <c r="AR204" s="622"/>
      <c r="AS204" s="622"/>
      <c r="AT204" s="622"/>
      <c r="AU204" s="622"/>
      <c r="AV204" s="622"/>
      <c r="AW204" s="622"/>
    </row>
    <row r="205" spans="1:49" ht="7.5" customHeight="1">
      <c r="A205" s="623">
        <v>33</v>
      </c>
      <c r="B205" s="622" t="str">
        <f>IF(NOT(ISBLANK('A-RACHNATMAK'!C221)),"A",IF(NOT(ISBLANK('A-RACHNATMAK'!C220)),"B",IF(NOT(ISBLANK('A-RACHNATMAK'!C219)),"C","")))</f>
        <v/>
      </c>
      <c r="C205" s="622" t="str">
        <f>IF(NOT(ISBLANK('A-RACHNATMAK'!D221)),"A",IF(NOT(ISBLANK('A-RACHNATMAK'!D220)),"B",IF(NOT(ISBLANK('A-RACHNATMAK'!D219)),"C","")))</f>
        <v/>
      </c>
      <c r="D205" s="622" t="str">
        <f>IF(NOT(ISBLANK('A-RACHNATMAK'!E221)),"A",IF(NOT(ISBLANK('A-RACHNATMAK'!E220)),"B",IF(NOT(ISBLANK('A-RACHNATMAK'!E219)),"C","")))</f>
        <v/>
      </c>
      <c r="E205" s="622" t="str">
        <f>IF(NOT(ISBLANK('A-RACHNATMAK'!F221)),"A",IF(NOT(ISBLANK('A-RACHNATMAK'!F220)),"B",IF(NOT(ISBLANK('A-RACHNATMAK'!F219)),"C","")))</f>
        <v/>
      </c>
      <c r="F205" s="622" t="str">
        <f>IF(NOT(ISBLANK('A-RACHNATMAK'!G221)),"A",IF(NOT(ISBLANK('A-RACHNATMAK'!G220)),"B",IF(NOT(ISBLANK('A-RACHNATMAK'!G219)),"C","")))</f>
        <v/>
      </c>
      <c r="G205" s="622" t="str">
        <f>IF(NOT(ISBLANK('A-RACHNATMAK'!H221)),"A",IF(NOT(ISBLANK('A-RACHNATMAK'!H220)),"B",IF(NOT(ISBLANK('A-RACHNATMAK'!H219)),"C","")))</f>
        <v/>
      </c>
      <c r="H205" s="622" t="str">
        <f>IF(NOT(ISBLANK('A-RACHNATMAK'!I221)),"A",IF(NOT(ISBLANK('A-RACHNATMAK'!I220)),"B",IF(NOT(ISBLANK('A-RACHNATMAK'!I219)),"C","")))</f>
        <v/>
      </c>
      <c r="I205" s="622" t="str">
        <f>IF(NOT(ISBLANK('A-RACHNATMAK'!J221)),"A",IF(NOT(ISBLANK('A-RACHNATMAK'!J220)),"B",IF(NOT(ISBLANK('A-RACHNATMAK'!J219)),"C","")))</f>
        <v/>
      </c>
      <c r="J205" s="622" t="str">
        <f>IF(NOT(ISBLANK('A-RACHNATMAK'!K221)),"A",IF(NOT(ISBLANK('A-RACHNATMAK'!K220)),"B",IF(NOT(ISBLANK('A-RACHNATMAK'!K219)),"C","")))</f>
        <v/>
      </c>
      <c r="K205" s="622" t="str">
        <f>IF(NOT(ISBLANK('A-RACHNATMAK'!L221)),"A",IF(NOT(ISBLANK('A-RACHNATMAK'!L220)),"B",IF(NOT(ISBLANK('A-RACHNATMAK'!L219)),"C","")))</f>
        <v/>
      </c>
      <c r="L205" s="622" t="str">
        <f>IF(NOT(ISBLANK('A-RACHNATMAK'!M221)),"A",IF(NOT(ISBLANK('A-RACHNATMAK'!M220)),"B",IF(NOT(ISBLANK('A-RACHNATMAK'!M219)),"C","")))</f>
        <v/>
      </c>
      <c r="M205" s="622" t="str">
        <f>IF(NOT(ISBLANK('A-RACHNATMAK'!N221)),"A",IF(NOT(ISBLANK('A-RACHNATMAK'!N220)),"B",IF(NOT(ISBLANK('A-RACHNATMAK'!N219)),"C","")))</f>
        <v/>
      </c>
      <c r="N205" s="622" t="str">
        <f>IF(NOT(ISBLANK('A-RACHNATMAK'!O221)),"A",IF(NOT(ISBLANK('A-RACHNATMAK'!O220)),"B",IF(NOT(ISBLANK('A-RACHNATMAK'!O219)),"C","")))</f>
        <v/>
      </c>
      <c r="O205" s="622" t="str">
        <f>IF(NOT(ISBLANK('A-RACHNATMAK'!P221)),"A",IF(NOT(ISBLANK('A-RACHNATMAK'!P220)),"B",IF(NOT(ISBLANK('A-RACHNATMAK'!P219)),"C","")))</f>
        <v/>
      </c>
      <c r="P205" s="622" t="str">
        <f>IF(NOT(ISBLANK('A-RACHNATMAK'!Q221)),"A",IF(NOT(ISBLANK('A-RACHNATMAK'!Q220)),"B",IF(NOT(ISBLANK('A-RACHNATMAK'!Q219)),"C","")))</f>
        <v/>
      </c>
      <c r="Q205" s="622" t="str">
        <f>IF(NOT(ISBLANK('A-RACHNATMAK'!R221)),"A",IF(NOT(ISBLANK('A-RACHNATMAK'!R220)),"B",IF(NOT(ISBLANK('A-RACHNATMAK'!R219)),"C","")))</f>
        <v/>
      </c>
      <c r="R205" s="622" t="str">
        <f>IF(NOT(ISBLANK('A-RACHNATMAK'!S221)),"A",IF(NOT(ISBLANK('A-RACHNATMAK'!S220)),"B",IF(NOT(ISBLANK('A-RACHNATMAK'!S219)),"C","")))</f>
        <v/>
      </c>
      <c r="S205" s="622" t="str">
        <f>IF(NOT(ISBLANK('A-RACHNATMAK'!T221)),"A",IF(NOT(ISBLANK('A-RACHNATMAK'!T220)),"B",IF(NOT(ISBLANK('A-RACHNATMAK'!T219)),"C","")))</f>
        <v/>
      </c>
      <c r="T205" s="622" t="str">
        <f>IF(NOT(ISBLANK('A-RACHNATMAK'!U221)),"A",IF(NOT(ISBLANK('A-RACHNATMAK'!U220)),"B",IF(NOT(ISBLANK('A-RACHNATMAK'!U219)),"C","")))</f>
        <v/>
      </c>
      <c r="U205" s="622" t="str">
        <f>IF(NOT(ISBLANK('A-RACHNATMAK'!V221)),"A",IF(NOT(ISBLANK('A-RACHNATMAK'!V220)),"B",IF(NOT(ISBLANK('A-RACHNATMAK'!V219)),"C","")))</f>
        <v/>
      </c>
      <c r="V205" s="622">
        <f t="shared" ref="V205" si="390">COUNTIF(B205:U205,"A")</f>
        <v>0</v>
      </c>
      <c r="W205" s="622">
        <f t="shared" ref="W205" si="391">COUNTIF(B205:U205,"B")</f>
        <v>0</v>
      </c>
      <c r="X205" s="622">
        <f t="shared" ref="X205" si="392">COUNTIF(B205:U205,"C")</f>
        <v>0</v>
      </c>
      <c r="Y205" s="330"/>
      <c r="Z205" s="623">
        <v>33</v>
      </c>
      <c r="AA205" s="622" t="str">
        <f>IF(NOT(ISBLANK('A-RACHNATMAK'!AD221)),"A",IF(NOT(ISBLANK('A-RACHNATMAK'!AD220)),"B",IF(NOT(ISBLANK('A-RACHNATMAK'!AD219)),"C","")))</f>
        <v/>
      </c>
      <c r="AB205" s="622" t="str">
        <f>IF(NOT(ISBLANK('A-RACHNATMAK'!AE221)),"A",IF(NOT(ISBLANK('A-RACHNATMAK'!AE220)),"B",IF(NOT(ISBLANK('A-RACHNATMAK'!AE219)),"C","")))</f>
        <v/>
      </c>
      <c r="AC205" s="622" t="str">
        <f>IF(NOT(ISBLANK('A-RACHNATMAK'!AF221)),"A",IF(NOT(ISBLANK('A-RACHNATMAK'!AF220)),"B",IF(NOT(ISBLANK('A-RACHNATMAK'!AF219)),"C","")))</f>
        <v/>
      </c>
      <c r="AD205" s="622" t="str">
        <f>IF(NOT(ISBLANK('A-RACHNATMAK'!AG221)),"A",IF(NOT(ISBLANK('A-RACHNATMAK'!AG220)),"B",IF(NOT(ISBLANK('A-RACHNATMAK'!AG219)),"C","")))</f>
        <v/>
      </c>
      <c r="AE205" s="622" t="str">
        <f>IF(NOT(ISBLANK('A-RACHNATMAK'!AH221)),"A",IF(NOT(ISBLANK('A-RACHNATMAK'!AH220)),"B",IF(NOT(ISBLANK('A-RACHNATMAK'!AH219)),"C","")))</f>
        <v/>
      </c>
      <c r="AF205" s="622" t="str">
        <f>IF(NOT(ISBLANK('A-RACHNATMAK'!AI221)),"A",IF(NOT(ISBLANK('A-RACHNATMAK'!AI220)),"B",IF(NOT(ISBLANK('A-RACHNATMAK'!AI219)),"C","")))</f>
        <v/>
      </c>
      <c r="AG205" s="622" t="str">
        <f>IF(NOT(ISBLANK('A-RACHNATMAK'!AJ221)),"A",IF(NOT(ISBLANK('A-RACHNATMAK'!AJ220)),"B",IF(NOT(ISBLANK('A-RACHNATMAK'!AJ219)),"C","")))</f>
        <v/>
      </c>
      <c r="AH205" s="622" t="str">
        <f>IF(NOT(ISBLANK('A-RACHNATMAK'!AK221)),"A",IF(NOT(ISBLANK('A-RACHNATMAK'!AK220)),"B",IF(NOT(ISBLANK('A-RACHNATMAK'!AK219)),"C","")))</f>
        <v/>
      </c>
      <c r="AI205" s="622" t="str">
        <f>IF(NOT(ISBLANK('A-RACHNATMAK'!AL221)),"A",IF(NOT(ISBLANK('A-RACHNATMAK'!AL220)),"B",IF(NOT(ISBLANK('A-RACHNATMAK'!AL219)),"C","")))</f>
        <v/>
      </c>
      <c r="AJ205" s="622" t="str">
        <f>IF(NOT(ISBLANK('A-RACHNATMAK'!AM221)),"A",IF(NOT(ISBLANK('A-RACHNATMAK'!AM220)),"B",IF(NOT(ISBLANK('A-RACHNATMAK'!AM219)),"C","")))</f>
        <v/>
      </c>
      <c r="AK205" s="622" t="str">
        <f>IF(NOT(ISBLANK('A-RACHNATMAK'!AN221)),"A",IF(NOT(ISBLANK('A-RACHNATMAK'!AN220)),"B",IF(NOT(ISBLANK('A-RACHNATMAK'!AN219)),"C","")))</f>
        <v/>
      </c>
      <c r="AL205" s="622" t="str">
        <f>IF(NOT(ISBLANK('A-RACHNATMAK'!AO221)),"A",IF(NOT(ISBLANK('A-RACHNATMAK'!AO220)),"B",IF(NOT(ISBLANK('A-RACHNATMAK'!AO219)),"C","")))</f>
        <v/>
      </c>
      <c r="AM205" s="622" t="str">
        <f>IF(NOT(ISBLANK('A-RACHNATMAK'!AP221)),"A",IF(NOT(ISBLANK('A-RACHNATMAK'!AP220)),"B",IF(NOT(ISBLANK('A-RACHNATMAK'!AP219)),"C","")))</f>
        <v/>
      </c>
      <c r="AN205" s="622" t="str">
        <f>IF(NOT(ISBLANK('A-RACHNATMAK'!AQ221)),"A",IF(NOT(ISBLANK('A-RACHNATMAK'!AQ220)),"B",IF(NOT(ISBLANK('A-RACHNATMAK'!AQ219)),"C","")))</f>
        <v/>
      </c>
      <c r="AO205" s="622" t="str">
        <f>IF(NOT(ISBLANK('A-RACHNATMAK'!AR221)),"A",IF(NOT(ISBLANK('A-RACHNATMAK'!AR220)),"B",IF(NOT(ISBLANK('A-RACHNATMAK'!AR219)),"C","")))</f>
        <v/>
      </c>
      <c r="AP205" s="622" t="str">
        <f>IF(NOT(ISBLANK('A-RACHNATMAK'!AS221)),"A",IF(NOT(ISBLANK('A-RACHNATMAK'!AS220)),"B",IF(NOT(ISBLANK('A-RACHNATMAK'!AS219)),"C","")))</f>
        <v/>
      </c>
      <c r="AQ205" s="622" t="str">
        <f>IF(NOT(ISBLANK('A-RACHNATMAK'!AT221)),"A",IF(NOT(ISBLANK('A-RACHNATMAK'!AT220)),"B",IF(NOT(ISBLANK('A-RACHNATMAK'!AT219)),"C","")))</f>
        <v/>
      </c>
      <c r="AR205" s="622" t="str">
        <f>IF(NOT(ISBLANK('A-RACHNATMAK'!AU221)),"A",IF(NOT(ISBLANK('A-RACHNATMAK'!AU220)),"B",IF(NOT(ISBLANK('A-RACHNATMAK'!AU219)),"C","")))</f>
        <v/>
      </c>
      <c r="AS205" s="622" t="str">
        <f>IF(NOT(ISBLANK('A-RACHNATMAK'!AV221)),"A",IF(NOT(ISBLANK('A-RACHNATMAK'!AV220)),"B",IF(NOT(ISBLANK('A-RACHNATMAK'!AV219)),"C","")))</f>
        <v/>
      </c>
      <c r="AT205" s="622" t="str">
        <f>IF(NOT(ISBLANK('A-RACHNATMAK'!AW221)),"A",IF(NOT(ISBLANK('A-RACHNATMAK'!AW220)),"B",IF(NOT(ISBLANK('A-RACHNATMAK'!AW219)),"C","")))</f>
        <v/>
      </c>
      <c r="AU205" s="622">
        <f t="shared" ref="AU205" si="393">COUNTIF(AA205:AT205,"A")</f>
        <v>0</v>
      </c>
      <c r="AV205" s="622">
        <f t="shared" ref="AV205" si="394">COUNTIF(AA205:AT205,"B")</f>
        <v>0</v>
      </c>
      <c r="AW205" s="622">
        <f t="shared" ref="AW205" si="395">COUNTIF(AA205:AT205,"C")</f>
        <v>0</v>
      </c>
    </row>
    <row r="206" spans="1:49" ht="7.5" customHeight="1">
      <c r="A206" s="623"/>
      <c r="B206" s="622"/>
      <c r="C206" s="622"/>
      <c r="D206" s="622"/>
      <c r="E206" s="622"/>
      <c r="F206" s="622"/>
      <c r="G206" s="622"/>
      <c r="H206" s="622"/>
      <c r="I206" s="622"/>
      <c r="J206" s="622"/>
      <c r="K206" s="622"/>
      <c r="L206" s="622"/>
      <c r="M206" s="622"/>
      <c r="N206" s="622"/>
      <c r="O206" s="622"/>
      <c r="P206" s="622"/>
      <c r="Q206" s="622"/>
      <c r="R206" s="622"/>
      <c r="S206" s="622"/>
      <c r="T206" s="622"/>
      <c r="U206" s="622"/>
      <c r="V206" s="622"/>
      <c r="W206" s="622"/>
      <c r="X206" s="622"/>
      <c r="Y206" s="330"/>
      <c r="Z206" s="623"/>
      <c r="AA206" s="622"/>
      <c r="AB206" s="622"/>
      <c r="AC206" s="622"/>
      <c r="AD206" s="622"/>
      <c r="AE206" s="622"/>
      <c r="AF206" s="622"/>
      <c r="AG206" s="622"/>
      <c r="AH206" s="622"/>
      <c r="AI206" s="622"/>
      <c r="AJ206" s="622"/>
      <c r="AK206" s="622"/>
      <c r="AL206" s="622"/>
      <c r="AM206" s="622"/>
      <c r="AN206" s="622"/>
      <c r="AO206" s="622"/>
      <c r="AP206" s="622"/>
      <c r="AQ206" s="622"/>
      <c r="AR206" s="622"/>
      <c r="AS206" s="622"/>
      <c r="AT206" s="622"/>
      <c r="AU206" s="622"/>
      <c r="AV206" s="622"/>
      <c r="AW206" s="622"/>
    </row>
    <row r="207" spans="1:49" ht="7.5" customHeight="1">
      <c r="A207" s="623"/>
      <c r="B207" s="622"/>
      <c r="C207" s="622"/>
      <c r="D207" s="622"/>
      <c r="E207" s="622"/>
      <c r="F207" s="622"/>
      <c r="G207" s="622"/>
      <c r="H207" s="622"/>
      <c r="I207" s="622"/>
      <c r="J207" s="622"/>
      <c r="K207" s="622"/>
      <c r="L207" s="622"/>
      <c r="M207" s="622"/>
      <c r="N207" s="622"/>
      <c r="O207" s="622"/>
      <c r="P207" s="622"/>
      <c r="Q207" s="622"/>
      <c r="R207" s="622"/>
      <c r="S207" s="622"/>
      <c r="T207" s="622"/>
      <c r="U207" s="622"/>
      <c r="V207" s="622"/>
      <c r="W207" s="622"/>
      <c r="X207" s="622"/>
      <c r="Y207" s="330"/>
      <c r="Z207" s="623"/>
      <c r="AA207" s="622"/>
      <c r="AB207" s="622"/>
      <c r="AC207" s="622"/>
      <c r="AD207" s="622"/>
      <c r="AE207" s="622"/>
      <c r="AF207" s="622"/>
      <c r="AG207" s="622"/>
      <c r="AH207" s="622"/>
      <c r="AI207" s="622"/>
      <c r="AJ207" s="622"/>
      <c r="AK207" s="622"/>
      <c r="AL207" s="622"/>
      <c r="AM207" s="622"/>
      <c r="AN207" s="622"/>
      <c r="AO207" s="622"/>
      <c r="AP207" s="622"/>
      <c r="AQ207" s="622"/>
      <c r="AR207" s="622"/>
      <c r="AS207" s="622"/>
      <c r="AT207" s="622"/>
      <c r="AU207" s="622"/>
      <c r="AV207" s="622"/>
      <c r="AW207" s="622"/>
    </row>
    <row r="208" spans="1:49" ht="7.5" customHeight="1">
      <c r="A208" s="623">
        <v>34</v>
      </c>
      <c r="B208" s="622" t="str">
        <f>IF(NOT(ISBLANK('A-RACHNATMAK'!C224)),"A",IF(NOT(ISBLANK('A-RACHNATMAK'!C223)),"B",IF(NOT(ISBLANK('A-RACHNATMAK'!C222)),"C","")))</f>
        <v/>
      </c>
      <c r="C208" s="622" t="str">
        <f>IF(NOT(ISBLANK('A-RACHNATMAK'!D224)),"A",IF(NOT(ISBLANK('A-RACHNATMAK'!D223)),"B",IF(NOT(ISBLANK('A-RACHNATMAK'!D222)),"C","")))</f>
        <v/>
      </c>
      <c r="D208" s="622" t="str">
        <f>IF(NOT(ISBLANK('A-RACHNATMAK'!E224)),"A",IF(NOT(ISBLANK('A-RACHNATMAK'!E223)),"B",IF(NOT(ISBLANK('A-RACHNATMAK'!E222)),"C","")))</f>
        <v/>
      </c>
      <c r="E208" s="622" t="str">
        <f>IF(NOT(ISBLANK('A-RACHNATMAK'!F224)),"A",IF(NOT(ISBLANK('A-RACHNATMAK'!F223)),"B",IF(NOT(ISBLANK('A-RACHNATMAK'!F222)),"C","")))</f>
        <v/>
      </c>
      <c r="F208" s="622" t="str">
        <f>IF(NOT(ISBLANK('A-RACHNATMAK'!G224)),"A",IF(NOT(ISBLANK('A-RACHNATMAK'!G223)),"B",IF(NOT(ISBLANK('A-RACHNATMAK'!G222)),"C","")))</f>
        <v/>
      </c>
      <c r="G208" s="622" t="str">
        <f>IF(NOT(ISBLANK('A-RACHNATMAK'!H224)),"A",IF(NOT(ISBLANK('A-RACHNATMAK'!H223)),"B",IF(NOT(ISBLANK('A-RACHNATMAK'!H222)),"C","")))</f>
        <v/>
      </c>
      <c r="H208" s="622" t="str">
        <f>IF(NOT(ISBLANK('A-RACHNATMAK'!I224)),"A",IF(NOT(ISBLANK('A-RACHNATMAK'!I223)),"B",IF(NOT(ISBLANK('A-RACHNATMAK'!I222)),"C","")))</f>
        <v/>
      </c>
      <c r="I208" s="622" t="str">
        <f>IF(NOT(ISBLANK('A-RACHNATMAK'!J224)),"A",IF(NOT(ISBLANK('A-RACHNATMAK'!J223)),"B",IF(NOT(ISBLANK('A-RACHNATMAK'!J222)),"C","")))</f>
        <v/>
      </c>
      <c r="J208" s="622" t="str">
        <f>IF(NOT(ISBLANK('A-RACHNATMAK'!K224)),"A",IF(NOT(ISBLANK('A-RACHNATMAK'!K223)),"B",IF(NOT(ISBLANK('A-RACHNATMAK'!K222)),"C","")))</f>
        <v/>
      </c>
      <c r="K208" s="622" t="str">
        <f>IF(NOT(ISBLANK('A-RACHNATMAK'!L224)),"A",IF(NOT(ISBLANK('A-RACHNATMAK'!L223)),"B",IF(NOT(ISBLANK('A-RACHNATMAK'!L222)),"C","")))</f>
        <v/>
      </c>
      <c r="L208" s="622" t="str">
        <f>IF(NOT(ISBLANK('A-RACHNATMAK'!M224)),"A",IF(NOT(ISBLANK('A-RACHNATMAK'!M223)),"B",IF(NOT(ISBLANK('A-RACHNATMAK'!M222)),"C","")))</f>
        <v/>
      </c>
      <c r="M208" s="622" t="str">
        <f>IF(NOT(ISBLANK('A-RACHNATMAK'!N224)),"A",IF(NOT(ISBLANK('A-RACHNATMAK'!N223)),"B",IF(NOT(ISBLANK('A-RACHNATMAK'!N222)),"C","")))</f>
        <v/>
      </c>
      <c r="N208" s="622" t="str">
        <f>IF(NOT(ISBLANK('A-RACHNATMAK'!O224)),"A",IF(NOT(ISBLANK('A-RACHNATMAK'!O223)),"B",IF(NOT(ISBLANK('A-RACHNATMAK'!O222)),"C","")))</f>
        <v/>
      </c>
      <c r="O208" s="622" t="str">
        <f>IF(NOT(ISBLANK('A-RACHNATMAK'!P224)),"A",IF(NOT(ISBLANK('A-RACHNATMAK'!P223)),"B",IF(NOT(ISBLANK('A-RACHNATMAK'!P222)),"C","")))</f>
        <v/>
      </c>
      <c r="P208" s="622" t="str">
        <f>IF(NOT(ISBLANK('A-RACHNATMAK'!Q224)),"A",IF(NOT(ISBLANK('A-RACHNATMAK'!Q223)),"B",IF(NOT(ISBLANK('A-RACHNATMAK'!Q222)),"C","")))</f>
        <v/>
      </c>
      <c r="Q208" s="622" t="str">
        <f>IF(NOT(ISBLANK('A-RACHNATMAK'!R224)),"A",IF(NOT(ISBLANK('A-RACHNATMAK'!R223)),"B",IF(NOT(ISBLANK('A-RACHNATMAK'!R222)),"C","")))</f>
        <v/>
      </c>
      <c r="R208" s="622" t="str">
        <f>IF(NOT(ISBLANK('A-RACHNATMAK'!S224)),"A",IF(NOT(ISBLANK('A-RACHNATMAK'!S223)),"B",IF(NOT(ISBLANK('A-RACHNATMAK'!S222)),"C","")))</f>
        <v/>
      </c>
      <c r="S208" s="622" t="str">
        <f>IF(NOT(ISBLANK('A-RACHNATMAK'!T224)),"A",IF(NOT(ISBLANK('A-RACHNATMAK'!T223)),"B",IF(NOT(ISBLANK('A-RACHNATMAK'!T222)),"C","")))</f>
        <v/>
      </c>
      <c r="T208" s="622" t="str">
        <f>IF(NOT(ISBLANK('A-RACHNATMAK'!U224)),"A",IF(NOT(ISBLANK('A-RACHNATMAK'!U223)),"B",IF(NOT(ISBLANK('A-RACHNATMAK'!U222)),"C","")))</f>
        <v/>
      </c>
      <c r="U208" s="622" t="str">
        <f>IF(NOT(ISBLANK('A-RACHNATMAK'!V224)),"A",IF(NOT(ISBLANK('A-RACHNATMAK'!V223)),"B",IF(NOT(ISBLANK('A-RACHNATMAK'!V222)),"C","")))</f>
        <v/>
      </c>
      <c r="V208" s="622">
        <f t="shared" ref="V208" si="396">COUNTIF(B208:U208,"A")</f>
        <v>0</v>
      </c>
      <c r="W208" s="622">
        <f t="shared" ref="W208" si="397">COUNTIF(B208:U208,"B")</f>
        <v>0</v>
      </c>
      <c r="X208" s="622">
        <f t="shared" ref="X208" si="398">COUNTIF(B208:U208,"C")</f>
        <v>0</v>
      </c>
      <c r="Y208" s="330"/>
      <c r="Z208" s="623">
        <v>34</v>
      </c>
      <c r="AA208" s="622" t="str">
        <f>IF(NOT(ISBLANK('A-RACHNATMAK'!AD224)),"A",IF(NOT(ISBLANK('A-RACHNATMAK'!AD223)),"B",IF(NOT(ISBLANK('A-RACHNATMAK'!AD222)),"C","")))</f>
        <v/>
      </c>
      <c r="AB208" s="622" t="str">
        <f>IF(NOT(ISBLANK('A-RACHNATMAK'!AE224)),"A",IF(NOT(ISBLANK('A-RACHNATMAK'!AE223)),"B",IF(NOT(ISBLANK('A-RACHNATMAK'!AE222)),"C","")))</f>
        <v/>
      </c>
      <c r="AC208" s="622" t="str">
        <f>IF(NOT(ISBLANK('A-RACHNATMAK'!AF224)),"A",IF(NOT(ISBLANK('A-RACHNATMAK'!AF223)),"B",IF(NOT(ISBLANK('A-RACHNATMAK'!AF222)),"C","")))</f>
        <v/>
      </c>
      <c r="AD208" s="622" t="str">
        <f>IF(NOT(ISBLANK('A-RACHNATMAK'!AG224)),"A",IF(NOT(ISBLANK('A-RACHNATMAK'!AG223)),"B",IF(NOT(ISBLANK('A-RACHNATMAK'!AG222)),"C","")))</f>
        <v/>
      </c>
      <c r="AE208" s="622" t="str">
        <f>IF(NOT(ISBLANK('A-RACHNATMAK'!AH224)),"A",IF(NOT(ISBLANK('A-RACHNATMAK'!AH223)),"B",IF(NOT(ISBLANK('A-RACHNATMAK'!AH222)),"C","")))</f>
        <v/>
      </c>
      <c r="AF208" s="622" t="str">
        <f>IF(NOT(ISBLANK('A-RACHNATMAK'!AI224)),"A",IF(NOT(ISBLANK('A-RACHNATMAK'!AI223)),"B",IF(NOT(ISBLANK('A-RACHNATMAK'!AI222)),"C","")))</f>
        <v/>
      </c>
      <c r="AG208" s="622" t="str">
        <f>IF(NOT(ISBLANK('A-RACHNATMAK'!AJ224)),"A",IF(NOT(ISBLANK('A-RACHNATMAK'!AJ223)),"B",IF(NOT(ISBLANK('A-RACHNATMAK'!AJ222)),"C","")))</f>
        <v/>
      </c>
      <c r="AH208" s="622" t="str">
        <f>IF(NOT(ISBLANK('A-RACHNATMAK'!AK224)),"A",IF(NOT(ISBLANK('A-RACHNATMAK'!AK223)),"B",IF(NOT(ISBLANK('A-RACHNATMAK'!AK222)),"C","")))</f>
        <v/>
      </c>
      <c r="AI208" s="622" t="str">
        <f>IF(NOT(ISBLANK('A-RACHNATMAK'!AL224)),"A",IF(NOT(ISBLANK('A-RACHNATMAK'!AL223)),"B",IF(NOT(ISBLANK('A-RACHNATMAK'!AL222)),"C","")))</f>
        <v/>
      </c>
      <c r="AJ208" s="622" t="str">
        <f>IF(NOT(ISBLANK('A-RACHNATMAK'!AM224)),"A",IF(NOT(ISBLANK('A-RACHNATMAK'!AM223)),"B",IF(NOT(ISBLANK('A-RACHNATMAK'!AM222)),"C","")))</f>
        <v/>
      </c>
      <c r="AK208" s="622" t="str">
        <f>IF(NOT(ISBLANK('A-RACHNATMAK'!AN224)),"A",IF(NOT(ISBLANK('A-RACHNATMAK'!AN223)),"B",IF(NOT(ISBLANK('A-RACHNATMAK'!AN222)),"C","")))</f>
        <v/>
      </c>
      <c r="AL208" s="622" t="str">
        <f>IF(NOT(ISBLANK('A-RACHNATMAK'!AO224)),"A",IF(NOT(ISBLANK('A-RACHNATMAK'!AO223)),"B",IF(NOT(ISBLANK('A-RACHNATMAK'!AO222)),"C","")))</f>
        <v/>
      </c>
      <c r="AM208" s="622" t="str">
        <f>IF(NOT(ISBLANK('A-RACHNATMAK'!AP224)),"A",IF(NOT(ISBLANK('A-RACHNATMAK'!AP223)),"B",IF(NOT(ISBLANK('A-RACHNATMAK'!AP222)),"C","")))</f>
        <v/>
      </c>
      <c r="AN208" s="622" t="str">
        <f>IF(NOT(ISBLANK('A-RACHNATMAK'!AQ224)),"A",IF(NOT(ISBLANK('A-RACHNATMAK'!AQ223)),"B",IF(NOT(ISBLANK('A-RACHNATMAK'!AQ222)),"C","")))</f>
        <v/>
      </c>
      <c r="AO208" s="622" t="str">
        <f>IF(NOT(ISBLANK('A-RACHNATMAK'!AR224)),"A",IF(NOT(ISBLANK('A-RACHNATMAK'!AR223)),"B",IF(NOT(ISBLANK('A-RACHNATMAK'!AR222)),"C","")))</f>
        <v/>
      </c>
      <c r="AP208" s="622" t="str">
        <f>IF(NOT(ISBLANK('A-RACHNATMAK'!AS224)),"A",IF(NOT(ISBLANK('A-RACHNATMAK'!AS223)),"B",IF(NOT(ISBLANK('A-RACHNATMAK'!AS222)),"C","")))</f>
        <v/>
      </c>
      <c r="AQ208" s="622" t="str">
        <f>IF(NOT(ISBLANK('A-RACHNATMAK'!AT224)),"A",IF(NOT(ISBLANK('A-RACHNATMAK'!AT223)),"B",IF(NOT(ISBLANK('A-RACHNATMAK'!AT222)),"C","")))</f>
        <v/>
      </c>
      <c r="AR208" s="622" t="str">
        <f>IF(NOT(ISBLANK('A-RACHNATMAK'!AU224)),"A",IF(NOT(ISBLANK('A-RACHNATMAK'!AU223)),"B",IF(NOT(ISBLANK('A-RACHNATMAK'!AU222)),"C","")))</f>
        <v/>
      </c>
      <c r="AS208" s="622" t="str">
        <f>IF(NOT(ISBLANK('A-RACHNATMAK'!AV224)),"A",IF(NOT(ISBLANK('A-RACHNATMAK'!AV223)),"B",IF(NOT(ISBLANK('A-RACHNATMAK'!AV222)),"C","")))</f>
        <v/>
      </c>
      <c r="AT208" s="622" t="str">
        <f>IF(NOT(ISBLANK('A-RACHNATMAK'!AW224)),"A",IF(NOT(ISBLANK('A-RACHNATMAK'!AW223)),"B",IF(NOT(ISBLANK('A-RACHNATMAK'!AW222)),"C","")))</f>
        <v/>
      </c>
      <c r="AU208" s="622">
        <f t="shared" ref="AU208" si="399">COUNTIF(AA208:AT208,"A")</f>
        <v>0</v>
      </c>
      <c r="AV208" s="622">
        <f t="shared" ref="AV208" si="400">COUNTIF(AA208:AT208,"B")</f>
        <v>0</v>
      </c>
      <c r="AW208" s="622">
        <f t="shared" ref="AW208" si="401">COUNTIF(AA208:AT208,"C")</f>
        <v>0</v>
      </c>
    </row>
    <row r="209" spans="1:49" ht="7.5" customHeight="1">
      <c r="A209" s="623"/>
      <c r="B209" s="622"/>
      <c r="C209" s="622"/>
      <c r="D209" s="622"/>
      <c r="E209" s="622"/>
      <c r="F209" s="622"/>
      <c r="G209" s="622"/>
      <c r="H209" s="622"/>
      <c r="I209" s="622"/>
      <c r="J209" s="622"/>
      <c r="K209" s="622"/>
      <c r="L209" s="622"/>
      <c r="M209" s="622"/>
      <c r="N209" s="622"/>
      <c r="O209" s="622"/>
      <c r="P209" s="622"/>
      <c r="Q209" s="622"/>
      <c r="R209" s="622"/>
      <c r="S209" s="622"/>
      <c r="T209" s="622"/>
      <c r="U209" s="622"/>
      <c r="V209" s="622"/>
      <c r="W209" s="622"/>
      <c r="X209" s="622"/>
      <c r="Y209" s="330"/>
      <c r="Z209" s="623"/>
      <c r="AA209" s="622"/>
      <c r="AB209" s="622"/>
      <c r="AC209" s="622"/>
      <c r="AD209" s="622"/>
      <c r="AE209" s="622"/>
      <c r="AF209" s="622"/>
      <c r="AG209" s="622"/>
      <c r="AH209" s="622"/>
      <c r="AI209" s="622"/>
      <c r="AJ209" s="622"/>
      <c r="AK209" s="622"/>
      <c r="AL209" s="622"/>
      <c r="AM209" s="622"/>
      <c r="AN209" s="622"/>
      <c r="AO209" s="622"/>
      <c r="AP209" s="622"/>
      <c r="AQ209" s="622"/>
      <c r="AR209" s="622"/>
      <c r="AS209" s="622"/>
      <c r="AT209" s="622"/>
      <c r="AU209" s="622"/>
      <c r="AV209" s="622"/>
      <c r="AW209" s="622"/>
    </row>
    <row r="210" spans="1:49" ht="7.5" customHeight="1">
      <c r="A210" s="623"/>
      <c r="B210" s="622"/>
      <c r="C210" s="622"/>
      <c r="D210" s="622"/>
      <c r="E210" s="622"/>
      <c r="F210" s="622"/>
      <c r="G210" s="622"/>
      <c r="H210" s="622"/>
      <c r="I210" s="622"/>
      <c r="J210" s="622"/>
      <c r="K210" s="622"/>
      <c r="L210" s="622"/>
      <c r="M210" s="622"/>
      <c r="N210" s="622"/>
      <c r="O210" s="622"/>
      <c r="P210" s="622"/>
      <c r="Q210" s="622"/>
      <c r="R210" s="622"/>
      <c r="S210" s="622"/>
      <c r="T210" s="622"/>
      <c r="U210" s="622"/>
      <c r="V210" s="622"/>
      <c r="W210" s="622"/>
      <c r="X210" s="622"/>
      <c r="Y210" s="330"/>
      <c r="Z210" s="623"/>
      <c r="AA210" s="622"/>
      <c r="AB210" s="622"/>
      <c r="AC210" s="622"/>
      <c r="AD210" s="622"/>
      <c r="AE210" s="622"/>
      <c r="AF210" s="622"/>
      <c r="AG210" s="622"/>
      <c r="AH210" s="622"/>
      <c r="AI210" s="622"/>
      <c r="AJ210" s="622"/>
      <c r="AK210" s="622"/>
      <c r="AL210" s="622"/>
      <c r="AM210" s="622"/>
      <c r="AN210" s="622"/>
      <c r="AO210" s="622"/>
      <c r="AP210" s="622"/>
      <c r="AQ210" s="622"/>
      <c r="AR210" s="622"/>
      <c r="AS210" s="622"/>
      <c r="AT210" s="622"/>
      <c r="AU210" s="622"/>
      <c r="AV210" s="622"/>
      <c r="AW210" s="622"/>
    </row>
    <row r="211" spans="1:49" ht="7.5" customHeight="1">
      <c r="A211" s="623">
        <v>35</v>
      </c>
      <c r="B211" s="622" t="str">
        <f>IF(NOT(ISBLANK('A-RACHNATMAK'!C227)),"A",IF(NOT(ISBLANK('A-RACHNATMAK'!C226)),"B",IF(NOT(ISBLANK('A-RACHNATMAK'!C225)),"C","")))</f>
        <v/>
      </c>
      <c r="C211" s="622" t="str">
        <f>IF(NOT(ISBLANK('A-RACHNATMAK'!D227)),"A",IF(NOT(ISBLANK('A-RACHNATMAK'!D226)),"B",IF(NOT(ISBLANK('A-RACHNATMAK'!D225)),"C","")))</f>
        <v/>
      </c>
      <c r="D211" s="622" t="str">
        <f>IF(NOT(ISBLANK('A-RACHNATMAK'!E227)),"A",IF(NOT(ISBLANK('A-RACHNATMAK'!E226)),"B",IF(NOT(ISBLANK('A-RACHNATMAK'!E225)),"C","")))</f>
        <v/>
      </c>
      <c r="E211" s="622" t="str">
        <f>IF(NOT(ISBLANK('A-RACHNATMAK'!F227)),"A",IF(NOT(ISBLANK('A-RACHNATMAK'!F226)),"B",IF(NOT(ISBLANK('A-RACHNATMAK'!F225)),"C","")))</f>
        <v/>
      </c>
      <c r="F211" s="622" t="str">
        <f>IF(NOT(ISBLANK('A-RACHNATMAK'!G227)),"A",IF(NOT(ISBLANK('A-RACHNATMAK'!G226)),"B",IF(NOT(ISBLANK('A-RACHNATMAK'!G225)),"C","")))</f>
        <v/>
      </c>
      <c r="G211" s="622" t="str">
        <f>IF(NOT(ISBLANK('A-RACHNATMAK'!H227)),"A",IF(NOT(ISBLANK('A-RACHNATMAK'!H226)),"B",IF(NOT(ISBLANK('A-RACHNATMAK'!H225)),"C","")))</f>
        <v/>
      </c>
      <c r="H211" s="622" t="str">
        <f>IF(NOT(ISBLANK('A-RACHNATMAK'!I227)),"A",IF(NOT(ISBLANK('A-RACHNATMAK'!I226)),"B",IF(NOT(ISBLANK('A-RACHNATMAK'!I225)),"C","")))</f>
        <v/>
      </c>
      <c r="I211" s="622" t="str">
        <f>IF(NOT(ISBLANK('A-RACHNATMAK'!J227)),"A",IF(NOT(ISBLANK('A-RACHNATMAK'!J226)),"B",IF(NOT(ISBLANK('A-RACHNATMAK'!J225)),"C","")))</f>
        <v/>
      </c>
      <c r="J211" s="622" t="str">
        <f>IF(NOT(ISBLANK('A-RACHNATMAK'!K227)),"A",IF(NOT(ISBLANK('A-RACHNATMAK'!K226)),"B",IF(NOT(ISBLANK('A-RACHNATMAK'!K225)),"C","")))</f>
        <v/>
      </c>
      <c r="K211" s="622" t="str">
        <f>IF(NOT(ISBLANK('A-RACHNATMAK'!L227)),"A",IF(NOT(ISBLANK('A-RACHNATMAK'!L226)),"B",IF(NOT(ISBLANK('A-RACHNATMAK'!L225)),"C","")))</f>
        <v/>
      </c>
      <c r="L211" s="622" t="str">
        <f>IF(NOT(ISBLANK('A-RACHNATMAK'!M227)),"A",IF(NOT(ISBLANK('A-RACHNATMAK'!M226)),"B",IF(NOT(ISBLANK('A-RACHNATMAK'!M225)),"C","")))</f>
        <v/>
      </c>
      <c r="M211" s="622" t="str">
        <f>IF(NOT(ISBLANK('A-RACHNATMAK'!N227)),"A",IF(NOT(ISBLANK('A-RACHNATMAK'!N226)),"B",IF(NOT(ISBLANK('A-RACHNATMAK'!N225)),"C","")))</f>
        <v/>
      </c>
      <c r="N211" s="622" t="str">
        <f>IF(NOT(ISBLANK('A-RACHNATMAK'!O227)),"A",IF(NOT(ISBLANK('A-RACHNATMAK'!O226)),"B",IF(NOT(ISBLANK('A-RACHNATMAK'!O225)),"C","")))</f>
        <v/>
      </c>
      <c r="O211" s="622" t="str">
        <f>IF(NOT(ISBLANK('A-RACHNATMAK'!P227)),"A",IF(NOT(ISBLANK('A-RACHNATMAK'!P226)),"B",IF(NOT(ISBLANK('A-RACHNATMAK'!P225)),"C","")))</f>
        <v/>
      </c>
      <c r="P211" s="622" t="str">
        <f>IF(NOT(ISBLANK('A-RACHNATMAK'!Q227)),"A",IF(NOT(ISBLANK('A-RACHNATMAK'!Q226)),"B",IF(NOT(ISBLANK('A-RACHNATMAK'!Q225)),"C","")))</f>
        <v/>
      </c>
      <c r="Q211" s="622" t="str">
        <f>IF(NOT(ISBLANK('A-RACHNATMAK'!R227)),"A",IF(NOT(ISBLANK('A-RACHNATMAK'!R226)),"B",IF(NOT(ISBLANK('A-RACHNATMAK'!R225)),"C","")))</f>
        <v/>
      </c>
      <c r="R211" s="622" t="str">
        <f>IF(NOT(ISBLANK('A-RACHNATMAK'!S227)),"A",IF(NOT(ISBLANK('A-RACHNATMAK'!S226)),"B",IF(NOT(ISBLANK('A-RACHNATMAK'!S225)),"C","")))</f>
        <v/>
      </c>
      <c r="S211" s="622" t="str">
        <f>IF(NOT(ISBLANK('A-RACHNATMAK'!T227)),"A",IF(NOT(ISBLANK('A-RACHNATMAK'!T226)),"B",IF(NOT(ISBLANK('A-RACHNATMAK'!T225)),"C","")))</f>
        <v/>
      </c>
      <c r="T211" s="622" t="str">
        <f>IF(NOT(ISBLANK('A-RACHNATMAK'!U227)),"A",IF(NOT(ISBLANK('A-RACHNATMAK'!U226)),"B",IF(NOT(ISBLANK('A-RACHNATMAK'!U225)),"C","")))</f>
        <v/>
      </c>
      <c r="U211" s="622" t="str">
        <f>IF(NOT(ISBLANK('A-RACHNATMAK'!V227)),"A",IF(NOT(ISBLANK('A-RACHNATMAK'!V226)),"B",IF(NOT(ISBLANK('A-RACHNATMAK'!V225)),"C","")))</f>
        <v/>
      </c>
      <c r="V211" s="622">
        <f t="shared" ref="V211" si="402">COUNTIF(B211:U211,"A")</f>
        <v>0</v>
      </c>
      <c r="W211" s="622">
        <f t="shared" ref="W211" si="403">COUNTIF(B211:U211,"B")</f>
        <v>0</v>
      </c>
      <c r="X211" s="622">
        <f t="shared" ref="X211" si="404">COUNTIF(B211:U211,"C")</f>
        <v>0</v>
      </c>
      <c r="Y211" s="330"/>
      <c r="Z211" s="623">
        <v>35</v>
      </c>
      <c r="AA211" s="622" t="str">
        <f>IF(NOT(ISBLANK('A-RACHNATMAK'!AD227)),"A",IF(NOT(ISBLANK('A-RACHNATMAK'!AD226)),"B",IF(NOT(ISBLANK('A-RACHNATMAK'!AD225)),"C","")))</f>
        <v/>
      </c>
      <c r="AB211" s="622" t="str">
        <f>IF(NOT(ISBLANK('A-RACHNATMAK'!AE227)),"A",IF(NOT(ISBLANK('A-RACHNATMAK'!AE226)),"B",IF(NOT(ISBLANK('A-RACHNATMAK'!AE225)),"C","")))</f>
        <v/>
      </c>
      <c r="AC211" s="622" t="str">
        <f>IF(NOT(ISBLANK('A-RACHNATMAK'!AF227)),"A",IF(NOT(ISBLANK('A-RACHNATMAK'!AF226)),"B",IF(NOT(ISBLANK('A-RACHNATMAK'!AF225)),"C","")))</f>
        <v/>
      </c>
      <c r="AD211" s="622" t="str">
        <f>IF(NOT(ISBLANK('A-RACHNATMAK'!AG227)),"A",IF(NOT(ISBLANK('A-RACHNATMAK'!AG226)),"B",IF(NOT(ISBLANK('A-RACHNATMAK'!AG225)),"C","")))</f>
        <v/>
      </c>
      <c r="AE211" s="622" t="str">
        <f>IF(NOT(ISBLANK('A-RACHNATMAK'!AH227)),"A",IF(NOT(ISBLANK('A-RACHNATMAK'!AH226)),"B",IF(NOT(ISBLANK('A-RACHNATMAK'!AH225)),"C","")))</f>
        <v/>
      </c>
      <c r="AF211" s="622" t="str">
        <f>IF(NOT(ISBLANK('A-RACHNATMAK'!AI227)),"A",IF(NOT(ISBLANK('A-RACHNATMAK'!AI226)),"B",IF(NOT(ISBLANK('A-RACHNATMAK'!AI225)),"C","")))</f>
        <v/>
      </c>
      <c r="AG211" s="622" t="str">
        <f>IF(NOT(ISBLANK('A-RACHNATMAK'!AJ227)),"A",IF(NOT(ISBLANK('A-RACHNATMAK'!AJ226)),"B",IF(NOT(ISBLANK('A-RACHNATMAK'!AJ225)),"C","")))</f>
        <v/>
      </c>
      <c r="AH211" s="622" t="str">
        <f>IF(NOT(ISBLANK('A-RACHNATMAK'!AK227)),"A",IF(NOT(ISBLANK('A-RACHNATMAK'!AK226)),"B",IF(NOT(ISBLANK('A-RACHNATMAK'!AK225)),"C","")))</f>
        <v/>
      </c>
      <c r="AI211" s="622" t="str">
        <f>IF(NOT(ISBLANK('A-RACHNATMAK'!AL227)),"A",IF(NOT(ISBLANK('A-RACHNATMAK'!AL226)),"B",IF(NOT(ISBLANK('A-RACHNATMAK'!AL225)),"C","")))</f>
        <v/>
      </c>
      <c r="AJ211" s="622" t="str">
        <f>IF(NOT(ISBLANK('A-RACHNATMAK'!AM227)),"A",IF(NOT(ISBLANK('A-RACHNATMAK'!AM226)),"B",IF(NOT(ISBLANK('A-RACHNATMAK'!AM225)),"C","")))</f>
        <v/>
      </c>
      <c r="AK211" s="622" t="str">
        <f>IF(NOT(ISBLANK('A-RACHNATMAK'!AN227)),"A",IF(NOT(ISBLANK('A-RACHNATMAK'!AN226)),"B",IF(NOT(ISBLANK('A-RACHNATMAK'!AN225)),"C","")))</f>
        <v/>
      </c>
      <c r="AL211" s="622" t="str">
        <f>IF(NOT(ISBLANK('A-RACHNATMAK'!AO227)),"A",IF(NOT(ISBLANK('A-RACHNATMAK'!AO226)),"B",IF(NOT(ISBLANK('A-RACHNATMAK'!AO225)),"C","")))</f>
        <v/>
      </c>
      <c r="AM211" s="622" t="str">
        <f>IF(NOT(ISBLANK('A-RACHNATMAK'!AP227)),"A",IF(NOT(ISBLANK('A-RACHNATMAK'!AP226)),"B",IF(NOT(ISBLANK('A-RACHNATMAK'!AP225)),"C","")))</f>
        <v/>
      </c>
      <c r="AN211" s="622" t="str">
        <f>IF(NOT(ISBLANK('A-RACHNATMAK'!AQ227)),"A",IF(NOT(ISBLANK('A-RACHNATMAK'!AQ226)),"B",IF(NOT(ISBLANK('A-RACHNATMAK'!AQ225)),"C","")))</f>
        <v/>
      </c>
      <c r="AO211" s="622" t="str">
        <f>IF(NOT(ISBLANK('A-RACHNATMAK'!AR227)),"A",IF(NOT(ISBLANK('A-RACHNATMAK'!AR226)),"B",IF(NOT(ISBLANK('A-RACHNATMAK'!AR225)),"C","")))</f>
        <v/>
      </c>
      <c r="AP211" s="622" t="str">
        <f>IF(NOT(ISBLANK('A-RACHNATMAK'!AS227)),"A",IF(NOT(ISBLANK('A-RACHNATMAK'!AS226)),"B",IF(NOT(ISBLANK('A-RACHNATMAK'!AS225)),"C","")))</f>
        <v/>
      </c>
      <c r="AQ211" s="622" t="str">
        <f>IF(NOT(ISBLANK('A-RACHNATMAK'!AT227)),"A",IF(NOT(ISBLANK('A-RACHNATMAK'!AT226)),"B",IF(NOT(ISBLANK('A-RACHNATMAK'!AT225)),"C","")))</f>
        <v/>
      </c>
      <c r="AR211" s="622" t="str">
        <f>IF(NOT(ISBLANK('A-RACHNATMAK'!AU227)),"A",IF(NOT(ISBLANK('A-RACHNATMAK'!AU226)),"B",IF(NOT(ISBLANK('A-RACHNATMAK'!AU225)),"C","")))</f>
        <v/>
      </c>
      <c r="AS211" s="622" t="str">
        <f>IF(NOT(ISBLANK('A-RACHNATMAK'!AV227)),"A",IF(NOT(ISBLANK('A-RACHNATMAK'!AV226)),"B",IF(NOT(ISBLANK('A-RACHNATMAK'!AV225)),"C","")))</f>
        <v/>
      </c>
      <c r="AT211" s="622" t="str">
        <f>IF(NOT(ISBLANK('A-RACHNATMAK'!AW227)),"A",IF(NOT(ISBLANK('A-RACHNATMAK'!AW226)),"B",IF(NOT(ISBLANK('A-RACHNATMAK'!AW225)),"C","")))</f>
        <v/>
      </c>
      <c r="AU211" s="622">
        <f t="shared" ref="AU211" si="405">COUNTIF(AA211:AT211,"A")</f>
        <v>0</v>
      </c>
      <c r="AV211" s="622">
        <f t="shared" ref="AV211" si="406">COUNTIF(AA211:AT211,"B")</f>
        <v>0</v>
      </c>
      <c r="AW211" s="622">
        <f t="shared" ref="AW211" si="407">COUNTIF(AA211:AT211,"C")</f>
        <v>0</v>
      </c>
    </row>
    <row r="212" spans="1:49" ht="7.5" customHeight="1">
      <c r="A212" s="623"/>
      <c r="B212" s="622"/>
      <c r="C212" s="622"/>
      <c r="D212" s="622"/>
      <c r="E212" s="622"/>
      <c r="F212" s="622"/>
      <c r="G212" s="622"/>
      <c r="H212" s="622"/>
      <c r="I212" s="622"/>
      <c r="J212" s="622"/>
      <c r="K212" s="622"/>
      <c r="L212" s="622"/>
      <c r="M212" s="622"/>
      <c r="N212" s="622"/>
      <c r="O212" s="622"/>
      <c r="P212" s="622"/>
      <c r="Q212" s="622"/>
      <c r="R212" s="622"/>
      <c r="S212" s="622"/>
      <c r="T212" s="622"/>
      <c r="U212" s="622"/>
      <c r="V212" s="622"/>
      <c r="W212" s="622"/>
      <c r="X212" s="622"/>
      <c r="Y212" s="330"/>
      <c r="Z212" s="623"/>
      <c r="AA212" s="622"/>
      <c r="AB212" s="622"/>
      <c r="AC212" s="622"/>
      <c r="AD212" s="622"/>
      <c r="AE212" s="622"/>
      <c r="AF212" s="622"/>
      <c r="AG212" s="622"/>
      <c r="AH212" s="622"/>
      <c r="AI212" s="622"/>
      <c r="AJ212" s="622"/>
      <c r="AK212" s="622"/>
      <c r="AL212" s="622"/>
      <c r="AM212" s="622"/>
      <c r="AN212" s="622"/>
      <c r="AO212" s="622"/>
      <c r="AP212" s="622"/>
      <c r="AQ212" s="622"/>
      <c r="AR212" s="622"/>
      <c r="AS212" s="622"/>
      <c r="AT212" s="622"/>
      <c r="AU212" s="622"/>
      <c r="AV212" s="622"/>
      <c r="AW212" s="622"/>
    </row>
    <row r="213" spans="1:49" ht="7.5" customHeight="1">
      <c r="A213" s="623"/>
      <c r="B213" s="622"/>
      <c r="C213" s="622"/>
      <c r="D213" s="622"/>
      <c r="E213" s="622"/>
      <c r="F213" s="622"/>
      <c r="G213" s="622"/>
      <c r="H213" s="622"/>
      <c r="I213" s="622"/>
      <c r="J213" s="622"/>
      <c r="K213" s="622"/>
      <c r="L213" s="622"/>
      <c r="M213" s="622"/>
      <c r="N213" s="622"/>
      <c r="O213" s="622"/>
      <c r="P213" s="622"/>
      <c r="Q213" s="622"/>
      <c r="R213" s="622"/>
      <c r="S213" s="622"/>
      <c r="T213" s="622"/>
      <c r="U213" s="622"/>
      <c r="V213" s="622"/>
      <c r="W213" s="622"/>
      <c r="X213" s="622"/>
      <c r="Y213" s="330"/>
      <c r="Z213" s="623"/>
      <c r="AA213" s="622"/>
      <c r="AB213" s="622"/>
      <c r="AC213" s="622"/>
      <c r="AD213" s="622"/>
      <c r="AE213" s="622"/>
      <c r="AF213" s="622"/>
      <c r="AG213" s="622"/>
      <c r="AH213" s="622"/>
      <c r="AI213" s="622"/>
      <c r="AJ213" s="622"/>
      <c r="AK213" s="622"/>
      <c r="AL213" s="622"/>
      <c r="AM213" s="622"/>
      <c r="AN213" s="622"/>
      <c r="AO213" s="622"/>
      <c r="AP213" s="622"/>
      <c r="AQ213" s="622"/>
      <c r="AR213" s="622"/>
      <c r="AS213" s="622"/>
      <c r="AT213" s="622"/>
      <c r="AU213" s="622"/>
      <c r="AV213" s="622"/>
      <c r="AW213" s="622"/>
    </row>
    <row r="215" spans="1:49">
      <c r="B215" s="624" t="s">
        <v>322</v>
      </c>
      <c r="C215" s="624"/>
      <c r="D215" s="624"/>
      <c r="E215" s="624"/>
      <c r="F215" s="624"/>
      <c r="G215" s="624"/>
      <c r="H215" s="624"/>
      <c r="I215" s="624"/>
      <c r="J215" s="624"/>
      <c r="K215" s="624"/>
      <c r="L215" s="624"/>
      <c r="M215" s="624"/>
      <c r="N215" s="624"/>
      <c r="O215" s="624"/>
      <c r="P215" s="624"/>
      <c r="Q215" s="624"/>
      <c r="R215" s="624"/>
      <c r="S215" s="624"/>
      <c r="T215" s="624"/>
      <c r="U215" s="624"/>
      <c r="V215" s="624"/>
      <c r="W215" s="624"/>
      <c r="X215" s="624"/>
      <c r="Y215" s="331"/>
      <c r="AA215" s="624" t="s">
        <v>323</v>
      </c>
      <c r="AB215" s="624"/>
      <c r="AC215" s="624"/>
      <c r="AD215" s="624"/>
      <c r="AE215" s="624"/>
      <c r="AF215" s="624"/>
      <c r="AG215" s="624"/>
      <c r="AH215" s="624"/>
      <c r="AI215" s="624"/>
      <c r="AJ215" s="624"/>
      <c r="AK215" s="624"/>
      <c r="AL215" s="624"/>
      <c r="AM215" s="624"/>
      <c r="AN215" s="624"/>
      <c r="AO215" s="624"/>
      <c r="AP215" s="624"/>
      <c r="AQ215" s="624"/>
      <c r="AR215" s="624"/>
      <c r="AS215" s="624"/>
      <c r="AT215" s="624"/>
      <c r="AU215" s="624"/>
      <c r="AV215" s="624"/>
      <c r="AW215" s="624"/>
    </row>
    <row r="216" spans="1:49" ht="7.5" customHeight="1">
      <c r="A216" s="623">
        <v>1</v>
      </c>
      <c r="B216" s="622" t="str">
        <f>IF(NOT(ISBLANK('A-RACHNATMAK'!C237)),"A",IF(NOT(ISBLANK('A-RACHNATMAK'!C236)),"B",IF(NOT(ISBLANK('A-RACHNATMAK'!C235)),"C","")))</f>
        <v/>
      </c>
      <c r="C216" s="622" t="str">
        <f>IF(NOT(ISBLANK('A-RACHNATMAK'!D237)),"A",IF(NOT(ISBLANK('A-RACHNATMAK'!D236)),"B",IF(NOT(ISBLANK('A-RACHNATMAK'!D235)),"C","")))</f>
        <v/>
      </c>
      <c r="D216" s="622" t="str">
        <f>IF(NOT(ISBLANK('A-RACHNATMAK'!E237)),"A",IF(NOT(ISBLANK('A-RACHNATMAK'!E236)),"B",IF(NOT(ISBLANK('A-RACHNATMAK'!E235)),"C","")))</f>
        <v/>
      </c>
      <c r="E216" s="622" t="str">
        <f>IF(NOT(ISBLANK('A-RACHNATMAK'!F237)),"A",IF(NOT(ISBLANK('A-RACHNATMAK'!F236)),"B",IF(NOT(ISBLANK('A-RACHNATMAK'!F235)),"C","")))</f>
        <v/>
      </c>
      <c r="F216" s="622" t="str">
        <f>IF(NOT(ISBLANK('A-RACHNATMAK'!G237)),"A",IF(NOT(ISBLANK('A-RACHNATMAK'!G236)),"B",IF(NOT(ISBLANK('A-RACHNATMAK'!G235)),"C","")))</f>
        <v/>
      </c>
      <c r="G216" s="622" t="str">
        <f>IF(NOT(ISBLANK('A-RACHNATMAK'!H237)),"A",IF(NOT(ISBLANK('A-RACHNATMAK'!H236)),"B",IF(NOT(ISBLANK('A-RACHNATMAK'!H235)),"C","")))</f>
        <v/>
      </c>
      <c r="H216" s="622" t="str">
        <f>IF(NOT(ISBLANK('A-RACHNATMAK'!I237)),"A",IF(NOT(ISBLANK('A-RACHNATMAK'!I236)),"B",IF(NOT(ISBLANK('A-RACHNATMAK'!I235)),"C","")))</f>
        <v/>
      </c>
      <c r="I216" s="622" t="str">
        <f>IF(NOT(ISBLANK('A-RACHNATMAK'!J237)),"A",IF(NOT(ISBLANK('A-RACHNATMAK'!J236)),"B",IF(NOT(ISBLANK('A-RACHNATMAK'!J235)),"C","")))</f>
        <v/>
      </c>
      <c r="J216" s="622" t="str">
        <f>IF(NOT(ISBLANK('A-RACHNATMAK'!K237)),"A",IF(NOT(ISBLANK('A-RACHNATMAK'!K236)),"B",IF(NOT(ISBLANK('A-RACHNATMAK'!K235)),"C","")))</f>
        <v/>
      </c>
      <c r="K216" s="622" t="str">
        <f>IF(NOT(ISBLANK('A-RACHNATMAK'!L237)),"A",IF(NOT(ISBLANK('A-RACHNATMAK'!L236)),"B",IF(NOT(ISBLANK('A-RACHNATMAK'!L235)),"C","")))</f>
        <v/>
      </c>
      <c r="L216" s="622" t="str">
        <f>IF(NOT(ISBLANK('A-RACHNATMAK'!M237)),"A",IF(NOT(ISBLANK('A-RACHNATMAK'!M236)),"B",IF(NOT(ISBLANK('A-RACHNATMAK'!M235)),"C","")))</f>
        <v/>
      </c>
      <c r="M216" s="622" t="str">
        <f>IF(NOT(ISBLANK('A-RACHNATMAK'!N237)),"A",IF(NOT(ISBLANK('A-RACHNATMAK'!N236)),"B",IF(NOT(ISBLANK('A-RACHNATMAK'!N235)),"C","")))</f>
        <v/>
      </c>
      <c r="N216" s="622" t="str">
        <f>IF(NOT(ISBLANK('A-RACHNATMAK'!O237)),"A",IF(NOT(ISBLANK('A-RACHNATMAK'!O236)),"B",IF(NOT(ISBLANK('A-RACHNATMAK'!O235)),"C","")))</f>
        <v/>
      </c>
      <c r="O216" s="622" t="str">
        <f>IF(NOT(ISBLANK('A-RACHNATMAK'!P237)),"A",IF(NOT(ISBLANK('A-RACHNATMAK'!P236)),"B",IF(NOT(ISBLANK('A-RACHNATMAK'!P235)),"C","")))</f>
        <v/>
      </c>
      <c r="P216" s="622" t="str">
        <f>IF(NOT(ISBLANK('A-RACHNATMAK'!Q237)),"A",IF(NOT(ISBLANK('A-RACHNATMAK'!Q236)),"B",IF(NOT(ISBLANK('A-RACHNATMAK'!Q235)),"C","")))</f>
        <v/>
      </c>
      <c r="Q216" s="622" t="str">
        <f>IF(NOT(ISBLANK('A-RACHNATMAK'!R237)),"A",IF(NOT(ISBLANK('A-RACHNATMAK'!R236)),"B",IF(NOT(ISBLANK('A-RACHNATMAK'!R235)),"C","")))</f>
        <v/>
      </c>
      <c r="R216" s="622" t="str">
        <f>IF(NOT(ISBLANK('A-RACHNATMAK'!S237)),"A",IF(NOT(ISBLANK('A-RACHNATMAK'!S236)),"B",IF(NOT(ISBLANK('A-RACHNATMAK'!S235)),"C","")))</f>
        <v/>
      </c>
      <c r="S216" s="622" t="str">
        <f>IF(NOT(ISBLANK('A-RACHNATMAK'!T237)),"A",IF(NOT(ISBLANK('A-RACHNATMAK'!T236)),"B",IF(NOT(ISBLANK('A-RACHNATMAK'!T235)),"C","")))</f>
        <v/>
      </c>
      <c r="T216" s="622" t="str">
        <f>IF(NOT(ISBLANK('A-RACHNATMAK'!U237)),"A",IF(NOT(ISBLANK('A-RACHNATMAK'!U236)),"B",IF(NOT(ISBLANK('A-RACHNATMAK'!U235)),"C","")))</f>
        <v/>
      </c>
      <c r="U216" s="622" t="str">
        <f>IF(NOT(ISBLANK('A-RACHNATMAK'!V237)),"A",IF(NOT(ISBLANK('A-RACHNATMAK'!V236)),"B",IF(NOT(ISBLANK('A-RACHNATMAK'!V235)),"C","")))</f>
        <v/>
      </c>
      <c r="V216" s="622">
        <f>COUNTIF(B216:U216,"A")</f>
        <v>0</v>
      </c>
      <c r="W216" s="622">
        <f>COUNTIF(B216:U216,"B")</f>
        <v>0</v>
      </c>
      <c r="X216" s="622">
        <f>COUNTIF(B216:U216,"C")</f>
        <v>0</v>
      </c>
      <c r="Y216" s="330"/>
      <c r="Z216" s="623">
        <v>1</v>
      </c>
      <c r="AA216" s="622" t="str">
        <f>IF(NOT(ISBLANK('A-RACHNATMAK'!AD237)),"A",IF(NOT(ISBLANK('A-RACHNATMAK'!AD236)),"B",IF(NOT(ISBLANK('A-RACHNATMAK'!AD235)),"C","")))</f>
        <v/>
      </c>
      <c r="AB216" s="622" t="str">
        <f>IF(NOT(ISBLANK('A-RACHNATMAK'!AE237)),"A",IF(NOT(ISBLANK('A-RACHNATMAK'!AE236)),"B",IF(NOT(ISBLANK('A-RACHNATMAK'!AE235)),"C","")))</f>
        <v/>
      </c>
      <c r="AC216" s="622" t="str">
        <f>IF(NOT(ISBLANK('A-RACHNATMAK'!AF237)),"A",IF(NOT(ISBLANK('A-RACHNATMAK'!AF236)),"B",IF(NOT(ISBLANK('A-RACHNATMAK'!AF235)),"C","")))</f>
        <v/>
      </c>
      <c r="AD216" s="622" t="str">
        <f>IF(NOT(ISBLANK('A-RACHNATMAK'!AG237)),"A",IF(NOT(ISBLANK('A-RACHNATMAK'!AG236)),"B",IF(NOT(ISBLANK('A-RACHNATMAK'!AG235)),"C","")))</f>
        <v/>
      </c>
      <c r="AE216" s="622" t="str">
        <f>IF(NOT(ISBLANK('A-RACHNATMAK'!AH237)),"A",IF(NOT(ISBLANK('A-RACHNATMAK'!AH236)),"B",IF(NOT(ISBLANK('A-RACHNATMAK'!AH235)),"C","")))</f>
        <v/>
      </c>
      <c r="AF216" s="622" t="str">
        <f>IF(NOT(ISBLANK('A-RACHNATMAK'!AI237)),"A",IF(NOT(ISBLANK('A-RACHNATMAK'!AI236)),"B",IF(NOT(ISBLANK('A-RACHNATMAK'!AI235)),"C","")))</f>
        <v/>
      </c>
      <c r="AG216" s="622" t="str">
        <f>IF(NOT(ISBLANK('A-RACHNATMAK'!AJ237)),"A",IF(NOT(ISBLANK('A-RACHNATMAK'!AJ236)),"B",IF(NOT(ISBLANK('A-RACHNATMAK'!AJ235)),"C","")))</f>
        <v/>
      </c>
      <c r="AH216" s="622" t="str">
        <f>IF(NOT(ISBLANK('A-RACHNATMAK'!AK237)),"A",IF(NOT(ISBLANK('A-RACHNATMAK'!AK236)),"B",IF(NOT(ISBLANK('A-RACHNATMAK'!AK235)),"C","")))</f>
        <v/>
      </c>
      <c r="AI216" s="622" t="str">
        <f>IF(NOT(ISBLANK('A-RACHNATMAK'!AL237)),"A",IF(NOT(ISBLANK('A-RACHNATMAK'!AL236)),"B",IF(NOT(ISBLANK('A-RACHNATMAK'!AL235)),"C","")))</f>
        <v/>
      </c>
      <c r="AJ216" s="622" t="str">
        <f>IF(NOT(ISBLANK('A-RACHNATMAK'!AM237)),"A",IF(NOT(ISBLANK('A-RACHNATMAK'!AM236)),"B",IF(NOT(ISBLANK('A-RACHNATMAK'!AM235)),"C","")))</f>
        <v/>
      </c>
      <c r="AK216" s="622" t="str">
        <f>IF(NOT(ISBLANK('A-RACHNATMAK'!AN237)),"A",IF(NOT(ISBLANK('A-RACHNATMAK'!AN236)),"B",IF(NOT(ISBLANK('A-RACHNATMAK'!AN235)),"C","")))</f>
        <v/>
      </c>
      <c r="AL216" s="622" t="str">
        <f>IF(NOT(ISBLANK('A-RACHNATMAK'!AO237)),"A",IF(NOT(ISBLANK('A-RACHNATMAK'!AO236)),"B",IF(NOT(ISBLANK('A-RACHNATMAK'!AO235)),"C","")))</f>
        <v/>
      </c>
      <c r="AM216" s="622" t="str">
        <f>IF(NOT(ISBLANK('A-RACHNATMAK'!AP237)),"A",IF(NOT(ISBLANK('A-RACHNATMAK'!AP236)),"B",IF(NOT(ISBLANK('A-RACHNATMAK'!AP235)),"C","")))</f>
        <v/>
      </c>
      <c r="AN216" s="622" t="str">
        <f>IF(NOT(ISBLANK('A-RACHNATMAK'!AQ237)),"A",IF(NOT(ISBLANK('A-RACHNATMAK'!AQ236)),"B",IF(NOT(ISBLANK('A-RACHNATMAK'!AQ235)),"C","")))</f>
        <v/>
      </c>
      <c r="AO216" s="622" t="str">
        <f>IF(NOT(ISBLANK('A-RACHNATMAK'!AR237)),"A",IF(NOT(ISBLANK('A-RACHNATMAK'!AR236)),"B",IF(NOT(ISBLANK('A-RACHNATMAK'!AR235)),"C","")))</f>
        <v/>
      </c>
      <c r="AP216" s="622" t="str">
        <f>IF(NOT(ISBLANK('A-RACHNATMAK'!AS237)),"A",IF(NOT(ISBLANK('A-RACHNATMAK'!AS236)),"B",IF(NOT(ISBLANK('A-RACHNATMAK'!AS235)),"C","")))</f>
        <v/>
      </c>
      <c r="AQ216" s="622" t="str">
        <f>IF(NOT(ISBLANK('A-RACHNATMAK'!AT237)),"A",IF(NOT(ISBLANK('A-RACHNATMAK'!AT236)),"B",IF(NOT(ISBLANK('A-RACHNATMAK'!AT235)),"C","")))</f>
        <v/>
      </c>
      <c r="AR216" s="622" t="str">
        <f>IF(NOT(ISBLANK('A-RACHNATMAK'!AU237)),"A",IF(NOT(ISBLANK('A-RACHNATMAK'!AU236)),"B",IF(NOT(ISBLANK('A-RACHNATMAK'!AU235)),"C","")))</f>
        <v/>
      </c>
      <c r="AS216" s="622" t="str">
        <f>IF(NOT(ISBLANK('A-RACHNATMAK'!AV237)),"A",IF(NOT(ISBLANK('A-RACHNATMAK'!AV236)),"B",IF(NOT(ISBLANK('A-RACHNATMAK'!AV235)),"C","")))</f>
        <v/>
      </c>
      <c r="AT216" s="622" t="str">
        <f>IF(NOT(ISBLANK('A-RACHNATMAK'!AW237)),"A",IF(NOT(ISBLANK('A-RACHNATMAK'!AW236)),"B",IF(NOT(ISBLANK('A-RACHNATMAK'!AW235)),"C","")))</f>
        <v/>
      </c>
      <c r="AU216" s="622">
        <f>COUNTIF(AA216:AT216,"A")</f>
        <v>0</v>
      </c>
      <c r="AV216" s="622">
        <f>COUNTIF(AA216:AT216,"B")</f>
        <v>0</v>
      </c>
      <c r="AW216" s="622">
        <f>COUNTIF(AA216:AT216,"C")</f>
        <v>0</v>
      </c>
    </row>
    <row r="217" spans="1:49" ht="7.5" customHeight="1">
      <c r="A217" s="623"/>
      <c r="B217" s="622"/>
      <c r="C217" s="622"/>
      <c r="D217" s="622"/>
      <c r="E217" s="622"/>
      <c r="F217" s="622"/>
      <c r="G217" s="622"/>
      <c r="H217" s="622"/>
      <c r="I217" s="622"/>
      <c r="J217" s="622"/>
      <c r="K217" s="622"/>
      <c r="L217" s="622"/>
      <c r="M217" s="622"/>
      <c r="N217" s="622"/>
      <c r="O217" s="622"/>
      <c r="P217" s="622"/>
      <c r="Q217" s="622"/>
      <c r="R217" s="622"/>
      <c r="S217" s="622"/>
      <c r="T217" s="622"/>
      <c r="U217" s="622"/>
      <c r="V217" s="622"/>
      <c r="W217" s="622"/>
      <c r="X217" s="622"/>
      <c r="Y217" s="330"/>
      <c r="Z217" s="623"/>
      <c r="AA217" s="622"/>
      <c r="AB217" s="622"/>
      <c r="AC217" s="622"/>
      <c r="AD217" s="622"/>
      <c r="AE217" s="622"/>
      <c r="AF217" s="622"/>
      <c r="AG217" s="622"/>
      <c r="AH217" s="622"/>
      <c r="AI217" s="622"/>
      <c r="AJ217" s="622"/>
      <c r="AK217" s="622"/>
      <c r="AL217" s="622"/>
      <c r="AM217" s="622"/>
      <c r="AN217" s="622"/>
      <c r="AO217" s="622"/>
      <c r="AP217" s="622"/>
      <c r="AQ217" s="622"/>
      <c r="AR217" s="622"/>
      <c r="AS217" s="622"/>
      <c r="AT217" s="622"/>
      <c r="AU217" s="622"/>
      <c r="AV217" s="622"/>
      <c r="AW217" s="622"/>
    </row>
    <row r="218" spans="1:49" ht="7.5" customHeight="1">
      <c r="A218" s="623"/>
      <c r="B218" s="622"/>
      <c r="C218" s="622"/>
      <c r="D218" s="622"/>
      <c r="E218" s="622"/>
      <c r="F218" s="622"/>
      <c r="G218" s="622"/>
      <c r="H218" s="622"/>
      <c r="I218" s="622"/>
      <c r="J218" s="622"/>
      <c r="K218" s="622"/>
      <c r="L218" s="622"/>
      <c r="M218" s="622"/>
      <c r="N218" s="622"/>
      <c r="O218" s="622"/>
      <c r="P218" s="622"/>
      <c r="Q218" s="622"/>
      <c r="R218" s="622"/>
      <c r="S218" s="622"/>
      <c r="T218" s="622"/>
      <c r="U218" s="622"/>
      <c r="V218" s="622"/>
      <c r="W218" s="622"/>
      <c r="X218" s="622"/>
      <c r="Y218" s="330"/>
      <c r="Z218" s="623"/>
      <c r="AA218" s="622"/>
      <c r="AB218" s="622"/>
      <c r="AC218" s="622"/>
      <c r="AD218" s="622"/>
      <c r="AE218" s="622"/>
      <c r="AF218" s="622"/>
      <c r="AG218" s="622"/>
      <c r="AH218" s="622"/>
      <c r="AI218" s="622"/>
      <c r="AJ218" s="622"/>
      <c r="AK218" s="622"/>
      <c r="AL218" s="622"/>
      <c r="AM218" s="622"/>
      <c r="AN218" s="622"/>
      <c r="AO218" s="622"/>
      <c r="AP218" s="622"/>
      <c r="AQ218" s="622"/>
      <c r="AR218" s="622"/>
      <c r="AS218" s="622"/>
      <c r="AT218" s="622"/>
      <c r="AU218" s="622"/>
      <c r="AV218" s="622"/>
      <c r="AW218" s="622"/>
    </row>
    <row r="219" spans="1:49" ht="7.5" customHeight="1">
      <c r="A219" s="623">
        <v>2</v>
      </c>
      <c r="B219" s="622" t="str">
        <f>IF(NOT(ISBLANK('A-RACHNATMAK'!C240)),"A",IF(NOT(ISBLANK('A-RACHNATMAK'!C239)),"B",IF(NOT(ISBLANK('A-RACHNATMAK'!C238)),"C","")))</f>
        <v/>
      </c>
      <c r="C219" s="622" t="str">
        <f>IF(NOT(ISBLANK('A-RACHNATMAK'!D240)),"A",IF(NOT(ISBLANK('A-RACHNATMAK'!D239)),"B",IF(NOT(ISBLANK('A-RACHNATMAK'!D238)),"C","")))</f>
        <v/>
      </c>
      <c r="D219" s="622" t="str">
        <f>IF(NOT(ISBLANK('A-RACHNATMAK'!E240)),"A",IF(NOT(ISBLANK('A-RACHNATMAK'!E239)),"B",IF(NOT(ISBLANK('A-RACHNATMAK'!E238)),"C","")))</f>
        <v/>
      </c>
      <c r="E219" s="622" t="str">
        <f>IF(NOT(ISBLANK('A-RACHNATMAK'!F240)),"A",IF(NOT(ISBLANK('A-RACHNATMAK'!F239)),"B",IF(NOT(ISBLANK('A-RACHNATMAK'!F238)),"C","")))</f>
        <v/>
      </c>
      <c r="F219" s="622" t="str">
        <f>IF(NOT(ISBLANK('A-RACHNATMAK'!G240)),"A",IF(NOT(ISBLANK('A-RACHNATMAK'!G239)),"B",IF(NOT(ISBLANK('A-RACHNATMAK'!G238)),"C","")))</f>
        <v/>
      </c>
      <c r="G219" s="622" t="str">
        <f>IF(NOT(ISBLANK('A-RACHNATMAK'!H240)),"A",IF(NOT(ISBLANK('A-RACHNATMAK'!H239)),"B",IF(NOT(ISBLANK('A-RACHNATMAK'!H238)),"C","")))</f>
        <v/>
      </c>
      <c r="H219" s="622" t="str">
        <f>IF(NOT(ISBLANK('A-RACHNATMAK'!I240)),"A",IF(NOT(ISBLANK('A-RACHNATMAK'!I239)),"B",IF(NOT(ISBLANK('A-RACHNATMAK'!I238)),"C","")))</f>
        <v/>
      </c>
      <c r="I219" s="622" t="str">
        <f>IF(NOT(ISBLANK('A-RACHNATMAK'!J240)),"A",IF(NOT(ISBLANK('A-RACHNATMAK'!J239)),"B",IF(NOT(ISBLANK('A-RACHNATMAK'!J238)),"C","")))</f>
        <v/>
      </c>
      <c r="J219" s="622" t="str">
        <f>IF(NOT(ISBLANK('A-RACHNATMAK'!K240)),"A",IF(NOT(ISBLANK('A-RACHNATMAK'!K239)),"B",IF(NOT(ISBLANK('A-RACHNATMAK'!K238)),"C","")))</f>
        <v/>
      </c>
      <c r="K219" s="622" t="str">
        <f>IF(NOT(ISBLANK('A-RACHNATMAK'!L240)),"A",IF(NOT(ISBLANK('A-RACHNATMAK'!L239)),"B",IF(NOT(ISBLANK('A-RACHNATMAK'!L238)),"C","")))</f>
        <v/>
      </c>
      <c r="L219" s="622" t="str">
        <f>IF(NOT(ISBLANK('A-RACHNATMAK'!M240)),"A",IF(NOT(ISBLANK('A-RACHNATMAK'!M239)),"B",IF(NOT(ISBLANK('A-RACHNATMAK'!M238)),"C","")))</f>
        <v/>
      </c>
      <c r="M219" s="622" t="str">
        <f>IF(NOT(ISBLANK('A-RACHNATMAK'!N240)),"A",IF(NOT(ISBLANK('A-RACHNATMAK'!N239)),"B",IF(NOT(ISBLANK('A-RACHNATMAK'!N238)),"C","")))</f>
        <v/>
      </c>
      <c r="N219" s="622" t="str">
        <f>IF(NOT(ISBLANK('A-RACHNATMAK'!O240)),"A",IF(NOT(ISBLANK('A-RACHNATMAK'!O239)),"B",IF(NOT(ISBLANK('A-RACHNATMAK'!O238)),"C","")))</f>
        <v/>
      </c>
      <c r="O219" s="622" t="str">
        <f>IF(NOT(ISBLANK('A-RACHNATMAK'!P240)),"A",IF(NOT(ISBLANK('A-RACHNATMAK'!P239)),"B",IF(NOT(ISBLANK('A-RACHNATMAK'!P238)),"C","")))</f>
        <v/>
      </c>
      <c r="P219" s="622" t="str">
        <f>IF(NOT(ISBLANK('A-RACHNATMAK'!Q240)),"A",IF(NOT(ISBLANK('A-RACHNATMAK'!Q239)),"B",IF(NOT(ISBLANK('A-RACHNATMAK'!Q238)),"C","")))</f>
        <v/>
      </c>
      <c r="Q219" s="622" t="str">
        <f>IF(NOT(ISBLANK('A-RACHNATMAK'!R240)),"A",IF(NOT(ISBLANK('A-RACHNATMAK'!R239)),"B",IF(NOT(ISBLANK('A-RACHNATMAK'!R238)),"C","")))</f>
        <v/>
      </c>
      <c r="R219" s="622" t="str">
        <f>IF(NOT(ISBLANK('A-RACHNATMAK'!S240)),"A",IF(NOT(ISBLANK('A-RACHNATMAK'!S239)),"B",IF(NOT(ISBLANK('A-RACHNATMAK'!S238)),"C","")))</f>
        <v/>
      </c>
      <c r="S219" s="622" t="str">
        <f>IF(NOT(ISBLANK('A-RACHNATMAK'!T240)),"A",IF(NOT(ISBLANK('A-RACHNATMAK'!T239)),"B",IF(NOT(ISBLANK('A-RACHNATMAK'!T238)),"C","")))</f>
        <v/>
      </c>
      <c r="T219" s="622" t="str">
        <f>IF(NOT(ISBLANK('A-RACHNATMAK'!U240)),"A",IF(NOT(ISBLANK('A-RACHNATMAK'!U239)),"B",IF(NOT(ISBLANK('A-RACHNATMAK'!U238)),"C","")))</f>
        <v/>
      </c>
      <c r="U219" s="622" t="str">
        <f>IF(NOT(ISBLANK('A-RACHNATMAK'!V240)),"A",IF(NOT(ISBLANK('A-RACHNATMAK'!V239)),"B",IF(NOT(ISBLANK('A-RACHNATMAK'!V238)),"C","")))</f>
        <v/>
      </c>
      <c r="V219" s="622">
        <f t="shared" ref="V219" si="408">COUNTIF(B219:U219,"A")</f>
        <v>0</v>
      </c>
      <c r="W219" s="622">
        <f t="shared" ref="W219" si="409">COUNTIF(B219:U219,"B")</f>
        <v>0</v>
      </c>
      <c r="X219" s="622">
        <f t="shared" ref="X219" si="410">COUNTIF(B219:U219,"C")</f>
        <v>0</v>
      </c>
      <c r="Y219" s="330"/>
      <c r="Z219" s="623">
        <v>2</v>
      </c>
      <c r="AA219" s="622" t="str">
        <f>IF(NOT(ISBLANK('A-RACHNATMAK'!AD240)),"A",IF(NOT(ISBLANK('A-RACHNATMAK'!AD239)),"B",IF(NOT(ISBLANK('A-RACHNATMAK'!AD238)),"C","")))</f>
        <v/>
      </c>
      <c r="AB219" s="622" t="str">
        <f>IF(NOT(ISBLANK('A-RACHNATMAK'!AE240)),"A",IF(NOT(ISBLANK('A-RACHNATMAK'!AE239)),"B",IF(NOT(ISBLANK('A-RACHNATMAK'!AE238)),"C","")))</f>
        <v/>
      </c>
      <c r="AC219" s="622" t="str">
        <f>IF(NOT(ISBLANK('A-RACHNATMAK'!AF240)),"A",IF(NOT(ISBLANK('A-RACHNATMAK'!AF239)),"B",IF(NOT(ISBLANK('A-RACHNATMAK'!AF238)),"C","")))</f>
        <v/>
      </c>
      <c r="AD219" s="622" t="str">
        <f>IF(NOT(ISBLANK('A-RACHNATMAK'!AG240)),"A",IF(NOT(ISBLANK('A-RACHNATMAK'!AG239)),"B",IF(NOT(ISBLANK('A-RACHNATMAK'!AG238)),"C","")))</f>
        <v/>
      </c>
      <c r="AE219" s="622" t="str">
        <f>IF(NOT(ISBLANK('A-RACHNATMAK'!AH240)),"A",IF(NOT(ISBLANK('A-RACHNATMAK'!AH239)),"B",IF(NOT(ISBLANK('A-RACHNATMAK'!AH238)),"C","")))</f>
        <v/>
      </c>
      <c r="AF219" s="622" t="str">
        <f>IF(NOT(ISBLANK('A-RACHNATMAK'!AI240)),"A",IF(NOT(ISBLANK('A-RACHNATMAK'!AI239)),"B",IF(NOT(ISBLANK('A-RACHNATMAK'!AI238)),"C","")))</f>
        <v/>
      </c>
      <c r="AG219" s="622" t="str">
        <f>IF(NOT(ISBLANK('A-RACHNATMAK'!AJ240)),"A",IF(NOT(ISBLANK('A-RACHNATMAK'!AJ239)),"B",IF(NOT(ISBLANK('A-RACHNATMAK'!AJ238)),"C","")))</f>
        <v/>
      </c>
      <c r="AH219" s="622" t="str">
        <f>IF(NOT(ISBLANK('A-RACHNATMAK'!AK240)),"A",IF(NOT(ISBLANK('A-RACHNATMAK'!AK239)),"B",IF(NOT(ISBLANK('A-RACHNATMAK'!AK238)),"C","")))</f>
        <v/>
      </c>
      <c r="AI219" s="622" t="str">
        <f>IF(NOT(ISBLANK('A-RACHNATMAK'!AL240)),"A",IF(NOT(ISBLANK('A-RACHNATMAK'!AL239)),"B",IF(NOT(ISBLANK('A-RACHNATMAK'!AL238)),"C","")))</f>
        <v/>
      </c>
      <c r="AJ219" s="622" t="str">
        <f>IF(NOT(ISBLANK('A-RACHNATMAK'!AM240)),"A",IF(NOT(ISBLANK('A-RACHNATMAK'!AM239)),"B",IF(NOT(ISBLANK('A-RACHNATMAK'!AM238)),"C","")))</f>
        <v/>
      </c>
      <c r="AK219" s="622" t="str">
        <f>IF(NOT(ISBLANK('A-RACHNATMAK'!AN240)),"A",IF(NOT(ISBLANK('A-RACHNATMAK'!AN239)),"B",IF(NOT(ISBLANK('A-RACHNATMAK'!AN238)),"C","")))</f>
        <v/>
      </c>
      <c r="AL219" s="622" t="str">
        <f>IF(NOT(ISBLANK('A-RACHNATMAK'!AO240)),"A",IF(NOT(ISBLANK('A-RACHNATMAK'!AO239)),"B",IF(NOT(ISBLANK('A-RACHNATMAK'!AO238)),"C","")))</f>
        <v/>
      </c>
      <c r="AM219" s="622" t="str">
        <f>IF(NOT(ISBLANK('A-RACHNATMAK'!AP240)),"A",IF(NOT(ISBLANK('A-RACHNATMAK'!AP239)),"B",IF(NOT(ISBLANK('A-RACHNATMAK'!AP238)),"C","")))</f>
        <v/>
      </c>
      <c r="AN219" s="622" t="str">
        <f>IF(NOT(ISBLANK('A-RACHNATMAK'!AQ240)),"A",IF(NOT(ISBLANK('A-RACHNATMAK'!AQ239)),"B",IF(NOT(ISBLANK('A-RACHNATMAK'!AQ238)),"C","")))</f>
        <v/>
      </c>
      <c r="AO219" s="622" t="str">
        <f>IF(NOT(ISBLANK('A-RACHNATMAK'!AR240)),"A",IF(NOT(ISBLANK('A-RACHNATMAK'!AR239)),"B",IF(NOT(ISBLANK('A-RACHNATMAK'!AR238)),"C","")))</f>
        <v/>
      </c>
      <c r="AP219" s="622" t="str">
        <f>IF(NOT(ISBLANK('A-RACHNATMAK'!AS240)),"A",IF(NOT(ISBLANK('A-RACHNATMAK'!AS239)),"B",IF(NOT(ISBLANK('A-RACHNATMAK'!AS238)),"C","")))</f>
        <v/>
      </c>
      <c r="AQ219" s="622" t="str">
        <f>IF(NOT(ISBLANK('A-RACHNATMAK'!AT240)),"A",IF(NOT(ISBLANK('A-RACHNATMAK'!AT239)),"B",IF(NOT(ISBLANK('A-RACHNATMAK'!AT238)),"C","")))</f>
        <v/>
      </c>
      <c r="AR219" s="622" t="str">
        <f>IF(NOT(ISBLANK('A-RACHNATMAK'!AU240)),"A",IF(NOT(ISBLANK('A-RACHNATMAK'!AU239)),"B",IF(NOT(ISBLANK('A-RACHNATMAK'!AU238)),"C","")))</f>
        <v/>
      </c>
      <c r="AS219" s="622" t="str">
        <f>IF(NOT(ISBLANK('A-RACHNATMAK'!AV240)),"A",IF(NOT(ISBLANK('A-RACHNATMAK'!AV239)),"B",IF(NOT(ISBLANK('A-RACHNATMAK'!AV238)),"C","")))</f>
        <v/>
      </c>
      <c r="AT219" s="622" t="str">
        <f>IF(NOT(ISBLANK('A-RACHNATMAK'!AW240)),"A",IF(NOT(ISBLANK('A-RACHNATMAK'!AW239)),"B",IF(NOT(ISBLANK('A-RACHNATMAK'!AW238)),"C","")))</f>
        <v/>
      </c>
      <c r="AU219" s="622">
        <f t="shared" ref="AU219" si="411">COUNTIF(AA219:AT219,"A")</f>
        <v>0</v>
      </c>
      <c r="AV219" s="622">
        <f t="shared" ref="AV219" si="412">COUNTIF(AA219:AT219,"B")</f>
        <v>0</v>
      </c>
      <c r="AW219" s="622">
        <f t="shared" ref="AW219" si="413">COUNTIF(AA219:AT219,"C")</f>
        <v>0</v>
      </c>
    </row>
    <row r="220" spans="1:49" ht="7.5" customHeight="1">
      <c r="A220" s="623"/>
      <c r="B220" s="622"/>
      <c r="C220" s="622"/>
      <c r="D220" s="622"/>
      <c r="E220" s="622"/>
      <c r="F220" s="622"/>
      <c r="G220" s="622"/>
      <c r="H220" s="622"/>
      <c r="I220" s="622"/>
      <c r="J220" s="622"/>
      <c r="K220" s="622"/>
      <c r="L220" s="622"/>
      <c r="M220" s="622"/>
      <c r="N220" s="622"/>
      <c r="O220" s="622"/>
      <c r="P220" s="622"/>
      <c r="Q220" s="622"/>
      <c r="R220" s="622"/>
      <c r="S220" s="622"/>
      <c r="T220" s="622"/>
      <c r="U220" s="622"/>
      <c r="V220" s="622"/>
      <c r="W220" s="622"/>
      <c r="X220" s="622"/>
      <c r="Y220" s="330"/>
      <c r="Z220" s="623"/>
      <c r="AA220" s="622"/>
      <c r="AB220" s="622"/>
      <c r="AC220" s="622"/>
      <c r="AD220" s="622"/>
      <c r="AE220" s="622"/>
      <c r="AF220" s="622"/>
      <c r="AG220" s="622"/>
      <c r="AH220" s="622"/>
      <c r="AI220" s="622"/>
      <c r="AJ220" s="622"/>
      <c r="AK220" s="622"/>
      <c r="AL220" s="622"/>
      <c r="AM220" s="622"/>
      <c r="AN220" s="622"/>
      <c r="AO220" s="622"/>
      <c r="AP220" s="622"/>
      <c r="AQ220" s="622"/>
      <c r="AR220" s="622"/>
      <c r="AS220" s="622"/>
      <c r="AT220" s="622"/>
      <c r="AU220" s="622"/>
      <c r="AV220" s="622"/>
      <c r="AW220" s="622"/>
    </row>
    <row r="221" spans="1:49" ht="7.5" customHeight="1">
      <c r="A221" s="623"/>
      <c r="B221" s="622"/>
      <c r="C221" s="622"/>
      <c r="D221" s="622"/>
      <c r="E221" s="622"/>
      <c r="F221" s="622"/>
      <c r="G221" s="622"/>
      <c r="H221" s="622"/>
      <c r="I221" s="622"/>
      <c r="J221" s="622"/>
      <c r="K221" s="622"/>
      <c r="L221" s="622"/>
      <c r="M221" s="622"/>
      <c r="N221" s="622"/>
      <c r="O221" s="622"/>
      <c r="P221" s="622"/>
      <c r="Q221" s="622"/>
      <c r="R221" s="622"/>
      <c r="S221" s="622"/>
      <c r="T221" s="622"/>
      <c r="U221" s="622"/>
      <c r="V221" s="622"/>
      <c r="W221" s="622"/>
      <c r="X221" s="622"/>
      <c r="Y221" s="330"/>
      <c r="Z221" s="623"/>
      <c r="AA221" s="622"/>
      <c r="AB221" s="622"/>
      <c r="AC221" s="622"/>
      <c r="AD221" s="622"/>
      <c r="AE221" s="622"/>
      <c r="AF221" s="622"/>
      <c r="AG221" s="622"/>
      <c r="AH221" s="622"/>
      <c r="AI221" s="622"/>
      <c r="AJ221" s="622"/>
      <c r="AK221" s="622"/>
      <c r="AL221" s="622"/>
      <c r="AM221" s="622"/>
      <c r="AN221" s="622"/>
      <c r="AO221" s="622"/>
      <c r="AP221" s="622"/>
      <c r="AQ221" s="622"/>
      <c r="AR221" s="622"/>
      <c r="AS221" s="622"/>
      <c r="AT221" s="622"/>
      <c r="AU221" s="622"/>
      <c r="AV221" s="622"/>
      <c r="AW221" s="622"/>
    </row>
    <row r="222" spans="1:49" ht="7.5" customHeight="1">
      <c r="A222" s="623">
        <v>3</v>
      </c>
      <c r="B222" s="622" t="str">
        <f>IF(NOT(ISBLANK('A-RACHNATMAK'!C243)),"A",IF(NOT(ISBLANK('A-RACHNATMAK'!C242)),"B",IF(NOT(ISBLANK('A-RACHNATMAK'!C241)),"C","")))</f>
        <v/>
      </c>
      <c r="C222" s="622" t="str">
        <f>IF(NOT(ISBLANK('A-RACHNATMAK'!D243)),"A",IF(NOT(ISBLANK('A-RACHNATMAK'!D242)),"B",IF(NOT(ISBLANK('A-RACHNATMAK'!D241)),"C","")))</f>
        <v/>
      </c>
      <c r="D222" s="622" t="str">
        <f>IF(NOT(ISBLANK('A-RACHNATMAK'!E243)),"A",IF(NOT(ISBLANK('A-RACHNATMAK'!E242)),"B",IF(NOT(ISBLANK('A-RACHNATMAK'!E241)),"C","")))</f>
        <v/>
      </c>
      <c r="E222" s="622" t="str">
        <f>IF(NOT(ISBLANK('A-RACHNATMAK'!F243)),"A",IF(NOT(ISBLANK('A-RACHNATMAK'!F242)),"B",IF(NOT(ISBLANK('A-RACHNATMAK'!F241)),"C","")))</f>
        <v/>
      </c>
      <c r="F222" s="622" t="str">
        <f>IF(NOT(ISBLANK('A-RACHNATMAK'!G243)),"A",IF(NOT(ISBLANK('A-RACHNATMAK'!G242)),"B",IF(NOT(ISBLANK('A-RACHNATMAK'!G241)),"C","")))</f>
        <v/>
      </c>
      <c r="G222" s="622" t="str">
        <f>IF(NOT(ISBLANK('A-RACHNATMAK'!H243)),"A",IF(NOT(ISBLANK('A-RACHNATMAK'!H242)),"B",IF(NOT(ISBLANK('A-RACHNATMAK'!H241)),"C","")))</f>
        <v/>
      </c>
      <c r="H222" s="622" t="str">
        <f>IF(NOT(ISBLANK('A-RACHNATMAK'!I243)),"A",IF(NOT(ISBLANK('A-RACHNATMAK'!I242)),"B",IF(NOT(ISBLANK('A-RACHNATMAK'!I241)),"C","")))</f>
        <v/>
      </c>
      <c r="I222" s="622" t="str">
        <f>IF(NOT(ISBLANK('A-RACHNATMAK'!J243)),"A",IF(NOT(ISBLANK('A-RACHNATMAK'!J242)),"B",IF(NOT(ISBLANK('A-RACHNATMAK'!J241)),"C","")))</f>
        <v/>
      </c>
      <c r="J222" s="622" t="str">
        <f>IF(NOT(ISBLANK('A-RACHNATMAK'!K243)),"A",IF(NOT(ISBLANK('A-RACHNATMAK'!K242)),"B",IF(NOT(ISBLANK('A-RACHNATMAK'!K241)),"C","")))</f>
        <v/>
      </c>
      <c r="K222" s="622" t="str">
        <f>IF(NOT(ISBLANK('A-RACHNATMAK'!L243)),"A",IF(NOT(ISBLANK('A-RACHNATMAK'!L242)),"B",IF(NOT(ISBLANK('A-RACHNATMAK'!L241)),"C","")))</f>
        <v/>
      </c>
      <c r="L222" s="622" t="str">
        <f>IF(NOT(ISBLANK('A-RACHNATMAK'!M243)),"A",IF(NOT(ISBLANK('A-RACHNATMAK'!M242)),"B",IF(NOT(ISBLANK('A-RACHNATMAK'!M241)),"C","")))</f>
        <v/>
      </c>
      <c r="M222" s="622" t="str">
        <f>IF(NOT(ISBLANK('A-RACHNATMAK'!N243)),"A",IF(NOT(ISBLANK('A-RACHNATMAK'!N242)),"B",IF(NOT(ISBLANK('A-RACHNATMAK'!N241)),"C","")))</f>
        <v/>
      </c>
      <c r="N222" s="622" t="str">
        <f>IF(NOT(ISBLANK('A-RACHNATMAK'!O243)),"A",IF(NOT(ISBLANK('A-RACHNATMAK'!O242)),"B",IF(NOT(ISBLANK('A-RACHNATMAK'!O241)),"C","")))</f>
        <v/>
      </c>
      <c r="O222" s="622" t="str">
        <f>IF(NOT(ISBLANK('A-RACHNATMAK'!P243)),"A",IF(NOT(ISBLANK('A-RACHNATMAK'!P242)),"B",IF(NOT(ISBLANK('A-RACHNATMAK'!P241)),"C","")))</f>
        <v/>
      </c>
      <c r="P222" s="622" t="str">
        <f>IF(NOT(ISBLANK('A-RACHNATMAK'!Q243)),"A",IF(NOT(ISBLANK('A-RACHNATMAK'!Q242)),"B",IF(NOT(ISBLANK('A-RACHNATMAK'!Q241)),"C","")))</f>
        <v/>
      </c>
      <c r="Q222" s="622" t="str">
        <f>IF(NOT(ISBLANK('A-RACHNATMAK'!R243)),"A",IF(NOT(ISBLANK('A-RACHNATMAK'!R242)),"B",IF(NOT(ISBLANK('A-RACHNATMAK'!R241)),"C","")))</f>
        <v/>
      </c>
      <c r="R222" s="622" t="str">
        <f>IF(NOT(ISBLANK('A-RACHNATMAK'!S243)),"A",IF(NOT(ISBLANK('A-RACHNATMAK'!S242)),"B",IF(NOT(ISBLANK('A-RACHNATMAK'!S241)),"C","")))</f>
        <v/>
      </c>
      <c r="S222" s="622" t="str">
        <f>IF(NOT(ISBLANK('A-RACHNATMAK'!T243)),"A",IF(NOT(ISBLANK('A-RACHNATMAK'!T242)),"B",IF(NOT(ISBLANK('A-RACHNATMAK'!T241)),"C","")))</f>
        <v/>
      </c>
      <c r="T222" s="622" t="str">
        <f>IF(NOT(ISBLANK('A-RACHNATMAK'!U243)),"A",IF(NOT(ISBLANK('A-RACHNATMAK'!U242)),"B",IF(NOT(ISBLANK('A-RACHNATMAK'!U241)),"C","")))</f>
        <v/>
      </c>
      <c r="U222" s="622" t="str">
        <f>IF(NOT(ISBLANK('A-RACHNATMAK'!V243)),"A",IF(NOT(ISBLANK('A-RACHNATMAK'!V242)),"B",IF(NOT(ISBLANK('A-RACHNATMAK'!V241)),"C","")))</f>
        <v/>
      </c>
      <c r="V222" s="622">
        <f t="shared" ref="V222" si="414">COUNTIF(B222:U222,"A")</f>
        <v>0</v>
      </c>
      <c r="W222" s="622">
        <f t="shared" ref="W222" si="415">COUNTIF(B222:U222,"B")</f>
        <v>0</v>
      </c>
      <c r="X222" s="622">
        <f t="shared" ref="X222" si="416">COUNTIF(B222:U222,"C")</f>
        <v>0</v>
      </c>
      <c r="Y222" s="330"/>
      <c r="Z222" s="623">
        <v>3</v>
      </c>
      <c r="AA222" s="622" t="str">
        <f>IF(NOT(ISBLANK('A-RACHNATMAK'!AD243)),"A",IF(NOT(ISBLANK('A-RACHNATMAK'!AD242)),"B",IF(NOT(ISBLANK('A-RACHNATMAK'!AD241)),"C","")))</f>
        <v/>
      </c>
      <c r="AB222" s="622" t="str">
        <f>IF(NOT(ISBLANK('A-RACHNATMAK'!AE243)),"A",IF(NOT(ISBLANK('A-RACHNATMAK'!AE242)),"B",IF(NOT(ISBLANK('A-RACHNATMAK'!AE241)),"C","")))</f>
        <v/>
      </c>
      <c r="AC222" s="622" t="str">
        <f>IF(NOT(ISBLANK('A-RACHNATMAK'!AF243)),"A",IF(NOT(ISBLANK('A-RACHNATMAK'!AF242)),"B",IF(NOT(ISBLANK('A-RACHNATMAK'!AF241)),"C","")))</f>
        <v/>
      </c>
      <c r="AD222" s="622" t="str">
        <f>IF(NOT(ISBLANK('A-RACHNATMAK'!AG243)),"A",IF(NOT(ISBLANK('A-RACHNATMAK'!AG242)),"B",IF(NOT(ISBLANK('A-RACHNATMAK'!AG241)),"C","")))</f>
        <v/>
      </c>
      <c r="AE222" s="622" t="str">
        <f>IF(NOT(ISBLANK('A-RACHNATMAK'!AH243)),"A",IF(NOT(ISBLANK('A-RACHNATMAK'!AH242)),"B",IF(NOT(ISBLANK('A-RACHNATMAK'!AH241)),"C","")))</f>
        <v/>
      </c>
      <c r="AF222" s="622" t="str">
        <f>IF(NOT(ISBLANK('A-RACHNATMAK'!AI243)),"A",IF(NOT(ISBLANK('A-RACHNATMAK'!AI242)),"B",IF(NOT(ISBLANK('A-RACHNATMAK'!AI241)),"C","")))</f>
        <v/>
      </c>
      <c r="AG222" s="622" t="str">
        <f>IF(NOT(ISBLANK('A-RACHNATMAK'!AJ243)),"A",IF(NOT(ISBLANK('A-RACHNATMAK'!AJ242)),"B",IF(NOT(ISBLANK('A-RACHNATMAK'!AJ241)),"C","")))</f>
        <v/>
      </c>
      <c r="AH222" s="622" t="str">
        <f>IF(NOT(ISBLANK('A-RACHNATMAK'!AK243)),"A",IF(NOT(ISBLANK('A-RACHNATMAK'!AK242)),"B",IF(NOT(ISBLANK('A-RACHNATMAK'!AK241)),"C","")))</f>
        <v/>
      </c>
      <c r="AI222" s="622" t="str">
        <f>IF(NOT(ISBLANK('A-RACHNATMAK'!AL243)),"A",IF(NOT(ISBLANK('A-RACHNATMAK'!AL242)),"B",IF(NOT(ISBLANK('A-RACHNATMAK'!AL241)),"C","")))</f>
        <v/>
      </c>
      <c r="AJ222" s="622" t="str">
        <f>IF(NOT(ISBLANK('A-RACHNATMAK'!AM243)),"A",IF(NOT(ISBLANK('A-RACHNATMAK'!AM242)),"B",IF(NOT(ISBLANK('A-RACHNATMAK'!AM241)),"C","")))</f>
        <v/>
      </c>
      <c r="AK222" s="622" t="str">
        <f>IF(NOT(ISBLANK('A-RACHNATMAK'!AN243)),"A",IF(NOT(ISBLANK('A-RACHNATMAK'!AN242)),"B",IF(NOT(ISBLANK('A-RACHNATMAK'!AN241)),"C","")))</f>
        <v/>
      </c>
      <c r="AL222" s="622" t="str">
        <f>IF(NOT(ISBLANK('A-RACHNATMAK'!AO243)),"A",IF(NOT(ISBLANK('A-RACHNATMAK'!AO242)),"B",IF(NOT(ISBLANK('A-RACHNATMAK'!AO241)),"C","")))</f>
        <v/>
      </c>
      <c r="AM222" s="622" t="str">
        <f>IF(NOT(ISBLANK('A-RACHNATMAK'!AP243)),"A",IF(NOT(ISBLANK('A-RACHNATMAK'!AP242)),"B",IF(NOT(ISBLANK('A-RACHNATMAK'!AP241)),"C","")))</f>
        <v/>
      </c>
      <c r="AN222" s="622" t="str">
        <f>IF(NOT(ISBLANK('A-RACHNATMAK'!AQ243)),"A",IF(NOT(ISBLANK('A-RACHNATMAK'!AQ242)),"B",IF(NOT(ISBLANK('A-RACHNATMAK'!AQ241)),"C","")))</f>
        <v/>
      </c>
      <c r="AO222" s="622" t="str">
        <f>IF(NOT(ISBLANK('A-RACHNATMAK'!AR243)),"A",IF(NOT(ISBLANK('A-RACHNATMAK'!AR242)),"B",IF(NOT(ISBLANK('A-RACHNATMAK'!AR241)),"C","")))</f>
        <v/>
      </c>
      <c r="AP222" s="622" t="str">
        <f>IF(NOT(ISBLANK('A-RACHNATMAK'!AS243)),"A",IF(NOT(ISBLANK('A-RACHNATMAK'!AS242)),"B",IF(NOT(ISBLANK('A-RACHNATMAK'!AS241)),"C","")))</f>
        <v/>
      </c>
      <c r="AQ222" s="622" t="str">
        <f>IF(NOT(ISBLANK('A-RACHNATMAK'!AT243)),"A",IF(NOT(ISBLANK('A-RACHNATMAK'!AT242)),"B",IF(NOT(ISBLANK('A-RACHNATMAK'!AT241)),"C","")))</f>
        <v/>
      </c>
      <c r="AR222" s="622" t="str">
        <f>IF(NOT(ISBLANK('A-RACHNATMAK'!AU243)),"A",IF(NOT(ISBLANK('A-RACHNATMAK'!AU242)),"B",IF(NOT(ISBLANK('A-RACHNATMAK'!AU241)),"C","")))</f>
        <v/>
      </c>
      <c r="AS222" s="622" t="str">
        <f>IF(NOT(ISBLANK('A-RACHNATMAK'!AV243)),"A",IF(NOT(ISBLANK('A-RACHNATMAK'!AV242)),"B",IF(NOT(ISBLANK('A-RACHNATMAK'!AV241)),"C","")))</f>
        <v/>
      </c>
      <c r="AT222" s="622" t="str">
        <f>IF(NOT(ISBLANK('A-RACHNATMAK'!AW243)),"A",IF(NOT(ISBLANK('A-RACHNATMAK'!AW242)),"B",IF(NOT(ISBLANK('A-RACHNATMAK'!AW241)),"C","")))</f>
        <v/>
      </c>
      <c r="AU222" s="622">
        <f t="shared" ref="AU222" si="417">COUNTIF(AA222:AT222,"A")</f>
        <v>0</v>
      </c>
      <c r="AV222" s="622">
        <f t="shared" ref="AV222" si="418">COUNTIF(AA222:AT222,"B")</f>
        <v>0</v>
      </c>
      <c r="AW222" s="622">
        <f t="shared" ref="AW222" si="419">COUNTIF(AA222:AT222,"C")</f>
        <v>0</v>
      </c>
    </row>
    <row r="223" spans="1:49" ht="7.5" customHeight="1">
      <c r="A223" s="623"/>
      <c r="B223" s="622"/>
      <c r="C223" s="622"/>
      <c r="D223" s="622"/>
      <c r="E223" s="622"/>
      <c r="F223" s="622"/>
      <c r="G223" s="622"/>
      <c r="H223" s="622"/>
      <c r="I223" s="622"/>
      <c r="J223" s="622"/>
      <c r="K223" s="622"/>
      <c r="L223" s="622"/>
      <c r="M223" s="622"/>
      <c r="N223" s="622"/>
      <c r="O223" s="622"/>
      <c r="P223" s="622"/>
      <c r="Q223" s="622"/>
      <c r="R223" s="622"/>
      <c r="S223" s="622"/>
      <c r="T223" s="622"/>
      <c r="U223" s="622"/>
      <c r="V223" s="622"/>
      <c r="W223" s="622"/>
      <c r="X223" s="622"/>
      <c r="Y223" s="330"/>
      <c r="Z223" s="623"/>
      <c r="AA223" s="622"/>
      <c r="AB223" s="622"/>
      <c r="AC223" s="622"/>
      <c r="AD223" s="622"/>
      <c r="AE223" s="622"/>
      <c r="AF223" s="622"/>
      <c r="AG223" s="622"/>
      <c r="AH223" s="622"/>
      <c r="AI223" s="622"/>
      <c r="AJ223" s="622"/>
      <c r="AK223" s="622"/>
      <c r="AL223" s="622"/>
      <c r="AM223" s="622"/>
      <c r="AN223" s="622"/>
      <c r="AO223" s="622"/>
      <c r="AP223" s="622"/>
      <c r="AQ223" s="622"/>
      <c r="AR223" s="622"/>
      <c r="AS223" s="622"/>
      <c r="AT223" s="622"/>
      <c r="AU223" s="622"/>
      <c r="AV223" s="622"/>
      <c r="AW223" s="622"/>
    </row>
    <row r="224" spans="1:49" ht="7.5" customHeight="1">
      <c r="A224" s="623"/>
      <c r="B224" s="622"/>
      <c r="C224" s="622"/>
      <c r="D224" s="622"/>
      <c r="E224" s="622"/>
      <c r="F224" s="622"/>
      <c r="G224" s="622"/>
      <c r="H224" s="622"/>
      <c r="I224" s="622"/>
      <c r="J224" s="622"/>
      <c r="K224" s="622"/>
      <c r="L224" s="622"/>
      <c r="M224" s="622"/>
      <c r="N224" s="622"/>
      <c r="O224" s="622"/>
      <c r="P224" s="622"/>
      <c r="Q224" s="622"/>
      <c r="R224" s="622"/>
      <c r="S224" s="622"/>
      <c r="T224" s="622"/>
      <c r="U224" s="622"/>
      <c r="V224" s="622"/>
      <c r="W224" s="622"/>
      <c r="X224" s="622"/>
      <c r="Y224" s="330"/>
      <c r="Z224" s="623"/>
      <c r="AA224" s="622"/>
      <c r="AB224" s="622"/>
      <c r="AC224" s="622"/>
      <c r="AD224" s="622"/>
      <c r="AE224" s="622"/>
      <c r="AF224" s="622"/>
      <c r="AG224" s="622"/>
      <c r="AH224" s="622"/>
      <c r="AI224" s="622"/>
      <c r="AJ224" s="622"/>
      <c r="AK224" s="622"/>
      <c r="AL224" s="622"/>
      <c r="AM224" s="622"/>
      <c r="AN224" s="622"/>
      <c r="AO224" s="622"/>
      <c r="AP224" s="622"/>
      <c r="AQ224" s="622"/>
      <c r="AR224" s="622"/>
      <c r="AS224" s="622"/>
      <c r="AT224" s="622"/>
      <c r="AU224" s="622"/>
      <c r="AV224" s="622"/>
      <c r="AW224" s="622"/>
    </row>
    <row r="225" spans="1:49" ht="7.5" customHeight="1">
      <c r="A225" s="623">
        <v>4</v>
      </c>
      <c r="B225" s="622" t="str">
        <f>IF(NOT(ISBLANK('A-RACHNATMAK'!C246)),"A",IF(NOT(ISBLANK('A-RACHNATMAK'!C245)),"B",IF(NOT(ISBLANK('A-RACHNATMAK'!C244)),"C","")))</f>
        <v/>
      </c>
      <c r="C225" s="622" t="str">
        <f>IF(NOT(ISBLANK('A-RACHNATMAK'!D246)),"A",IF(NOT(ISBLANK('A-RACHNATMAK'!D245)),"B",IF(NOT(ISBLANK('A-RACHNATMAK'!D244)),"C","")))</f>
        <v/>
      </c>
      <c r="D225" s="622" t="str">
        <f>IF(NOT(ISBLANK('A-RACHNATMAK'!E246)),"A",IF(NOT(ISBLANK('A-RACHNATMAK'!E245)),"B",IF(NOT(ISBLANK('A-RACHNATMAK'!E244)),"C","")))</f>
        <v/>
      </c>
      <c r="E225" s="622" t="str">
        <f>IF(NOT(ISBLANK('A-RACHNATMAK'!F246)),"A",IF(NOT(ISBLANK('A-RACHNATMAK'!F245)),"B",IF(NOT(ISBLANK('A-RACHNATMAK'!F244)),"C","")))</f>
        <v/>
      </c>
      <c r="F225" s="622" t="str">
        <f>IF(NOT(ISBLANK('A-RACHNATMAK'!G246)),"A",IF(NOT(ISBLANK('A-RACHNATMAK'!G245)),"B",IF(NOT(ISBLANK('A-RACHNATMAK'!G244)),"C","")))</f>
        <v/>
      </c>
      <c r="G225" s="622" t="str">
        <f>IF(NOT(ISBLANK('A-RACHNATMAK'!H246)),"A",IF(NOT(ISBLANK('A-RACHNATMAK'!H245)),"B",IF(NOT(ISBLANK('A-RACHNATMAK'!H244)),"C","")))</f>
        <v/>
      </c>
      <c r="H225" s="622" t="str">
        <f>IF(NOT(ISBLANK('A-RACHNATMAK'!I246)),"A",IF(NOT(ISBLANK('A-RACHNATMAK'!I245)),"B",IF(NOT(ISBLANK('A-RACHNATMAK'!I244)),"C","")))</f>
        <v/>
      </c>
      <c r="I225" s="622" t="str">
        <f>IF(NOT(ISBLANK('A-RACHNATMAK'!J246)),"A",IF(NOT(ISBLANK('A-RACHNATMAK'!J245)),"B",IF(NOT(ISBLANK('A-RACHNATMAK'!J244)),"C","")))</f>
        <v/>
      </c>
      <c r="J225" s="622" t="str">
        <f>IF(NOT(ISBLANK('A-RACHNATMAK'!K246)),"A",IF(NOT(ISBLANK('A-RACHNATMAK'!K245)),"B",IF(NOT(ISBLANK('A-RACHNATMAK'!K244)),"C","")))</f>
        <v/>
      </c>
      <c r="K225" s="622" t="str">
        <f>IF(NOT(ISBLANK('A-RACHNATMAK'!L246)),"A",IF(NOT(ISBLANK('A-RACHNATMAK'!L245)),"B",IF(NOT(ISBLANK('A-RACHNATMAK'!L244)),"C","")))</f>
        <v/>
      </c>
      <c r="L225" s="622" t="str">
        <f>IF(NOT(ISBLANK('A-RACHNATMAK'!M246)),"A",IF(NOT(ISBLANK('A-RACHNATMAK'!M245)),"B",IF(NOT(ISBLANK('A-RACHNATMAK'!M244)),"C","")))</f>
        <v/>
      </c>
      <c r="M225" s="622" t="str">
        <f>IF(NOT(ISBLANK('A-RACHNATMAK'!N246)),"A",IF(NOT(ISBLANK('A-RACHNATMAK'!N245)),"B",IF(NOT(ISBLANK('A-RACHNATMAK'!N244)),"C","")))</f>
        <v/>
      </c>
      <c r="N225" s="622" t="str">
        <f>IF(NOT(ISBLANK('A-RACHNATMAK'!O246)),"A",IF(NOT(ISBLANK('A-RACHNATMAK'!O245)),"B",IF(NOT(ISBLANK('A-RACHNATMAK'!O244)),"C","")))</f>
        <v/>
      </c>
      <c r="O225" s="622" t="str">
        <f>IF(NOT(ISBLANK('A-RACHNATMAK'!P246)),"A",IF(NOT(ISBLANK('A-RACHNATMAK'!P245)),"B",IF(NOT(ISBLANK('A-RACHNATMAK'!P244)),"C","")))</f>
        <v/>
      </c>
      <c r="P225" s="622" t="str">
        <f>IF(NOT(ISBLANK('A-RACHNATMAK'!Q246)),"A",IF(NOT(ISBLANK('A-RACHNATMAK'!Q245)),"B",IF(NOT(ISBLANK('A-RACHNATMAK'!Q244)),"C","")))</f>
        <v/>
      </c>
      <c r="Q225" s="622" t="str">
        <f>IF(NOT(ISBLANK('A-RACHNATMAK'!R246)),"A",IF(NOT(ISBLANK('A-RACHNATMAK'!R245)),"B",IF(NOT(ISBLANK('A-RACHNATMAK'!R244)),"C","")))</f>
        <v/>
      </c>
      <c r="R225" s="622" t="str">
        <f>IF(NOT(ISBLANK('A-RACHNATMAK'!S246)),"A",IF(NOT(ISBLANK('A-RACHNATMAK'!S245)),"B",IF(NOT(ISBLANK('A-RACHNATMAK'!S244)),"C","")))</f>
        <v/>
      </c>
      <c r="S225" s="622" t="str">
        <f>IF(NOT(ISBLANK('A-RACHNATMAK'!T246)),"A",IF(NOT(ISBLANK('A-RACHNATMAK'!T245)),"B",IF(NOT(ISBLANK('A-RACHNATMAK'!T244)),"C","")))</f>
        <v/>
      </c>
      <c r="T225" s="622" t="str">
        <f>IF(NOT(ISBLANK('A-RACHNATMAK'!U246)),"A",IF(NOT(ISBLANK('A-RACHNATMAK'!U245)),"B",IF(NOT(ISBLANK('A-RACHNATMAK'!U244)),"C","")))</f>
        <v/>
      </c>
      <c r="U225" s="622" t="str">
        <f>IF(NOT(ISBLANK('A-RACHNATMAK'!V246)),"A",IF(NOT(ISBLANK('A-RACHNATMAK'!V245)),"B",IF(NOT(ISBLANK('A-RACHNATMAK'!V244)),"C","")))</f>
        <v/>
      </c>
      <c r="V225" s="622">
        <f t="shared" ref="V225" si="420">COUNTIF(B225:U225,"A")</f>
        <v>0</v>
      </c>
      <c r="W225" s="622">
        <f t="shared" ref="W225" si="421">COUNTIF(B225:U225,"B")</f>
        <v>0</v>
      </c>
      <c r="X225" s="622">
        <f t="shared" ref="X225" si="422">COUNTIF(B225:U225,"C")</f>
        <v>0</v>
      </c>
      <c r="Y225" s="330"/>
      <c r="Z225" s="623">
        <v>4</v>
      </c>
      <c r="AA225" s="622" t="str">
        <f>IF(NOT(ISBLANK('A-RACHNATMAK'!AD246)),"A",IF(NOT(ISBLANK('A-RACHNATMAK'!AD245)),"B",IF(NOT(ISBLANK('A-RACHNATMAK'!AD244)),"C","")))</f>
        <v/>
      </c>
      <c r="AB225" s="622" t="str">
        <f>IF(NOT(ISBLANK('A-RACHNATMAK'!AE246)),"A",IF(NOT(ISBLANK('A-RACHNATMAK'!AE245)),"B",IF(NOT(ISBLANK('A-RACHNATMAK'!AE244)),"C","")))</f>
        <v/>
      </c>
      <c r="AC225" s="622" t="str">
        <f>IF(NOT(ISBLANK('A-RACHNATMAK'!AF246)),"A",IF(NOT(ISBLANK('A-RACHNATMAK'!AF245)),"B",IF(NOT(ISBLANK('A-RACHNATMAK'!AF244)),"C","")))</f>
        <v/>
      </c>
      <c r="AD225" s="622" t="str">
        <f>IF(NOT(ISBLANK('A-RACHNATMAK'!AG246)),"A",IF(NOT(ISBLANK('A-RACHNATMAK'!AG245)),"B",IF(NOT(ISBLANK('A-RACHNATMAK'!AG244)),"C","")))</f>
        <v/>
      </c>
      <c r="AE225" s="622" t="str">
        <f>IF(NOT(ISBLANK('A-RACHNATMAK'!AH246)),"A",IF(NOT(ISBLANK('A-RACHNATMAK'!AH245)),"B",IF(NOT(ISBLANK('A-RACHNATMAK'!AH244)),"C","")))</f>
        <v/>
      </c>
      <c r="AF225" s="622" t="str">
        <f>IF(NOT(ISBLANK('A-RACHNATMAK'!AI246)),"A",IF(NOT(ISBLANK('A-RACHNATMAK'!AI245)),"B",IF(NOT(ISBLANK('A-RACHNATMAK'!AI244)),"C","")))</f>
        <v/>
      </c>
      <c r="AG225" s="622" t="str">
        <f>IF(NOT(ISBLANK('A-RACHNATMAK'!AJ246)),"A",IF(NOT(ISBLANK('A-RACHNATMAK'!AJ245)),"B",IF(NOT(ISBLANK('A-RACHNATMAK'!AJ244)),"C","")))</f>
        <v/>
      </c>
      <c r="AH225" s="622" t="str">
        <f>IF(NOT(ISBLANK('A-RACHNATMAK'!AK246)),"A",IF(NOT(ISBLANK('A-RACHNATMAK'!AK245)),"B",IF(NOT(ISBLANK('A-RACHNATMAK'!AK244)),"C","")))</f>
        <v/>
      </c>
      <c r="AI225" s="622" t="str">
        <f>IF(NOT(ISBLANK('A-RACHNATMAK'!AL246)),"A",IF(NOT(ISBLANK('A-RACHNATMAK'!AL245)),"B",IF(NOT(ISBLANK('A-RACHNATMAK'!AL244)),"C","")))</f>
        <v/>
      </c>
      <c r="AJ225" s="622" t="str">
        <f>IF(NOT(ISBLANK('A-RACHNATMAK'!AM246)),"A",IF(NOT(ISBLANK('A-RACHNATMAK'!AM245)),"B",IF(NOT(ISBLANK('A-RACHNATMAK'!AM244)),"C","")))</f>
        <v/>
      </c>
      <c r="AK225" s="622" t="str">
        <f>IF(NOT(ISBLANK('A-RACHNATMAK'!AN246)),"A",IF(NOT(ISBLANK('A-RACHNATMAK'!AN245)),"B",IF(NOT(ISBLANK('A-RACHNATMAK'!AN244)),"C","")))</f>
        <v/>
      </c>
      <c r="AL225" s="622" t="str">
        <f>IF(NOT(ISBLANK('A-RACHNATMAK'!AO246)),"A",IF(NOT(ISBLANK('A-RACHNATMAK'!AO245)),"B",IF(NOT(ISBLANK('A-RACHNATMAK'!AO244)),"C","")))</f>
        <v/>
      </c>
      <c r="AM225" s="622" t="str">
        <f>IF(NOT(ISBLANK('A-RACHNATMAK'!AP246)),"A",IF(NOT(ISBLANK('A-RACHNATMAK'!AP245)),"B",IF(NOT(ISBLANK('A-RACHNATMAK'!AP244)),"C","")))</f>
        <v/>
      </c>
      <c r="AN225" s="622" t="str">
        <f>IF(NOT(ISBLANK('A-RACHNATMAK'!AQ246)),"A",IF(NOT(ISBLANK('A-RACHNATMAK'!AQ245)),"B",IF(NOT(ISBLANK('A-RACHNATMAK'!AQ244)),"C","")))</f>
        <v/>
      </c>
      <c r="AO225" s="622" t="str">
        <f>IF(NOT(ISBLANK('A-RACHNATMAK'!AR246)),"A",IF(NOT(ISBLANK('A-RACHNATMAK'!AR245)),"B",IF(NOT(ISBLANK('A-RACHNATMAK'!AR244)),"C","")))</f>
        <v/>
      </c>
      <c r="AP225" s="622" t="str">
        <f>IF(NOT(ISBLANK('A-RACHNATMAK'!AS246)),"A",IF(NOT(ISBLANK('A-RACHNATMAK'!AS245)),"B",IF(NOT(ISBLANK('A-RACHNATMAK'!AS244)),"C","")))</f>
        <v/>
      </c>
      <c r="AQ225" s="622" t="str">
        <f>IF(NOT(ISBLANK('A-RACHNATMAK'!AT246)),"A",IF(NOT(ISBLANK('A-RACHNATMAK'!AT245)),"B",IF(NOT(ISBLANK('A-RACHNATMAK'!AT244)),"C","")))</f>
        <v/>
      </c>
      <c r="AR225" s="622" t="str">
        <f>IF(NOT(ISBLANK('A-RACHNATMAK'!AU246)),"A",IF(NOT(ISBLANK('A-RACHNATMAK'!AU245)),"B",IF(NOT(ISBLANK('A-RACHNATMAK'!AU244)),"C","")))</f>
        <v/>
      </c>
      <c r="AS225" s="622" t="str">
        <f>IF(NOT(ISBLANK('A-RACHNATMAK'!AV246)),"A",IF(NOT(ISBLANK('A-RACHNATMAK'!AV245)),"B",IF(NOT(ISBLANK('A-RACHNATMAK'!AV244)),"C","")))</f>
        <v/>
      </c>
      <c r="AT225" s="622" t="str">
        <f>IF(NOT(ISBLANK('A-RACHNATMAK'!AW246)),"A",IF(NOT(ISBLANK('A-RACHNATMAK'!AW245)),"B",IF(NOT(ISBLANK('A-RACHNATMAK'!AW244)),"C","")))</f>
        <v/>
      </c>
      <c r="AU225" s="622">
        <f t="shared" ref="AU225" si="423">COUNTIF(AA225:AT225,"A")</f>
        <v>0</v>
      </c>
      <c r="AV225" s="622">
        <f t="shared" ref="AV225" si="424">COUNTIF(AA225:AT225,"B")</f>
        <v>0</v>
      </c>
      <c r="AW225" s="622">
        <f t="shared" ref="AW225" si="425">COUNTIF(AA225:AT225,"C")</f>
        <v>0</v>
      </c>
    </row>
    <row r="226" spans="1:49" ht="7.5" customHeight="1">
      <c r="A226" s="623"/>
      <c r="B226" s="622"/>
      <c r="C226" s="622"/>
      <c r="D226" s="622"/>
      <c r="E226" s="622"/>
      <c r="F226" s="622"/>
      <c r="G226" s="622"/>
      <c r="H226" s="622"/>
      <c r="I226" s="622"/>
      <c r="J226" s="622"/>
      <c r="K226" s="622"/>
      <c r="L226" s="622"/>
      <c r="M226" s="622"/>
      <c r="N226" s="622"/>
      <c r="O226" s="622"/>
      <c r="P226" s="622"/>
      <c r="Q226" s="622"/>
      <c r="R226" s="622"/>
      <c r="S226" s="622"/>
      <c r="T226" s="622"/>
      <c r="U226" s="622"/>
      <c r="V226" s="622"/>
      <c r="W226" s="622"/>
      <c r="X226" s="622"/>
      <c r="Y226" s="330"/>
      <c r="Z226" s="623"/>
      <c r="AA226" s="622"/>
      <c r="AB226" s="622"/>
      <c r="AC226" s="622"/>
      <c r="AD226" s="622"/>
      <c r="AE226" s="622"/>
      <c r="AF226" s="622"/>
      <c r="AG226" s="622"/>
      <c r="AH226" s="622"/>
      <c r="AI226" s="622"/>
      <c r="AJ226" s="622"/>
      <c r="AK226" s="622"/>
      <c r="AL226" s="622"/>
      <c r="AM226" s="622"/>
      <c r="AN226" s="622"/>
      <c r="AO226" s="622"/>
      <c r="AP226" s="622"/>
      <c r="AQ226" s="622"/>
      <c r="AR226" s="622"/>
      <c r="AS226" s="622"/>
      <c r="AT226" s="622"/>
      <c r="AU226" s="622"/>
      <c r="AV226" s="622"/>
      <c r="AW226" s="622"/>
    </row>
    <row r="227" spans="1:49" ht="7.5" customHeight="1">
      <c r="A227" s="623"/>
      <c r="B227" s="622"/>
      <c r="C227" s="622"/>
      <c r="D227" s="622"/>
      <c r="E227" s="622"/>
      <c r="F227" s="622"/>
      <c r="G227" s="622"/>
      <c r="H227" s="622"/>
      <c r="I227" s="622"/>
      <c r="J227" s="622"/>
      <c r="K227" s="622"/>
      <c r="L227" s="622"/>
      <c r="M227" s="622"/>
      <c r="N227" s="622"/>
      <c r="O227" s="622"/>
      <c r="P227" s="622"/>
      <c r="Q227" s="622"/>
      <c r="R227" s="622"/>
      <c r="S227" s="622"/>
      <c r="T227" s="622"/>
      <c r="U227" s="622"/>
      <c r="V227" s="622"/>
      <c r="W227" s="622"/>
      <c r="X227" s="622"/>
      <c r="Y227" s="330"/>
      <c r="Z227" s="623"/>
      <c r="AA227" s="622"/>
      <c r="AB227" s="622"/>
      <c r="AC227" s="622"/>
      <c r="AD227" s="622"/>
      <c r="AE227" s="622"/>
      <c r="AF227" s="622"/>
      <c r="AG227" s="622"/>
      <c r="AH227" s="622"/>
      <c r="AI227" s="622"/>
      <c r="AJ227" s="622"/>
      <c r="AK227" s="622"/>
      <c r="AL227" s="622"/>
      <c r="AM227" s="622"/>
      <c r="AN227" s="622"/>
      <c r="AO227" s="622"/>
      <c r="AP227" s="622"/>
      <c r="AQ227" s="622"/>
      <c r="AR227" s="622"/>
      <c r="AS227" s="622"/>
      <c r="AT227" s="622"/>
      <c r="AU227" s="622"/>
      <c r="AV227" s="622"/>
      <c r="AW227" s="622"/>
    </row>
    <row r="228" spans="1:49" ht="7.5" customHeight="1">
      <c r="A228" s="623">
        <v>5</v>
      </c>
      <c r="B228" s="622" t="str">
        <f>IF(NOT(ISBLANK('A-RACHNATMAK'!C249)),"A",IF(NOT(ISBLANK('A-RACHNATMAK'!C248)),"B",IF(NOT(ISBLANK('A-RACHNATMAK'!C247)),"C","")))</f>
        <v/>
      </c>
      <c r="C228" s="622" t="str">
        <f>IF(NOT(ISBLANK('A-RACHNATMAK'!D249)),"A",IF(NOT(ISBLANK('A-RACHNATMAK'!D248)),"B",IF(NOT(ISBLANK('A-RACHNATMAK'!D247)),"C","")))</f>
        <v/>
      </c>
      <c r="D228" s="622" t="str">
        <f>IF(NOT(ISBLANK('A-RACHNATMAK'!E249)),"A",IF(NOT(ISBLANK('A-RACHNATMAK'!E248)),"B",IF(NOT(ISBLANK('A-RACHNATMAK'!E247)),"C","")))</f>
        <v/>
      </c>
      <c r="E228" s="622" t="str">
        <f>IF(NOT(ISBLANK('A-RACHNATMAK'!F249)),"A",IF(NOT(ISBLANK('A-RACHNATMAK'!F248)),"B",IF(NOT(ISBLANK('A-RACHNATMAK'!F247)),"C","")))</f>
        <v/>
      </c>
      <c r="F228" s="622" t="str">
        <f>IF(NOT(ISBLANK('A-RACHNATMAK'!G249)),"A",IF(NOT(ISBLANK('A-RACHNATMAK'!G248)),"B",IF(NOT(ISBLANK('A-RACHNATMAK'!G247)),"C","")))</f>
        <v/>
      </c>
      <c r="G228" s="622" t="str">
        <f>IF(NOT(ISBLANK('A-RACHNATMAK'!H249)),"A",IF(NOT(ISBLANK('A-RACHNATMAK'!H248)),"B",IF(NOT(ISBLANK('A-RACHNATMAK'!H247)),"C","")))</f>
        <v/>
      </c>
      <c r="H228" s="622" t="str">
        <f>IF(NOT(ISBLANK('A-RACHNATMAK'!I249)),"A",IF(NOT(ISBLANK('A-RACHNATMAK'!I248)),"B",IF(NOT(ISBLANK('A-RACHNATMAK'!I247)),"C","")))</f>
        <v/>
      </c>
      <c r="I228" s="622" t="str">
        <f>IF(NOT(ISBLANK('A-RACHNATMAK'!J249)),"A",IF(NOT(ISBLANK('A-RACHNATMAK'!J248)),"B",IF(NOT(ISBLANK('A-RACHNATMAK'!J247)),"C","")))</f>
        <v/>
      </c>
      <c r="J228" s="622" t="str">
        <f>IF(NOT(ISBLANK('A-RACHNATMAK'!K249)),"A",IF(NOT(ISBLANK('A-RACHNATMAK'!K248)),"B",IF(NOT(ISBLANK('A-RACHNATMAK'!K247)),"C","")))</f>
        <v/>
      </c>
      <c r="K228" s="622" t="str">
        <f>IF(NOT(ISBLANK('A-RACHNATMAK'!L249)),"A",IF(NOT(ISBLANK('A-RACHNATMAK'!L248)),"B",IF(NOT(ISBLANK('A-RACHNATMAK'!L247)),"C","")))</f>
        <v/>
      </c>
      <c r="L228" s="622" t="str">
        <f>IF(NOT(ISBLANK('A-RACHNATMAK'!M249)),"A",IF(NOT(ISBLANK('A-RACHNATMAK'!M248)),"B",IF(NOT(ISBLANK('A-RACHNATMAK'!M247)),"C","")))</f>
        <v/>
      </c>
      <c r="M228" s="622" t="str">
        <f>IF(NOT(ISBLANK('A-RACHNATMAK'!N249)),"A",IF(NOT(ISBLANK('A-RACHNATMAK'!N248)),"B",IF(NOT(ISBLANK('A-RACHNATMAK'!N247)),"C","")))</f>
        <v/>
      </c>
      <c r="N228" s="622" t="str">
        <f>IF(NOT(ISBLANK('A-RACHNATMAK'!O249)),"A",IF(NOT(ISBLANK('A-RACHNATMAK'!O248)),"B",IF(NOT(ISBLANK('A-RACHNATMAK'!O247)),"C","")))</f>
        <v/>
      </c>
      <c r="O228" s="622" t="str">
        <f>IF(NOT(ISBLANK('A-RACHNATMAK'!P249)),"A",IF(NOT(ISBLANK('A-RACHNATMAK'!P248)),"B",IF(NOT(ISBLANK('A-RACHNATMAK'!P247)),"C","")))</f>
        <v/>
      </c>
      <c r="P228" s="622" t="str">
        <f>IF(NOT(ISBLANK('A-RACHNATMAK'!Q249)),"A",IF(NOT(ISBLANK('A-RACHNATMAK'!Q248)),"B",IF(NOT(ISBLANK('A-RACHNATMAK'!Q247)),"C","")))</f>
        <v/>
      </c>
      <c r="Q228" s="622" t="str">
        <f>IF(NOT(ISBLANK('A-RACHNATMAK'!R249)),"A",IF(NOT(ISBLANK('A-RACHNATMAK'!R248)),"B",IF(NOT(ISBLANK('A-RACHNATMAK'!R247)),"C","")))</f>
        <v/>
      </c>
      <c r="R228" s="622" t="str">
        <f>IF(NOT(ISBLANK('A-RACHNATMAK'!S249)),"A",IF(NOT(ISBLANK('A-RACHNATMAK'!S248)),"B",IF(NOT(ISBLANK('A-RACHNATMAK'!S247)),"C","")))</f>
        <v/>
      </c>
      <c r="S228" s="622" t="str">
        <f>IF(NOT(ISBLANK('A-RACHNATMAK'!T249)),"A",IF(NOT(ISBLANK('A-RACHNATMAK'!T248)),"B",IF(NOT(ISBLANK('A-RACHNATMAK'!T247)),"C","")))</f>
        <v/>
      </c>
      <c r="T228" s="622" t="str">
        <f>IF(NOT(ISBLANK('A-RACHNATMAK'!U249)),"A",IF(NOT(ISBLANK('A-RACHNATMAK'!U248)),"B",IF(NOT(ISBLANK('A-RACHNATMAK'!U247)),"C","")))</f>
        <v/>
      </c>
      <c r="U228" s="622" t="str">
        <f>IF(NOT(ISBLANK('A-RACHNATMAK'!V249)),"A",IF(NOT(ISBLANK('A-RACHNATMAK'!V248)),"B",IF(NOT(ISBLANK('A-RACHNATMAK'!V247)),"C","")))</f>
        <v/>
      </c>
      <c r="V228" s="622">
        <f t="shared" ref="V228" si="426">COUNTIF(B228:U228,"A")</f>
        <v>0</v>
      </c>
      <c r="W228" s="622">
        <f t="shared" ref="W228" si="427">COUNTIF(B228:U228,"B")</f>
        <v>0</v>
      </c>
      <c r="X228" s="622">
        <f t="shared" ref="X228" si="428">COUNTIF(B228:U228,"C")</f>
        <v>0</v>
      </c>
      <c r="Y228" s="330"/>
      <c r="Z228" s="623">
        <v>5</v>
      </c>
      <c r="AA228" s="622" t="str">
        <f>IF(NOT(ISBLANK('A-RACHNATMAK'!AD249)),"A",IF(NOT(ISBLANK('A-RACHNATMAK'!AD248)),"B",IF(NOT(ISBLANK('A-RACHNATMAK'!AD247)),"C","")))</f>
        <v/>
      </c>
      <c r="AB228" s="622" t="str">
        <f>IF(NOT(ISBLANK('A-RACHNATMAK'!AE249)),"A",IF(NOT(ISBLANK('A-RACHNATMAK'!AE248)),"B",IF(NOT(ISBLANK('A-RACHNATMAK'!AE247)),"C","")))</f>
        <v/>
      </c>
      <c r="AC228" s="622" t="str">
        <f>IF(NOT(ISBLANK('A-RACHNATMAK'!AF249)),"A",IF(NOT(ISBLANK('A-RACHNATMAK'!AF248)),"B",IF(NOT(ISBLANK('A-RACHNATMAK'!AF247)),"C","")))</f>
        <v/>
      </c>
      <c r="AD228" s="622" t="str">
        <f>IF(NOT(ISBLANK('A-RACHNATMAK'!AG249)),"A",IF(NOT(ISBLANK('A-RACHNATMAK'!AG248)),"B",IF(NOT(ISBLANK('A-RACHNATMAK'!AG247)),"C","")))</f>
        <v/>
      </c>
      <c r="AE228" s="622" t="str">
        <f>IF(NOT(ISBLANK('A-RACHNATMAK'!AH249)),"A",IF(NOT(ISBLANK('A-RACHNATMAK'!AH248)),"B",IF(NOT(ISBLANK('A-RACHNATMAK'!AH247)),"C","")))</f>
        <v/>
      </c>
      <c r="AF228" s="622" t="str">
        <f>IF(NOT(ISBLANK('A-RACHNATMAK'!AI249)),"A",IF(NOT(ISBLANK('A-RACHNATMAK'!AI248)),"B",IF(NOT(ISBLANK('A-RACHNATMAK'!AI247)),"C","")))</f>
        <v/>
      </c>
      <c r="AG228" s="622" t="str">
        <f>IF(NOT(ISBLANK('A-RACHNATMAK'!AJ249)),"A",IF(NOT(ISBLANK('A-RACHNATMAK'!AJ248)),"B",IF(NOT(ISBLANK('A-RACHNATMAK'!AJ247)),"C","")))</f>
        <v/>
      </c>
      <c r="AH228" s="622" t="str">
        <f>IF(NOT(ISBLANK('A-RACHNATMAK'!AK249)),"A",IF(NOT(ISBLANK('A-RACHNATMAK'!AK248)),"B",IF(NOT(ISBLANK('A-RACHNATMAK'!AK247)),"C","")))</f>
        <v/>
      </c>
      <c r="AI228" s="622" t="str">
        <f>IF(NOT(ISBLANK('A-RACHNATMAK'!AL249)),"A",IF(NOT(ISBLANK('A-RACHNATMAK'!AL248)),"B",IF(NOT(ISBLANK('A-RACHNATMAK'!AL247)),"C","")))</f>
        <v/>
      </c>
      <c r="AJ228" s="622" t="str">
        <f>IF(NOT(ISBLANK('A-RACHNATMAK'!AM249)),"A",IF(NOT(ISBLANK('A-RACHNATMAK'!AM248)),"B",IF(NOT(ISBLANK('A-RACHNATMAK'!AM247)),"C","")))</f>
        <v/>
      </c>
      <c r="AK228" s="622" t="str">
        <f>IF(NOT(ISBLANK('A-RACHNATMAK'!AN249)),"A",IF(NOT(ISBLANK('A-RACHNATMAK'!AN248)),"B",IF(NOT(ISBLANK('A-RACHNATMAK'!AN247)),"C","")))</f>
        <v/>
      </c>
      <c r="AL228" s="622" t="str">
        <f>IF(NOT(ISBLANK('A-RACHNATMAK'!AO249)),"A",IF(NOT(ISBLANK('A-RACHNATMAK'!AO248)),"B",IF(NOT(ISBLANK('A-RACHNATMAK'!AO247)),"C","")))</f>
        <v/>
      </c>
      <c r="AM228" s="622" t="str">
        <f>IF(NOT(ISBLANK('A-RACHNATMAK'!AP249)),"A",IF(NOT(ISBLANK('A-RACHNATMAK'!AP248)),"B",IF(NOT(ISBLANK('A-RACHNATMAK'!AP247)),"C","")))</f>
        <v/>
      </c>
      <c r="AN228" s="622" t="str">
        <f>IF(NOT(ISBLANK('A-RACHNATMAK'!AQ249)),"A",IF(NOT(ISBLANK('A-RACHNATMAK'!AQ248)),"B",IF(NOT(ISBLANK('A-RACHNATMAK'!AQ247)),"C","")))</f>
        <v/>
      </c>
      <c r="AO228" s="622" t="str">
        <f>IF(NOT(ISBLANK('A-RACHNATMAK'!AR249)),"A",IF(NOT(ISBLANK('A-RACHNATMAK'!AR248)),"B",IF(NOT(ISBLANK('A-RACHNATMAK'!AR247)),"C","")))</f>
        <v/>
      </c>
      <c r="AP228" s="622" t="str">
        <f>IF(NOT(ISBLANK('A-RACHNATMAK'!AS249)),"A",IF(NOT(ISBLANK('A-RACHNATMAK'!AS248)),"B",IF(NOT(ISBLANK('A-RACHNATMAK'!AS247)),"C","")))</f>
        <v/>
      </c>
      <c r="AQ228" s="622" t="str">
        <f>IF(NOT(ISBLANK('A-RACHNATMAK'!AT249)),"A",IF(NOT(ISBLANK('A-RACHNATMAK'!AT248)),"B",IF(NOT(ISBLANK('A-RACHNATMAK'!AT247)),"C","")))</f>
        <v/>
      </c>
      <c r="AR228" s="622" t="str">
        <f>IF(NOT(ISBLANK('A-RACHNATMAK'!AU249)),"A",IF(NOT(ISBLANK('A-RACHNATMAK'!AU248)),"B",IF(NOT(ISBLANK('A-RACHNATMAK'!AU247)),"C","")))</f>
        <v/>
      </c>
      <c r="AS228" s="622" t="str">
        <f>IF(NOT(ISBLANK('A-RACHNATMAK'!AV249)),"A",IF(NOT(ISBLANK('A-RACHNATMAK'!AV248)),"B",IF(NOT(ISBLANK('A-RACHNATMAK'!AV247)),"C","")))</f>
        <v/>
      </c>
      <c r="AT228" s="622" t="str">
        <f>IF(NOT(ISBLANK('A-RACHNATMAK'!AW249)),"A",IF(NOT(ISBLANK('A-RACHNATMAK'!AW248)),"B",IF(NOT(ISBLANK('A-RACHNATMAK'!AW247)),"C","")))</f>
        <v/>
      </c>
      <c r="AU228" s="622">
        <f t="shared" ref="AU228" si="429">COUNTIF(AA228:AT228,"A")</f>
        <v>0</v>
      </c>
      <c r="AV228" s="622">
        <f t="shared" ref="AV228" si="430">COUNTIF(AA228:AT228,"B")</f>
        <v>0</v>
      </c>
      <c r="AW228" s="622">
        <f t="shared" ref="AW228" si="431">COUNTIF(AA228:AT228,"C")</f>
        <v>0</v>
      </c>
    </row>
    <row r="229" spans="1:49" ht="7.5" customHeight="1">
      <c r="A229" s="623"/>
      <c r="B229" s="622"/>
      <c r="C229" s="622"/>
      <c r="D229" s="622"/>
      <c r="E229" s="622"/>
      <c r="F229" s="622"/>
      <c r="G229" s="622"/>
      <c r="H229" s="622"/>
      <c r="I229" s="622"/>
      <c r="J229" s="622"/>
      <c r="K229" s="622"/>
      <c r="L229" s="622"/>
      <c r="M229" s="622"/>
      <c r="N229" s="622"/>
      <c r="O229" s="622"/>
      <c r="P229" s="622"/>
      <c r="Q229" s="622"/>
      <c r="R229" s="622"/>
      <c r="S229" s="622"/>
      <c r="T229" s="622"/>
      <c r="U229" s="622"/>
      <c r="V229" s="622"/>
      <c r="W229" s="622"/>
      <c r="X229" s="622"/>
      <c r="Y229" s="330"/>
      <c r="Z229" s="623"/>
      <c r="AA229" s="622"/>
      <c r="AB229" s="622"/>
      <c r="AC229" s="622"/>
      <c r="AD229" s="622"/>
      <c r="AE229" s="622"/>
      <c r="AF229" s="622"/>
      <c r="AG229" s="622"/>
      <c r="AH229" s="622"/>
      <c r="AI229" s="622"/>
      <c r="AJ229" s="622"/>
      <c r="AK229" s="622"/>
      <c r="AL229" s="622"/>
      <c r="AM229" s="622"/>
      <c r="AN229" s="622"/>
      <c r="AO229" s="622"/>
      <c r="AP229" s="622"/>
      <c r="AQ229" s="622"/>
      <c r="AR229" s="622"/>
      <c r="AS229" s="622"/>
      <c r="AT229" s="622"/>
      <c r="AU229" s="622"/>
      <c r="AV229" s="622"/>
      <c r="AW229" s="622"/>
    </row>
    <row r="230" spans="1:49" ht="7.5" customHeight="1">
      <c r="A230" s="623"/>
      <c r="B230" s="622"/>
      <c r="C230" s="622"/>
      <c r="D230" s="622"/>
      <c r="E230" s="622"/>
      <c r="F230" s="622"/>
      <c r="G230" s="622"/>
      <c r="H230" s="622"/>
      <c r="I230" s="622"/>
      <c r="J230" s="622"/>
      <c r="K230" s="622"/>
      <c r="L230" s="622"/>
      <c r="M230" s="622"/>
      <c r="N230" s="622"/>
      <c r="O230" s="622"/>
      <c r="P230" s="622"/>
      <c r="Q230" s="622"/>
      <c r="R230" s="622"/>
      <c r="S230" s="622"/>
      <c r="T230" s="622"/>
      <c r="U230" s="622"/>
      <c r="V230" s="622"/>
      <c r="W230" s="622"/>
      <c r="X230" s="622"/>
      <c r="Y230" s="330"/>
      <c r="Z230" s="623"/>
      <c r="AA230" s="622"/>
      <c r="AB230" s="622"/>
      <c r="AC230" s="622"/>
      <c r="AD230" s="622"/>
      <c r="AE230" s="622"/>
      <c r="AF230" s="622"/>
      <c r="AG230" s="622"/>
      <c r="AH230" s="622"/>
      <c r="AI230" s="622"/>
      <c r="AJ230" s="622"/>
      <c r="AK230" s="622"/>
      <c r="AL230" s="622"/>
      <c r="AM230" s="622"/>
      <c r="AN230" s="622"/>
      <c r="AO230" s="622"/>
      <c r="AP230" s="622"/>
      <c r="AQ230" s="622"/>
      <c r="AR230" s="622"/>
      <c r="AS230" s="622"/>
      <c r="AT230" s="622"/>
      <c r="AU230" s="622"/>
      <c r="AV230" s="622"/>
      <c r="AW230" s="622"/>
    </row>
    <row r="231" spans="1:49" ht="7.5" customHeight="1">
      <c r="A231" s="623">
        <v>6</v>
      </c>
      <c r="B231" s="622" t="str">
        <f>IF(NOT(ISBLANK('A-RACHNATMAK'!C252)),"A",IF(NOT(ISBLANK('A-RACHNATMAK'!C251)),"B",IF(NOT(ISBLANK('A-RACHNATMAK'!C250)),"C","")))</f>
        <v/>
      </c>
      <c r="C231" s="622" t="str">
        <f>IF(NOT(ISBLANK('A-RACHNATMAK'!D252)),"A",IF(NOT(ISBLANK('A-RACHNATMAK'!D251)),"B",IF(NOT(ISBLANK('A-RACHNATMAK'!D250)),"C","")))</f>
        <v/>
      </c>
      <c r="D231" s="622" t="str">
        <f>IF(NOT(ISBLANK('A-RACHNATMAK'!E252)),"A",IF(NOT(ISBLANK('A-RACHNATMAK'!E251)),"B",IF(NOT(ISBLANK('A-RACHNATMAK'!E250)),"C","")))</f>
        <v/>
      </c>
      <c r="E231" s="622" t="str">
        <f>IF(NOT(ISBLANK('A-RACHNATMAK'!F252)),"A",IF(NOT(ISBLANK('A-RACHNATMAK'!F251)),"B",IF(NOT(ISBLANK('A-RACHNATMAK'!F250)),"C","")))</f>
        <v/>
      </c>
      <c r="F231" s="622" t="str">
        <f>IF(NOT(ISBLANK('A-RACHNATMAK'!G252)),"A",IF(NOT(ISBLANK('A-RACHNATMAK'!G251)),"B",IF(NOT(ISBLANK('A-RACHNATMAK'!G250)),"C","")))</f>
        <v/>
      </c>
      <c r="G231" s="622" t="str">
        <f>IF(NOT(ISBLANK('A-RACHNATMAK'!H252)),"A",IF(NOT(ISBLANK('A-RACHNATMAK'!H251)),"B",IF(NOT(ISBLANK('A-RACHNATMAK'!H250)),"C","")))</f>
        <v/>
      </c>
      <c r="H231" s="622" t="str">
        <f>IF(NOT(ISBLANK('A-RACHNATMAK'!I252)),"A",IF(NOT(ISBLANK('A-RACHNATMAK'!I251)),"B",IF(NOT(ISBLANK('A-RACHNATMAK'!I250)),"C","")))</f>
        <v/>
      </c>
      <c r="I231" s="622" t="str">
        <f>IF(NOT(ISBLANK('A-RACHNATMAK'!J252)),"A",IF(NOT(ISBLANK('A-RACHNATMAK'!J251)),"B",IF(NOT(ISBLANK('A-RACHNATMAK'!J250)),"C","")))</f>
        <v/>
      </c>
      <c r="J231" s="622" t="str">
        <f>IF(NOT(ISBLANK('A-RACHNATMAK'!K252)),"A",IF(NOT(ISBLANK('A-RACHNATMAK'!K251)),"B",IF(NOT(ISBLANK('A-RACHNATMAK'!K250)),"C","")))</f>
        <v/>
      </c>
      <c r="K231" s="622" t="str">
        <f>IF(NOT(ISBLANK('A-RACHNATMAK'!L252)),"A",IF(NOT(ISBLANK('A-RACHNATMAK'!L251)),"B",IF(NOT(ISBLANK('A-RACHNATMAK'!L250)),"C","")))</f>
        <v/>
      </c>
      <c r="L231" s="622" t="str">
        <f>IF(NOT(ISBLANK('A-RACHNATMAK'!M252)),"A",IF(NOT(ISBLANK('A-RACHNATMAK'!M251)),"B",IF(NOT(ISBLANK('A-RACHNATMAK'!M250)),"C","")))</f>
        <v/>
      </c>
      <c r="M231" s="622" t="str">
        <f>IF(NOT(ISBLANK('A-RACHNATMAK'!N252)),"A",IF(NOT(ISBLANK('A-RACHNATMAK'!N251)),"B",IF(NOT(ISBLANK('A-RACHNATMAK'!N250)),"C","")))</f>
        <v/>
      </c>
      <c r="N231" s="622" t="str">
        <f>IF(NOT(ISBLANK('A-RACHNATMAK'!O252)),"A",IF(NOT(ISBLANK('A-RACHNATMAK'!O251)),"B",IF(NOT(ISBLANK('A-RACHNATMAK'!O250)),"C","")))</f>
        <v/>
      </c>
      <c r="O231" s="622" t="str">
        <f>IF(NOT(ISBLANK('A-RACHNATMAK'!P252)),"A",IF(NOT(ISBLANK('A-RACHNATMAK'!P251)),"B",IF(NOT(ISBLANK('A-RACHNATMAK'!P250)),"C","")))</f>
        <v/>
      </c>
      <c r="P231" s="622" t="str">
        <f>IF(NOT(ISBLANK('A-RACHNATMAK'!Q252)),"A",IF(NOT(ISBLANK('A-RACHNATMAK'!Q251)),"B",IF(NOT(ISBLANK('A-RACHNATMAK'!Q250)),"C","")))</f>
        <v/>
      </c>
      <c r="Q231" s="622" t="str">
        <f>IF(NOT(ISBLANK('A-RACHNATMAK'!R252)),"A",IF(NOT(ISBLANK('A-RACHNATMAK'!R251)),"B",IF(NOT(ISBLANK('A-RACHNATMAK'!R250)),"C","")))</f>
        <v/>
      </c>
      <c r="R231" s="622" t="str">
        <f>IF(NOT(ISBLANK('A-RACHNATMAK'!S252)),"A",IF(NOT(ISBLANK('A-RACHNATMAK'!S251)),"B",IF(NOT(ISBLANK('A-RACHNATMAK'!S250)),"C","")))</f>
        <v/>
      </c>
      <c r="S231" s="622" t="str">
        <f>IF(NOT(ISBLANK('A-RACHNATMAK'!T252)),"A",IF(NOT(ISBLANK('A-RACHNATMAK'!T251)),"B",IF(NOT(ISBLANK('A-RACHNATMAK'!T250)),"C","")))</f>
        <v/>
      </c>
      <c r="T231" s="622" t="str">
        <f>IF(NOT(ISBLANK('A-RACHNATMAK'!U252)),"A",IF(NOT(ISBLANK('A-RACHNATMAK'!U251)),"B",IF(NOT(ISBLANK('A-RACHNATMAK'!U250)),"C","")))</f>
        <v/>
      </c>
      <c r="U231" s="622" t="str">
        <f>IF(NOT(ISBLANK('A-RACHNATMAK'!V252)),"A",IF(NOT(ISBLANK('A-RACHNATMAK'!V251)),"B",IF(NOT(ISBLANK('A-RACHNATMAK'!V250)),"C","")))</f>
        <v/>
      </c>
      <c r="V231" s="622">
        <f t="shared" ref="V231" si="432">COUNTIF(B231:U231,"A")</f>
        <v>0</v>
      </c>
      <c r="W231" s="622">
        <f t="shared" ref="W231" si="433">COUNTIF(B231:U231,"B")</f>
        <v>0</v>
      </c>
      <c r="X231" s="622">
        <f t="shared" ref="X231" si="434">COUNTIF(B231:U231,"C")</f>
        <v>0</v>
      </c>
      <c r="Y231" s="330"/>
      <c r="Z231" s="623">
        <v>6</v>
      </c>
      <c r="AA231" s="622" t="str">
        <f>IF(NOT(ISBLANK('A-RACHNATMAK'!AD252)),"A",IF(NOT(ISBLANK('A-RACHNATMAK'!AD251)),"B",IF(NOT(ISBLANK('A-RACHNATMAK'!AD250)),"C","")))</f>
        <v/>
      </c>
      <c r="AB231" s="622" t="str">
        <f>IF(NOT(ISBLANK('A-RACHNATMAK'!AE252)),"A",IF(NOT(ISBLANK('A-RACHNATMAK'!AE251)),"B",IF(NOT(ISBLANK('A-RACHNATMAK'!AE250)),"C","")))</f>
        <v/>
      </c>
      <c r="AC231" s="622" t="str">
        <f>IF(NOT(ISBLANK('A-RACHNATMAK'!AF252)),"A",IF(NOT(ISBLANK('A-RACHNATMAK'!AF251)),"B",IF(NOT(ISBLANK('A-RACHNATMAK'!AF250)),"C","")))</f>
        <v/>
      </c>
      <c r="AD231" s="622" t="str">
        <f>IF(NOT(ISBLANK('A-RACHNATMAK'!AG252)),"A",IF(NOT(ISBLANK('A-RACHNATMAK'!AG251)),"B",IF(NOT(ISBLANK('A-RACHNATMAK'!AG250)),"C","")))</f>
        <v/>
      </c>
      <c r="AE231" s="622" t="str">
        <f>IF(NOT(ISBLANK('A-RACHNATMAK'!AH252)),"A",IF(NOT(ISBLANK('A-RACHNATMAK'!AH251)),"B",IF(NOT(ISBLANK('A-RACHNATMAK'!AH250)),"C","")))</f>
        <v/>
      </c>
      <c r="AF231" s="622" t="str">
        <f>IF(NOT(ISBLANK('A-RACHNATMAK'!AI252)),"A",IF(NOT(ISBLANK('A-RACHNATMAK'!AI251)),"B",IF(NOT(ISBLANK('A-RACHNATMAK'!AI250)),"C","")))</f>
        <v/>
      </c>
      <c r="AG231" s="622" t="str">
        <f>IF(NOT(ISBLANK('A-RACHNATMAK'!AJ252)),"A",IF(NOT(ISBLANK('A-RACHNATMAK'!AJ251)),"B",IF(NOT(ISBLANK('A-RACHNATMAK'!AJ250)),"C","")))</f>
        <v/>
      </c>
      <c r="AH231" s="622" t="str">
        <f>IF(NOT(ISBLANK('A-RACHNATMAK'!AK252)),"A",IF(NOT(ISBLANK('A-RACHNATMAK'!AK251)),"B",IF(NOT(ISBLANK('A-RACHNATMAK'!AK250)),"C","")))</f>
        <v/>
      </c>
      <c r="AI231" s="622" t="str">
        <f>IF(NOT(ISBLANK('A-RACHNATMAK'!AL252)),"A",IF(NOT(ISBLANK('A-RACHNATMAK'!AL251)),"B",IF(NOT(ISBLANK('A-RACHNATMAK'!AL250)),"C","")))</f>
        <v/>
      </c>
      <c r="AJ231" s="622" t="str">
        <f>IF(NOT(ISBLANK('A-RACHNATMAK'!AM252)),"A",IF(NOT(ISBLANK('A-RACHNATMAK'!AM251)),"B",IF(NOT(ISBLANK('A-RACHNATMAK'!AM250)),"C","")))</f>
        <v/>
      </c>
      <c r="AK231" s="622" t="str">
        <f>IF(NOT(ISBLANK('A-RACHNATMAK'!AN252)),"A",IF(NOT(ISBLANK('A-RACHNATMAK'!AN251)),"B",IF(NOT(ISBLANK('A-RACHNATMAK'!AN250)),"C","")))</f>
        <v/>
      </c>
      <c r="AL231" s="622" t="str">
        <f>IF(NOT(ISBLANK('A-RACHNATMAK'!AO252)),"A",IF(NOT(ISBLANK('A-RACHNATMAK'!AO251)),"B",IF(NOT(ISBLANK('A-RACHNATMAK'!AO250)),"C","")))</f>
        <v/>
      </c>
      <c r="AM231" s="622" t="str">
        <f>IF(NOT(ISBLANK('A-RACHNATMAK'!AP252)),"A",IF(NOT(ISBLANK('A-RACHNATMAK'!AP251)),"B",IF(NOT(ISBLANK('A-RACHNATMAK'!AP250)),"C","")))</f>
        <v/>
      </c>
      <c r="AN231" s="622" t="str">
        <f>IF(NOT(ISBLANK('A-RACHNATMAK'!AQ252)),"A",IF(NOT(ISBLANK('A-RACHNATMAK'!AQ251)),"B",IF(NOT(ISBLANK('A-RACHNATMAK'!AQ250)),"C","")))</f>
        <v/>
      </c>
      <c r="AO231" s="622" t="str">
        <f>IF(NOT(ISBLANK('A-RACHNATMAK'!AR252)),"A",IF(NOT(ISBLANK('A-RACHNATMAK'!AR251)),"B",IF(NOT(ISBLANK('A-RACHNATMAK'!AR250)),"C","")))</f>
        <v/>
      </c>
      <c r="AP231" s="622" t="str">
        <f>IF(NOT(ISBLANK('A-RACHNATMAK'!AS252)),"A",IF(NOT(ISBLANK('A-RACHNATMAK'!AS251)),"B",IF(NOT(ISBLANK('A-RACHNATMAK'!AS250)),"C","")))</f>
        <v/>
      </c>
      <c r="AQ231" s="622" t="str">
        <f>IF(NOT(ISBLANK('A-RACHNATMAK'!AT252)),"A",IF(NOT(ISBLANK('A-RACHNATMAK'!AT251)),"B",IF(NOT(ISBLANK('A-RACHNATMAK'!AT250)),"C","")))</f>
        <v/>
      </c>
      <c r="AR231" s="622" t="str">
        <f>IF(NOT(ISBLANK('A-RACHNATMAK'!AU252)),"A",IF(NOT(ISBLANK('A-RACHNATMAK'!AU251)),"B",IF(NOT(ISBLANK('A-RACHNATMAK'!AU250)),"C","")))</f>
        <v/>
      </c>
      <c r="AS231" s="622" t="str">
        <f>IF(NOT(ISBLANK('A-RACHNATMAK'!AV252)),"A",IF(NOT(ISBLANK('A-RACHNATMAK'!AV251)),"B",IF(NOT(ISBLANK('A-RACHNATMAK'!AV250)),"C","")))</f>
        <v/>
      </c>
      <c r="AT231" s="622" t="str">
        <f>IF(NOT(ISBLANK('A-RACHNATMAK'!AW252)),"A",IF(NOT(ISBLANK('A-RACHNATMAK'!AW251)),"B",IF(NOT(ISBLANK('A-RACHNATMAK'!AW250)),"C","")))</f>
        <v/>
      </c>
      <c r="AU231" s="622">
        <f t="shared" ref="AU231" si="435">COUNTIF(AA231:AT231,"A")</f>
        <v>0</v>
      </c>
      <c r="AV231" s="622">
        <f t="shared" ref="AV231" si="436">COUNTIF(AA231:AT231,"B")</f>
        <v>0</v>
      </c>
      <c r="AW231" s="622">
        <f t="shared" ref="AW231" si="437">COUNTIF(AA231:AT231,"C")</f>
        <v>0</v>
      </c>
    </row>
    <row r="232" spans="1:49" ht="7.5" customHeight="1">
      <c r="A232" s="623"/>
      <c r="B232" s="622"/>
      <c r="C232" s="622"/>
      <c r="D232" s="622"/>
      <c r="E232" s="622"/>
      <c r="F232" s="622"/>
      <c r="G232" s="622"/>
      <c r="H232" s="622"/>
      <c r="I232" s="622"/>
      <c r="J232" s="622"/>
      <c r="K232" s="622"/>
      <c r="L232" s="622"/>
      <c r="M232" s="622"/>
      <c r="N232" s="622"/>
      <c r="O232" s="622"/>
      <c r="P232" s="622"/>
      <c r="Q232" s="622"/>
      <c r="R232" s="622"/>
      <c r="S232" s="622"/>
      <c r="T232" s="622"/>
      <c r="U232" s="622"/>
      <c r="V232" s="622"/>
      <c r="W232" s="622"/>
      <c r="X232" s="622"/>
      <c r="Y232" s="330"/>
      <c r="Z232" s="623"/>
      <c r="AA232" s="622"/>
      <c r="AB232" s="622"/>
      <c r="AC232" s="622"/>
      <c r="AD232" s="622"/>
      <c r="AE232" s="622"/>
      <c r="AF232" s="622"/>
      <c r="AG232" s="622"/>
      <c r="AH232" s="622"/>
      <c r="AI232" s="622"/>
      <c r="AJ232" s="622"/>
      <c r="AK232" s="622"/>
      <c r="AL232" s="622"/>
      <c r="AM232" s="622"/>
      <c r="AN232" s="622"/>
      <c r="AO232" s="622"/>
      <c r="AP232" s="622"/>
      <c r="AQ232" s="622"/>
      <c r="AR232" s="622"/>
      <c r="AS232" s="622"/>
      <c r="AT232" s="622"/>
      <c r="AU232" s="622"/>
      <c r="AV232" s="622"/>
      <c r="AW232" s="622"/>
    </row>
    <row r="233" spans="1:49" ht="7.5" customHeight="1">
      <c r="A233" s="623"/>
      <c r="B233" s="622"/>
      <c r="C233" s="622"/>
      <c r="D233" s="622"/>
      <c r="E233" s="622"/>
      <c r="F233" s="622"/>
      <c r="G233" s="622"/>
      <c r="H233" s="622"/>
      <c r="I233" s="622"/>
      <c r="J233" s="622"/>
      <c r="K233" s="622"/>
      <c r="L233" s="622"/>
      <c r="M233" s="622"/>
      <c r="N233" s="622"/>
      <c r="O233" s="622"/>
      <c r="P233" s="622"/>
      <c r="Q233" s="622"/>
      <c r="R233" s="622"/>
      <c r="S233" s="622"/>
      <c r="T233" s="622"/>
      <c r="U233" s="622"/>
      <c r="V233" s="622"/>
      <c r="W233" s="622"/>
      <c r="X233" s="622"/>
      <c r="Y233" s="330"/>
      <c r="Z233" s="623"/>
      <c r="AA233" s="622"/>
      <c r="AB233" s="622"/>
      <c r="AC233" s="622"/>
      <c r="AD233" s="622"/>
      <c r="AE233" s="622"/>
      <c r="AF233" s="622"/>
      <c r="AG233" s="622"/>
      <c r="AH233" s="622"/>
      <c r="AI233" s="622"/>
      <c r="AJ233" s="622"/>
      <c r="AK233" s="622"/>
      <c r="AL233" s="622"/>
      <c r="AM233" s="622"/>
      <c r="AN233" s="622"/>
      <c r="AO233" s="622"/>
      <c r="AP233" s="622"/>
      <c r="AQ233" s="622"/>
      <c r="AR233" s="622"/>
      <c r="AS233" s="622"/>
      <c r="AT233" s="622"/>
      <c r="AU233" s="622"/>
      <c r="AV233" s="622"/>
      <c r="AW233" s="622"/>
    </row>
    <row r="234" spans="1:49" ht="7.5" customHeight="1">
      <c r="A234" s="623">
        <v>7</v>
      </c>
      <c r="B234" s="622" t="str">
        <f>IF(NOT(ISBLANK('A-RACHNATMAK'!C255)),"A",IF(NOT(ISBLANK('A-RACHNATMAK'!C254)),"B",IF(NOT(ISBLANK('A-RACHNATMAK'!C253)),"C","")))</f>
        <v/>
      </c>
      <c r="C234" s="622" t="str">
        <f>IF(NOT(ISBLANK('A-RACHNATMAK'!D255)),"A",IF(NOT(ISBLANK('A-RACHNATMAK'!D254)),"B",IF(NOT(ISBLANK('A-RACHNATMAK'!D253)),"C","")))</f>
        <v/>
      </c>
      <c r="D234" s="622" t="str">
        <f>IF(NOT(ISBLANK('A-RACHNATMAK'!E255)),"A",IF(NOT(ISBLANK('A-RACHNATMAK'!E254)),"B",IF(NOT(ISBLANK('A-RACHNATMAK'!E253)),"C","")))</f>
        <v/>
      </c>
      <c r="E234" s="622" t="str">
        <f>IF(NOT(ISBLANK('A-RACHNATMAK'!F255)),"A",IF(NOT(ISBLANK('A-RACHNATMAK'!F254)),"B",IF(NOT(ISBLANK('A-RACHNATMAK'!F253)),"C","")))</f>
        <v/>
      </c>
      <c r="F234" s="622" t="str">
        <f>IF(NOT(ISBLANK('A-RACHNATMAK'!G255)),"A",IF(NOT(ISBLANK('A-RACHNATMAK'!G254)),"B",IF(NOT(ISBLANK('A-RACHNATMAK'!G253)),"C","")))</f>
        <v/>
      </c>
      <c r="G234" s="622" t="str">
        <f>IF(NOT(ISBLANK('A-RACHNATMAK'!H255)),"A",IF(NOT(ISBLANK('A-RACHNATMAK'!H254)),"B",IF(NOT(ISBLANK('A-RACHNATMAK'!H253)),"C","")))</f>
        <v/>
      </c>
      <c r="H234" s="622" t="str">
        <f>IF(NOT(ISBLANK('A-RACHNATMAK'!I255)),"A",IF(NOT(ISBLANK('A-RACHNATMAK'!I254)),"B",IF(NOT(ISBLANK('A-RACHNATMAK'!I253)),"C","")))</f>
        <v/>
      </c>
      <c r="I234" s="622" t="str">
        <f>IF(NOT(ISBLANK('A-RACHNATMAK'!J255)),"A",IF(NOT(ISBLANK('A-RACHNATMAK'!J254)),"B",IF(NOT(ISBLANK('A-RACHNATMAK'!J253)),"C","")))</f>
        <v/>
      </c>
      <c r="J234" s="622" t="str">
        <f>IF(NOT(ISBLANK('A-RACHNATMAK'!K255)),"A",IF(NOT(ISBLANK('A-RACHNATMAK'!K254)),"B",IF(NOT(ISBLANK('A-RACHNATMAK'!K253)),"C","")))</f>
        <v/>
      </c>
      <c r="K234" s="622" t="str">
        <f>IF(NOT(ISBLANK('A-RACHNATMAK'!L255)),"A",IF(NOT(ISBLANK('A-RACHNATMAK'!L254)),"B",IF(NOT(ISBLANK('A-RACHNATMAK'!L253)),"C","")))</f>
        <v/>
      </c>
      <c r="L234" s="622" t="str">
        <f>IF(NOT(ISBLANK('A-RACHNATMAK'!M255)),"A",IF(NOT(ISBLANK('A-RACHNATMAK'!M254)),"B",IF(NOT(ISBLANK('A-RACHNATMAK'!M253)),"C","")))</f>
        <v/>
      </c>
      <c r="M234" s="622" t="str">
        <f>IF(NOT(ISBLANK('A-RACHNATMAK'!N255)),"A",IF(NOT(ISBLANK('A-RACHNATMAK'!N254)),"B",IF(NOT(ISBLANK('A-RACHNATMAK'!N253)),"C","")))</f>
        <v/>
      </c>
      <c r="N234" s="622" t="str">
        <f>IF(NOT(ISBLANK('A-RACHNATMAK'!O255)),"A",IF(NOT(ISBLANK('A-RACHNATMAK'!O254)),"B",IF(NOT(ISBLANK('A-RACHNATMAK'!O253)),"C","")))</f>
        <v/>
      </c>
      <c r="O234" s="622" t="str">
        <f>IF(NOT(ISBLANK('A-RACHNATMAK'!P255)),"A",IF(NOT(ISBLANK('A-RACHNATMAK'!P254)),"B",IF(NOT(ISBLANK('A-RACHNATMAK'!P253)),"C","")))</f>
        <v/>
      </c>
      <c r="P234" s="622" t="str">
        <f>IF(NOT(ISBLANK('A-RACHNATMAK'!Q255)),"A",IF(NOT(ISBLANK('A-RACHNATMAK'!Q254)),"B",IF(NOT(ISBLANK('A-RACHNATMAK'!Q253)),"C","")))</f>
        <v/>
      </c>
      <c r="Q234" s="622" t="str">
        <f>IF(NOT(ISBLANK('A-RACHNATMAK'!R255)),"A",IF(NOT(ISBLANK('A-RACHNATMAK'!R254)),"B",IF(NOT(ISBLANK('A-RACHNATMAK'!R253)),"C","")))</f>
        <v/>
      </c>
      <c r="R234" s="622" t="str">
        <f>IF(NOT(ISBLANK('A-RACHNATMAK'!S255)),"A",IF(NOT(ISBLANK('A-RACHNATMAK'!S254)),"B",IF(NOT(ISBLANK('A-RACHNATMAK'!S253)),"C","")))</f>
        <v/>
      </c>
      <c r="S234" s="622" t="str">
        <f>IF(NOT(ISBLANK('A-RACHNATMAK'!T255)),"A",IF(NOT(ISBLANK('A-RACHNATMAK'!T254)),"B",IF(NOT(ISBLANK('A-RACHNATMAK'!T253)),"C","")))</f>
        <v/>
      </c>
      <c r="T234" s="622" t="str">
        <f>IF(NOT(ISBLANK('A-RACHNATMAK'!U255)),"A",IF(NOT(ISBLANK('A-RACHNATMAK'!U254)),"B",IF(NOT(ISBLANK('A-RACHNATMAK'!U253)),"C","")))</f>
        <v/>
      </c>
      <c r="U234" s="622" t="str">
        <f>IF(NOT(ISBLANK('A-RACHNATMAK'!V255)),"A",IF(NOT(ISBLANK('A-RACHNATMAK'!V254)),"B",IF(NOT(ISBLANK('A-RACHNATMAK'!V253)),"C","")))</f>
        <v/>
      </c>
      <c r="V234" s="622">
        <f t="shared" ref="V234" si="438">COUNTIF(B234:U234,"A")</f>
        <v>0</v>
      </c>
      <c r="W234" s="622">
        <f t="shared" ref="W234" si="439">COUNTIF(B234:U234,"B")</f>
        <v>0</v>
      </c>
      <c r="X234" s="622">
        <f t="shared" ref="X234" si="440">COUNTIF(B234:U234,"C")</f>
        <v>0</v>
      </c>
      <c r="Y234" s="330"/>
      <c r="Z234" s="623">
        <v>7</v>
      </c>
      <c r="AA234" s="622" t="str">
        <f>IF(NOT(ISBLANK('A-RACHNATMAK'!AD255)),"A",IF(NOT(ISBLANK('A-RACHNATMAK'!AD254)),"B",IF(NOT(ISBLANK('A-RACHNATMAK'!AD253)),"C","")))</f>
        <v/>
      </c>
      <c r="AB234" s="622" t="str">
        <f>IF(NOT(ISBLANK('A-RACHNATMAK'!AE255)),"A",IF(NOT(ISBLANK('A-RACHNATMAK'!AE254)),"B",IF(NOT(ISBLANK('A-RACHNATMAK'!AE253)),"C","")))</f>
        <v/>
      </c>
      <c r="AC234" s="622" t="str">
        <f>IF(NOT(ISBLANK('A-RACHNATMAK'!AF255)),"A",IF(NOT(ISBLANK('A-RACHNATMAK'!AF254)),"B",IF(NOT(ISBLANK('A-RACHNATMAK'!AF253)),"C","")))</f>
        <v/>
      </c>
      <c r="AD234" s="622" t="str">
        <f>IF(NOT(ISBLANK('A-RACHNATMAK'!AG255)),"A",IF(NOT(ISBLANK('A-RACHNATMAK'!AG254)),"B",IF(NOT(ISBLANK('A-RACHNATMAK'!AG253)),"C","")))</f>
        <v/>
      </c>
      <c r="AE234" s="622" t="str">
        <f>IF(NOT(ISBLANK('A-RACHNATMAK'!AH255)),"A",IF(NOT(ISBLANK('A-RACHNATMAK'!AH254)),"B",IF(NOT(ISBLANK('A-RACHNATMAK'!AH253)),"C","")))</f>
        <v/>
      </c>
      <c r="AF234" s="622" t="str">
        <f>IF(NOT(ISBLANK('A-RACHNATMAK'!AI255)),"A",IF(NOT(ISBLANK('A-RACHNATMAK'!AI254)),"B",IF(NOT(ISBLANK('A-RACHNATMAK'!AI253)),"C","")))</f>
        <v/>
      </c>
      <c r="AG234" s="622" t="str">
        <f>IF(NOT(ISBLANK('A-RACHNATMAK'!AJ255)),"A",IF(NOT(ISBLANK('A-RACHNATMAK'!AJ254)),"B",IF(NOT(ISBLANK('A-RACHNATMAK'!AJ253)),"C","")))</f>
        <v/>
      </c>
      <c r="AH234" s="622" t="str">
        <f>IF(NOT(ISBLANK('A-RACHNATMAK'!AK255)),"A",IF(NOT(ISBLANK('A-RACHNATMAK'!AK254)),"B",IF(NOT(ISBLANK('A-RACHNATMAK'!AK253)),"C","")))</f>
        <v/>
      </c>
      <c r="AI234" s="622" t="str">
        <f>IF(NOT(ISBLANK('A-RACHNATMAK'!AL255)),"A",IF(NOT(ISBLANK('A-RACHNATMAK'!AL254)),"B",IF(NOT(ISBLANK('A-RACHNATMAK'!AL253)),"C","")))</f>
        <v/>
      </c>
      <c r="AJ234" s="622" t="str">
        <f>IF(NOT(ISBLANK('A-RACHNATMAK'!AM255)),"A",IF(NOT(ISBLANK('A-RACHNATMAK'!AM254)),"B",IF(NOT(ISBLANK('A-RACHNATMAK'!AM253)),"C","")))</f>
        <v/>
      </c>
      <c r="AK234" s="622" t="str">
        <f>IF(NOT(ISBLANK('A-RACHNATMAK'!AN255)),"A",IF(NOT(ISBLANK('A-RACHNATMAK'!AN254)),"B",IF(NOT(ISBLANK('A-RACHNATMAK'!AN253)),"C","")))</f>
        <v/>
      </c>
      <c r="AL234" s="622" t="str">
        <f>IF(NOT(ISBLANK('A-RACHNATMAK'!AO255)),"A",IF(NOT(ISBLANK('A-RACHNATMAK'!AO254)),"B",IF(NOT(ISBLANK('A-RACHNATMAK'!AO253)),"C","")))</f>
        <v/>
      </c>
      <c r="AM234" s="622" t="str">
        <f>IF(NOT(ISBLANK('A-RACHNATMAK'!AP255)),"A",IF(NOT(ISBLANK('A-RACHNATMAK'!AP254)),"B",IF(NOT(ISBLANK('A-RACHNATMAK'!AP253)),"C","")))</f>
        <v/>
      </c>
      <c r="AN234" s="622" t="str">
        <f>IF(NOT(ISBLANK('A-RACHNATMAK'!AQ255)),"A",IF(NOT(ISBLANK('A-RACHNATMAK'!AQ254)),"B",IF(NOT(ISBLANK('A-RACHNATMAK'!AQ253)),"C","")))</f>
        <v/>
      </c>
      <c r="AO234" s="622" t="str">
        <f>IF(NOT(ISBLANK('A-RACHNATMAK'!AR255)),"A",IF(NOT(ISBLANK('A-RACHNATMAK'!AR254)),"B",IF(NOT(ISBLANK('A-RACHNATMAK'!AR253)),"C","")))</f>
        <v/>
      </c>
      <c r="AP234" s="622" t="str">
        <f>IF(NOT(ISBLANK('A-RACHNATMAK'!AS255)),"A",IF(NOT(ISBLANK('A-RACHNATMAK'!AS254)),"B",IF(NOT(ISBLANK('A-RACHNATMAK'!AS253)),"C","")))</f>
        <v/>
      </c>
      <c r="AQ234" s="622" t="str">
        <f>IF(NOT(ISBLANK('A-RACHNATMAK'!AT255)),"A",IF(NOT(ISBLANK('A-RACHNATMAK'!AT254)),"B",IF(NOT(ISBLANK('A-RACHNATMAK'!AT253)),"C","")))</f>
        <v/>
      </c>
      <c r="AR234" s="622" t="str">
        <f>IF(NOT(ISBLANK('A-RACHNATMAK'!AU255)),"A",IF(NOT(ISBLANK('A-RACHNATMAK'!AU254)),"B",IF(NOT(ISBLANK('A-RACHNATMAK'!AU253)),"C","")))</f>
        <v/>
      </c>
      <c r="AS234" s="622" t="str">
        <f>IF(NOT(ISBLANK('A-RACHNATMAK'!AV255)),"A",IF(NOT(ISBLANK('A-RACHNATMAK'!AV254)),"B",IF(NOT(ISBLANK('A-RACHNATMAK'!AV253)),"C","")))</f>
        <v/>
      </c>
      <c r="AT234" s="622" t="str">
        <f>IF(NOT(ISBLANK('A-RACHNATMAK'!AW255)),"A",IF(NOT(ISBLANK('A-RACHNATMAK'!AW254)),"B",IF(NOT(ISBLANK('A-RACHNATMAK'!AW253)),"C","")))</f>
        <v/>
      </c>
      <c r="AU234" s="622">
        <f t="shared" ref="AU234" si="441">COUNTIF(AA234:AT234,"A")</f>
        <v>0</v>
      </c>
      <c r="AV234" s="622">
        <f t="shared" ref="AV234" si="442">COUNTIF(AA234:AT234,"B")</f>
        <v>0</v>
      </c>
      <c r="AW234" s="622">
        <f t="shared" ref="AW234" si="443">COUNTIF(AA234:AT234,"C")</f>
        <v>0</v>
      </c>
    </row>
    <row r="235" spans="1:49" ht="7.5" customHeight="1">
      <c r="A235" s="623"/>
      <c r="B235" s="622"/>
      <c r="C235" s="622"/>
      <c r="D235" s="622"/>
      <c r="E235" s="622"/>
      <c r="F235" s="622"/>
      <c r="G235" s="622"/>
      <c r="H235" s="622"/>
      <c r="I235" s="622"/>
      <c r="J235" s="622"/>
      <c r="K235" s="622"/>
      <c r="L235" s="622"/>
      <c r="M235" s="622"/>
      <c r="N235" s="622"/>
      <c r="O235" s="622"/>
      <c r="P235" s="622"/>
      <c r="Q235" s="622"/>
      <c r="R235" s="622"/>
      <c r="S235" s="622"/>
      <c r="T235" s="622"/>
      <c r="U235" s="622"/>
      <c r="V235" s="622"/>
      <c r="W235" s="622"/>
      <c r="X235" s="622"/>
      <c r="Y235" s="330"/>
      <c r="Z235" s="623"/>
      <c r="AA235" s="622"/>
      <c r="AB235" s="622"/>
      <c r="AC235" s="622"/>
      <c r="AD235" s="622"/>
      <c r="AE235" s="622"/>
      <c r="AF235" s="622"/>
      <c r="AG235" s="622"/>
      <c r="AH235" s="622"/>
      <c r="AI235" s="622"/>
      <c r="AJ235" s="622"/>
      <c r="AK235" s="622"/>
      <c r="AL235" s="622"/>
      <c r="AM235" s="622"/>
      <c r="AN235" s="622"/>
      <c r="AO235" s="622"/>
      <c r="AP235" s="622"/>
      <c r="AQ235" s="622"/>
      <c r="AR235" s="622"/>
      <c r="AS235" s="622"/>
      <c r="AT235" s="622"/>
      <c r="AU235" s="622"/>
      <c r="AV235" s="622"/>
      <c r="AW235" s="622"/>
    </row>
    <row r="236" spans="1:49" ht="7.5" customHeight="1">
      <c r="A236" s="623"/>
      <c r="B236" s="622"/>
      <c r="C236" s="622"/>
      <c r="D236" s="622"/>
      <c r="E236" s="622"/>
      <c r="F236" s="622"/>
      <c r="G236" s="622"/>
      <c r="H236" s="622"/>
      <c r="I236" s="622"/>
      <c r="J236" s="622"/>
      <c r="K236" s="622"/>
      <c r="L236" s="622"/>
      <c r="M236" s="622"/>
      <c r="N236" s="622"/>
      <c r="O236" s="622"/>
      <c r="P236" s="622"/>
      <c r="Q236" s="622"/>
      <c r="R236" s="622"/>
      <c r="S236" s="622"/>
      <c r="T236" s="622"/>
      <c r="U236" s="622"/>
      <c r="V236" s="622"/>
      <c r="W236" s="622"/>
      <c r="X236" s="622"/>
      <c r="Y236" s="330"/>
      <c r="Z236" s="623"/>
      <c r="AA236" s="622"/>
      <c r="AB236" s="622"/>
      <c r="AC236" s="622"/>
      <c r="AD236" s="622"/>
      <c r="AE236" s="622"/>
      <c r="AF236" s="622"/>
      <c r="AG236" s="622"/>
      <c r="AH236" s="622"/>
      <c r="AI236" s="622"/>
      <c r="AJ236" s="622"/>
      <c r="AK236" s="622"/>
      <c r="AL236" s="622"/>
      <c r="AM236" s="622"/>
      <c r="AN236" s="622"/>
      <c r="AO236" s="622"/>
      <c r="AP236" s="622"/>
      <c r="AQ236" s="622"/>
      <c r="AR236" s="622"/>
      <c r="AS236" s="622"/>
      <c r="AT236" s="622"/>
      <c r="AU236" s="622"/>
      <c r="AV236" s="622"/>
      <c r="AW236" s="622"/>
    </row>
    <row r="237" spans="1:49" ht="7.5" customHeight="1">
      <c r="A237" s="623">
        <v>8</v>
      </c>
      <c r="B237" s="622" t="str">
        <f>IF(NOT(ISBLANK('A-RACHNATMAK'!C258)),"A",IF(NOT(ISBLANK('A-RACHNATMAK'!C257)),"B",IF(NOT(ISBLANK('A-RACHNATMAK'!C256)),"C","")))</f>
        <v/>
      </c>
      <c r="C237" s="622" t="str">
        <f>IF(NOT(ISBLANK('A-RACHNATMAK'!D258)),"A",IF(NOT(ISBLANK('A-RACHNATMAK'!D257)),"B",IF(NOT(ISBLANK('A-RACHNATMAK'!D256)),"C","")))</f>
        <v/>
      </c>
      <c r="D237" s="622" t="str">
        <f>IF(NOT(ISBLANK('A-RACHNATMAK'!E258)),"A",IF(NOT(ISBLANK('A-RACHNATMAK'!E257)),"B",IF(NOT(ISBLANK('A-RACHNATMAK'!E256)),"C","")))</f>
        <v/>
      </c>
      <c r="E237" s="622" t="str">
        <f>IF(NOT(ISBLANK('A-RACHNATMAK'!F258)),"A",IF(NOT(ISBLANK('A-RACHNATMAK'!F257)),"B",IF(NOT(ISBLANK('A-RACHNATMAK'!F256)),"C","")))</f>
        <v/>
      </c>
      <c r="F237" s="622" t="str">
        <f>IF(NOT(ISBLANK('A-RACHNATMAK'!G258)),"A",IF(NOT(ISBLANK('A-RACHNATMAK'!G257)),"B",IF(NOT(ISBLANK('A-RACHNATMAK'!G256)),"C","")))</f>
        <v/>
      </c>
      <c r="G237" s="622" t="str">
        <f>IF(NOT(ISBLANK('A-RACHNATMAK'!H258)),"A",IF(NOT(ISBLANK('A-RACHNATMAK'!H257)),"B",IF(NOT(ISBLANK('A-RACHNATMAK'!H256)),"C","")))</f>
        <v/>
      </c>
      <c r="H237" s="622" t="str">
        <f>IF(NOT(ISBLANK('A-RACHNATMAK'!I258)),"A",IF(NOT(ISBLANK('A-RACHNATMAK'!I257)),"B",IF(NOT(ISBLANK('A-RACHNATMAK'!I256)),"C","")))</f>
        <v/>
      </c>
      <c r="I237" s="622" t="str">
        <f>IF(NOT(ISBLANK('A-RACHNATMAK'!J258)),"A",IF(NOT(ISBLANK('A-RACHNATMAK'!J257)),"B",IF(NOT(ISBLANK('A-RACHNATMAK'!J256)),"C","")))</f>
        <v/>
      </c>
      <c r="J237" s="622" t="str">
        <f>IF(NOT(ISBLANK('A-RACHNATMAK'!K258)),"A",IF(NOT(ISBLANK('A-RACHNATMAK'!K257)),"B",IF(NOT(ISBLANK('A-RACHNATMAK'!K256)),"C","")))</f>
        <v/>
      </c>
      <c r="K237" s="622" t="str">
        <f>IF(NOT(ISBLANK('A-RACHNATMAK'!L258)),"A",IF(NOT(ISBLANK('A-RACHNATMAK'!L257)),"B",IF(NOT(ISBLANK('A-RACHNATMAK'!L256)),"C","")))</f>
        <v/>
      </c>
      <c r="L237" s="622" t="str">
        <f>IF(NOT(ISBLANK('A-RACHNATMAK'!M258)),"A",IF(NOT(ISBLANK('A-RACHNATMAK'!M257)),"B",IF(NOT(ISBLANK('A-RACHNATMAK'!M256)),"C","")))</f>
        <v/>
      </c>
      <c r="M237" s="622" t="str">
        <f>IF(NOT(ISBLANK('A-RACHNATMAK'!N258)),"A",IF(NOT(ISBLANK('A-RACHNATMAK'!N257)),"B",IF(NOT(ISBLANK('A-RACHNATMAK'!N256)),"C","")))</f>
        <v/>
      </c>
      <c r="N237" s="622" t="str">
        <f>IF(NOT(ISBLANK('A-RACHNATMAK'!O258)),"A",IF(NOT(ISBLANK('A-RACHNATMAK'!O257)),"B",IF(NOT(ISBLANK('A-RACHNATMAK'!O256)),"C","")))</f>
        <v/>
      </c>
      <c r="O237" s="622" t="str">
        <f>IF(NOT(ISBLANK('A-RACHNATMAK'!P258)),"A",IF(NOT(ISBLANK('A-RACHNATMAK'!P257)),"B",IF(NOT(ISBLANK('A-RACHNATMAK'!P256)),"C","")))</f>
        <v/>
      </c>
      <c r="P237" s="622" t="str">
        <f>IF(NOT(ISBLANK('A-RACHNATMAK'!Q258)),"A",IF(NOT(ISBLANK('A-RACHNATMAK'!Q257)),"B",IF(NOT(ISBLANK('A-RACHNATMAK'!Q256)),"C","")))</f>
        <v/>
      </c>
      <c r="Q237" s="622" t="str">
        <f>IF(NOT(ISBLANK('A-RACHNATMAK'!R258)),"A",IF(NOT(ISBLANK('A-RACHNATMAK'!R257)),"B",IF(NOT(ISBLANK('A-RACHNATMAK'!R256)),"C","")))</f>
        <v/>
      </c>
      <c r="R237" s="622" t="str">
        <f>IF(NOT(ISBLANK('A-RACHNATMAK'!S258)),"A",IF(NOT(ISBLANK('A-RACHNATMAK'!S257)),"B",IF(NOT(ISBLANK('A-RACHNATMAK'!S256)),"C","")))</f>
        <v/>
      </c>
      <c r="S237" s="622" t="str">
        <f>IF(NOT(ISBLANK('A-RACHNATMAK'!T258)),"A",IF(NOT(ISBLANK('A-RACHNATMAK'!T257)),"B",IF(NOT(ISBLANK('A-RACHNATMAK'!T256)),"C","")))</f>
        <v/>
      </c>
      <c r="T237" s="622" t="str">
        <f>IF(NOT(ISBLANK('A-RACHNATMAK'!U258)),"A",IF(NOT(ISBLANK('A-RACHNATMAK'!U257)),"B",IF(NOT(ISBLANK('A-RACHNATMAK'!U256)),"C","")))</f>
        <v/>
      </c>
      <c r="U237" s="622" t="str">
        <f>IF(NOT(ISBLANK('A-RACHNATMAK'!V258)),"A",IF(NOT(ISBLANK('A-RACHNATMAK'!V257)),"B",IF(NOT(ISBLANK('A-RACHNATMAK'!V256)),"C","")))</f>
        <v/>
      </c>
      <c r="V237" s="622">
        <f t="shared" ref="V237" si="444">COUNTIF(B237:U237,"A")</f>
        <v>0</v>
      </c>
      <c r="W237" s="622">
        <f t="shared" ref="W237" si="445">COUNTIF(B237:U237,"B")</f>
        <v>0</v>
      </c>
      <c r="X237" s="622">
        <f t="shared" ref="X237" si="446">COUNTIF(B237:U237,"C")</f>
        <v>0</v>
      </c>
      <c r="Y237" s="330"/>
      <c r="Z237" s="623">
        <v>8</v>
      </c>
      <c r="AA237" s="622" t="str">
        <f>IF(NOT(ISBLANK('A-RACHNATMAK'!AD258)),"A",IF(NOT(ISBLANK('A-RACHNATMAK'!AD257)),"B",IF(NOT(ISBLANK('A-RACHNATMAK'!AD256)),"C","")))</f>
        <v/>
      </c>
      <c r="AB237" s="622" t="str">
        <f>IF(NOT(ISBLANK('A-RACHNATMAK'!AE258)),"A",IF(NOT(ISBLANK('A-RACHNATMAK'!AE257)),"B",IF(NOT(ISBLANK('A-RACHNATMAK'!AE256)),"C","")))</f>
        <v/>
      </c>
      <c r="AC237" s="622" t="str">
        <f>IF(NOT(ISBLANK('A-RACHNATMAK'!AF258)),"A",IF(NOT(ISBLANK('A-RACHNATMAK'!AF257)),"B",IF(NOT(ISBLANK('A-RACHNATMAK'!AF256)),"C","")))</f>
        <v/>
      </c>
      <c r="AD237" s="622" t="str">
        <f>IF(NOT(ISBLANK('A-RACHNATMAK'!AG258)),"A",IF(NOT(ISBLANK('A-RACHNATMAK'!AG257)),"B",IF(NOT(ISBLANK('A-RACHNATMAK'!AG256)),"C","")))</f>
        <v/>
      </c>
      <c r="AE237" s="622" t="str">
        <f>IF(NOT(ISBLANK('A-RACHNATMAK'!AH258)),"A",IF(NOT(ISBLANK('A-RACHNATMAK'!AH257)),"B",IF(NOT(ISBLANK('A-RACHNATMAK'!AH256)),"C","")))</f>
        <v/>
      </c>
      <c r="AF237" s="622" t="str">
        <f>IF(NOT(ISBLANK('A-RACHNATMAK'!AI258)),"A",IF(NOT(ISBLANK('A-RACHNATMAK'!AI257)),"B",IF(NOT(ISBLANK('A-RACHNATMAK'!AI256)),"C","")))</f>
        <v/>
      </c>
      <c r="AG237" s="622" t="str">
        <f>IF(NOT(ISBLANK('A-RACHNATMAK'!AJ258)),"A",IF(NOT(ISBLANK('A-RACHNATMAK'!AJ257)),"B",IF(NOT(ISBLANK('A-RACHNATMAK'!AJ256)),"C","")))</f>
        <v/>
      </c>
      <c r="AH237" s="622" t="str">
        <f>IF(NOT(ISBLANK('A-RACHNATMAK'!AK258)),"A",IF(NOT(ISBLANK('A-RACHNATMAK'!AK257)),"B",IF(NOT(ISBLANK('A-RACHNATMAK'!AK256)),"C","")))</f>
        <v/>
      </c>
      <c r="AI237" s="622" t="str">
        <f>IF(NOT(ISBLANK('A-RACHNATMAK'!AL258)),"A",IF(NOT(ISBLANK('A-RACHNATMAK'!AL257)),"B",IF(NOT(ISBLANK('A-RACHNATMAK'!AL256)),"C","")))</f>
        <v/>
      </c>
      <c r="AJ237" s="622" t="str">
        <f>IF(NOT(ISBLANK('A-RACHNATMAK'!AM258)),"A",IF(NOT(ISBLANK('A-RACHNATMAK'!AM257)),"B",IF(NOT(ISBLANK('A-RACHNATMAK'!AM256)),"C","")))</f>
        <v/>
      </c>
      <c r="AK237" s="622" t="str">
        <f>IF(NOT(ISBLANK('A-RACHNATMAK'!AN258)),"A",IF(NOT(ISBLANK('A-RACHNATMAK'!AN257)),"B",IF(NOT(ISBLANK('A-RACHNATMAK'!AN256)),"C","")))</f>
        <v/>
      </c>
      <c r="AL237" s="622" t="str">
        <f>IF(NOT(ISBLANK('A-RACHNATMAK'!AO258)),"A",IF(NOT(ISBLANK('A-RACHNATMAK'!AO257)),"B",IF(NOT(ISBLANK('A-RACHNATMAK'!AO256)),"C","")))</f>
        <v/>
      </c>
      <c r="AM237" s="622" t="str">
        <f>IF(NOT(ISBLANK('A-RACHNATMAK'!AP258)),"A",IF(NOT(ISBLANK('A-RACHNATMAK'!AP257)),"B",IF(NOT(ISBLANK('A-RACHNATMAK'!AP256)),"C","")))</f>
        <v/>
      </c>
      <c r="AN237" s="622" t="str">
        <f>IF(NOT(ISBLANK('A-RACHNATMAK'!AQ258)),"A",IF(NOT(ISBLANK('A-RACHNATMAK'!AQ257)),"B",IF(NOT(ISBLANK('A-RACHNATMAK'!AQ256)),"C","")))</f>
        <v/>
      </c>
      <c r="AO237" s="622" t="str">
        <f>IF(NOT(ISBLANK('A-RACHNATMAK'!AR258)),"A",IF(NOT(ISBLANK('A-RACHNATMAK'!AR257)),"B",IF(NOT(ISBLANK('A-RACHNATMAK'!AR256)),"C","")))</f>
        <v/>
      </c>
      <c r="AP237" s="622" t="str">
        <f>IF(NOT(ISBLANK('A-RACHNATMAK'!AS258)),"A",IF(NOT(ISBLANK('A-RACHNATMAK'!AS257)),"B",IF(NOT(ISBLANK('A-RACHNATMAK'!AS256)),"C","")))</f>
        <v/>
      </c>
      <c r="AQ237" s="622" t="str">
        <f>IF(NOT(ISBLANK('A-RACHNATMAK'!AT258)),"A",IF(NOT(ISBLANK('A-RACHNATMAK'!AT257)),"B",IF(NOT(ISBLANK('A-RACHNATMAK'!AT256)),"C","")))</f>
        <v/>
      </c>
      <c r="AR237" s="622" t="str">
        <f>IF(NOT(ISBLANK('A-RACHNATMAK'!AU258)),"A",IF(NOT(ISBLANK('A-RACHNATMAK'!AU257)),"B",IF(NOT(ISBLANK('A-RACHNATMAK'!AU256)),"C","")))</f>
        <v/>
      </c>
      <c r="AS237" s="622" t="str">
        <f>IF(NOT(ISBLANK('A-RACHNATMAK'!AV258)),"A",IF(NOT(ISBLANK('A-RACHNATMAK'!AV257)),"B",IF(NOT(ISBLANK('A-RACHNATMAK'!AV256)),"C","")))</f>
        <v/>
      </c>
      <c r="AT237" s="622" t="str">
        <f>IF(NOT(ISBLANK('A-RACHNATMAK'!AW258)),"A",IF(NOT(ISBLANK('A-RACHNATMAK'!AW257)),"B",IF(NOT(ISBLANK('A-RACHNATMAK'!AW256)),"C","")))</f>
        <v/>
      </c>
      <c r="AU237" s="622">
        <f t="shared" ref="AU237" si="447">COUNTIF(AA237:AT237,"A")</f>
        <v>0</v>
      </c>
      <c r="AV237" s="622">
        <f t="shared" ref="AV237" si="448">COUNTIF(AA237:AT237,"B")</f>
        <v>0</v>
      </c>
      <c r="AW237" s="622">
        <f t="shared" ref="AW237" si="449">COUNTIF(AA237:AT237,"C")</f>
        <v>0</v>
      </c>
    </row>
    <row r="238" spans="1:49" ht="7.5" customHeight="1">
      <c r="A238" s="623"/>
      <c r="B238" s="622"/>
      <c r="C238" s="622"/>
      <c r="D238" s="622"/>
      <c r="E238" s="622"/>
      <c r="F238" s="622"/>
      <c r="G238" s="622"/>
      <c r="H238" s="622"/>
      <c r="I238" s="622"/>
      <c r="J238" s="622"/>
      <c r="K238" s="622"/>
      <c r="L238" s="622"/>
      <c r="M238" s="622"/>
      <c r="N238" s="622"/>
      <c r="O238" s="622"/>
      <c r="P238" s="622"/>
      <c r="Q238" s="622"/>
      <c r="R238" s="622"/>
      <c r="S238" s="622"/>
      <c r="T238" s="622"/>
      <c r="U238" s="622"/>
      <c r="V238" s="622"/>
      <c r="W238" s="622"/>
      <c r="X238" s="622"/>
      <c r="Y238" s="330"/>
      <c r="Z238" s="623"/>
      <c r="AA238" s="622"/>
      <c r="AB238" s="622"/>
      <c r="AC238" s="622"/>
      <c r="AD238" s="622"/>
      <c r="AE238" s="622"/>
      <c r="AF238" s="622"/>
      <c r="AG238" s="622"/>
      <c r="AH238" s="622"/>
      <c r="AI238" s="622"/>
      <c r="AJ238" s="622"/>
      <c r="AK238" s="622"/>
      <c r="AL238" s="622"/>
      <c r="AM238" s="622"/>
      <c r="AN238" s="622"/>
      <c r="AO238" s="622"/>
      <c r="AP238" s="622"/>
      <c r="AQ238" s="622"/>
      <c r="AR238" s="622"/>
      <c r="AS238" s="622"/>
      <c r="AT238" s="622"/>
      <c r="AU238" s="622"/>
      <c r="AV238" s="622"/>
      <c r="AW238" s="622"/>
    </row>
    <row r="239" spans="1:49" ht="7.5" customHeight="1">
      <c r="A239" s="623"/>
      <c r="B239" s="622"/>
      <c r="C239" s="622"/>
      <c r="D239" s="622"/>
      <c r="E239" s="622"/>
      <c r="F239" s="622"/>
      <c r="G239" s="622"/>
      <c r="H239" s="622"/>
      <c r="I239" s="622"/>
      <c r="J239" s="622"/>
      <c r="K239" s="622"/>
      <c r="L239" s="622"/>
      <c r="M239" s="622"/>
      <c r="N239" s="622"/>
      <c r="O239" s="622"/>
      <c r="P239" s="622"/>
      <c r="Q239" s="622"/>
      <c r="R239" s="622"/>
      <c r="S239" s="622"/>
      <c r="T239" s="622"/>
      <c r="U239" s="622"/>
      <c r="V239" s="622"/>
      <c r="W239" s="622"/>
      <c r="X239" s="622"/>
      <c r="Y239" s="330"/>
      <c r="Z239" s="623"/>
      <c r="AA239" s="622"/>
      <c r="AB239" s="622"/>
      <c r="AC239" s="622"/>
      <c r="AD239" s="622"/>
      <c r="AE239" s="622"/>
      <c r="AF239" s="622"/>
      <c r="AG239" s="622"/>
      <c r="AH239" s="622"/>
      <c r="AI239" s="622"/>
      <c r="AJ239" s="622"/>
      <c r="AK239" s="622"/>
      <c r="AL239" s="622"/>
      <c r="AM239" s="622"/>
      <c r="AN239" s="622"/>
      <c r="AO239" s="622"/>
      <c r="AP239" s="622"/>
      <c r="AQ239" s="622"/>
      <c r="AR239" s="622"/>
      <c r="AS239" s="622"/>
      <c r="AT239" s="622"/>
      <c r="AU239" s="622"/>
      <c r="AV239" s="622"/>
      <c r="AW239" s="622"/>
    </row>
    <row r="240" spans="1:49" ht="7.5" customHeight="1">
      <c r="A240" s="623">
        <v>9</v>
      </c>
      <c r="B240" s="622" t="str">
        <f>IF(NOT(ISBLANK('A-RACHNATMAK'!C261)),"A",IF(NOT(ISBLANK('A-RACHNATMAK'!C260)),"B",IF(NOT(ISBLANK('A-RACHNATMAK'!C259)),"C","")))</f>
        <v/>
      </c>
      <c r="C240" s="622" t="str">
        <f>IF(NOT(ISBLANK('A-RACHNATMAK'!D261)),"A",IF(NOT(ISBLANK('A-RACHNATMAK'!D260)),"B",IF(NOT(ISBLANK('A-RACHNATMAK'!D259)),"C","")))</f>
        <v/>
      </c>
      <c r="D240" s="622" t="str">
        <f>IF(NOT(ISBLANK('A-RACHNATMAK'!E261)),"A",IF(NOT(ISBLANK('A-RACHNATMAK'!E260)),"B",IF(NOT(ISBLANK('A-RACHNATMAK'!E259)),"C","")))</f>
        <v/>
      </c>
      <c r="E240" s="622" t="str">
        <f>IF(NOT(ISBLANK('A-RACHNATMAK'!F261)),"A",IF(NOT(ISBLANK('A-RACHNATMAK'!F260)),"B",IF(NOT(ISBLANK('A-RACHNATMAK'!F259)),"C","")))</f>
        <v/>
      </c>
      <c r="F240" s="622" t="str">
        <f>IF(NOT(ISBLANK('A-RACHNATMAK'!G261)),"A",IF(NOT(ISBLANK('A-RACHNATMAK'!G260)),"B",IF(NOT(ISBLANK('A-RACHNATMAK'!G259)),"C","")))</f>
        <v/>
      </c>
      <c r="G240" s="622" t="str">
        <f>IF(NOT(ISBLANK('A-RACHNATMAK'!H261)),"A",IF(NOT(ISBLANK('A-RACHNATMAK'!H260)),"B",IF(NOT(ISBLANK('A-RACHNATMAK'!H259)),"C","")))</f>
        <v/>
      </c>
      <c r="H240" s="622" t="str">
        <f>IF(NOT(ISBLANK('A-RACHNATMAK'!I261)),"A",IF(NOT(ISBLANK('A-RACHNATMAK'!I260)),"B",IF(NOT(ISBLANK('A-RACHNATMAK'!I259)),"C","")))</f>
        <v/>
      </c>
      <c r="I240" s="622" t="str">
        <f>IF(NOT(ISBLANK('A-RACHNATMAK'!J261)),"A",IF(NOT(ISBLANK('A-RACHNATMAK'!J260)),"B",IF(NOT(ISBLANK('A-RACHNATMAK'!J259)),"C","")))</f>
        <v/>
      </c>
      <c r="J240" s="622" t="str">
        <f>IF(NOT(ISBLANK('A-RACHNATMAK'!K261)),"A",IF(NOT(ISBLANK('A-RACHNATMAK'!K260)),"B",IF(NOT(ISBLANK('A-RACHNATMAK'!K259)),"C","")))</f>
        <v/>
      </c>
      <c r="K240" s="622" t="str">
        <f>IF(NOT(ISBLANK('A-RACHNATMAK'!L261)),"A",IF(NOT(ISBLANK('A-RACHNATMAK'!L260)),"B",IF(NOT(ISBLANK('A-RACHNATMAK'!L259)),"C","")))</f>
        <v/>
      </c>
      <c r="L240" s="622" t="str">
        <f>IF(NOT(ISBLANK('A-RACHNATMAK'!M261)),"A",IF(NOT(ISBLANK('A-RACHNATMAK'!M260)),"B",IF(NOT(ISBLANK('A-RACHNATMAK'!M259)),"C","")))</f>
        <v/>
      </c>
      <c r="M240" s="622" t="str">
        <f>IF(NOT(ISBLANK('A-RACHNATMAK'!N261)),"A",IF(NOT(ISBLANK('A-RACHNATMAK'!N260)),"B",IF(NOT(ISBLANK('A-RACHNATMAK'!N259)),"C","")))</f>
        <v/>
      </c>
      <c r="N240" s="622" t="str">
        <f>IF(NOT(ISBLANK('A-RACHNATMAK'!O261)),"A",IF(NOT(ISBLANK('A-RACHNATMAK'!O260)),"B",IF(NOT(ISBLANK('A-RACHNATMAK'!O259)),"C","")))</f>
        <v/>
      </c>
      <c r="O240" s="622" t="str">
        <f>IF(NOT(ISBLANK('A-RACHNATMAK'!P261)),"A",IF(NOT(ISBLANK('A-RACHNATMAK'!P260)),"B",IF(NOT(ISBLANK('A-RACHNATMAK'!P259)),"C","")))</f>
        <v/>
      </c>
      <c r="P240" s="622" t="str">
        <f>IF(NOT(ISBLANK('A-RACHNATMAK'!Q261)),"A",IF(NOT(ISBLANK('A-RACHNATMAK'!Q260)),"B",IF(NOT(ISBLANK('A-RACHNATMAK'!Q259)),"C","")))</f>
        <v/>
      </c>
      <c r="Q240" s="622" t="str">
        <f>IF(NOT(ISBLANK('A-RACHNATMAK'!R261)),"A",IF(NOT(ISBLANK('A-RACHNATMAK'!R260)),"B",IF(NOT(ISBLANK('A-RACHNATMAK'!R259)),"C","")))</f>
        <v/>
      </c>
      <c r="R240" s="622" t="str">
        <f>IF(NOT(ISBLANK('A-RACHNATMAK'!S261)),"A",IF(NOT(ISBLANK('A-RACHNATMAK'!S260)),"B",IF(NOT(ISBLANK('A-RACHNATMAK'!S259)),"C","")))</f>
        <v/>
      </c>
      <c r="S240" s="622" t="str">
        <f>IF(NOT(ISBLANK('A-RACHNATMAK'!T261)),"A",IF(NOT(ISBLANK('A-RACHNATMAK'!T260)),"B",IF(NOT(ISBLANK('A-RACHNATMAK'!T259)),"C","")))</f>
        <v/>
      </c>
      <c r="T240" s="622" t="str">
        <f>IF(NOT(ISBLANK('A-RACHNATMAK'!U261)),"A",IF(NOT(ISBLANK('A-RACHNATMAK'!U260)),"B",IF(NOT(ISBLANK('A-RACHNATMAK'!U259)),"C","")))</f>
        <v/>
      </c>
      <c r="U240" s="622" t="str">
        <f>IF(NOT(ISBLANK('A-RACHNATMAK'!V261)),"A",IF(NOT(ISBLANK('A-RACHNATMAK'!V260)),"B",IF(NOT(ISBLANK('A-RACHNATMAK'!V259)),"C","")))</f>
        <v/>
      </c>
      <c r="V240" s="622">
        <f t="shared" ref="V240" si="450">COUNTIF(B240:U240,"A")</f>
        <v>0</v>
      </c>
      <c r="W240" s="622">
        <f t="shared" ref="W240" si="451">COUNTIF(B240:U240,"B")</f>
        <v>0</v>
      </c>
      <c r="X240" s="622">
        <f t="shared" ref="X240" si="452">COUNTIF(B240:U240,"C")</f>
        <v>0</v>
      </c>
      <c r="Y240" s="330"/>
      <c r="Z240" s="623">
        <v>9</v>
      </c>
      <c r="AA240" s="622" t="str">
        <f>IF(NOT(ISBLANK('A-RACHNATMAK'!AD261)),"A",IF(NOT(ISBLANK('A-RACHNATMAK'!AD260)),"B",IF(NOT(ISBLANK('A-RACHNATMAK'!AD259)),"C","")))</f>
        <v/>
      </c>
      <c r="AB240" s="622" t="str">
        <f>IF(NOT(ISBLANK('A-RACHNATMAK'!AE261)),"A",IF(NOT(ISBLANK('A-RACHNATMAK'!AE260)),"B",IF(NOT(ISBLANK('A-RACHNATMAK'!AE259)),"C","")))</f>
        <v/>
      </c>
      <c r="AC240" s="622" t="str">
        <f>IF(NOT(ISBLANK('A-RACHNATMAK'!AF261)),"A",IF(NOT(ISBLANK('A-RACHNATMAK'!AF260)),"B",IF(NOT(ISBLANK('A-RACHNATMAK'!AF259)),"C","")))</f>
        <v/>
      </c>
      <c r="AD240" s="622" t="str">
        <f>IF(NOT(ISBLANK('A-RACHNATMAK'!AG261)),"A",IF(NOT(ISBLANK('A-RACHNATMAK'!AG260)),"B",IF(NOT(ISBLANK('A-RACHNATMAK'!AG259)),"C","")))</f>
        <v/>
      </c>
      <c r="AE240" s="622" t="str">
        <f>IF(NOT(ISBLANK('A-RACHNATMAK'!AH261)),"A",IF(NOT(ISBLANK('A-RACHNATMAK'!AH260)),"B",IF(NOT(ISBLANK('A-RACHNATMAK'!AH259)),"C","")))</f>
        <v/>
      </c>
      <c r="AF240" s="622" t="str">
        <f>IF(NOT(ISBLANK('A-RACHNATMAK'!AI261)),"A",IF(NOT(ISBLANK('A-RACHNATMAK'!AI260)),"B",IF(NOT(ISBLANK('A-RACHNATMAK'!AI259)),"C","")))</f>
        <v/>
      </c>
      <c r="AG240" s="622" t="str">
        <f>IF(NOT(ISBLANK('A-RACHNATMAK'!AJ261)),"A",IF(NOT(ISBLANK('A-RACHNATMAK'!AJ260)),"B",IF(NOT(ISBLANK('A-RACHNATMAK'!AJ259)),"C","")))</f>
        <v/>
      </c>
      <c r="AH240" s="622" t="str">
        <f>IF(NOT(ISBLANK('A-RACHNATMAK'!AK261)),"A",IF(NOT(ISBLANK('A-RACHNATMAK'!AK260)),"B",IF(NOT(ISBLANK('A-RACHNATMAK'!AK259)),"C","")))</f>
        <v/>
      </c>
      <c r="AI240" s="622" t="str">
        <f>IF(NOT(ISBLANK('A-RACHNATMAK'!AL261)),"A",IF(NOT(ISBLANK('A-RACHNATMAK'!AL260)),"B",IF(NOT(ISBLANK('A-RACHNATMAK'!AL259)),"C","")))</f>
        <v/>
      </c>
      <c r="AJ240" s="622" t="str">
        <f>IF(NOT(ISBLANK('A-RACHNATMAK'!AM261)),"A",IF(NOT(ISBLANK('A-RACHNATMAK'!AM260)),"B",IF(NOT(ISBLANK('A-RACHNATMAK'!AM259)),"C","")))</f>
        <v/>
      </c>
      <c r="AK240" s="622" t="str">
        <f>IF(NOT(ISBLANK('A-RACHNATMAK'!AN261)),"A",IF(NOT(ISBLANK('A-RACHNATMAK'!AN260)),"B",IF(NOT(ISBLANK('A-RACHNATMAK'!AN259)),"C","")))</f>
        <v/>
      </c>
      <c r="AL240" s="622" t="str">
        <f>IF(NOT(ISBLANK('A-RACHNATMAK'!AO261)),"A",IF(NOT(ISBLANK('A-RACHNATMAK'!AO260)),"B",IF(NOT(ISBLANK('A-RACHNATMAK'!AO259)),"C","")))</f>
        <v/>
      </c>
      <c r="AM240" s="622" t="str">
        <f>IF(NOT(ISBLANK('A-RACHNATMAK'!AP261)),"A",IF(NOT(ISBLANK('A-RACHNATMAK'!AP260)),"B",IF(NOT(ISBLANK('A-RACHNATMAK'!AP259)),"C","")))</f>
        <v/>
      </c>
      <c r="AN240" s="622" t="str">
        <f>IF(NOT(ISBLANK('A-RACHNATMAK'!AQ261)),"A",IF(NOT(ISBLANK('A-RACHNATMAK'!AQ260)),"B",IF(NOT(ISBLANK('A-RACHNATMAK'!AQ259)),"C","")))</f>
        <v/>
      </c>
      <c r="AO240" s="622" t="str">
        <f>IF(NOT(ISBLANK('A-RACHNATMAK'!AR261)),"A",IF(NOT(ISBLANK('A-RACHNATMAK'!AR260)),"B",IF(NOT(ISBLANK('A-RACHNATMAK'!AR259)),"C","")))</f>
        <v/>
      </c>
      <c r="AP240" s="622" t="str">
        <f>IF(NOT(ISBLANK('A-RACHNATMAK'!AS261)),"A",IF(NOT(ISBLANK('A-RACHNATMAK'!AS260)),"B",IF(NOT(ISBLANK('A-RACHNATMAK'!AS259)),"C","")))</f>
        <v/>
      </c>
      <c r="AQ240" s="622" t="str">
        <f>IF(NOT(ISBLANK('A-RACHNATMAK'!AT261)),"A",IF(NOT(ISBLANK('A-RACHNATMAK'!AT260)),"B",IF(NOT(ISBLANK('A-RACHNATMAK'!AT259)),"C","")))</f>
        <v/>
      </c>
      <c r="AR240" s="622" t="str">
        <f>IF(NOT(ISBLANK('A-RACHNATMAK'!AU261)),"A",IF(NOT(ISBLANK('A-RACHNATMAK'!AU260)),"B",IF(NOT(ISBLANK('A-RACHNATMAK'!AU259)),"C","")))</f>
        <v/>
      </c>
      <c r="AS240" s="622" t="str">
        <f>IF(NOT(ISBLANK('A-RACHNATMAK'!AV261)),"A",IF(NOT(ISBLANK('A-RACHNATMAK'!AV260)),"B",IF(NOT(ISBLANK('A-RACHNATMAK'!AV259)),"C","")))</f>
        <v/>
      </c>
      <c r="AT240" s="622" t="str">
        <f>IF(NOT(ISBLANK('A-RACHNATMAK'!AW261)),"A",IF(NOT(ISBLANK('A-RACHNATMAK'!AW260)),"B",IF(NOT(ISBLANK('A-RACHNATMAK'!AW259)),"C","")))</f>
        <v/>
      </c>
      <c r="AU240" s="622">
        <f t="shared" ref="AU240" si="453">COUNTIF(AA240:AT240,"A")</f>
        <v>0</v>
      </c>
      <c r="AV240" s="622">
        <f t="shared" ref="AV240" si="454">COUNTIF(AA240:AT240,"B")</f>
        <v>0</v>
      </c>
      <c r="AW240" s="622">
        <f t="shared" ref="AW240" si="455">COUNTIF(AA240:AT240,"C")</f>
        <v>0</v>
      </c>
    </row>
    <row r="241" spans="1:49" ht="7.5" customHeight="1">
      <c r="A241" s="623"/>
      <c r="B241" s="622"/>
      <c r="C241" s="622"/>
      <c r="D241" s="622"/>
      <c r="E241" s="622"/>
      <c r="F241" s="622"/>
      <c r="G241" s="622"/>
      <c r="H241" s="622"/>
      <c r="I241" s="622"/>
      <c r="J241" s="622"/>
      <c r="K241" s="622"/>
      <c r="L241" s="622"/>
      <c r="M241" s="622"/>
      <c r="N241" s="622"/>
      <c r="O241" s="622"/>
      <c r="P241" s="622"/>
      <c r="Q241" s="622"/>
      <c r="R241" s="622"/>
      <c r="S241" s="622"/>
      <c r="T241" s="622"/>
      <c r="U241" s="622"/>
      <c r="V241" s="622"/>
      <c r="W241" s="622"/>
      <c r="X241" s="622"/>
      <c r="Y241" s="330"/>
      <c r="Z241" s="623"/>
      <c r="AA241" s="622"/>
      <c r="AB241" s="622"/>
      <c r="AC241" s="622"/>
      <c r="AD241" s="622"/>
      <c r="AE241" s="622"/>
      <c r="AF241" s="622"/>
      <c r="AG241" s="622"/>
      <c r="AH241" s="622"/>
      <c r="AI241" s="622"/>
      <c r="AJ241" s="622"/>
      <c r="AK241" s="622"/>
      <c r="AL241" s="622"/>
      <c r="AM241" s="622"/>
      <c r="AN241" s="622"/>
      <c r="AO241" s="622"/>
      <c r="AP241" s="622"/>
      <c r="AQ241" s="622"/>
      <c r="AR241" s="622"/>
      <c r="AS241" s="622"/>
      <c r="AT241" s="622"/>
      <c r="AU241" s="622"/>
      <c r="AV241" s="622"/>
      <c r="AW241" s="622"/>
    </row>
    <row r="242" spans="1:49" ht="7.5" customHeight="1">
      <c r="A242" s="623"/>
      <c r="B242" s="622"/>
      <c r="C242" s="622"/>
      <c r="D242" s="622"/>
      <c r="E242" s="622"/>
      <c r="F242" s="622"/>
      <c r="G242" s="622"/>
      <c r="H242" s="622"/>
      <c r="I242" s="622"/>
      <c r="J242" s="622"/>
      <c r="K242" s="622"/>
      <c r="L242" s="622"/>
      <c r="M242" s="622"/>
      <c r="N242" s="622"/>
      <c r="O242" s="622"/>
      <c r="P242" s="622"/>
      <c r="Q242" s="622"/>
      <c r="R242" s="622"/>
      <c r="S242" s="622"/>
      <c r="T242" s="622"/>
      <c r="U242" s="622"/>
      <c r="V242" s="622"/>
      <c r="W242" s="622"/>
      <c r="X242" s="622"/>
      <c r="Y242" s="330"/>
      <c r="Z242" s="623"/>
      <c r="AA242" s="622"/>
      <c r="AB242" s="622"/>
      <c r="AC242" s="622"/>
      <c r="AD242" s="622"/>
      <c r="AE242" s="622"/>
      <c r="AF242" s="622"/>
      <c r="AG242" s="622"/>
      <c r="AH242" s="622"/>
      <c r="AI242" s="622"/>
      <c r="AJ242" s="622"/>
      <c r="AK242" s="622"/>
      <c r="AL242" s="622"/>
      <c r="AM242" s="622"/>
      <c r="AN242" s="622"/>
      <c r="AO242" s="622"/>
      <c r="AP242" s="622"/>
      <c r="AQ242" s="622"/>
      <c r="AR242" s="622"/>
      <c r="AS242" s="622"/>
      <c r="AT242" s="622"/>
      <c r="AU242" s="622"/>
      <c r="AV242" s="622"/>
      <c r="AW242" s="622"/>
    </row>
    <row r="243" spans="1:49" ht="7.5" customHeight="1">
      <c r="A243" s="623">
        <v>10</v>
      </c>
      <c r="B243" s="622" t="str">
        <f>IF(NOT(ISBLANK('A-RACHNATMAK'!C264)),"A",IF(NOT(ISBLANK('A-RACHNATMAK'!C263)),"B",IF(NOT(ISBLANK('A-RACHNATMAK'!C262)),"C","")))</f>
        <v/>
      </c>
      <c r="C243" s="622" t="str">
        <f>IF(NOT(ISBLANK('A-RACHNATMAK'!D264)),"A",IF(NOT(ISBLANK('A-RACHNATMAK'!D263)),"B",IF(NOT(ISBLANK('A-RACHNATMAK'!D262)),"C","")))</f>
        <v/>
      </c>
      <c r="D243" s="622" t="str">
        <f>IF(NOT(ISBLANK('A-RACHNATMAK'!E264)),"A",IF(NOT(ISBLANK('A-RACHNATMAK'!E263)),"B",IF(NOT(ISBLANK('A-RACHNATMAK'!E262)),"C","")))</f>
        <v/>
      </c>
      <c r="E243" s="622" t="str">
        <f>IF(NOT(ISBLANK('A-RACHNATMAK'!F264)),"A",IF(NOT(ISBLANK('A-RACHNATMAK'!F263)),"B",IF(NOT(ISBLANK('A-RACHNATMAK'!F262)),"C","")))</f>
        <v/>
      </c>
      <c r="F243" s="622" t="str">
        <f>IF(NOT(ISBLANK('A-RACHNATMAK'!G264)),"A",IF(NOT(ISBLANK('A-RACHNATMAK'!G263)),"B",IF(NOT(ISBLANK('A-RACHNATMAK'!G262)),"C","")))</f>
        <v/>
      </c>
      <c r="G243" s="622" t="str">
        <f>IF(NOT(ISBLANK('A-RACHNATMAK'!H264)),"A",IF(NOT(ISBLANK('A-RACHNATMAK'!H263)),"B",IF(NOT(ISBLANK('A-RACHNATMAK'!H262)),"C","")))</f>
        <v/>
      </c>
      <c r="H243" s="622" t="str">
        <f>IF(NOT(ISBLANK('A-RACHNATMAK'!I264)),"A",IF(NOT(ISBLANK('A-RACHNATMAK'!I263)),"B",IF(NOT(ISBLANK('A-RACHNATMAK'!I262)),"C","")))</f>
        <v/>
      </c>
      <c r="I243" s="622" t="str">
        <f>IF(NOT(ISBLANK('A-RACHNATMAK'!J264)),"A",IF(NOT(ISBLANK('A-RACHNATMAK'!J263)),"B",IF(NOT(ISBLANK('A-RACHNATMAK'!J262)),"C","")))</f>
        <v/>
      </c>
      <c r="J243" s="622" t="str">
        <f>IF(NOT(ISBLANK('A-RACHNATMAK'!K264)),"A",IF(NOT(ISBLANK('A-RACHNATMAK'!K263)),"B",IF(NOT(ISBLANK('A-RACHNATMAK'!K262)),"C","")))</f>
        <v/>
      </c>
      <c r="K243" s="622" t="str">
        <f>IF(NOT(ISBLANK('A-RACHNATMAK'!L264)),"A",IF(NOT(ISBLANK('A-RACHNATMAK'!L263)),"B",IF(NOT(ISBLANK('A-RACHNATMAK'!L262)),"C","")))</f>
        <v/>
      </c>
      <c r="L243" s="622" t="str">
        <f>IF(NOT(ISBLANK('A-RACHNATMAK'!M264)),"A",IF(NOT(ISBLANK('A-RACHNATMAK'!M263)),"B",IF(NOT(ISBLANK('A-RACHNATMAK'!M262)),"C","")))</f>
        <v/>
      </c>
      <c r="M243" s="622" t="str">
        <f>IF(NOT(ISBLANK('A-RACHNATMAK'!N264)),"A",IF(NOT(ISBLANK('A-RACHNATMAK'!N263)),"B",IF(NOT(ISBLANK('A-RACHNATMAK'!N262)),"C","")))</f>
        <v/>
      </c>
      <c r="N243" s="622" t="str">
        <f>IF(NOT(ISBLANK('A-RACHNATMAK'!O264)),"A",IF(NOT(ISBLANK('A-RACHNATMAK'!O263)),"B",IF(NOT(ISBLANK('A-RACHNATMAK'!O262)),"C","")))</f>
        <v/>
      </c>
      <c r="O243" s="622" t="str">
        <f>IF(NOT(ISBLANK('A-RACHNATMAK'!P264)),"A",IF(NOT(ISBLANK('A-RACHNATMAK'!P263)),"B",IF(NOT(ISBLANK('A-RACHNATMAK'!P262)),"C","")))</f>
        <v/>
      </c>
      <c r="P243" s="622" t="str">
        <f>IF(NOT(ISBLANK('A-RACHNATMAK'!Q264)),"A",IF(NOT(ISBLANK('A-RACHNATMAK'!Q263)),"B",IF(NOT(ISBLANK('A-RACHNATMAK'!Q262)),"C","")))</f>
        <v/>
      </c>
      <c r="Q243" s="622" t="str">
        <f>IF(NOT(ISBLANK('A-RACHNATMAK'!R264)),"A",IF(NOT(ISBLANK('A-RACHNATMAK'!R263)),"B",IF(NOT(ISBLANK('A-RACHNATMAK'!R262)),"C","")))</f>
        <v/>
      </c>
      <c r="R243" s="622" t="str">
        <f>IF(NOT(ISBLANK('A-RACHNATMAK'!S264)),"A",IF(NOT(ISBLANK('A-RACHNATMAK'!S263)),"B",IF(NOT(ISBLANK('A-RACHNATMAK'!S262)),"C","")))</f>
        <v/>
      </c>
      <c r="S243" s="622" t="str">
        <f>IF(NOT(ISBLANK('A-RACHNATMAK'!T264)),"A",IF(NOT(ISBLANK('A-RACHNATMAK'!T263)),"B",IF(NOT(ISBLANK('A-RACHNATMAK'!T262)),"C","")))</f>
        <v/>
      </c>
      <c r="T243" s="622" t="str">
        <f>IF(NOT(ISBLANK('A-RACHNATMAK'!U264)),"A",IF(NOT(ISBLANK('A-RACHNATMAK'!U263)),"B",IF(NOT(ISBLANK('A-RACHNATMAK'!U262)),"C","")))</f>
        <v/>
      </c>
      <c r="U243" s="622" t="str">
        <f>IF(NOT(ISBLANK('A-RACHNATMAK'!V264)),"A",IF(NOT(ISBLANK('A-RACHNATMAK'!V263)),"B",IF(NOT(ISBLANK('A-RACHNATMAK'!V262)),"C","")))</f>
        <v/>
      </c>
      <c r="V243" s="622">
        <f t="shared" ref="V243" si="456">COUNTIF(B243:U243,"A")</f>
        <v>0</v>
      </c>
      <c r="W243" s="622">
        <f t="shared" ref="W243" si="457">COUNTIF(B243:U243,"B")</f>
        <v>0</v>
      </c>
      <c r="X243" s="622">
        <f t="shared" ref="X243" si="458">COUNTIF(B243:U243,"C")</f>
        <v>0</v>
      </c>
      <c r="Y243" s="330"/>
      <c r="Z243" s="623">
        <v>10</v>
      </c>
      <c r="AA243" s="622" t="str">
        <f>IF(NOT(ISBLANK('A-RACHNATMAK'!AD264)),"A",IF(NOT(ISBLANK('A-RACHNATMAK'!AD263)),"B",IF(NOT(ISBLANK('A-RACHNATMAK'!AD262)),"C","")))</f>
        <v/>
      </c>
      <c r="AB243" s="622" t="str">
        <f>IF(NOT(ISBLANK('A-RACHNATMAK'!AE264)),"A",IF(NOT(ISBLANK('A-RACHNATMAK'!AE263)),"B",IF(NOT(ISBLANK('A-RACHNATMAK'!AE262)),"C","")))</f>
        <v/>
      </c>
      <c r="AC243" s="622" t="str">
        <f>IF(NOT(ISBLANK('A-RACHNATMAK'!AF264)),"A",IF(NOT(ISBLANK('A-RACHNATMAK'!AF263)),"B",IF(NOT(ISBLANK('A-RACHNATMAK'!AF262)),"C","")))</f>
        <v/>
      </c>
      <c r="AD243" s="622" t="str">
        <f>IF(NOT(ISBLANK('A-RACHNATMAK'!AG264)),"A",IF(NOT(ISBLANK('A-RACHNATMAK'!AG263)),"B",IF(NOT(ISBLANK('A-RACHNATMAK'!AG262)),"C","")))</f>
        <v/>
      </c>
      <c r="AE243" s="622" t="str">
        <f>IF(NOT(ISBLANK('A-RACHNATMAK'!AH264)),"A",IF(NOT(ISBLANK('A-RACHNATMAK'!AH263)),"B",IF(NOT(ISBLANK('A-RACHNATMAK'!AH262)),"C","")))</f>
        <v/>
      </c>
      <c r="AF243" s="622" t="str">
        <f>IF(NOT(ISBLANK('A-RACHNATMAK'!AI264)),"A",IF(NOT(ISBLANK('A-RACHNATMAK'!AI263)),"B",IF(NOT(ISBLANK('A-RACHNATMAK'!AI262)),"C","")))</f>
        <v/>
      </c>
      <c r="AG243" s="622" t="str">
        <f>IF(NOT(ISBLANK('A-RACHNATMAK'!AJ264)),"A",IF(NOT(ISBLANK('A-RACHNATMAK'!AJ263)),"B",IF(NOT(ISBLANK('A-RACHNATMAK'!AJ262)),"C","")))</f>
        <v/>
      </c>
      <c r="AH243" s="622" t="str">
        <f>IF(NOT(ISBLANK('A-RACHNATMAK'!AK264)),"A",IF(NOT(ISBLANK('A-RACHNATMAK'!AK263)),"B",IF(NOT(ISBLANK('A-RACHNATMAK'!AK262)),"C","")))</f>
        <v/>
      </c>
      <c r="AI243" s="622" t="str">
        <f>IF(NOT(ISBLANK('A-RACHNATMAK'!AL264)),"A",IF(NOT(ISBLANK('A-RACHNATMAK'!AL263)),"B",IF(NOT(ISBLANK('A-RACHNATMAK'!AL262)),"C","")))</f>
        <v/>
      </c>
      <c r="AJ243" s="622" t="str">
        <f>IF(NOT(ISBLANK('A-RACHNATMAK'!AM264)),"A",IF(NOT(ISBLANK('A-RACHNATMAK'!AM263)),"B",IF(NOT(ISBLANK('A-RACHNATMAK'!AM262)),"C","")))</f>
        <v/>
      </c>
      <c r="AK243" s="622" t="str">
        <f>IF(NOT(ISBLANK('A-RACHNATMAK'!AN264)),"A",IF(NOT(ISBLANK('A-RACHNATMAK'!AN263)),"B",IF(NOT(ISBLANK('A-RACHNATMAK'!AN262)),"C","")))</f>
        <v/>
      </c>
      <c r="AL243" s="622" t="str">
        <f>IF(NOT(ISBLANK('A-RACHNATMAK'!AO264)),"A",IF(NOT(ISBLANK('A-RACHNATMAK'!AO263)),"B",IF(NOT(ISBLANK('A-RACHNATMAK'!AO262)),"C","")))</f>
        <v/>
      </c>
      <c r="AM243" s="622" t="str">
        <f>IF(NOT(ISBLANK('A-RACHNATMAK'!AP264)),"A",IF(NOT(ISBLANK('A-RACHNATMAK'!AP263)),"B",IF(NOT(ISBLANK('A-RACHNATMAK'!AP262)),"C","")))</f>
        <v/>
      </c>
      <c r="AN243" s="622" t="str">
        <f>IF(NOT(ISBLANK('A-RACHNATMAK'!AQ264)),"A",IF(NOT(ISBLANK('A-RACHNATMAK'!AQ263)),"B",IF(NOT(ISBLANK('A-RACHNATMAK'!AQ262)),"C","")))</f>
        <v/>
      </c>
      <c r="AO243" s="622" t="str">
        <f>IF(NOT(ISBLANK('A-RACHNATMAK'!AR264)),"A",IF(NOT(ISBLANK('A-RACHNATMAK'!AR263)),"B",IF(NOT(ISBLANK('A-RACHNATMAK'!AR262)),"C","")))</f>
        <v/>
      </c>
      <c r="AP243" s="622" t="str">
        <f>IF(NOT(ISBLANK('A-RACHNATMAK'!AS264)),"A",IF(NOT(ISBLANK('A-RACHNATMAK'!AS263)),"B",IF(NOT(ISBLANK('A-RACHNATMAK'!AS262)),"C","")))</f>
        <v/>
      </c>
      <c r="AQ243" s="622" t="str">
        <f>IF(NOT(ISBLANK('A-RACHNATMAK'!AT264)),"A",IF(NOT(ISBLANK('A-RACHNATMAK'!AT263)),"B",IF(NOT(ISBLANK('A-RACHNATMAK'!AT262)),"C","")))</f>
        <v/>
      </c>
      <c r="AR243" s="622" t="str">
        <f>IF(NOT(ISBLANK('A-RACHNATMAK'!AU264)),"A",IF(NOT(ISBLANK('A-RACHNATMAK'!AU263)),"B",IF(NOT(ISBLANK('A-RACHNATMAK'!AU262)),"C","")))</f>
        <v/>
      </c>
      <c r="AS243" s="622" t="str">
        <f>IF(NOT(ISBLANK('A-RACHNATMAK'!AV264)),"A",IF(NOT(ISBLANK('A-RACHNATMAK'!AV263)),"B",IF(NOT(ISBLANK('A-RACHNATMAK'!AV262)),"C","")))</f>
        <v/>
      </c>
      <c r="AT243" s="622" t="str">
        <f>IF(NOT(ISBLANK('A-RACHNATMAK'!AW264)),"A",IF(NOT(ISBLANK('A-RACHNATMAK'!AW263)),"B",IF(NOT(ISBLANK('A-RACHNATMAK'!AW262)),"C","")))</f>
        <v/>
      </c>
      <c r="AU243" s="622">
        <f t="shared" ref="AU243" si="459">COUNTIF(AA243:AT243,"A")</f>
        <v>0</v>
      </c>
      <c r="AV243" s="622">
        <f t="shared" ref="AV243" si="460">COUNTIF(AA243:AT243,"B")</f>
        <v>0</v>
      </c>
      <c r="AW243" s="622">
        <f t="shared" ref="AW243" si="461">COUNTIF(AA243:AT243,"C")</f>
        <v>0</v>
      </c>
    </row>
    <row r="244" spans="1:49" ht="7.5" customHeight="1">
      <c r="A244" s="623"/>
      <c r="B244" s="622"/>
      <c r="C244" s="622"/>
      <c r="D244" s="622"/>
      <c r="E244" s="622"/>
      <c r="F244" s="622"/>
      <c r="G244" s="622"/>
      <c r="H244" s="622"/>
      <c r="I244" s="622"/>
      <c r="J244" s="622"/>
      <c r="K244" s="622"/>
      <c r="L244" s="622"/>
      <c r="M244" s="622"/>
      <c r="N244" s="622"/>
      <c r="O244" s="622"/>
      <c r="P244" s="622"/>
      <c r="Q244" s="622"/>
      <c r="R244" s="622"/>
      <c r="S244" s="622"/>
      <c r="T244" s="622"/>
      <c r="U244" s="622"/>
      <c r="V244" s="622"/>
      <c r="W244" s="622"/>
      <c r="X244" s="622"/>
      <c r="Y244" s="330"/>
      <c r="Z244" s="623"/>
      <c r="AA244" s="622"/>
      <c r="AB244" s="622"/>
      <c r="AC244" s="622"/>
      <c r="AD244" s="622"/>
      <c r="AE244" s="622"/>
      <c r="AF244" s="622"/>
      <c r="AG244" s="622"/>
      <c r="AH244" s="622"/>
      <c r="AI244" s="622"/>
      <c r="AJ244" s="622"/>
      <c r="AK244" s="622"/>
      <c r="AL244" s="622"/>
      <c r="AM244" s="622"/>
      <c r="AN244" s="622"/>
      <c r="AO244" s="622"/>
      <c r="AP244" s="622"/>
      <c r="AQ244" s="622"/>
      <c r="AR244" s="622"/>
      <c r="AS244" s="622"/>
      <c r="AT244" s="622"/>
      <c r="AU244" s="622"/>
      <c r="AV244" s="622"/>
      <c r="AW244" s="622"/>
    </row>
    <row r="245" spans="1:49" ht="7.5" customHeight="1">
      <c r="A245" s="623"/>
      <c r="B245" s="622"/>
      <c r="C245" s="622"/>
      <c r="D245" s="622"/>
      <c r="E245" s="622"/>
      <c r="F245" s="622"/>
      <c r="G245" s="622"/>
      <c r="H245" s="622"/>
      <c r="I245" s="622"/>
      <c r="J245" s="622"/>
      <c r="K245" s="622"/>
      <c r="L245" s="622"/>
      <c r="M245" s="622"/>
      <c r="N245" s="622"/>
      <c r="O245" s="622"/>
      <c r="P245" s="622"/>
      <c r="Q245" s="622"/>
      <c r="R245" s="622"/>
      <c r="S245" s="622"/>
      <c r="T245" s="622"/>
      <c r="U245" s="622"/>
      <c r="V245" s="622"/>
      <c r="W245" s="622"/>
      <c r="X245" s="622"/>
      <c r="Y245" s="330"/>
      <c r="Z245" s="623"/>
      <c r="AA245" s="622"/>
      <c r="AB245" s="622"/>
      <c r="AC245" s="622"/>
      <c r="AD245" s="622"/>
      <c r="AE245" s="622"/>
      <c r="AF245" s="622"/>
      <c r="AG245" s="622"/>
      <c r="AH245" s="622"/>
      <c r="AI245" s="622"/>
      <c r="AJ245" s="622"/>
      <c r="AK245" s="622"/>
      <c r="AL245" s="622"/>
      <c r="AM245" s="622"/>
      <c r="AN245" s="622"/>
      <c r="AO245" s="622"/>
      <c r="AP245" s="622"/>
      <c r="AQ245" s="622"/>
      <c r="AR245" s="622"/>
      <c r="AS245" s="622"/>
      <c r="AT245" s="622"/>
      <c r="AU245" s="622"/>
      <c r="AV245" s="622"/>
      <c r="AW245" s="622"/>
    </row>
    <row r="246" spans="1:49" ht="7.5" customHeight="1">
      <c r="A246" s="623">
        <v>11</v>
      </c>
      <c r="B246" s="622" t="str">
        <f>IF(NOT(ISBLANK('A-RACHNATMAK'!C267)),"A",IF(NOT(ISBLANK('A-RACHNATMAK'!C266)),"B",IF(NOT(ISBLANK('A-RACHNATMAK'!C265)),"C","")))</f>
        <v/>
      </c>
      <c r="C246" s="622" t="str">
        <f>IF(NOT(ISBLANK('A-RACHNATMAK'!D267)),"A",IF(NOT(ISBLANK('A-RACHNATMAK'!D266)),"B",IF(NOT(ISBLANK('A-RACHNATMAK'!D265)),"C","")))</f>
        <v/>
      </c>
      <c r="D246" s="622" t="str">
        <f>IF(NOT(ISBLANK('A-RACHNATMAK'!E267)),"A",IF(NOT(ISBLANK('A-RACHNATMAK'!E266)),"B",IF(NOT(ISBLANK('A-RACHNATMAK'!E265)),"C","")))</f>
        <v/>
      </c>
      <c r="E246" s="622" t="str">
        <f>IF(NOT(ISBLANK('A-RACHNATMAK'!F267)),"A",IF(NOT(ISBLANK('A-RACHNATMAK'!F266)),"B",IF(NOT(ISBLANK('A-RACHNATMAK'!F265)),"C","")))</f>
        <v/>
      </c>
      <c r="F246" s="622" t="str">
        <f>IF(NOT(ISBLANK('A-RACHNATMAK'!G267)),"A",IF(NOT(ISBLANK('A-RACHNATMAK'!G266)),"B",IF(NOT(ISBLANK('A-RACHNATMAK'!G265)),"C","")))</f>
        <v/>
      </c>
      <c r="G246" s="622" t="str">
        <f>IF(NOT(ISBLANK('A-RACHNATMAK'!H267)),"A",IF(NOT(ISBLANK('A-RACHNATMAK'!H266)),"B",IF(NOT(ISBLANK('A-RACHNATMAK'!H265)),"C","")))</f>
        <v/>
      </c>
      <c r="H246" s="622" t="str">
        <f>IF(NOT(ISBLANK('A-RACHNATMAK'!I267)),"A",IF(NOT(ISBLANK('A-RACHNATMAK'!I266)),"B",IF(NOT(ISBLANK('A-RACHNATMAK'!I265)),"C","")))</f>
        <v/>
      </c>
      <c r="I246" s="622" t="str">
        <f>IF(NOT(ISBLANK('A-RACHNATMAK'!J267)),"A",IF(NOT(ISBLANK('A-RACHNATMAK'!J266)),"B",IF(NOT(ISBLANK('A-RACHNATMAK'!J265)),"C","")))</f>
        <v/>
      </c>
      <c r="J246" s="622" t="str">
        <f>IF(NOT(ISBLANK('A-RACHNATMAK'!K267)),"A",IF(NOT(ISBLANK('A-RACHNATMAK'!K266)),"B",IF(NOT(ISBLANK('A-RACHNATMAK'!K265)),"C","")))</f>
        <v/>
      </c>
      <c r="K246" s="622" t="str">
        <f>IF(NOT(ISBLANK('A-RACHNATMAK'!L267)),"A",IF(NOT(ISBLANK('A-RACHNATMAK'!L266)),"B",IF(NOT(ISBLANK('A-RACHNATMAK'!L265)),"C","")))</f>
        <v/>
      </c>
      <c r="L246" s="622" t="str">
        <f>IF(NOT(ISBLANK('A-RACHNATMAK'!M267)),"A",IF(NOT(ISBLANK('A-RACHNATMAK'!M266)),"B",IF(NOT(ISBLANK('A-RACHNATMAK'!M265)),"C","")))</f>
        <v/>
      </c>
      <c r="M246" s="622" t="str">
        <f>IF(NOT(ISBLANK('A-RACHNATMAK'!N267)),"A",IF(NOT(ISBLANK('A-RACHNATMAK'!N266)),"B",IF(NOT(ISBLANK('A-RACHNATMAK'!N265)),"C","")))</f>
        <v/>
      </c>
      <c r="N246" s="622" t="str">
        <f>IF(NOT(ISBLANK('A-RACHNATMAK'!O267)),"A",IF(NOT(ISBLANK('A-RACHNATMAK'!O266)),"B",IF(NOT(ISBLANK('A-RACHNATMAK'!O265)),"C","")))</f>
        <v/>
      </c>
      <c r="O246" s="622" t="str">
        <f>IF(NOT(ISBLANK('A-RACHNATMAK'!P267)),"A",IF(NOT(ISBLANK('A-RACHNATMAK'!P266)),"B",IF(NOT(ISBLANK('A-RACHNATMAK'!P265)),"C","")))</f>
        <v/>
      </c>
      <c r="P246" s="622" t="str">
        <f>IF(NOT(ISBLANK('A-RACHNATMAK'!Q267)),"A",IF(NOT(ISBLANK('A-RACHNATMAK'!Q266)),"B",IF(NOT(ISBLANK('A-RACHNATMAK'!Q265)),"C","")))</f>
        <v/>
      </c>
      <c r="Q246" s="622" t="str">
        <f>IF(NOT(ISBLANK('A-RACHNATMAK'!R267)),"A",IF(NOT(ISBLANK('A-RACHNATMAK'!R266)),"B",IF(NOT(ISBLANK('A-RACHNATMAK'!R265)),"C","")))</f>
        <v/>
      </c>
      <c r="R246" s="622" t="str">
        <f>IF(NOT(ISBLANK('A-RACHNATMAK'!S267)),"A",IF(NOT(ISBLANK('A-RACHNATMAK'!S266)),"B",IF(NOT(ISBLANK('A-RACHNATMAK'!S265)),"C","")))</f>
        <v/>
      </c>
      <c r="S246" s="622" t="str">
        <f>IF(NOT(ISBLANK('A-RACHNATMAK'!T267)),"A",IF(NOT(ISBLANK('A-RACHNATMAK'!T266)),"B",IF(NOT(ISBLANK('A-RACHNATMAK'!T265)),"C","")))</f>
        <v/>
      </c>
      <c r="T246" s="622" t="str">
        <f>IF(NOT(ISBLANK('A-RACHNATMAK'!U267)),"A",IF(NOT(ISBLANK('A-RACHNATMAK'!U266)),"B",IF(NOT(ISBLANK('A-RACHNATMAK'!U265)),"C","")))</f>
        <v/>
      </c>
      <c r="U246" s="622" t="str">
        <f>IF(NOT(ISBLANK('A-RACHNATMAK'!V267)),"A",IF(NOT(ISBLANK('A-RACHNATMAK'!V266)),"B",IF(NOT(ISBLANK('A-RACHNATMAK'!V265)),"C","")))</f>
        <v/>
      </c>
      <c r="V246" s="622">
        <f t="shared" ref="V246" si="462">COUNTIF(B246:U246,"A")</f>
        <v>0</v>
      </c>
      <c r="W246" s="622">
        <f t="shared" ref="W246" si="463">COUNTIF(B246:U246,"B")</f>
        <v>0</v>
      </c>
      <c r="X246" s="622">
        <f t="shared" ref="X246" si="464">COUNTIF(B246:U246,"C")</f>
        <v>0</v>
      </c>
      <c r="Y246" s="330"/>
      <c r="Z246" s="623">
        <v>11</v>
      </c>
      <c r="AA246" s="622" t="str">
        <f>IF(NOT(ISBLANK('A-RACHNATMAK'!AD267)),"A",IF(NOT(ISBLANK('A-RACHNATMAK'!AD266)),"B",IF(NOT(ISBLANK('A-RACHNATMAK'!AD265)),"C","")))</f>
        <v/>
      </c>
      <c r="AB246" s="622" t="str">
        <f>IF(NOT(ISBLANK('A-RACHNATMAK'!AE267)),"A",IF(NOT(ISBLANK('A-RACHNATMAK'!AE266)),"B",IF(NOT(ISBLANK('A-RACHNATMAK'!AE265)),"C","")))</f>
        <v/>
      </c>
      <c r="AC246" s="622" t="str">
        <f>IF(NOT(ISBLANK('A-RACHNATMAK'!AF267)),"A",IF(NOT(ISBLANK('A-RACHNATMAK'!AF266)),"B",IF(NOT(ISBLANK('A-RACHNATMAK'!AF265)),"C","")))</f>
        <v/>
      </c>
      <c r="AD246" s="622" t="str">
        <f>IF(NOT(ISBLANK('A-RACHNATMAK'!AG267)),"A",IF(NOT(ISBLANK('A-RACHNATMAK'!AG266)),"B",IF(NOT(ISBLANK('A-RACHNATMAK'!AG265)),"C","")))</f>
        <v/>
      </c>
      <c r="AE246" s="622" t="str">
        <f>IF(NOT(ISBLANK('A-RACHNATMAK'!AH267)),"A",IF(NOT(ISBLANK('A-RACHNATMAK'!AH266)),"B",IF(NOT(ISBLANK('A-RACHNATMAK'!AH265)),"C","")))</f>
        <v/>
      </c>
      <c r="AF246" s="622" t="str">
        <f>IF(NOT(ISBLANK('A-RACHNATMAK'!AI267)),"A",IF(NOT(ISBLANK('A-RACHNATMAK'!AI266)),"B",IF(NOT(ISBLANK('A-RACHNATMAK'!AI265)),"C","")))</f>
        <v/>
      </c>
      <c r="AG246" s="622" t="str">
        <f>IF(NOT(ISBLANK('A-RACHNATMAK'!AJ267)),"A",IF(NOT(ISBLANK('A-RACHNATMAK'!AJ266)),"B",IF(NOT(ISBLANK('A-RACHNATMAK'!AJ265)),"C","")))</f>
        <v/>
      </c>
      <c r="AH246" s="622" t="str">
        <f>IF(NOT(ISBLANK('A-RACHNATMAK'!AK267)),"A",IF(NOT(ISBLANK('A-RACHNATMAK'!AK266)),"B",IF(NOT(ISBLANK('A-RACHNATMAK'!AK265)),"C","")))</f>
        <v/>
      </c>
      <c r="AI246" s="622" t="str">
        <f>IF(NOT(ISBLANK('A-RACHNATMAK'!AL267)),"A",IF(NOT(ISBLANK('A-RACHNATMAK'!AL266)),"B",IF(NOT(ISBLANK('A-RACHNATMAK'!AL265)),"C","")))</f>
        <v/>
      </c>
      <c r="AJ246" s="622" t="str">
        <f>IF(NOT(ISBLANK('A-RACHNATMAK'!AM267)),"A",IF(NOT(ISBLANK('A-RACHNATMAK'!AM266)),"B",IF(NOT(ISBLANK('A-RACHNATMAK'!AM265)),"C","")))</f>
        <v/>
      </c>
      <c r="AK246" s="622" t="str">
        <f>IF(NOT(ISBLANK('A-RACHNATMAK'!AN267)),"A",IF(NOT(ISBLANK('A-RACHNATMAK'!AN266)),"B",IF(NOT(ISBLANK('A-RACHNATMAK'!AN265)),"C","")))</f>
        <v/>
      </c>
      <c r="AL246" s="622" t="str">
        <f>IF(NOT(ISBLANK('A-RACHNATMAK'!AO267)),"A",IF(NOT(ISBLANK('A-RACHNATMAK'!AO266)),"B",IF(NOT(ISBLANK('A-RACHNATMAK'!AO265)),"C","")))</f>
        <v/>
      </c>
      <c r="AM246" s="622" t="str">
        <f>IF(NOT(ISBLANK('A-RACHNATMAK'!AP267)),"A",IF(NOT(ISBLANK('A-RACHNATMAK'!AP266)),"B",IF(NOT(ISBLANK('A-RACHNATMAK'!AP265)),"C","")))</f>
        <v/>
      </c>
      <c r="AN246" s="622" t="str">
        <f>IF(NOT(ISBLANK('A-RACHNATMAK'!AQ267)),"A",IF(NOT(ISBLANK('A-RACHNATMAK'!AQ266)),"B",IF(NOT(ISBLANK('A-RACHNATMAK'!AQ265)),"C","")))</f>
        <v/>
      </c>
      <c r="AO246" s="622" t="str">
        <f>IF(NOT(ISBLANK('A-RACHNATMAK'!AR267)),"A",IF(NOT(ISBLANK('A-RACHNATMAK'!AR266)),"B",IF(NOT(ISBLANK('A-RACHNATMAK'!AR265)),"C","")))</f>
        <v/>
      </c>
      <c r="AP246" s="622" t="str">
        <f>IF(NOT(ISBLANK('A-RACHNATMAK'!AS267)),"A",IF(NOT(ISBLANK('A-RACHNATMAK'!AS266)),"B",IF(NOT(ISBLANK('A-RACHNATMAK'!AS265)),"C","")))</f>
        <v/>
      </c>
      <c r="AQ246" s="622" t="str">
        <f>IF(NOT(ISBLANK('A-RACHNATMAK'!AT267)),"A",IF(NOT(ISBLANK('A-RACHNATMAK'!AT266)),"B",IF(NOT(ISBLANK('A-RACHNATMAK'!AT265)),"C","")))</f>
        <v/>
      </c>
      <c r="AR246" s="622" t="str">
        <f>IF(NOT(ISBLANK('A-RACHNATMAK'!AU267)),"A",IF(NOT(ISBLANK('A-RACHNATMAK'!AU266)),"B",IF(NOT(ISBLANK('A-RACHNATMAK'!AU265)),"C","")))</f>
        <v/>
      </c>
      <c r="AS246" s="622" t="str">
        <f>IF(NOT(ISBLANK('A-RACHNATMAK'!AV267)),"A",IF(NOT(ISBLANK('A-RACHNATMAK'!AV266)),"B",IF(NOT(ISBLANK('A-RACHNATMAK'!AV265)),"C","")))</f>
        <v/>
      </c>
      <c r="AT246" s="622" t="str">
        <f>IF(NOT(ISBLANK('A-RACHNATMAK'!AW267)),"A",IF(NOT(ISBLANK('A-RACHNATMAK'!AW266)),"B",IF(NOT(ISBLANK('A-RACHNATMAK'!AW265)),"C","")))</f>
        <v/>
      </c>
      <c r="AU246" s="622">
        <f t="shared" ref="AU246" si="465">COUNTIF(AA246:AT246,"A")</f>
        <v>0</v>
      </c>
      <c r="AV246" s="622">
        <f t="shared" ref="AV246" si="466">COUNTIF(AA246:AT246,"B")</f>
        <v>0</v>
      </c>
      <c r="AW246" s="622">
        <f t="shared" ref="AW246" si="467">COUNTIF(AA246:AT246,"C")</f>
        <v>0</v>
      </c>
    </row>
    <row r="247" spans="1:49" ht="7.5" customHeight="1">
      <c r="A247" s="623"/>
      <c r="B247" s="622"/>
      <c r="C247" s="622"/>
      <c r="D247" s="622"/>
      <c r="E247" s="622"/>
      <c r="F247" s="622"/>
      <c r="G247" s="622"/>
      <c r="H247" s="622"/>
      <c r="I247" s="622"/>
      <c r="J247" s="622"/>
      <c r="K247" s="622"/>
      <c r="L247" s="622"/>
      <c r="M247" s="622"/>
      <c r="N247" s="622"/>
      <c r="O247" s="622"/>
      <c r="P247" s="622"/>
      <c r="Q247" s="622"/>
      <c r="R247" s="622"/>
      <c r="S247" s="622"/>
      <c r="T247" s="622"/>
      <c r="U247" s="622"/>
      <c r="V247" s="622"/>
      <c r="W247" s="622"/>
      <c r="X247" s="622"/>
      <c r="Y247" s="330"/>
      <c r="Z247" s="623"/>
      <c r="AA247" s="622"/>
      <c r="AB247" s="622"/>
      <c r="AC247" s="622"/>
      <c r="AD247" s="622"/>
      <c r="AE247" s="622"/>
      <c r="AF247" s="622"/>
      <c r="AG247" s="622"/>
      <c r="AH247" s="622"/>
      <c r="AI247" s="622"/>
      <c r="AJ247" s="622"/>
      <c r="AK247" s="622"/>
      <c r="AL247" s="622"/>
      <c r="AM247" s="622"/>
      <c r="AN247" s="622"/>
      <c r="AO247" s="622"/>
      <c r="AP247" s="622"/>
      <c r="AQ247" s="622"/>
      <c r="AR247" s="622"/>
      <c r="AS247" s="622"/>
      <c r="AT247" s="622"/>
      <c r="AU247" s="622"/>
      <c r="AV247" s="622"/>
      <c r="AW247" s="622"/>
    </row>
    <row r="248" spans="1:49" ht="7.5" customHeight="1">
      <c r="A248" s="623"/>
      <c r="B248" s="622"/>
      <c r="C248" s="622"/>
      <c r="D248" s="622"/>
      <c r="E248" s="622"/>
      <c r="F248" s="622"/>
      <c r="G248" s="622"/>
      <c r="H248" s="622"/>
      <c r="I248" s="622"/>
      <c r="J248" s="622"/>
      <c r="K248" s="622"/>
      <c r="L248" s="622"/>
      <c r="M248" s="622"/>
      <c r="N248" s="622"/>
      <c r="O248" s="622"/>
      <c r="P248" s="622"/>
      <c r="Q248" s="622"/>
      <c r="R248" s="622"/>
      <c r="S248" s="622"/>
      <c r="T248" s="622"/>
      <c r="U248" s="622"/>
      <c r="V248" s="622"/>
      <c r="W248" s="622"/>
      <c r="X248" s="622"/>
      <c r="Y248" s="330"/>
      <c r="Z248" s="623"/>
      <c r="AA248" s="622"/>
      <c r="AB248" s="622"/>
      <c r="AC248" s="622"/>
      <c r="AD248" s="622"/>
      <c r="AE248" s="622"/>
      <c r="AF248" s="622"/>
      <c r="AG248" s="622"/>
      <c r="AH248" s="622"/>
      <c r="AI248" s="622"/>
      <c r="AJ248" s="622"/>
      <c r="AK248" s="622"/>
      <c r="AL248" s="622"/>
      <c r="AM248" s="622"/>
      <c r="AN248" s="622"/>
      <c r="AO248" s="622"/>
      <c r="AP248" s="622"/>
      <c r="AQ248" s="622"/>
      <c r="AR248" s="622"/>
      <c r="AS248" s="622"/>
      <c r="AT248" s="622"/>
      <c r="AU248" s="622"/>
      <c r="AV248" s="622"/>
      <c r="AW248" s="622"/>
    </row>
    <row r="249" spans="1:49" ht="7.5" customHeight="1">
      <c r="A249" s="623">
        <v>12</v>
      </c>
      <c r="B249" s="622" t="str">
        <f>IF(NOT(ISBLANK('A-RACHNATMAK'!C270)),"A",IF(NOT(ISBLANK('A-RACHNATMAK'!C269)),"B",IF(NOT(ISBLANK('A-RACHNATMAK'!C268)),"C","")))</f>
        <v/>
      </c>
      <c r="C249" s="622" t="str">
        <f>IF(NOT(ISBLANK('A-RACHNATMAK'!D270)),"A",IF(NOT(ISBLANK('A-RACHNATMAK'!D269)),"B",IF(NOT(ISBLANK('A-RACHNATMAK'!D268)),"C","")))</f>
        <v/>
      </c>
      <c r="D249" s="622" t="str">
        <f>IF(NOT(ISBLANK('A-RACHNATMAK'!E270)),"A",IF(NOT(ISBLANK('A-RACHNATMAK'!E269)),"B",IF(NOT(ISBLANK('A-RACHNATMAK'!E268)),"C","")))</f>
        <v/>
      </c>
      <c r="E249" s="622" t="str">
        <f>IF(NOT(ISBLANK('A-RACHNATMAK'!F270)),"A",IF(NOT(ISBLANK('A-RACHNATMAK'!F269)),"B",IF(NOT(ISBLANK('A-RACHNATMAK'!F268)),"C","")))</f>
        <v/>
      </c>
      <c r="F249" s="622" t="str">
        <f>IF(NOT(ISBLANK('A-RACHNATMAK'!G270)),"A",IF(NOT(ISBLANK('A-RACHNATMAK'!G269)),"B",IF(NOT(ISBLANK('A-RACHNATMAK'!G268)),"C","")))</f>
        <v/>
      </c>
      <c r="G249" s="622" t="str">
        <f>IF(NOT(ISBLANK('A-RACHNATMAK'!H270)),"A",IF(NOT(ISBLANK('A-RACHNATMAK'!H269)),"B",IF(NOT(ISBLANK('A-RACHNATMAK'!H268)),"C","")))</f>
        <v/>
      </c>
      <c r="H249" s="622" t="str">
        <f>IF(NOT(ISBLANK('A-RACHNATMAK'!I270)),"A",IF(NOT(ISBLANK('A-RACHNATMAK'!I269)),"B",IF(NOT(ISBLANK('A-RACHNATMAK'!I268)),"C","")))</f>
        <v/>
      </c>
      <c r="I249" s="622" t="str">
        <f>IF(NOT(ISBLANK('A-RACHNATMAK'!J270)),"A",IF(NOT(ISBLANK('A-RACHNATMAK'!J269)),"B",IF(NOT(ISBLANK('A-RACHNATMAK'!J268)),"C","")))</f>
        <v/>
      </c>
      <c r="J249" s="622" t="str">
        <f>IF(NOT(ISBLANK('A-RACHNATMAK'!K270)),"A",IF(NOT(ISBLANK('A-RACHNATMAK'!K269)),"B",IF(NOT(ISBLANK('A-RACHNATMAK'!K268)),"C","")))</f>
        <v/>
      </c>
      <c r="K249" s="622" t="str">
        <f>IF(NOT(ISBLANK('A-RACHNATMAK'!L270)),"A",IF(NOT(ISBLANK('A-RACHNATMAK'!L269)),"B",IF(NOT(ISBLANK('A-RACHNATMAK'!L268)),"C","")))</f>
        <v/>
      </c>
      <c r="L249" s="622" t="str">
        <f>IF(NOT(ISBLANK('A-RACHNATMAK'!M270)),"A",IF(NOT(ISBLANK('A-RACHNATMAK'!M269)),"B",IF(NOT(ISBLANK('A-RACHNATMAK'!M268)),"C","")))</f>
        <v/>
      </c>
      <c r="M249" s="622" t="str">
        <f>IF(NOT(ISBLANK('A-RACHNATMAK'!N270)),"A",IF(NOT(ISBLANK('A-RACHNATMAK'!N269)),"B",IF(NOT(ISBLANK('A-RACHNATMAK'!N268)),"C","")))</f>
        <v/>
      </c>
      <c r="N249" s="622" t="str">
        <f>IF(NOT(ISBLANK('A-RACHNATMAK'!O270)),"A",IF(NOT(ISBLANK('A-RACHNATMAK'!O269)),"B",IF(NOT(ISBLANK('A-RACHNATMAK'!O268)),"C","")))</f>
        <v/>
      </c>
      <c r="O249" s="622" t="str">
        <f>IF(NOT(ISBLANK('A-RACHNATMAK'!P270)),"A",IF(NOT(ISBLANK('A-RACHNATMAK'!P269)),"B",IF(NOT(ISBLANK('A-RACHNATMAK'!P268)),"C","")))</f>
        <v/>
      </c>
      <c r="P249" s="622" t="str">
        <f>IF(NOT(ISBLANK('A-RACHNATMAK'!Q270)),"A",IF(NOT(ISBLANK('A-RACHNATMAK'!Q269)),"B",IF(NOT(ISBLANK('A-RACHNATMAK'!Q268)),"C","")))</f>
        <v/>
      </c>
      <c r="Q249" s="622" t="str">
        <f>IF(NOT(ISBLANK('A-RACHNATMAK'!R270)),"A",IF(NOT(ISBLANK('A-RACHNATMAK'!R269)),"B",IF(NOT(ISBLANK('A-RACHNATMAK'!R268)),"C","")))</f>
        <v/>
      </c>
      <c r="R249" s="622" t="str">
        <f>IF(NOT(ISBLANK('A-RACHNATMAK'!S270)),"A",IF(NOT(ISBLANK('A-RACHNATMAK'!S269)),"B",IF(NOT(ISBLANK('A-RACHNATMAK'!S268)),"C","")))</f>
        <v/>
      </c>
      <c r="S249" s="622" t="str">
        <f>IF(NOT(ISBLANK('A-RACHNATMAK'!T270)),"A",IF(NOT(ISBLANK('A-RACHNATMAK'!T269)),"B",IF(NOT(ISBLANK('A-RACHNATMAK'!T268)),"C","")))</f>
        <v/>
      </c>
      <c r="T249" s="622" t="str">
        <f>IF(NOT(ISBLANK('A-RACHNATMAK'!U270)),"A",IF(NOT(ISBLANK('A-RACHNATMAK'!U269)),"B",IF(NOT(ISBLANK('A-RACHNATMAK'!U268)),"C","")))</f>
        <v/>
      </c>
      <c r="U249" s="622" t="str">
        <f>IF(NOT(ISBLANK('A-RACHNATMAK'!V270)),"A",IF(NOT(ISBLANK('A-RACHNATMAK'!V269)),"B",IF(NOT(ISBLANK('A-RACHNATMAK'!V268)),"C","")))</f>
        <v/>
      </c>
      <c r="V249" s="622">
        <f t="shared" ref="V249" si="468">COUNTIF(B249:U249,"A")</f>
        <v>0</v>
      </c>
      <c r="W249" s="622">
        <f t="shared" ref="W249" si="469">COUNTIF(B249:U249,"B")</f>
        <v>0</v>
      </c>
      <c r="X249" s="622">
        <f t="shared" ref="X249" si="470">COUNTIF(B249:U249,"C")</f>
        <v>0</v>
      </c>
      <c r="Y249" s="330"/>
      <c r="Z249" s="623">
        <v>12</v>
      </c>
      <c r="AA249" s="622" t="str">
        <f>IF(NOT(ISBLANK('A-RACHNATMAK'!AD270)),"A",IF(NOT(ISBLANK('A-RACHNATMAK'!AD269)),"B",IF(NOT(ISBLANK('A-RACHNATMAK'!AD268)),"C","")))</f>
        <v/>
      </c>
      <c r="AB249" s="622" t="str">
        <f>IF(NOT(ISBLANK('A-RACHNATMAK'!AE270)),"A",IF(NOT(ISBLANK('A-RACHNATMAK'!AE269)),"B",IF(NOT(ISBLANK('A-RACHNATMAK'!AE268)),"C","")))</f>
        <v/>
      </c>
      <c r="AC249" s="622" t="str">
        <f>IF(NOT(ISBLANK('A-RACHNATMAK'!AF270)),"A",IF(NOT(ISBLANK('A-RACHNATMAK'!AF269)),"B",IF(NOT(ISBLANK('A-RACHNATMAK'!AF268)),"C","")))</f>
        <v/>
      </c>
      <c r="AD249" s="622" t="str">
        <f>IF(NOT(ISBLANK('A-RACHNATMAK'!AG270)),"A",IF(NOT(ISBLANK('A-RACHNATMAK'!AG269)),"B",IF(NOT(ISBLANK('A-RACHNATMAK'!AG268)),"C","")))</f>
        <v/>
      </c>
      <c r="AE249" s="622" t="str">
        <f>IF(NOT(ISBLANK('A-RACHNATMAK'!AH270)),"A",IF(NOT(ISBLANK('A-RACHNATMAK'!AH269)),"B",IF(NOT(ISBLANK('A-RACHNATMAK'!AH268)),"C","")))</f>
        <v/>
      </c>
      <c r="AF249" s="622" t="str">
        <f>IF(NOT(ISBLANK('A-RACHNATMAK'!AI270)),"A",IF(NOT(ISBLANK('A-RACHNATMAK'!AI269)),"B",IF(NOT(ISBLANK('A-RACHNATMAK'!AI268)),"C","")))</f>
        <v/>
      </c>
      <c r="AG249" s="622" t="str">
        <f>IF(NOT(ISBLANK('A-RACHNATMAK'!AJ270)),"A",IF(NOT(ISBLANK('A-RACHNATMAK'!AJ269)),"B",IF(NOT(ISBLANK('A-RACHNATMAK'!AJ268)),"C","")))</f>
        <v/>
      </c>
      <c r="AH249" s="622" t="str">
        <f>IF(NOT(ISBLANK('A-RACHNATMAK'!AK270)),"A",IF(NOT(ISBLANK('A-RACHNATMAK'!AK269)),"B",IF(NOT(ISBLANK('A-RACHNATMAK'!AK268)),"C","")))</f>
        <v/>
      </c>
      <c r="AI249" s="622" t="str">
        <f>IF(NOT(ISBLANK('A-RACHNATMAK'!AL270)),"A",IF(NOT(ISBLANK('A-RACHNATMAK'!AL269)),"B",IF(NOT(ISBLANK('A-RACHNATMAK'!AL268)),"C","")))</f>
        <v/>
      </c>
      <c r="AJ249" s="622" t="str">
        <f>IF(NOT(ISBLANK('A-RACHNATMAK'!AM270)),"A",IF(NOT(ISBLANK('A-RACHNATMAK'!AM269)),"B",IF(NOT(ISBLANK('A-RACHNATMAK'!AM268)),"C","")))</f>
        <v/>
      </c>
      <c r="AK249" s="622" t="str">
        <f>IF(NOT(ISBLANK('A-RACHNATMAK'!AN270)),"A",IF(NOT(ISBLANK('A-RACHNATMAK'!AN269)),"B",IF(NOT(ISBLANK('A-RACHNATMAK'!AN268)),"C","")))</f>
        <v/>
      </c>
      <c r="AL249" s="622" t="str">
        <f>IF(NOT(ISBLANK('A-RACHNATMAK'!AO270)),"A",IF(NOT(ISBLANK('A-RACHNATMAK'!AO269)),"B",IF(NOT(ISBLANK('A-RACHNATMAK'!AO268)),"C","")))</f>
        <v/>
      </c>
      <c r="AM249" s="622" t="str">
        <f>IF(NOT(ISBLANK('A-RACHNATMAK'!AP270)),"A",IF(NOT(ISBLANK('A-RACHNATMAK'!AP269)),"B",IF(NOT(ISBLANK('A-RACHNATMAK'!AP268)),"C","")))</f>
        <v/>
      </c>
      <c r="AN249" s="622" t="str">
        <f>IF(NOT(ISBLANK('A-RACHNATMAK'!AQ270)),"A",IF(NOT(ISBLANK('A-RACHNATMAK'!AQ269)),"B",IF(NOT(ISBLANK('A-RACHNATMAK'!AQ268)),"C","")))</f>
        <v/>
      </c>
      <c r="AO249" s="622" t="str">
        <f>IF(NOT(ISBLANK('A-RACHNATMAK'!AR270)),"A",IF(NOT(ISBLANK('A-RACHNATMAK'!AR269)),"B",IF(NOT(ISBLANK('A-RACHNATMAK'!AR268)),"C","")))</f>
        <v/>
      </c>
      <c r="AP249" s="622" t="str">
        <f>IF(NOT(ISBLANK('A-RACHNATMAK'!AS270)),"A",IF(NOT(ISBLANK('A-RACHNATMAK'!AS269)),"B",IF(NOT(ISBLANK('A-RACHNATMAK'!AS268)),"C","")))</f>
        <v/>
      </c>
      <c r="AQ249" s="622" t="str">
        <f>IF(NOT(ISBLANK('A-RACHNATMAK'!AT270)),"A",IF(NOT(ISBLANK('A-RACHNATMAK'!AT269)),"B",IF(NOT(ISBLANK('A-RACHNATMAK'!AT268)),"C","")))</f>
        <v/>
      </c>
      <c r="AR249" s="622" t="str">
        <f>IF(NOT(ISBLANK('A-RACHNATMAK'!AU270)),"A",IF(NOT(ISBLANK('A-RACHNATMAK'!AU269)),"B",IF(NOT(ISBLANK('A-RACHNATMAK'!AU268)),"C","")))</f>
        <v/>
      </c>
      <c r="AS249" s="622" t="str">
        <f>IF(NOT(ISBLANK('A-RACHNATMAK'!AV270)),"A",IF(NOT(ISBLANK('A-RACHNATMAK'!AV269)),"B",IF(NOT(ISBLANK('A-RACHNATMAK'!AV268)),"C","")))</f>
        <v/>
      </c>
      <c r="AT249" s="622" t="str">
        <f>IF(NOT(ISBLANK('A-RACHNATMAK'!AW270)),"A",IF(NOT(ISBLANK('A-RACHNATMAK'!AW269)),"B",IF(NOT(ISBLANK('A-RACHNATMAK'!AW268)),"C","")))</f>
        <v/>
      </c>
      <c r="AU249" s="622">
        <f t="shared" ref="AU249" si="471">COUNTIF(AA249:AT249,"A")</f>
        <v>0</v>
      </c>
      <c r="AV249" s="622">
        <f t="shared" ref="AV249" si="472">COUNTIF(AA249:AT249,"B")</f>
        <v>0</v>
      </c>
      <c r="AW249" s="622">
        <f t="shared" ref="AW249" si="473">COUNTIF(AA249:AT249,"C")</f>
        <v>0</v>
      </c>
    </row>
    <row r="250" spans="1:49" ht="7.5" customHeight="1">
      <c r="A250" s="623"/>
      <c r="B250" s="622"/>
      <c r="C250" s="622"/>
      <c r="D250" s="622"/>
      <c r="E250" s="622"/>
      <c r="F250" s="622"/>
      <c r="G250" s="622"/>
      <c r="H250" s="622"/>
      <c r="I250" s="622"/>
      <c r="J250" s="622"/>
      <c r="K250" s="622"/>
      <c r="L250" s="622"/>
      <c r="M250" s="622"/>
      <c r="N250" s="622"/>
      <c r="O250" s="622"/>
      <c r="P250" s="622"/>
      <c r="Q250" s="622"/>
      <c r="R250" s="622"/>
      <c r="S250" s="622"/>
      <c r="T250" s="622"/>
      <c r="U250" s="622"/>
      <c r="V250" s="622"/>
      <c r="W250" s="622"/>
      <c r="X250" s="622"/>
      <c r="Y250" s="330"/>
      <c r="Z250" s="623"/>
      <c r="AA250" s="622"/>
      <c r="AB250" s="622"/>
      <c r="AC250" s="622"/>
      <c r="AD250" s="622"/>
      <c r="AE250" s="622"/>
      <c r="AF250" s="622"/>
      <c r="AG250" s="622"/>
      <c r="AH250" s="622"/>
      <c r="AI250" s="622"/>
      <c r="AJ250" s="622"/>
      <c r="AK250" s="622"/>
      <c r="AL250" s="622"/>
      <c r="AM250" s="622"/>
      <c r="AN250" s="622"/>
      <c r="AO250" s="622"/>
      <c r="AP250" s="622"/>
      <c r="AQ250" s="622"/>
      <c r="AR250" s="622"/>
      <c r="AS250" s="622"/>
      <c r="AT250" s="622"/>
      <c r="AU250" s="622"/>
      <c r="AV250" s="622"/>
      <c r="AW250" s="622"/>
    </row>
    <row r="251" spans="1:49" ht="7.5" customHeight="1">
      <c r="A251" s="623"/>
      <c r="B251" s="622"/>
      <c r="C251" s="622"/>
      <c r="D251" s="622"/>
      <c r="E251" s="622"/>
      <c r="F251" s="622"/>
      <c r="G251" s="622"/>
      <c r="H251" s="622"/>
      <c r="I251" s="622"/>
      <c r="J251" s="622"/>
      <c r="K251" s="622"/>
      <c r="L251" s="622"/>
      <c r="M251" s="622"/>
      <c r="N251" s="622"/>
      <c r="O251" s="622"/>
      <c r="P251" s="622"/>
      <c r="Q251" s="622"/>
      <c r="R251" s="622"/>
      <c r="S251" s="622"/>
      <c r="T251" s="622"/>
      <c r="U251" s="622"/>
      <c r="V251" s="622"/>
      <c r="W251" s="622"/>
      <c r="X251" s="622"/>
      <c r="Y251" s="330"/>
      <c r="Z251" s="623"/>
      <c r="AA251" s="622"/>
      <c r="AB251" s="622"/>
      <c r="AC251" s="622"/>
      <c r="AD251" s="622"/>
      <c r="AE251" s="622"/>
      <c r="AF251" s="622"/>
      <c r="AG251" s="622"/>
      <c r="AH251" s="622"/>
      <c r="AI251" s="622"/>
      <c r="AJ251" s="622"/>
      <c r="AK251" s="622"/>
      <c r="AL251" s="622"/>
      <c r="AM251" s="622"/>
      <c r="AN251" s="622"/>
      <c r="AO251" s="622"/>
      <c r="AP251" s="622"/>
      <c r="AQ251" s="622"/>
      <c r="AR251" s="622"/>
      <c r="AS251" s="622"/>
      <c r="AT251" s="622"/>
      <c r="AU251" s="622"/>
      <c r="AV251" s="622"/>
      <c r="AW251" s="622"/>
    </row>
    <row r="252" spans="1:49" ht="7.5" customHeight="1">
      <c r="A252" s="623">
        <v>13</v>
      </c>
      <c r="B252" s="622" t="str">
        <f>IF(NOT(ISBLANK('A-RACHNATMAK'!C273)),"A",IF(NOT(ISBLANK('A-RACHNATMAK'!C272)),"B",IF(NOT(ISBLANK('A-RACHNATMAK'!C271)),"C","")))</f>
        <v/>
      </c>
      <c r="C252" s="622" t="str">
        <f>IF(NOT(ISBLANK('A-RACHNATMAK'!D273)),"A",IF(NOT(ISBLANK('A-RACHNATMAK'!D272)),"B",IF(NOT(ISBLANK('A-RACHNATMAK'!D271)),"C","")))</f>
        <v/>
      </c>
      <c r="D252" s="622" t="str">
        <f>IF(NOT(ISBLANK('A-RACHNATMAK'!E273)),"A",IF(NOT(ISBLANK('A-RACHNATMAK'!E272)),"B",IF(NOT(ISBLANK('A-RACHNATMAK'!E271)),"C","")))</f>
        <v/>
      </c>
      <c r="E252" s="622" t="str">
        <f>IF(NOT(ISBLANK('A-RACHNATMAK'!F273)),"A",IF(NOT(ISBLANK('A-RACHNATMAK'!F272)),"B",IF(NOT(ISBLANK('A-RACHNATMAK'!F271)),"C","")))</f>
        <v/>
      </c>
      <c r="F252" s="622" t="str">
        <f>IF(NOT(ISBLANK('A-RACHNATMAK'!G273)),"A",IF(NOT(ISBLANK('A-RACHNATMAK'!G272)),"B",IF(NOT(ISBLANK('A-RACHNATMAK'!G271)),"C","")))</f>
        <v/>
      </c>
      <c r="G252" s="622" t="str">
        <f>IF(NOT(ISBLANK('A-RACHNATMAK'!H273)),"A",IF(NOT(ISBLANK('A-RACHNATMAK'!H272)),"B",IF(NOT(ISBLANK('A-RACHNATMAK'!H271)),"C","")))</f>
        <v/>
      </c>
      <c r="H252" s="622" t="str">
        <f>IF(NOT(ISBLANK('A-RACHNATMAK'!I273)),"A",IF(NOT(ISBLANK('A-RACHNATMAK'!I272)),"B",IF(NOT(ISBLANK('A-RACHNATMAK'!I271)),"C","")))</f>
        <v/>
      </c>
      <c r="I252" s="622" t="str">
        <f>IF(NOT(ISBLANK('A-RACHNATMAK'!J273)),"A",IF(NOT(ISBLANK('A-RACHNATMAK'!J272)),"B",IF(NOT(ISBLANK('A-RACHNATMAK'!J271)),"C","")))</f>
        <v/>
      </c>
      <c r="J252" s="622" t="str">
        <f>IF(NOT(ISBLANK('A-RACHNATMAK'!K273)),"A",IF(NOT(ISBLANK('A-RACHNATMAK'!K272)),"B",IF(NOT(ISBLANK('A-RACHNATMAK'!K271)),"C","")))</f>
        <v/>
      </c>
      <c r="K252" s="622" t="str">
        <f>IF(NOT(ISBLANK('A-RACHNATMAK'!L273)),"A",IF(NOT(ISBLANK('A-RACHNATMAK'!L272)),"B",IF(NOT(ISBLANK('A-RACHNATMAK'!L271)),"C","")))</f>
        <v/>
      </c>
      <c r="L252" s="622" t="str">
        <f>IF(NOT(ISBLANK('A-RACHNATMAK'!M273)),"A",IF(NOT(ISBLANK('A-RACHNATMAK'!M272)),"B",IF(NOT(ISBLANK('A-RACHNATMAK'!M271)),"C","")))</f>
        <v/>
      </c>
      <c r="M252" s="622" t="str">
        <f>IF(NOT(ISBLANK('A-RACHNATMAK'!N273)),"A",IF(NOT(ISBLANK('A-RACHNATMAK'!N272)),"B",IF(NOT(ISBLANK('A-RACHNATMAK'!N271)),"C","")))</f>
        <v/>
      </c>
      <c r="N252" s="622" t="str">
        <f>IF(NOT(ISBLANK('A-RACHNATMAK'!O273)),"A",IF(NOT(ISBLANK('A-RACHNATMAK'!O272)),"B",IF(NOT(ISBLANK('A-RACHNATMAK'!O271)),"C","")))</f>
        <v/>
      </c>
      <c r="O252" s="622" t="str">
        <f>IF(NOT(ISBLANK('A-RACHNATMAK'!P273)),"A",IF(NOT(ISBLANK('A-RACHNATMAK'!P272)),"B",IF(NOT(ISBLANK('A-RACHNATMAK'!P271)),"C","")))</f>
        <v/>
      </c>
      <c r="P252" s="622" t="str">
        <f>IF(NOT(ISBLANK('A-RACHNATMAK'!Q273)),"A",IF(NOT(ISBLANK('A-RACHNATMAK'!Q272)),"B",IF(NOT(ISBLANK('A-RACHNATMAK'!Q271)),"C","")))</f>
        <v/>
      </c>
      <c r="Q252" s="622" t="str">
        <f>IF(NOT(ISBLANK('A-RACHNATMAK'!R273)),"A",IF(NOT(ISBLANK('A-RACHNATMAK'!R272)),"B",IF(NOT(ISBLANK('A-RACHNATMAK'!R271)),"C","")))</f>
        <v/>
      </c>
      <c r="R252" s="622" t="str">
        <f>IF(NOT(ISBLANK('A-RACHNATMAK'!S273)),"A",IF(NOT(ISBLANK('A-RACHNATMAK'!S272)),"B",IF(NOT(ISBLANK('A-RACHNATMAK'!S271)),"C","")))</f>
        <v/>
      </c>
      <c r="S252" s="622" t="str">
        <f>IF(NOT(ISBLANK('A-RACHNATMAK'!T273)),"A",IF(NOT(ISBLANK('A-RACHNATMAK'!T272)),"B",IF(NOT(ISBLANK('A-RACHNATMAK'!T271)),"C","")))</f>
        <v/>
      </c>
      <c r="T252" s="622" t="str">
        <f>IF(NOT(ISBLANK('A-RACHNATMAK'!U273)),"A",IF(NOT(ISBLANK('A-RACHNATMAK'!U272)),"B",IF(NOT(ISBLANK('A-RACHNATMAK'!U271)),"C","")))</f>
        <v/>
      </c>
      <c r="U252" s="622" t="str">
        <f>IF(NOT(ISBLANK('A-RACHNATMAK'!V273)),"A",IF(NOT(ISBLANK('A-RACHNATMAK'!V272)),"B",IF(NOT(ISBLANK('A-RACHNATMAK'!V271)),"C","")))</f>
        <v/>
      </c>
      <c r="V252" s="622">
        <f t="shared" ref="V252" si="474">COUNTIF(B252:U252,"A")</f>
        <v>0</v>
      </c>
      <c r="W252" s="622">
        <f t="shared" ref="W252" si="475">COUNTIF(B252:U252,"B")</f>
        <v>0</v>
      </c>
      <c r="X252" s="622">
        <f t="shared" ref="X252" si="476">COUNTIF(B252:U252,"C")</f>
        <v>0</v>
      </c>
      <c r="Y252" s="330"/>
      <c r="Z252" s="623">
        <v>13</v>
      </c>
      <c r="AA252" s="622" t="str">
        <f>IF(NOT(ISBLANK('A-RACHNATMAK'!AD273)),"A",IF(NOT(ISBLANK('A-RACHNATMAK'!AD272)),"B",IF(NOT(ISBLANK('A-RACHNATMAK'!AD271)),"C","")))</f>
        <v/>
      </c>
      <c r="AB252" s="622" t="str">
        <f>IF(NOT(ISBLANK('A-RACHNATMAK'!AE273)),"A",IF(NOT(ISBLANK('A-RACHNATMAK'!AE272)),"B",IF(NOT(ISBLANK('A-RACHNATMAK'!AE271)),"C","")))</f>
        <v/>
      </c>
      <c r="AC252" s="622" t="str">
        <f>IF(NOT(ISBLANK('A-RACHNATMAK'!AF273)),"A",IF(NOT(ISBLANK('A-RACHNATMAK'!AF272)),"B",IF(NOT(ISBLANK('A-RACHNATMAK'!AF271)),"C","")))</f>
        <v/>
      </c>
      <c r="AD252" s="622" t="str">
        <f>IF(NOT(ISBLANK('A-RACHNATMAK'!AG273)),"A",IF(NOT(ISBLANK('A-RACHNATMAK'!AG272)),"B",IF(NOT(ISBLANK('A-RACHNATMAK'!AG271)),"C","")))</f>
        <v/>
      </c>
      <c r="AE252" s="622" t="str">
        <f>IF(NOT(ISBLANK('A-RACHNATMAK'!AH273)),"A",IF(NOT(ISBLANK('A-RACHNATMAK'!AH272)),"B",IF(NOT(ISBLANK('A-RACHNATMAK'!AH271)),"C","")))</f>
        <v/>
      </c>
      <c r="AF252" s="622" t="str">
        <f>IF(NOT(ISBLANK('A-RACHNATMAK'!AI273)),"A",IF(NOT(ISBLANK('A-RACHNATMAK'!AI272)),"B",IF(NOT(ISBLANK('A-RACHNATMAK'!AI271)),"C","")))</f>
        <v/>
      </c>
      <c r="AG252" s="622" t="str">
        <f>IF(NOT(ISBLANK('A-RACHNATMAK'!AJ273)),"A",IF(NOT(ISBLANK('A-RACHNATMAK'!AJ272)),"B",IF(NOT(ISBLANK('A-RACHNATMAK'!AJ271)),"C","")))</f>
        <v/>
      </c>
      <c r="AH252" s="622" t="str">
        <f>IF(NOT(ISBLANK('A-RACHNATMAK'!AK273)),"A",IF(NOT(ISBLANK('A-RACHNATMAK'!AK272)),"B",IF(NOT(ISBLANK('A-RACHNATMAK'!AK271)),"C","")))</f>
        <v/>
      </c>
      <c r="AI252" s="622" t="str">
        <f>IF(NOT(ISBLANK('A-RACHNATMAK'!AL273)),"A",IF(NOT(ISBLANK('A-RACHNATMAK'!AL272)),"B",IF(NOT(ISBLANK('A-RACHNATMAK'!AL271)),"C","")))</f>
        <v/>
      </c>
      <c r="AJ252" s="622" t="str">
        <f>IF(NOT(ISBLANK('A-RACHNATMAK'!AM273)),"A",IF(NOT(ISBLANK('A-RACHNATMAK'!AM272)),"B",IF(NOT(ISBLANK('A-RACHNATMAK'!AM271)),"C","")))</f>
        <v/>
      </c>
      <c r="AK252" s="622" t="str">
        <f>IF(NOT(ISBLANK('A-RACHNATMAK'!AN273)),"A",IF(NOT(ISBLANK('A-RACHNATMAK'!AN272)),"B",IF(NOT(ISBLANK('A-RACHNATMAK'!AN271)),"C","")))</f>
        <v/>
      </c>
      <c r="AL252" s="622" t="str">
        <f>IF(NOT(ISBLANK('A-RACHNATMAK'!AO273)),"A",IF(NOT(ISBLANK('A-RACHNATMAK'!AO272)),"B",IF(NOT(ISBLANK('A-RACHNATMAK'!AO271)),"C","")))</f>
        <v/>
      </c>
      <c r="AM252" s="622" t="str">
        <f>IF(NOT(ISBLANK('A-RACHNATMAK'!AP273)),"A",IF(NOT(ISBLANK('A-RACHNATMAK'!AP272)),"B",IF(NOT(ISBLANK('A-RACHNATMAK'!AP271)),"C","")))</f>
        <v/>
      </c>
      <c r="AN252" s="622" t="str">
        <f>IF(NOT(ISBLANK('A-RACHNATMAK'!AQ273)),"A",IF(NOT(ISBLANK('A-RACHNATMAK'!AQ272)),"B",IF(NOT(ISBLANK('A-RACHNATMAK'!AQ271)),"C","")))</f>
        <v/>
      </c>
      <c r="AO252" s="622" t="str">
        <f>IF(NOT(ISBLANK('A-RACHNATMAK'!AR273)),"A",IF(NOT(ISBLANK('A-RACHNATMAK'!AR272)),"B",IF(NOT(ISBLANK('A-RACHNATMAK'!AR271)),"C","")))</f>
        <v/>
      </c>
      <c r="AP252" s="622" t="str">
        <f>IF(NOT(ISBLANK('A-RACHNATMAK'!AS273)),"A",IF(NOT(ISBLANK('A-RACHNATMAK'!AS272)),"B",IF(NOT(ISBLANK('A-RACHNATMAK'!AS271)),"C","")))</f>
        <v/>
      </c>
      <c r="AQ252" s="622" t="str">
        <f>IF(NOT(ISBLANK('A-RACHNATMAK'!AT273)),"A",IF(NOT(ISBLANK('A-RACHNATMAK'!AT272)),"B",IF(NOT(ISBLANK('A-RACHNATMAK'!AT271)),"C","")))</f>
        <v/>
      </c>
      <c r="AR252" s="622" t="str">
        <f>IF(NOT(ISBLANK('A-RACHNATMAK'!AU273)),"A",IF(NOT(ISBLANK('A-RACHNATMAK'!AU272)),"B",IF(NOT(ISBLANK('A-RACHNATMAK'!AU271)),"C","")))</f>
        <v/>
      </c>
      <c r="AS252" s="622" t="str">
        <f>IF(NOT(ISBLANK('A-RACHNATMAK'!AV273)),"A",IF(NOT(ISBLANK('A-RACHNATMAK'!AV272)),"B",IF(NOT(ISBLANK('A-RACHNATMAK'!AV271)),"C","")))</f>
        <v/>
      </c>
      <c r="AT252" s="622" t="str">
        <f>IF(NOT(ISBLANK('A-RACHNATMAK'!AW273)),"A",IF(NOT(ISBLANK('A-RACHNATMAK'!AW272)),"B",IF(NOT(ISBLANK('A-RACHNATMAK'!AW271)),"C","")))</f>
        <v/>
      </c>
      <c r="AU252" s="622">
        <f t="shared" ref="AU252" si="477">COUNTIF(AA252:AT252,"A")</f>
        <v>0</v>
      </c>
      <c r="AV252" s="622">
        <f t="shared" ref="AV252" si="478">COUNTIF(AA252:AT252,"B")</f>
        <v>0</v>
      </c>
      <c r="AW252" s="622">
        <f t="shared" ref="AW252" si="479">COUNTIF(AA252:AT252,"C")</f>
        <v>0</v>
      </c>
    </row>
    <row r="253" spans="1:49" ht="7.5" customHeight="1">
      <c r="A253" s="623"/>
      <c r="B253" s="622"/>
      <c r="C253" s="622"/>
      <c r="D253" s="622"/>
      <c r="E253" s="622"/>
      <c r="F253" s="622"/>
      <c r="G253" s="622"/>
      <c r="H253" s="622"/>
      <c r="I253" s="622"/>
      <c r="J253" s="622"/>
      <c r="K253" s="622"/>
      <c r="L253" s="622"/>
      <c r="M253" s="622"/>
      <c r="N253" s="622"/>
      <c r="O253" s="622"/>
      <c r="P253" s="622"/>
      <c r="Q253" s="622"/>
      <c r="R253" s="622"/>
      <c r="S253" s="622"/>
      <c r="T253" s="622"/>
      <c r="U253" s="622"/>
      <c r="V253" s="622"/>
      <c r="W253" s="622"/>
      <c r="X253" s="622"/>
      <c r="Y253" s="330"/>
      <c r="Z253" s="623"/>
      <c r="AA253" s="622"/>
      <c r="AB253" s="622"/>
      <c r="AC253" s="622"/>
      <c r="AD253" s="622"/>
      <c r="AE253" s="622"/>
      <c r="AF253" s="622"/>
      <c r="AG253" s="622"/>
      <c r="AH253" s="622"/>
      <c r="AI253" s="622"/>
      <c r="AJ253" s="622"/>
      <c r="AK253" s="622"/>
      <c r="AL253" s="622"/>
      <c r="AM253" s="622"/>
      <c r="AN253" s="622"/>
      <c r="AO253" s="622"/>
      <c r="AP253" s="622"/>
      <c r="AQ253" s="622"/>
      <c r="AR253" s="622"/>
      <c r="AS253" s="622"/>
      <c r="AT253" s="622"/>
      <c r="AU253" s="622"/>
      <c r="AV253" s="622"/>
      <c r="AW253" s="622"/>
    </row>
    <row r="254" spans="1:49" ht="7.5" customHeight="1">
      <c r="A254" s="623"/>
      <c r="B254" s="622"/>
      <c r="C254" s="622"/>
      <c r="D254" s="622"/>
      <c r="E254" s="622"/>
      <c r="F254" s="622"/>
      <c r="G254" s="622"/>
      <c r="H254" s="622"/>
      <c r="I254" s="622"/>
      <c r="J254" s="622"/>
      <c r="K254" s="622"/>
      <c r="L254" s="622"/>
      <c r="M254" s="622"/>
      <c r="N254" s="622"/>
      <c r="O254" s="622"/>
      <c r="P254" s="622"/>
      <c r="Q254" s="622"/>
      <c r="R254" s="622"/>
      <c r="S254" s="622"/>
      <c r="T254" s="622"/>
      <c r="U254" s="622"/>
      <c r="V254" s="622"/>
      <c r="W254" s="622"/>
      <c r="X254" s="622"/>
      <c r="Y254" s="330"/>
      <c r="Z254" s="623"/>
      <c r="AA254" s="622"/>
      <c r="AB254" s="622"/>
      <c r="AC254" s="622"/>
      <c r="AD254" s="622"/>
      <c r="AE254" s="622"/>
      <c r="AF254" s="622"/>
      <c r="AG254" s="622"/>
      <c r="AH254" s="622"/>
      <c r="AI254" s="622"/>
      <c r="AJ254" s="622"/>
      <c r="AK254" s="622"/>
      <c r="AL254" s="622"/>
      <c r="AM254" s="622"/>
      <c r="AN254" s="622"/>
      <c r="AO254" s="622"/>
      <c r="AP254" s="622"/>
      <c r="AQ254" s="622"/>
      <c r="AR254" s="622"/>
      <c r="AS254" s="622"/>
      <c r="AT254" s="622"/>
      <c r="AU254" s="622"/>
      <c r="AV254" s="622"/>
      <c r="AW254" s="622"/>
    </row>
    <row r="255" spans="1:49" ht="7.5" customHeight="1">
      <c r="A255" s="623">
        <v>14</v>
      </c>
      <c r="B255" s="622" t="str">
        <f>IF(NOT(ISBLANK('A-RACHNATMAK'!C276)),"A",IF(NOT(ISBLANK('A-RACHNATMAK'!C275)),"B",IF(NOT(ISBLANK('A-RACHNATMAK'!C274)),"C","")))</f>
        <v/>
      </c>
      <c r="C255" s="622" t="str">
        <f>IF(NOT(ISBLANK('A-RACHNATMAK'!D276)),"A",IF(NOT(ISBLANK('A-RACHNATMAK'!D275)),"B",IF(NOT(ISBLANK('A-RACHNATMAK'!D274)),"C","")))</f>
        <v/>
      </c>
      <c r="D255" s="622" t="str">
        <f>IF(NOT(ISBLANK('A-RACHNATMAK'!E276)),"A",IF(NOT(ISBLANK('A-RACHNATMAK'!E275)),"B",IF(NOT(ISBLANK('A-RACHNATMAK'!E274)),"C","")))</f>
        <v/>
      </c>
      <c r="E255" s="622" t="str">
        <f>IF(NOT(ISBLANK('A-RACHNATMAK'!F276)),"A",IF(NOT(ISBLANK('A-RACHNATMAK'!F275)),"B",IF(NOT(ISBLANK('A-RACHNATMAK'!F274)),"C","")))</f>
        <v/>
      </c>
      <c r="F255" s="622" t="str">
        <f>IF(NOT(ISBLANK('A-RACHNATMAK'!G276)),"A",IF(NOT(ISBLANK('A-RACHNATMAK'!G275)),"B",IF(NOT(ISBLANK('A-RACHNATMAK'!G274)),"C","")))</f>
        <v/>
      </c>
      <c r="G255" s="622" t="str">
        <f>IF(NOT(ISBLANK('A-RACHNATMAK'!H276)),"A",IF(NOT(ISBLANK('A-RACHNATMAK'!H275)),"B",IF(NOT(ISBLANK('A-RACHNATMAK'!H274)),"C","")))</f>
        <v/>
      </c>
      <c r="H255" s="622" t="str">
        <f>IF(NOT(ISBLANK('A-RACHNATMAK'!I276)),"A",IF(NOT(ISBLANK('A-RACHNATMAK'!I275)),"B",IF(NOT(ISBLANK('A-RACHNATMAK'!I274)),"C","")))</f>
        <v/>
      </c>
      <c r="I255" s="622" t="str">
        <f>IF(NOT(ISBLANK('A-RACHNATMAK'!J276)),"A",IF(NOT(ISBLANK('A-RACHNATMAK'!J275)),"B",IF(NOT(ISBLANK('A-RACHNATMAK'!J274)),"C","")))</f>
        <v/>
      </c>
      <c r="J255" s="622" t="str">
        <f>IF(NOT(ISBLANK('A-RACHNATMAK'!K276)),"A",IF(NOT(ISBLANK('A-RACHNATMAK'!K275)),"B",IF(NOT(ISBLANK('A-RACHNATMAK'!K274)),"C","")))</f>
        <v/>
      </c>
      <c r="K255" s="622" t="str">
        <f>IF(NOT(ISBLANK('A-RACHNATMAK'!L276)),"A",IF(NOT(ISBLANK('A-RACHNATMAK'!L275)),"B",IF(NOT(ISBLANK('A-RACHNATMAK'!L274)),"C","")))</f>
        <v/>
      </c>
      <c r="L255" s="622" t="str">
        <f>IF(NOT(ISBLANK('A-RACHNATMAK'!M276)),"A",IF(NOT(ISBLANK('A-RACHNATMAK'!M275)),"B",IF(NOT(ISBLANK('A-RACHNATMAK'!M274)),"C","")))</f>
        <v/>
      </c>
      <c r="M255" s="622" t="str">
        <f>IF(NOT(ISBLANK('A-RACHNATMAK'!N276)),"A",IF(NOT(ISBLANK('A-RACHNATMAK'!N275)),"B",IF(NOT(ISBLANK('A-RACHNATMAK'!N274)),"C","")))</f>
        <v/>
      </c>
      <c r="N255" s="622" t="str">
        <f>IF(NOT(ISBLANK('A-RACHNATMAK'!O276)),"A",IF(NOT(ISBLANK('A-RACHNATMAK'!O275)),"B",IF(NOT(ISBLANK('A-RACHNATMAK'!O274)),"C","")))</f>
        <v/>
      </c>
      <c r="O255" s="622" t="str">
        <f>IF(NOT(ISBLANK('A-RACHNATMAK'!P276)),"A",IF(NOT(ISBLANK('A-RACHNATMAK'!P275)),"B",IF(NOT(ISBLANK('A-RACHNATMAK'!P274)),"C","")))</f>
        <v/>
      </c>
      <c r="P255" s="622" t="str">
        <f>IF(NOT(ISBLANK('A-RACHNATMAK'!Q276)),"A",IF(NOT(ISBLANK('A-RACHNATMAK'!Q275)),"B",IF(NOT(ISBLANK('A-RACHNATMAK'!Q274)),"C","")))</f>
        <v/>
      </c>
      <c r="Q255" s="622" t="str">
        <f>IF(NOT(ISBLANK('A-RACHNATMAK'!R276)),"A",IF(NOT(ISBLANK('A-RACHNATMAK'!R275)),"B",IF(NOT(ISBLANK('A-RACHNATMAK'!R274)),"C","")))</f>
        <v/>
      </c>
      <c r="R255" s="622" t="str">
        <f>IF(NOT(ISBLANK('A-RACHNATMAK'!S276)),"A",IF(NOT(ISBLANK('A-RACHNATMAK'!S275)),"B",IF(NOT(ISBLANK('A-RACHNATMAK'!S274)),"C","")))</f>
        <v/>
      </c>
      <c r="S255" s="622" t="str">
        <f>IF(NOT(ISBLANK('A-RACHNATMAK'!T276)),"A",IF(NOT(ISBLANK('A-RACHNATMAK'!T275)),"B",IF(NOT(ISBLANK('A-RACHNATMAK'!T274)),"C","")))</f>
        <v/>
      </c>
      <c r="T255" s="622" t="str">
        <f>IF(NOT(ISBLANK('A-RACHNATMAK'!U276)),"A",IF(NOT(ISBLANK('A-RACHNATMAK'!U275)),"B",IF(NOT(ISBLANK('A-RACHNATMAK'!U274)),"C","")))</f>
        <v/>
      </c>
      <c r="U255" s="622" t="str">
        <f>IF(NOT(ISBLANK('A-RACHNATMAK'!V276)),"A",IF(NOT(ISBLANK('A-RACHNATMAK'!V275)),"B",IF(NOT(ISBLANK('A-RACHNATMAK'!V274)),"C","")))</f>
        <v/>
      </c>
      <c r="V255" s="622">
        <f t="shared" ref="V255" si="480">COUNTIF(B255:U255,"A")</f>
        <v>0</v>
      </c>
      <c r="W255" s="622">
        <f t="shared" ref="W255" si="481">COUNTIF(B255:U255,"B")</f>
        <v>0</v>
      </c>
      <c r="X255" s="622">
        <f t="shared" ref="X255" si="482">COUNTIF(B255:U255,"C")</f>
        <v>0</v>
      </c>
      <c r="Y255" s="330"/>
      <c r="Z255" s="623">
        <v>14</v>
      </c>
      <c r="AA255" s="622" t="str">
        <f>IF(NOT(ISBLANK('A-RACHNATMAK'!AD276)),"A",IF(NOT(ISBLANK('A-RACHNATMAK'!AD275)),"B",IF(NOT(ISBLANK('A-RACHNATMAK'!AD274)),"C","")))</f>
        <v/>
      </c>
      <c r="AB255" s="622" t="str">
        <f>IF(NOT(ISBLANK('A-RACHNATMAK'!AE276)),"A",IF(NOT(ISBLANK('A-RACHNATMAK'!AE275)),"B",IF(NOT(ISBLANK('A-RACHNATMAK'!AE274)),"C","")))</f>
        <v/>
      </c>
      <c r="AC255" s="622" t="str">
        <f>IF(NOT(ISBLANK('A-RACHNATMAK'!AF276)),"A",IF(NOT(ISBLANK('A-RACHNATMAK'!AF275)),"B",IF(NOT(ISBLANK('A-RACHNATMAK'!AF274)),"C","")))</f>
        <v/>
      </c>
      <c r="AD255" s="622" t="str">
        <f>IF(NOT(ISBLANK('A-RACHNATMAK'!AG276)),"A",IF(NOT(ISBLANK('A-RACHNATMAK'!AG275)),"B",IF(NOT(ISBLANK('A-RACHNATMAK'!AG274)),"C","")))</f>
        <v/>
      </c>
      <c r="AE255" s="622" t="str">
        <f>IF(NOT(ISBLANK('A-RACHNATMAK'!AH276)),"A",IF(NOT(ISBLANK('A-RACHNATMAK'!AH275)),"B",IF(NOT(ISBLANK('A-RACHNATMAK'!AH274)),"C","")))</f>
        <v/>
      </c>
      <c r="AF255" s="622" t="str">
        <f>IF(NOT(ISBLANK('A-RACHNATMAK'!AI276)),"A",IF(NOT(ISBLANK('A-RACHNATMAK'!AI275)),"B",IF(NOT(ISBLANK('A-RACHNATMAK'!AI274)),"C","")))</f>
        <v/>
      </c>
      <c r="AG255" s="622" t="str">
        <f>IF(NOT(ISBLANK('A-RACHNATMAK'!AJ276)),"A",IF(NOT(ISBLANK('A-RACHNATMAK'!AJ275)),"B",IF(NOT(ISBLANK('A-RACHNATMAK'!AJ274)),"C","")))</f>
        <v/>
      </c>
      <c r="AH255" s="622" t="str">
        <f>IF(NOT(ISBLANK('A-RACHNATMAK'!AK276)),"A",IF(NOT(ISBLANK('A-RACHNATMAK'!AK275)),"B",IF(NOT(ISBLANK('A-RACHNATMAK'!AK274)),"C","")))</f>
        <v/>
      </c>
      <c r="AI255" s="622" t="str">
        <f>IF(NOT(ISBLANK('A-RACHNATMAK'!AL276)),"A",IF(NOT(ISBLANK('A-RACHNATMAK'!AL275)),"B",IF(NOT(ISBLANK('A-RACHNATMAK'!AL274)),"C","")))</f>
        <v/>
      </c>
      <c r="AJ255" s="622" t="str">
        <f>IF(NOT(ISBLANK('A-RACHNATMAK'!AM276)),"A",IF(NOT(ISBLANK('A-RACHNATMAK'!AM275)),"B",IF(NOT(ISBLANK('A-RACHNATMAK'!AM274)),"C","")))</f>
        <v/>
      </c>
      <c r="AK255" s="622" t="str">
        <f>IF(NOT(ISBLANK('A-RACHNATMAK'!AN276)),"A",IF(NOT(ISBLANK('A-RACHNATMAK'!AN275)),"B",IF(NOT(ISBLANK('A-RACHNATMAK'!AN274)),"C","")))</f>
        <v/>
      </c>
      <c r="AL255" s="622" t="str">
        <f>IF(NOT(ISBLANK('A-RACHNATMAK'!AO276)),"A",IF(NOT(ISBLANK('A-RACHNATMAK'!AO275)),"B",IF(NOT(ISBLANK('A-RACHNATMAK'!AO274)),"C","")))</f>
        <v/>
      </c>
      <c r="AM255" s="622" t="str">
        <f>IF(NOT(ISBLANK('A-RACHNATMAK'!AP276)),"A",IF(NOT(ISBLANK('A-RACHNATMAK'!AP275)),"B",IF(NOT(ISBLANK('A-RACHNATMAK'!AP274)),"C","")))</f>
        <v/>
      </c>
      <c r="AN255" s="622" t="str">
        <f>IF(NOT(ISBLANK('A-RACHNATMAK'!AQ276)),"A",IF(NOT(ISBLANK('A-RACHNATMAK'!AQ275)),"B",IF(NOT(ISBLANK('A-RACHNATMAK'!AQ274)),"C","")))</f>
        <v/>
      </c>
      <c r="AO255" s="622" t="str">
        <f>IF(NOT(ISBLANK('A-RACHNATMAK'!AR276)),"A",IF(NOT(ISBLANK('A-RACHNATMAK'!AR275)),"B",IF(NOT(ISBLANK('A-RACHNATMAK'!AR274)),"C","")))</f>
        <v/>
      </c>
      <c r="AP255" s="622" t="str">
        <f>IF(NOT(ISBLANK('A-RACHNATMAK'!AS276)),"A",IF(NOT(ISBLANK('A-RACHNATMAK'!AS275)),"B",IF(NOT(ISBLANK('A-RACHNATMAK'!AS274)),"C","")))</f>
        <v/>
      </c>
      <c r="AQ255" s="622" t="str">
        <f>IF(NOT(ISBLANK('A-RACHNATMAK'!AT276)),"A",IF(NOT(ISBLANK('A-RACHNATMAK'!AT275)),"B",IF(NOT(ISBLANK('A-RACHNATMAK'!AT274)),"C","")))</f>
        <v/>
      </c>
      <c r="AR255" s="622" t="str">
        <f>IF(NOT(ISBLANK('A-RACHNATMAK'!AU276)),"A",IF(NOT(ISBLANK('A-RACHNATMAK'!AU275)),"B",IF(NOT(ISBLANK('A-RACHNATMAK'!AU274)),"C","")))</f>
        <v/>
      </c>
      <c r="AS255" s="622" t="str">
        <f>IF(NOT(ISBLANK('A-RACHNATMAK'!AV276)),"A",IF(NOT(ISBLANK('A-RACHNATMAK'!AV275)),"B",IF(NOT(ISBLANK('A-RACHNATMAK'!AV274)),"C","")))</f>
        <v/>
      </c>
      <c r="AT255" s="622" t="str">
        <f>IF(NOT(ISBLANK('A-RACHNATMAK'!AW276)),"A",IF(NOT(ISBLANK('A-RACHNATMAK'!AW275)),"B",IF(NOT(ISBLANK('A-RACHNATMAK'!AW274)),"C","")))</f>
        <v/>
      </c>
      <c r="AU255" s="622">
        <f t="shared" ref="AU255" si="483">COUNTIF(AA255:AT255,"A")</f>
        <v>0</v>
      </c>
      <c r="AV255" s="622">
        <f t="shared" ref="AV255" si="484">COUNTIF(AA255:AT255,"B")</f>
        <v>0</v>
      </c>
      <c r="AW255" s="622">
        <f t="shared" ref="AW255" si="485">COUNTIF(AA255:AT255,"C")</f>
        <v>0</v>
      </c>
    </row>
    <row r="256" spans="1:49" ht="7.5" customHeight="1">
      <c r="A256" s="623"/>
      <c r="B256" s="622"/>
      <c r="C256" s="622"/>
      <c r="D256" s="622"/>
      <c r="E256" s="622"/>
      <c r="F256" s="622"/>
      <c r="G256" s="622"/>
      <c r="H256" s="622"/>
      <c r="I256" s="622"/>
      <c r="J256" s="622"/>
      <c r="K256" s="622"/>
      <c r="L256" s="622"/>
      <c r="M256" s="622"/>
      <c r="N256" s="622"/>
      <c r="O256" s="622"/>
      <c r="P256" s="622"/>
      <c r="Q256" s="622"/>
      <c r="R256" s="622"/>
      <c r="S256" s="622"/>
      <c r="T256" s="622"/>
      <c r="U256" s="622"/>
      <c r="V256" s="622"/>
      <c r="W256" s="622"/>
      <c r="X256" s="622"/>
      <c r="Y256" s="330"/>
      <c r="Z256" s="623"/>
      <c r="AA256" s="622"/>
      <c r="AB256" s="622"/>
      <c r="AC256" s="622"/>
      <c r="AD256" s="622"/>
      <c r="AE256" s="622"/>
      <c r="AF256" s="622"/>
      <c r="AG256" s="622"/>
      <c r="AH256" s="622"/>
      <c r="AI256" s="622"/>
      <c r="AJ256" s="622"/>
      <c r="AK256" s="622"/>
      <c r="AL256" s="622"/>
      <c r="AM256" s="622"/>
      <c r="AN256" s="622"/>
      <c r="AO256" s="622"/>
      <c r="AP256" s="622"/>
      <c r="AQ256" s="622"/>
      <c r="AR256" s="622"/>
      <c r="AS256" s="622"/>
      <c r="AT256" s="622"/>
      <c r="AU256" s="622"/>
      <c r="AV256" s="622"/>
      <c r="AW256" s="622"/>
    </row>
    <row r="257" spans="1:49" ht="7.5" customHeight="1">
      <c r="A257" s="623"/>
      <c r="B257" s="622"/>
      <c r="C257" s="622"/>
      <c r="D257" s="622"/>
      <c r="E257" s="622"/>
      <c r="F257" s="622"/>
      <c r="G257" s="622"/>
      <c r="H257" s="622"/>
      <c r="I257" s="622"/>
      <c r="J257" s="622"/>
      <c r="K257" s="622"/>
      <c r="L257" s="622"/>
      <c r="M257" s="622"/>
      <c r="N257" s="622"/>
      <c r="O257" s="622"/>
      <c r="P257" s="622"/>
      <c r="Q257" s="622"/>
      <c r="R257" s="622"/>
      <c r="S257" s="622"/>
      <c r="T257" s="622"/>
      <c r="U257" s="622"/>
      <c r="V257" s="622"/>
      <c r="W257" s="622"/>
      <c r="X257" s="622"/>
      <c r="Y257" s="330"/>
      <c r="Z257" s="623"/>
      <c r="AA257" s="622"/>
      <c r="AB257" s="622"/>
      <c r="AC257" s="622"/>
      <c r="AD257" s="622"/>
      <c r="AE257" s="622"/>
      <c r="AF257" s="622"/>
      <c r="AG257" s="622"/>
      <c r="AH257" s="622"/>
      <c r="AI257" s="622"/>
      <c r="AJ257" s="622"/>
      <c r="AK257" s="622"/>
      <c r="AL257" s="622"/>
      <c r="AM257" s="622"/>
      <c r="AN257" s="622"/>
      <c r="AO257" s="622"/>
      <c r="AP257" s="622"/>
      <c r="AQ257" s="622"/>
      <c r="AR257" s="622"/>
      <c r="AS257" s="622"/>
      <c r="AT257" s="622"/>
      <c r="AU257" s="622"/>
      <c r="AV257" s="622"/>
      <c r="AW257" s="622"/>
    </row>
    <row r="258" spans="1:49" ht="7.5" customHeight="1">
      <c r="A258" s="623">
        <v>15</v>
      </c>
      <c r="B258" s="622" t="str">
        <f>IF(NOT(ISBLANK('A-RACHNATMAK'!C279)),"A",IF(NOT(ISBLANK('A-RACHNATMAK'!C278)),"B",IF(NOT(ISBLANK('A-RACHNATMAK'!C277)),"C","")))</f>
        <v/>
      </c>
      <c r="C258" s="622" t="str">
        <f>IF(NOT(ISBLANK('A-RACHNATMAK'!D279)),"A",IF(NOT(ISBLANK('A-RACHNATMAK'!D278)),"B",IF(NOT(ISBLANK('A-RACHNATMAK'!D277)),"C","")))</f>
        <v/>
      </c>
      <c r="D258" s="622" t="str">
        <f>IF(NOT(ISBLANK('A-RACHNATMAK'!E279)),"A",IF(NOT(ISBLANK('A-RACHNATMAK'!E278)),"B",IF(NOT(ISBLANK('A-RACHNATMAK'!E277)),"C","")))</f>
        <v/>
      </c>
      <c r="E258" s="622" t="str">
        <f>IF(NOT(ISBLANK('A-RACHNATMAK'!F279)),"A",IF(NOT(ISBLANK('A-RACHNATMAK'!F278)),"B",IF(NOT(ISBLANK('A-RACHNATMAK'!F277)),"C","")))</f>
        <v/>
      </c>
      <c r="F258" s="622" t="str">
        <f>IF(NOT(ISBLANK('A-RACHNATMAK'!G279)),"A",IF(NOT(ISBLANK('A-RACHNATMAK'!G278)),"B",IF(NOT(ISBLANK('A-RACHNATMAK'!G277)),"C","")))</f>
        <v/>
      </c>
      <c r="G258" s="622" t="str">
        <f>IF(NOT(ISBLANK('A-RACHNATMAK'!H279)),"A",IF(NOT(ISBLANK('A-RACHNATMAK'!H278)),"B",IF(NOT(ISBLANK('A-RACHNATMAK'!H277)),"C","")))</f>
        <v/>
      </c>
      <c r="H258" s="622" t="str">
        <f>IF(NOT(ISBLANK('A-RACHNATMAK'!I279)),"A",IF(NOT(ISBLANK('A-RACHNATMAK'!I278)),"B",IF(NOT(ISBLANK('A-RACHNATMAK'!I277)),"C","")))</f>
        <v/>
      </c>
      <c r="I258" s="622" t="str">
        <f>IF(NOT(ISBLANK('A-RACHNATMAK'!J279)),"A",IF(NOT(ISBLANK('A-RACHNATMAK'!J278)),"B",IF(NOT(ISBLANK('A-RACHNATMAK'!J277)),"C","")))</f>
        <v/>
      </c>
      <c r="J258" s="622" t="str">
        <f>IF(NOT(ISBLANK('A-RACHNATMAK'!K279)),"A",IF(NOT(ISBLANK('A-RACHNATMAK'!K278)),"B",IF(NOT(ISBLANK('A-RACHNATMAK'!K277)),"C","")))</f>
        <v/>
      </c>
      <c r="K258" s="622" t="str">
        <f>IF(NOT(ISBLANK('A-RACHNATMAK'!L279)),"A",IF(NOT(ISBLANK('A-RACHNATMAK'!L278)),"B",IF(NOT(ISBLANK('A-RACHNATMAK'!L277)),"C","")))</f>
        <v/>
      </c>
      <c r="L258" s="622" t="str">
        <f>IF(NOT(ISBLANK('A-RACHNATMAK'!M279)),"A",IF(NOT(ISBLANK('A-RACHNATMAK'!M278)),"B",IF(NOT(ISBLANK('A-RACHNATMAK'!M277)),"C","")))</f>
        <v/>
      </c>
      <c r="M258" s="622" t="str">
        <f>IF(NOT(ISBLANK('A-RACHNATMAK'!N279)),"A",IF(NOT(ISBLANK('A-RACHNATMAK'!N278)),"B",IF(NOT(ISBLANK('A-RACHNATMAK'!N277)),"C","")))</f>
        <v/>
      </c>
      <c r="N258" s="622" t="str">
        <f>IF(NOT(ISBLANK('A-RACHNATMAK'!O279)),"A",IF(NOT(ISBLANK('A-RACHNATMAK'!O278)),"B",IF(NOT(ISBLANK('A-RACHNATMAK'!O277)),"C","")))</f>
        <v/>
      </c>
      <c r="O258" s="622" t="str">
        <f>IF(NOT(ISBLANK('A-RACHNATMAK'!P279)),"A",IF(NOT(ISBLANK('A-RACHNATMAK'!P278)),"B",IF(NOT(ISBLANK('A-RACHNATMAK'!P277)),"C","")))</f>
        <v/>
      </c>
      <c r="P258" s="622" t="str">
        <f>IF(NOT(ISBLANK('A-RACHNATMAK'!Q279)),"A",IF(NOT(ISBLANK('A-RACHNATMAK'!Q278)),"B",IF(NOT(ISBLANK('A-RACHNATMAK'!Q277)),"C","")))</f>
        <v/>
      </c>
      <c r="Q258" s="622" t="str">
        <f>IF(NOT(ISBLANK('A-RACHNATMAK'!R279)),"A",IF(NOT(ISBLANK('A-RACHNATMAK'!R278)),"B",IF(NOT(ISBLANK('A-RACHNATMAK'!R277)),"C","")))</f>
        <v/>
      </c>
      <c r="R258" s="622" t="str">
        <f>IF(NOT(ISBLANK('A-RACHNATMAK'!S279)),"A",IF(NOT(ISBLANK('A-RACHNATMAK'!S278)),"B",IF(NOT(ISBLANK('A-RACHNATMAK'!S277)),"C","")))</f>
        <v/>
      </c>
      <c r="S258" s="622" t="str">
        <f>IF(NOT(ISBLANK('A-RACHNATMAK'!T279)),"A",IF(NOT(ISBLANK('A-RACHNATMAK'!T278)),"B",IF(NOT(ISBLANK('A-RACHNATMAK'!T277)),"C","")))</f>
        <v/>
      </c>
      <c r="T258" s="622" t="str">
        <f>IF(NOT(ISBLANK('A-RACHNATMAK'!U279)),"A",IF(NOT(ISBLANK('A-RACHNATMAK'!U278)),"B",IF(NOT(ISBLANK('A-RACHNATMAK'!U277)),"C","")))</f>
        <v/>
      </c>
      <c r="U258" s="622" t="str">
        <f>IF(NOT(ISBLANK('A-RACHNATMAK'!V279)),"A",IF(NOT(ISBLANK('A-RACHNATMAK'!V278)),"B",IF(NOT(ISBLANK('A-RACHNATMAK'!V277)),"C","")))</f>
        <v/>
      </c>
      <c r="V258" s="622">
        <f t="shared" ref="V258" si="486">COUNTIF(B258:U258,"A")</f>
        <v>0</v>
      </c>
      <c r="W258" s="622">
        <f t="shared" ref="W258" si="487">COUNTIF(B258:U258,"B")</f>
        <v>0</v>
      </c>
      <c r="X258" s="622">
        <f t="shared" ref="X258" si="488">COUNTIF(B258:U258,"C")</f>
        <v>0</v>
      </c>
      <c r="Y258" s="330"/>
      <c r="Z258" s="623">
        <v>15</v>
      </c>
      <c r="AA258" s="622" t="str">
        <f>IF(NOT(ISBLANK('A-RACHNATMAK'!AD279)),"A",IF(NOT(ISBLANK('A-RACHNATMAK'!AD278)),"B",IF(NOT(ISBLANK('A-RACHNATMAK'!AD277)),"C","")))</f>
        <v/>
      </c>
      <c r="AB258" s="622" t="str">
        <f>IF(NOT(ISBLANK('A-RACHNATMAK'!AE279)),"A",IF(NOT(ISBLANK('A-RACHNATMAK'!AE278)),"B",IF(NOT(ISBLANK('A-RACHNATMAK'!AE277)),"C","")))</f>
        <v/>
      </c>
      <c r="AC258" s="622" t="str">
        <f>IF(NOT(ISBLANK('A-RACHNATMAK'!AF279)),"A",IF(NOT(ISBLANK('A-RACHNATMAK'!AF278)),"B",IF(NOT(ISBLANK('A-RACHNATMAK'!AF277)),"C","")))</f>
        <v/>
      </c>
      <c r="AD258" s="622" t="str">
        <f>IF(NOT(ISBLANK('A-RACHNATMAK'!AG279)),"A",IF(NOT(ISBLANK('A-RACHNATMAK'!AG278)),"B",IF(NOT(ISBLANK('A-RACHNATMAK'!AG277)),"C","")))</f>
        <v/>
      </c>
      <c r="AE258" s="622" t="str">
        <f>IF(NOT(ISBLANK('A-RACHNATMAK'!AH279)),"A",IF(NOT(ISBLANK('A-RACHNATMAK'!AH278)),"B",IF(NOT(ISBLANK('A-RACHNATMAK'!AH277)),"C","")))</f>
        <v/>
      </c>
      <c r="AF258" s="622" t="str">
        <f>IF(NOT(ISBLANK('A-RACHNATMAK'!AI279)),"A",IF(NOT(ISBLANK('A-RACHNATMAK'!AI278)),"B",IF(NOT(ISBLANK('A-RACHNATMAK'!AI277)),"C","")))</f>
        <v/>
      </c>
      <c r="AG258" s="622" t="str">
        <f>IF(NOT(ISBLANK('A-RACHNATMAK'!AJ279)),"A",IF(NOT(ISBLANK('A-RACHNATMAK'!AJ278)),"B",IF(NOT(ISBLANK('A-RACHNATMAK'!AJ277)),"C","")))</f>
        <v/>
      </c>
      <c r="AH258" s="622" t="str">
        <f>IF(NOT(ISBLANK('A-RACHNATMAK'!AK279)),"A",IF(NOT(ISBLANK('A-RACHNATMAK'!AK278)),"B",IF(NOT(ISBLANK('A-RACHNATMAK'!AK277)),"C","")))</f>
        <v/>
      </c>
      <c r="AI258" s="622" t="str">
        <f>IF(NOT(ISBLANK('A-RACHNATMAK'!AL279)),"A",IF(NOT(ISBLANK('A-RACHNATMAK'!AL278)),"B",IF(NOT(ISBLANK('A-RACHNATMAK'!AL277)),"C","")))</f>
        <v/>
      </c>
      <c r="AJ258" s="622" t="str">
        <f>IF(NOT(ISBLANK('A-RACHNATMAK'!AM279)),"A",IF(NOT(ISBLANK('A-RACHNATMAK'!AM278)),"B",IF(NOT(ISBLANK('A-RACHNATMAK'!AM277)),"C","")))</f>
        <v/>
      </c>
      <c r="AK258" s="622" t="str">
        <f>IF(NOT(ISBLANK('A-RACHNATMAK'!AN279)),"A",IF(NOT(ISBLANK('A-RACHNATMAK'!AN278)),"B",IF(NOT(ISBLANK('A-RACHNATMAK'!AN277)),"C","")))</f>
        <v/>
      </c>
      <c r="AL258" s="622" t="str">
        <f>IF(NOT(ISBLANK('A-RACHNATMAK'!AO279)),"A",IF(NOT(ISBLANK('A-RACHNATMAK'!AO278)),"B",IF(NOT(ISBLANK('A-RACHNATMAK'!AO277)),"C","")))</f>
        <v/>
      </c>
      <c r="AM258" s="622" t="str">
        <f>IF(NOT(ISBLANK('A-RACHNATMAK'!AP279)),"A",IF(NOT(ISBLANK('A-RACHNATMAK'!AP278)),"B",IF(NOT(ISBLANK('A-RACHNATMAK'!AP277)),"C","")))</f>
        <v/>
      </c>
      <c r="AN258" s="622" t="str">
        <f>IF(NOT(ISBLANK('A-RACHNATMAK'!AQ279)),"A",IF(NOT(ISBLANK('A-RACHNATMAK'!AQ278)),"B",IF(NOT(ISBLANK('A-RACHNATMAK'!AQ277)),"C","")))</f>
        <v/>
      </c>
      <c r="AO258" s="622" t="str">
        <f>IF(NOT(ISBLANK('A-RACHNATMAK'!AR279)),"A",IF(NOT(ISBLANK('A-RACHNATMAK'!AR278)),"B",IF(NOT(ISBLANK('A-RACHNATMAK'!AR277)),"C","")))</f>
        <v/>
      </c>
      <c r="AP258" s="622" t="str">
        <f>IF(NOT(ISBLANK('A-RACHNATMAK'!AS279)),"A",IF(NOT(ISBLANK('A-RACHNATMAK'!AS278)),"B",IF(NOT(ISBLANK('A-RACHNATMAK'!AS277)),"C","")))</f>
        <v/>
      </c>
      <c r="AQ258" s="622" t="str">
        <f>IF(NOT(ISBLANK('A-RACHNATMAK'!AT279)),"A",IF(NOT(ISBLANK('A-RACHNATMAK'!AT278)),"B",IF(NOT(ISBLANK('A-RACHNATMAK'!AT277)),"C","")))</f>
        <v/>
      </c>
      <c r="AR258" s="622" t="str">
        <f>IF(NOT(ISBLANK('A-RACHNATMAK'!AU279)),"A",IF(NOT(ISBLANK('A-RACHNATMAK'!AU278)),"B",IF(NOT(ISBLANK('A-RACHNATMAK'!AU277)),"C","")))</f>
        <v/>
      </c>
      <c r="AS258" s="622" t="str">
        <f>IF(NOT(ISBLANK('A-RACHNATMAK'!AV279)),"A",IF(NOT(ISBLANK('A-RACHNATMAK'!AV278)),"B",IF(NOT(ISBLANK('A-RACHNATMAK'!AV277)),"C","")))</f>
        <v/>
      </c>
      <c r="AT258" s="622" t="str">
        <f>IF(NOT(ISBLANK('A-RACHNATMAK'!AW279)),"A",IF(NOT(ISBLANK('A-RACHNATMAK'!AW278)),"B",IF(NOT(ISBLANK('A-RACHNATMAK'!AW277)),"C","")))</f>
        <v/>
      </c>
      <c r="AU258" s="622">
        <f t="shared" ref="AU258" si="489">COUNTIF(AA258:AT258,"A")</f>
        <v>0</v>
      </c>
      <c r="AV258" s="622">
        <f t="shared" ref="AV258" si="490">COUNTIF(AA258:AT258,"B")</f>
        <v>0</v>
      </c>
      <c r="AW258" s="622">
        <f t="shared" ref="AW258" si="491">COUNTIF(AA258:AT258,"C")</f>
        <v>0</v>
      </c>
    </row>
    <row r="259" spans="1:49" ht="7.5" customHeight="1">
      <c r="A259" s="623"/>
      <c r="B259" s="622"/>
      <c r="C259" s="622"/>
      <c r="D259" s="622"/>
      <c r="E259" s="622"/>
      <c r="F259" s="622"/>
      <c r="G259" s="622"/>
      <c r="H259" s="622"/>
      <c r="I259" s="622"/>
      <c r="J259" s="622"/>
      <c r="K259" s="622"/>
      <c r="L259" s="622"/>
      <c r="M259" s="622"/>
      <c r="N259" s="622"/>
      <c r="O259" s="622"/>
      <c r="P259" s="622"/>
      <c r="Q259" s="622"/>
      <c r="R259" s="622"/>
      <c r="S259" s="622"/>
      <c r="T259" s="622"/>
      <c r="U259" s="622"/>
      <c r="V259" s="622"/>
      <c r="W259" s="622"/>
      <c r="X259" s="622"/>
      <c r="Y259" s="330"/>
      <c r="Z259" s="623"/>
      <c r="AA259" s="622"/>
      <c r="AB259" s="622"/>
      <c r="AC259" s="622"/>
      <c r="AD259" s="622"/>
      <c r="AE259" s="622"/>
      <c r="AF259" s="622"/>
      <c r="AG259" s="622"/>
      <c r="AH259" s="622"/>
      <c r="AI259" s="622"/>
      <c r="AJ259" s="622"/>
      <c r="AK259" s="622"/>
      <c r="AL259" s="622"/>
      <c r="AM259" s="622"/>
      <c r="AN259" s="622"/>
      <c r="AO259" s="622"/>
      <c r="AP259" s="622"/>
      <c r="AQ259" s="622"/>
      <c r="AR259" s="622"/>
      <c r="AS259" s="622"/>
      <c r="AT259" s="622"/>
      <c r="AU259" s="622"/>
      <c r="AV259" s="622"/>
      <c r="AW259" s="622"/>
    </row>
    <row r="260" spans="1:49" ht="7.5" customHeight="1">
      <c r="A260" s="623"/>
      <c r="B260" s="622"/>
      <c r="C260" s="622"/>
      <c r="D260" s="622"/>
      <c r="E260" s="622"/>
      <c r="F260" s="622"/>
      <c r="G260" s="622"/>
      <c r="H260" s="622"/>
      <c r="I260" s="622"/>
      <c r="J260" s="622"/>
      <c r="K260" s="622"/>
      <c r="L260" s="622"/>
      <c r="M260" s="622"/>
      <c r="N260" s="622"/>
      <c r="O260" s="622"/>
      <c r="P260" s="622"/>
      <c r="Q260" s="622"/>
      <c r="R260" s="622"/>
      <c r="S260" s="622"/>
      <c r="T260" s="622"/>
      <c r="U260" s="622"/>
      <c r="V260" s="622"/>
      <c r="W260" s="622"/>
      <c r="X260" s="622"/>
      <c r="Y260" s="330"/>
      <c r="Z260" s="623"/>
      <c r="AA260" s="622"/>
      <c r="AB260" s="622"/>
      <c r="AC260" s="622"/>
      <c r="AD260" s="622"/>
      <c r="AE260" s="622"/>
      <c r="AF260" s="622"/>
      <c r="AG260" s="622"/>
      <c r="AH260" s="622"/>
      <c r="AI260" s="622"/>
      <c r="AJ260" s="622"/>
      <c r="AK260" s="622"/>
      <c r="AL260" s="622"/>
      <c r="AM260" s="622"/>
      <c r="AN260" s="622"/>
      <c r="AO260" s="622"/>
      <c r="AP260" s="622"/>
      <c r="AQ260" s="622"/>
      <c r="AR260" s="622"/>
      <c r="AS260" s="622"/>
      <c r="AT260" s="622"/>
      <c r="AU260" s="622"/>
      <c r="AV260" s="622"/>
      <c r="AW260" s="622"/>
    </row>
    <row r="261" spans="1:49" ht="7.5" customHeight="1">
      <c r="A261" s="623">
        <v>16</v>
      </c>
      <c r="B261" s="622" t="str">
        <f>IF(NOT(ISBLANK('A-RACHNATMAK'!C282)),"A",IF(NOT(ISBLANK('A-RACHNATMAK'!C281)),"B",IF(NOT(ISBLANK('A-RACHNATMAK'!C280)),"C","")))</f>
        <v/>
      </c>
      <c r="C261" s="622" t="str">
        <f>IF(NOT(ISBLANK('A-RACHNATMAK'!D282)),"A",IF(NOT(ISBLANK('A-RACHNATMAK'!D281)),"B",IF(NOT(ISBLANK('A-RACHNATMAK'!D280)),"C","")))</f>
        <v/>
      </c>
      <c r="D261" s="622" t="str">
        <f>IF(NOT(ISBLANK('A-RACHNATMAK'!E282)),"A",IF(NOT(ISBLANK('A-RACHNATMAK'!E281)),"B",IF(NOT(ISBLANK('A-RACHNATMAK'!E280)),"C","")))</f>
        <v/>
      </c>
      <c r="E261" s="622" t="str">
        <f>IF(NOT(ISBLANK('A-RACHNATMAK'!F282)),"A",IF(NOT(ISBLANK('A-RACHNATMAK'!F281)),"B",IF(NOT(ISBLANK('A-RACHNATMAK'!F280)),"C","")))</f>
        <v/>
      </c>
      <c r="F261" s="622" t="str">
        <f>IF(NOT(ISBLANK('A-RACHNATMAK'!G282)),"A",IF(NOT(ISBLANK('A-RACHNATMAK'!G281)),"B",IF(NOT(ISBLANK('A-RACHNATMAK'!G280)),"C","")))</f>
        <v/>
      </c>
      <c r="G261" s="622" t="str">
        <f>IF(NOT(ISBLANK('A-RACHNATMAK'!H282)),"A",IF(NOT(ISBLANK('A-RACHNATMAK'!H281)),"B",IF(NOT(ISBLANK('A-RACHNATMAK'!H280)),"C","")))</f>
        <v/>
      </c>
      <c r="H261" s="622" t="str">
        <f>IF(NOT(ISBLANK('A-RACHNATMAK'!I282)),"A",IF(NOT(ISBLANK('A-RACHNATMAK'!I281)),"B",IF(NOT(ISBLANK('A-RACHNATMAK'!I280)),"C","")))</f>
        <v/>
      </c>
      <c r="I261" s="622" t="str">
        <f>IF(NOT(ISBLANK('A-RACHNATMAK'!J282)),"A",IF(NOT(ISBLANK('A-RACHNATMAK'!J281)),"B",IF(NOT(ISBLANK('A-RACHNATMAK'!J280)),"C","")))</f>
        <v/>
      </c>
      <c r="J261" s="622" t="str">
        <f>IF(NOT(ISBLANK('A-RACHNATMAK'!K282)),"A",IF(NOT(ISBLANK('A-RACHNATMAK'!K281)),"B",IF(NOT(ISBLANK('A-RACHNATMAK'!K280)),"C","")))</f>
        <v/>
      </c>
      <c r="K261" s="622" t="str">
        <f>IF(NOT(ISBLANK('A-RACHNATMAK'!L282)),"A",IF(NOT(ISBLANK('A-RACHNATMAK'!L281)),"B",IF(NOT(ISBLANK('A-RACHNATMAK'!L280)),"C","")))</f>
        <v/>
      </c>
      <c r="L261" s="622" t="str">
        <f>IF(NOT(ISBLANK('A-RACHNATMAK'!M282)),"A",IF(NOT(ISBLANK('A-RACHNATMAK'!M281)),"B",IF(NOT(ISBLANK('A-RACHNATMAK'!M280)),"C","")))</f>
        <v/>
      </c>
      <c r="M261" s="622" t="str">
        <f>IF(NOT(ISBLANK('A-RACHNATMAK'!N282)),"A",IF(NOT(ISBLANK('A-RACHNATMAK'!N281)),"B",IF(NOT(ISBLANK('A-RACHNATMAK'!N280)),"C","")))</f>
        <v/>
      </c>
      <c r="N261" s="622" t="str">
        <f>IF(NOT(ISBLANK('A-RACHNATMAK'!O282)),"A",IF(NOT(ISBLANK('A-RACHNATMAK'!O281)),"B",IF(NOT(ISBLANK('A-RACHNATMAK'!O280)),"C","")))</f>
        <v/>
      </c>
      <c r="O261" s="622" t="str">
        <f>IF(NOT(ISBLANK('A-RACHNATMAK'!P282)),"A",IF(NOT(ISBLANK('A-RACHNATMAK'!P281)),"B",IF(NOT(ISBLANK('A-RACHNATMAK'!P280)),"C","")))</f>
        <v/>
      </c>
      <c r="P261" s="622" t="str">
        <f>IF(NOT(ISBLANK('A-RACHNATMAK'!Q282)),"A",IF(NOT(ISBLANK('A-RACHNATMAK'!Q281)),"B",IF(NOT(ISBLANK('A-RACHNATMAK'!Q280)),"C","")))</f>
        <v/>
      </c>
      <c r="Q261" s="622" t="str">
        <f>IF(NOT(ISBLANK('A-RACHNATMAK'!R282)),"A",IF(NOT(ISBLANK('A-RACHNATMAK'!R281)),"B",IF(NOT(ISBLANK('A-RACHNATMAK'!R280)),"C","")))</f>
        <v/>
      </c>
      <c r="R261" s="622" t="str">
        <f>IF(NOT(ISBLANK('A-RACHNATMAK'!S282)),"A",IF(NOT(ISBLANK('A-RACHNATMAK'!S281)),"B",IF(NOT(ISBLANK('A-RACHNATMAK'!S280)),"C","")))</f>
        <v/>
      </c>
      <c r="S261" s="622" t="str">
        <f>IF(NOT(ISBLANK('A-RACHNATMAK'!T282)),"A",IF(NOT(ISBLANK('A-RACHNATMAK'!T281)),"B",IF(NOT(ISBLANK('A-RACHNATMAK'!T280)),"C","")))</f>
        <v/>
      </c>
      <c r="T261" s="622" t="str">
        <f>IF(NOT(ISBLANK('A-RACHNATMAK'!U282)),"A",IF(NOT(ISBLANK('A-RACHNATMAK'!U281)),"B",IF(NOT(ISBLANK('A-RACHNATMAK'!U280)),"C","")))</f>
        <v/>
      </c>
      <c r="U261" s="622" t="str">
        <f>IF(NOT(ISBLANK('A-RACHNATMAK'!V282)),"A",IF(NOT(ISBLANK('A-RACHNATMAK'!V281)),"B",IF(NOT(ISBLANK('A-RACHNATMAK'!V280)),"C","")))</f>
        <v/>
      </c>
      <c r="V261" s="622">
        <f t="shared" ref="V261" si="492">COUNTIF(B261:U261,"A")</f>
        <v>0</v>
      </c>
      <c r="W261" s="622">
        <f t="shared" ref="W261" si="493">COUNTIF(B261:U261,"B")</f>
        <v>0</v>
      </c>
      <c r="X261" s="622">
        <f t="shared" ref="X261" si="494">COUNTIF(B261:U261,"C")</f>
        <v>0</v>
      </c>
      <c r="Y261" s="330"/>
      <c r="Z261" s="623">
        <v>16</v>
      </c>
      <c r="AA261" s="622" t="str">
        <f>IF(NOT(ISBLANK('A-RACHNATMAK'!AD282)),"A",IF(NOT(ISBLANK('A-RACHNATMAK'!AD281)),"B",IF(NOT(ISBLANK('A-RACHNATMAK'!AD280)),"C","")))</f>
        <v/>
      </c>
      <c r="AB261" s="622" t="str">
        <f>IF(NOT(ISBLANK('A-RACHNATMAK'!AE282)),"A",IF(NOT(ISBLANK('A-RACHNATMAK'!AE281)),"B",IF(NOT(ISBLANK('A-RACHNATMAK'!AE280)),"C","")))</f>
        <v/>
      </c>
      <c r="AC261" s="622" t="str">
        <f>IF(NOT(ISBLANK('A-RACHNATMAK'!AF282)),"A",IF(NOT(ISBLANK('A-RACHNATMAK'!AF281)),"B",IF(NOT(ISBLANK('A-RACHNATMAK'!AF280)),"C","")))</f>
        <v/>
      </c>
      <c r="AD261" s="622" t="str">
        <f>IF(NOT(ISBLANK('A-RACHNATMAK'!AG282)),"A",IF(NOT(ISBLANK('A-RACHNATMAK'!AG281)),"B",IF(NOT(ISBLANK('A-RACHNATMAK'!AG280)),"C","")))</f>
        <v/>
      </c>
      <c r="AE261" s="622" t="str">
        <f>IF(NOT(ISBLANK('A-RACHNATMAK'!AH282)),"A",IF(NOT(ISBLANK('A-RACHNATMAK'!AH281)),"B",IF(NOT(ISBLANK('A-RACHNATMAK'!AH280)),"C","")))</f>
        <v/>
      </c>
      <c r="AF261" s="622" t="str">
        <f>IF(NOT(ISBLANK('A-RACHNATMAK'!AI282)),"A",IF(NOT(ISBLANK('A-RACHNATMAK'!AI281)),"B",IF(NOT(ISBLANK('A-RACHNATMAK'!AI280)),"C","")))</f>
        <v/>
      </c>
      <c r="AG261" s="622" t="str">
        <f>IF(NOT(ISBLANK('A-RACHNATMAK'!AJ282)),"A",IF(NOT(ISBLANK('A-RACHNATMAK'!AJ281)),"B",IF(NOT(ISBLANK('A-RACHNATMAK'!AJ280)),"C","")))</f>
        <v/>
      </c>
      <c r="AH261" s="622" t="str">
        <f>IF(NOT(ISBLANK('A-RACHNATMAK'!AK282)),"A",IF(NOT(ISBLANK('A-RACHNATMAK'!AK281)),"B",IF(NOT(ISBLANK('A-RACHNATMAK'!AK280)),"C","")))</f>
        <v/>
      </c>
      <c r="AI261" s="622" t="str">
        <f>IF(NOT(ISBLANK('A-RACHNATMAK'!AL282)),"A",IF(NOT(ISBLANK('A-RACHNATMAK'!AL281)),"B",IF(NOT(ISBLANK('A-RACHNATMAK'!AL280)),"C","")))</f>
        <v/>
      </c>
      <c r="AJ261" s="622" t="str">
        <f>IF(NOT(ISBLANK('A-RACHNATMAK'!AM282)),"A",IF(NOT(ISBLANK('A-RACHNATMAK'!AM281)),"B",IF(NOT(ISBLANK('A-RACHNATMAK'!AM280)),"C","")))</f>
        <v/>
      </c>
      <c r="AK261" s="622" t="str">
        <f>IF(NOT(ISBLANK('A-RACHNATMAK'!AN282)),"A",IF(NOT(ISBLANK('A-RACHNATMAK'!AN281)),"B",IF(NOT(ISBLANK('A-RACHNATMAK'!AN280)),"C","")))</f>
        <v/>
      </c>
      <c r="AL261" s="622" t="str">
        <f>IF(NOT(ISBLANK('A-RACHNATMAK'!AO282)),"A",IF(NOT(ISBLANK('A-RACHNATMAK'!AO281)),"B",IF(NOT(ISBLANK('A-RACHNATMAK'!AO280)),"C","")))</f>
        <v/>
      </c>
      <c r="AM261" s="622" t="str">
        <f>IF(NOT(ISBLANK('A-RACHNATMAK'!AP282)),"A",IF(NOT(ISBLANK('A-RACHNATMAK'!AP281)),"B",IF(NOT(ISBLANK('A-RACHNATMAK'!AP280)),"C","")))</f>
        <v/>
      </c>
      <c r="AN261" s="622" t="str">
        <f>IF(NOT(ISBLANK('A-RACHNATMAK'!AQ282)),"A",IF(NOT(ISBLANK('A-RACHNATMAK'!AQ281)),"B",IF(NOT(ISBLANK('A-RACHNATMAK'!AQ280)),"C","")))</f>
        <v/>
      </c>
      <c r="AO261" s="622" t="str">
        <f>IF(NOT(ISBLANK('A-RACHNATMAK'!AR282)),"A",IF(NOT(ISBLANK('A-RACHNATMAK'!AR281)),"B",IF(NOT(ISBLANK('A-RACHNATMAK'!AR280)),"C","")))</f>
        <v/>
      </c>
      <c r="AP261" s="622" t="str">
        <f>IF(NOT(ISBLANK('A-RACHNATMAK'!AS282)),"A",IF(NOT(ISBLANK('A-RACHNATMAK'!AS281)),"B",IF(NOT(ISBLANK('A-RACHNATMAK'!AS280)),"C","")))</f>
        <v/>
      </c>
      <c r="AQ261" s="622" t="str">
        <f>IF(NOT(ISBLANK('A-RACHNATMAK'!AT282)),"A",IF(NOT(ISBLANK('A-RACHNATMAK'!AT281)),"B",IF(NOT(ISBLANK('A-RACHNATMAK'!AT280)),"C","")))</f>
        <v/>
      </c>
      <c r="AR261" s="622" t="str">
        <f>IF(NOT(ISBLANK('A-RACHNATMAK'!AU282)),"A",IF(NOT(ISBLANK('A-RACHNATMAK'!AU281)),"B",IF(NOT(ISBLANK('A-RACHNATMAK'!AU280)),"C","")))</f>
        <v/>
      </c>
      <c r="AS261" s="622" t="str">
        <f>IF(NOT(ISBLANK('A-RACHNATMAK'!AV282)),"A",IF(NOT(ISBLANK('A-RACHNATMAK'!AV281)),"B",IF(NOT(ISBLANK('A-RACHNATMAK'!AV280)),"C","")))</f>
        <v/>
      </c>
      <c r="AT261" s="622" t="str">
        <f>IF(NOT(ISBLANK('A-RACHNATMAK'!AW282)),"A",IF(NOT(ISBLANK('A-RACHNATMAK'!AW281)),"B",IF(NOT(ISBLANK('A-RACHNATMAK'!AW280)),"C","")))</f>
        <v/>
      </c>
      <c r="AU261" s="622">
        <f t="shared" ref="AU261" si="495">COUNTIF(AA261:AT261,"A")</f>
        <v>0</v>
      </c>
      <c r="AV261" s="622">
        <f t="shared" ref="AV261" si="496">COUNTIF(AA261:AT261,"B")</f>
        <v>0</v>
      </c>
      <c r="AW261" s="622">
        <f t="shared" ref="AW261" si="497">COUNTIF(AA261:AT261,"C")</f>
        <v>0</v>
      </c>
    </row>
    <row r="262" spans="1:49" ht="7.5" customHeight="1">
      <c r="A262" s="623"/>
      <c r="B262" s="622"/>
      <c r="C262" s="622"/>
      <c r="D262" s="622"/>
      <c r="E262" s="622"/>
      <c r="F262" s="622"/>
      <c r="G262" s="622"/>
      <c r="H262" s="622"/>
      <c r="I262" s="622"/>
      <c r="J262" s="622"/>
      <c r="K262" s="622"/>
      <c r="L262" s="622"/>
      <c r="M262" s="622"/>
      <c r="N262" s="622"/>
      <c r="O262" s="622"/>
      <c r="P262" s="622"/>
      <c r="Q262" s="622"/>
      <c r="R262" s="622"/>
      <c r="S262" s="622"/>
      <c r="T262" s="622"/>
      <c r="U262" s="622"/>
      <c r="V262" s="622"/>
      <c r="W262" s="622"/>
      <c r="X262" s="622"/>
      <c r="Y262" s="330"/>
      <c r="Z262" s="623"/>
      <c r="AA262" s="622"/>
      <c r="AB262" s="622"/>
      <c r="AC262" s="622"/>
      <c r="AD262" s="622"/>
      <c r="AE262" s="622"/>
      <c r="AF262" s="622"/>
      <c r="AG262" s="622"/>
      <c r="AH262" s="622"/>
      <c r="AI262" s="622"/>
      <c r="AJ262" s="622"/>
      <c r="AK262" s="622"/>
      <c r="AL262" s="622"/>
      <c r="AM262" s="622"/>
      <c r="AN262" s="622"/>
      <c r="AO262" s="622"/>
      <c r="AP262" s="622"/>
      <c r="AQ262" s="622"/>
      <c r="AR262" s="622"/>
      <c r="AS262" s="622"/>
      <c r="AT262" s="622"/>
      <c r="AU262" s="622"/>
      <c r="AV262" s="622"/>
      <c r="AW262" s="622"/>
    </row>
    <row r="263" spans="1:49" ht="7.5" customHeight="1">
      <c r="A263" s="623"/>
      <c r="B263" s="622"/>
      <c r="C263" s="622"/>
      <c r="D263" s="622"/>
      <c r="E263" s="622"/>
      <c r="F263" s="622"/>
      <c r="G263" s="622"/>
      <c r="H263" s="622"/>
      <c r="I263" s="622"/>
      <c r="J263" s="622"/>
      <c r="K263" s="622"/>
      <c r="L263" s="622"/>
      <c r="M263" s="622"/>
      <c r="N263" s="622"/>
      <c r="O263" s="622"/>
      <c r="P263" s="622"/>
      <c r="Q263" s="622"/>
      <c r="R263" s="622"/>
      <c r="S263" s="622"/>
      <c r="T263" s="622"/>
      <c r="U263" s="622"/>
      <c r="V263" s="622"/>
      <c r="W263" s="622"/>
      <c r="X263" s="622"/>
      <c r="Y263" s="330"/>
      <c r="Z263" s="623"/>
      <c r="AA263" s="622"/>
      <c r="AB263" s="622"/>
      <c r="AC263" s="622"/>
      <c r="AD263" s="622"/>
      <c r="AE263" s="622"/>
      <c r="AF263" s="622"/>
      <c r="AG263" s="622"/>
      <c r="AH263" s="622"/>
      <c r="AI263" s="622"/>
      <c r="AJ263" s="622"/>
      <c r="AK263" s="622"/>
      <c r="AL263" s="622"/>
      <c r="AM263" s="622"/>
      <c r="AN263" s="622"/>
      <c r="AO263" s="622"/>
      <c r="AP263" s="622"/>
      <c r="AQ263" s="622"/>
      <c r="AR263" s="622"/>
      <c r="AS263" s="622"/>
      <c r="AT263" s="622"/>
      <c r="AU263" s="622"/>
      <c r="AV263" s="622"/>
      <c r="AW263" s="622"/>
    </row>
    <row r="264" spans="1:49" ht="7.5" customHeight="1">
      <c r="A264" s="623">
        <v>17</v>
      </c>
      <c r="B264" s="622" t="str">
        <f>IF(NOT(ISBLANK('A-RACHNATMAK'!C285)),"A",IF(NOT(ISBLANK('A-RACHNATMAK'!C284)),"B",IF(NOT(ISBLANK('A-RACHNATMAK'!C283)),"C","")))</f>
        <v/>
      </c>
      <c r="C264" s="622" t="str">
        <f>IF(NOT(ISBLANK('A-RACHNATMAK'!D285)),"A",IF(NOT(ISBLANK('A-RACHNATMAK'!D284)),"B",IF(NOT(ISBLANK('A-RACHNATMAK'!D283)),"C","")))</f>
        <v/>
      </c>
      <c r="D264" s="622" t="str">
        <f>IF(NOT(ISBLANK('A-RACHNATMAK'!E285)),"A",IF(NOT(ISBLANK('A-RACHNATMAK'!E284)),"B",IF(NOT(ISBLANK('A-RACHNATMAK'!E283)),"C","")))</f>
        <v/>
      </c>
      <c r="E264" s="622" t="str">
        <f>IF(NOT(ISBLANK('A-RACHNATMAK'!F285)),"A",IF(NOT(ISBLANK('A-RACHNATMAK'!F284)),"B",IF(NOT(ISBLANK('A-RACHNATMAK'!F283)),"C","")))</f>
        <v/>
      </c>
      <c r="F264" s="622" t="str">
        <f>IF(NOT(ISBLANK('A-RACHNATMAK'!G285)),"A",IF(NOT(ISBLANK('A-RACHNATMAK'!G284)),"B",IF(NOT(ISBLANK('A-RACHNATMAK'!G283)),"C","")))</f>
        <v/>
      </c>
      <c r="G264" s="622" t="str">
        <f>IF(NOT(ISBLANK('A-RACHNATMAK'!H285)),"A",IF(NOT(ISBLANK('A-RACHNATMAK'!H284)),"B",IF(NOT(ISBLANK('A-RACHNATMAK'!H283)),"C","")))</f>
        <v/>
      </c>
      <c r="H264" s="622" t="str">
        <f>IF(NOT(ISBLANK('A-RACHNATMAK'!I285)),"A",IF(NOT(ISBLANK('A-RACHNATMAK'!I284)),"B",IF(NOT(ISBLANK('A-RACHNATMAK'!I283)),"C","")))</f>
        <v/>
      </c>
      <c r="I264" s="622" t="str">
        <f>IF(NOT(ISBLANK('A-RACHNATMAK'!J285)),"A",IF(NOT(ISBLANK('A-RACHNATMAK'!J284)),"B",IF(NOT(ISBLANK('A-RACHNATMAK'!J283)),"C","")))</f>
        <v/>
      </c>
      <c r="J264" s="622" t="str">
        <f>IF(NOT(ISBLANK('A-RACHNATMAK'!K285)),"A",IF(NOT(ISBLANK('A-RACHNATMAK'!K284)),"B",IF(NOT(ISBLANK('A-RACHNATMAK'!K283)),"C","")))</f>
        <v/>
      </c>
      <c r="K264" s="622" t="str">
        <f>IF(NOT(ISBLANK('A-RACHNATMAK'!L285)),"A",IF(NOT(ISBLANK('A-RACHNATMAK'!L284)),"B",IF(NOT(ISBLANK('A-RACHNATMAK'!L283)),"C","")))</f>
        <v/>
      </c>
      <c r="L264" s="622" t="str">
        <f>IF(NOT(ISBLANK('A-RACHNATMAK'!M285)),"A",IF(NOT(ISBLANK('A-RACHNATMAK'!M284)),"B",IF(NOT(ISBLANK('A-RACHNATMAK'!M283)),"C","")))</f>
        <v/>
      </c>
      <c r="M264" s="622" t="str">
        <f>IF(NOT(ISBLANK('A-RACHNATMAK'!N285)),"A",IF(NOT(ISBLANK('A-RACHNATMAK'!N284)),"B",IF(NOT(ISBLANK('A-RACHNATMAK'!N283)),"C","")))</f>
        <v/>
      </c>
      <c r="N264" s="622" t="str">
        <f>IF(NOT(ISBLANK('A-RACHNATMAK'!O285)),"A",IF(NOT(ISBLANK('A-RACHNATMAK'!O284)),"B",IF(NOT(ISBLANK('A-RACHNATMAK'!O283)),"C","")))</f>
        <v/>
      </c>
      <c r="O264" s="622" t="str">
        <f>IF(NOT(ISBLANK('A-RACHNATMAK'!P285)),"A",IF(NOT(ISBLANK('A-RACHNATMAK'!P284)),"B",IF(NOT(ISBLANK('A-RACHNATMAK'!P283)),"C","")))</f>
        <v/>
      </c>
      <c r="P264" s="622" t="str">
        <f>IF(NOT(ISBLANK('A-RACHNATMAK'!Q285)),"A",IF(NOT(ISBLANK('A-RACHNATMAK'!Q284)),"B",IF(NOT(ISBLANK('A-RACHNATMAK'!Q283)),"C","")))</f>
        <v/>
      </c>
      <c r="Q264" s="622" t="str">
        <f>IF(NOT(ISBLANK('A-RACHNATMAK'!R285)),"A",IF(NOT(ISBLANK('A-RACHNATMAK'!R284)),"B",IF(NOT(ISBLANK('A-RACHNATMAK'!R283)),"C","")))</f>
        <v/>
      </c>
      <c r="R264" s="622" t="str">
        <f>IF(NOT(ISBLANK('A-RACHNATMAK'!S285)),"A",IF(NOT(ISBLANK('A-RACHNATMAK'!S284)),"B",IF(NOT(ISBLANK('A-RACHNATMAK'!S283)),"C","")))</f>
        <v/>
      </c>
      <c r="S264" s="622" t="str">
        <f>IF(NOT(ISBLANK('A-RACHNATMAK'!T285)),"A",IF(NOT(ISBLANK('A-RACHNATMAK'!T284)),"B",IF(NOT(ISBLANK('A-RACHNATMAK'!T283)),"C","")))</f>
        <v/>
      </c>
      <c r="T264" s="622" t="str">
        <f>IF(NOT(ISBLANK('A-RACHNATMAK'!U285)),"A",IF(NOT(ISBLANK('A-RACHNATMAK'!U284)),"B",IF(NOT(ISBLANK('A-RACHNATMAK'!U283)),"C","")))</f>
        <v/>
      </c>
      <c r="U264" s="622" t="str">
        <f>IF(NOT(ISBLANK('A-RACHNATMAK'!V285)),"A",IF(NOT(ISBLANK('A-RACHNATMAK'!V284)),"B",IF(NOT(ISBLANK('A-RACHNATMAK'!V283)),"C","")))</f>
        <v/>
      </c>
      <c r="V264" s="622">
        <f t="shared" ref="V264" si="498">COUNTIF(B264:U264,"A")</f>
        <v>0</v>
      </c>
      <c r="W264" s="622">
        <f t="shared" ref="W264" si="499">COUNTIF(B264:U264,"B")</f>
        <v>0</v>
      </c>
      <c r="X264" s="622">
        <f t="shared" ref="X264" si="500">COUNTIF(B264:U264,"C")</f>
        <v>0</v>
      </c>
      <c r="Y264" s="330"/>
      <c r="Z264" s="623">
        <v>17</v>
      </c>
      <c r="AA264" s="622" t="str">
        <f>IF(NOT(ISBLANK('A-RACHNATMAK'!AD285)),"A",IF(NOT(ISBLANK('A-RACHNATMAK'!AD284)),"B",IF(NOT(ISBLANK('A-RACHNATMAK'!AD283)),"C","")))</f>
        <v/>
      </c>
      <c r="AB264" s="622" t="str">
        <f>IF(NOT(ISBLANK('A-RACHNATMAK'!AE285)),"A",IF(NOT(ISBLANK('A-RACHNATMAK'!AE284)),"B",IF(NOT(ISBLANK('A-RACHNATMAK'!AE283)),"C","")))</f>
        <v/>
      </c>
      <c r="AC264" s="622" t="str">
        <f>IF(NOT(ISBLANK('A-RACHNATMAK'!AF285)),"A",IF(NOT(ISBLANK('A-RACHNATMAK'!AF284)),"B",IF(NOT(ISBLANK('A-RACHNATMAK'!AF283)),"C","")))</f>
        <v/>
      </c>
      <c r="AD264" s="622" t="str">
        <f>IF(NOT(ISBLANK('A-RACHNATMAK'!AG285)),"A",IF(NOT(ISBLANK('A-RACHNATMAK'!AG284)),"B",IF(NOT(ISBLANK('A-RACHNATMAK'!AG283)),"C","")))</f>
        <v/>
      </c>
      <c r="AE264" s="622" t="str">
        <f>IF(NOT(ISBLANK('A-RACHNATMAK'!AH285)),"A",IF(NOT(ISBLANK('A-RACHNATMAK'!AH284)),"B",IF(NOT(ISBLANK('A-RACHNATMAK'!AH283)),"C","")))</f>
        <v/>
      </c>
      <c r="AF264" s="622" t="str">
        <f>IF(NOT(ISBLANK('A-RACHNATMAK'!AI285)),"A",IF(NOT(ISBLANK('A-RACHNATMAK'!AI284)),"B",IF(NOT(ISBLANK('A-RACHNATMAK'!AI283)),"C","")))</f>
        <v/>
      </c>
      <c r="AG264" s="622" t="str">
        <f>IF(NOT(ISBLANK('A-RACHNATMAK'!AJ285)),"A",IF(NOT(ISBLANK('A-RACHNATMAK'!AJ284)),"B",IF(NOT(ISBLANK('A-RACHNATMAK'!AJ283)),"C","")))</f>
        <v/>
      </c>
      <c r="AH264" s="622" t="str">
        <f>IF(NOT(ISBLANK('A-RACHNATMAK'!AK285)),"A",IF(NOT(ISBLANK('A-RACHNATMAK'!AK284)),"B",IF(NOT(ISBLANK('A-RACHNATMAK'!AK283)),"C","")))</f>
        <v/>
      </c>
      <c r="AI264" s="622" t="str">
        <f>IF(NOT(ISBLANK('A-RACHNATMAK'!AL285)),"A",IF(NOT(ISBLANK('A-RACHNATMAK'!AL284)),"B",IF(NOT(ISBLANK('A-RACHNATMAK'!AL283)),"C","")))</f>
        <v/>
      </c>
      <c r="AJ264" s="622" t="str">
        <f>IF(NOT(ISBLANK('A-RACHNATMAK'!AM285)),"A",IF(NOT(ISBLANK('A-RACHNATMAK'!AM284)),"B",IF(NOT(ISBLANK('A-RACHNATMAK'!AM283)),"C","")))</f>
        <v/>
      </c>
      <c r="AK264" s="622" t="str">
        <f>IF(NOT(ISBLANK('A-RACHNATMAK'!AN285)),"A",IF(NOT(ISBLANK('A-RACHNATMAK'!AN284)),"B",IF(NOT(ISBLANK('A-RACHNATMAK'!AN283)),"C","")))</f>
        <v/>
      </c>
      <c r="AL264" s="622" t="str">
        <f>IF(NOT(ISBLANK('A-RACHNATMAK'!AO285)),"A",IF(NOT(ISBLANK('A-RACHNATMAK'!AO284)),"B",IF(NOT(ISBLANK('A-RACHNATMAK'!AO283)),"C","")))</f>
        <v/>
      </c>
      <c r="AM264" s="622" t="str">
        <f>IF(NOT(ISBLANK('A-RACHNATMAK'!AP285)),"A",IF(NOT(ISBLANK('A-RACHNATMAK'!AP284)),"B",IF(NOT(ISBLANK('A-RACHNATMAK'!AP283)),"C","")))</f>
        <v/>
      </c>
      <c r="AN264" s="622" t="str">
        <f>IF(NOT(ISBLANK('A-RACHNATMAK'!AQ285)),"A",IF(NOT(ISBLANK('A-RACHNATMAK'!AQ284)),"B",IF(NOT(ISBLANK('A-RACHNATMAK'!AQ283)),"C","")))</f>
        <v/>
      </c>
      <c r="AO264" s="622" t="str">
        <f>IF(NOT(ISBLANK('A-RACHNATMAK'!AR285)),"A",IF(NOT(ISBLANK('A-RACHNATMAK'!AR284)),"B",IF(NOT(ISBLANK('A-RACHNATMAK'!AR283)),"C","")))</f>
        <v/>
      </c>
      <c r="AP264" s="622" t="str">
        <f>IF(NOT(ISBLANK('A-RACHNATMAK'!AS285)),"A",IF(NOT(ISBLANK('A-RACHNATMAK'!AS284)),"B",IF(NOT(ISBLANK('A-RACHNATMAK'!AS283)),"C","")))</f>
        <v/>
      </c>
      <c r="AQ264" s="622" t="str">
        <f>IF(NOT(ISBLANK('A-RACHNATMAK'!AT285)),"A",IF(NOT(ISBLANK('A-RACHNATMAK'!AT284)),"B",IF(NOT(ISBLANK('A-RACHNATMAK'!AT283)),"C","")))</f>
        <v/>
      </c>
      <c r="AR264" s="622" t="str">
        <f>IF(NOT(ISBLANK('A-RACHNATMAK'!AU285)),"A",IF(NOT(ISBLANK('A-RACHNATMAK'!AU284)),"B",IF(NOT(ISBLANK('A-RACHNATMAK'!AU283)),"C","")))</f>
        <v/>
      </c>
      <c r="AS264" s="622" t="str">
        <f>IF(NOT(ISBLANK('A-RACHNATMAK'!AV285)),"A",IF(NOT(ISBLANK('A-RACHNATMAK'!AV284)),"B",IF(NOT(ISBLANK('A-RACHNATMAK'!AV283)),"C","")))</f>
        <v/>
      </c>
      <c r="AT264" s="622" t="str">
        <f>IF(NOT(ISBLANK('A-RACHNATMAK'!AW285)),"A",IF(NOT(ISBLANK('A-RACHNATMAK'!AW284)),"B",IF(NOT(ISBLANK('A-RACHNATMAK'!AW283)),"C","")))</f>
        <v/>
      </c>
      <c r="AU264" s="622">
        <f t="shared" ref="AU264" si="501">COUNTIF(AA264:AT264,"A")</f>
        <v>0</v>
      </c>
      <c r="AV264" s="622">
        <f t="shared" ref="AV264" si="502">COUNTIF(AA264:AT264,"B")</f>
        <v>0</v>
      </c>
      <c r="AW264" s="622">
        <f t="shared" ref="AW264" si="503">COUNTIF(AA264:AT264,"C")</f>
        <v>0</v>
      </c>
    </row>
    <row r="265" spans="1:49" ht="7.5" customHeight="1">
      <c r="A265" s="623"/>
      <c r="B265" s="622"/>
      <c r="C265" s="622"/>
      <c r="D265" s="622"/>
      <c r="E265" s="622"/>
      <c r="F265" s="622"/>
      <c r="G265" s="622"/>
      <c r="H265" s="622"/>
      <c r="I265" s="622"/>
      <c r="J265" s="622"/>
      <c r="K265" s="622"/>
      <c r="L265" s="622"/>
      <c r="M265" s="622"/>
      <c r="N265" s="622"/>
      <c r="O265" s="622"/>
      <c r="P265" s="622"/>
      <c r="Q265" s="622"/>
      <c r="R265" s="622"/>
      <c r="S265" s="622"/>
      <c r="T265" s="622"/>
      <c r="U265" s="622"/>
      <c r="V265" s="622"/>
      <c r="W265" s="622"/>
      <c r="X265" s="622"/>
      <c r="Y265" s="330"/>
      <c r="Z265" s="623"/>
      <c r="AA265" s="622"/>
      <c r="AB265" s="622"/>
      <c r="AC265" s="622"/>
      <c r="AD265" s="622"/>
      <c r="AE265" s="622"/>
      <c r="AF265" s="622"/>
      <c r="AG265" s="622"/>
      <c r="AH265" s="622"/>
      <c r="AI265" s="622"/>
      <c r="AJ265" s="622"/>
      <c r="AK265" s="622"/>
      <c r="AL265" s="622"/>
      <c r="AM265" s="622"/>
      <c r="AN265" s="622"/>
      <c r="AO265" s="622"/>
      <c r="AP265" s="622"/>
      <c r="AQ265" s="622"/>
      <c r="AR265" s="622"/>
      <c r="AS265" s="622"/>
      <c r="AT265" s="622"/>
      <c r="AU265" s="622"/>
      <c r="AV265" s="622"/>
      <c r="AW265" s="622"/>
    </row>
    <row r="266" spans="1:49" ht="7.5" customHeight="1">
      <c r="A266" s="623"/>
      <c r="B266" s="622"/>
      <c r="C266" s="622"/>
      <c r="D266" s="622"/>
      <c r="E266" s="622"/>
      <c r="F266" s="622"/>
      <c r="G266" s="622"/>
      <c r="H266" s="622"/>
      <c r="I266" s="622"/>
      <c r="J266" s="622"/>
      <c r="K266" s="622"/>
      <c r="L266" s="622"/>
      <c r="M266" s="622"/>
      <c r="N266" s="622"/>
      <c r="O266" s="622"/>
      <c r="P266" s="622"/>
      <c r="Q266" s="622"/>
      <c r="R266" s="622"/>
      <c r="S266" s="622"/>
      <c r="T266" s="622"/>
      <c r="U266" s="622"/>
      <c r="V266" s="622"/>
      <c r="W266" s="622"/>
      <c r="X266" s="622"/>
      <c r="Y266" s="330"/>
      <c r="Z266" s="623"/>
      <c r="AA266" s="622"/>
      <c r="AB266" s="622"/>
      <c r="AC266" s="622"/>
      <c r="AD266" s="622"/>
      <c r="AE266" s="622"/>
      <c r="AF266" s="622"/>
      <c r="AG266" s="622"/>
      <c r="AH266" s="622"/>
      <c r="AI266" s="622"/>
      <c r="AJ266" s="622"/>
      <c r="AK266" s="622"/>
      <c r="AL266" s="622"/>
      <c r="AM266" s="622"/>
      <c r="AN266" s="622"/>
      <c r="AO266" s="622"/>
      <c r="AP266" s="622"/>
      <c r="AQ266" s="622"/>
      <c r="AR266" s="622"/>
      <c r="AS266" s="622"/>
      <c r="AT266" s="622"/>
      <c r="AU266" s="622"/>
      <c r="AV266" s="622"/>
      <c r="AW266" s="622"/>
    </row>
    <row r="267" spans="1:49" ht="7.5" customHeight="1">
      <c r="A267" s="623">
        <v>18</v>
      </c>
      <c r="B267" s="622" t="str">
        <f>IF(NOT(ISBLANK('A-RACHNATMAK'!C288)),"A",IF(NOT(ISBLANK('A-RACHNATMAK'!C287)),"B",IF(NOT(ISBLANK('A-RACHNATMAK'!C286)),"C","")))</f>
        <v/>
      </c>
      <c r="C267" s="622" t="str">
        <f>IF(NOT(ISBLANK('A-RACHNATMAK'!D288)),"A",IF(NOT(ISBLANK('A-RACHNATMAK'!D287)),"B",IF(NOT(ISBLANK('A-RACHNATMAK'!D286)),"C","")))</f>
        <v/>
      </c>
      <c r="D267" s="622" t="str">
        <f>IF(NOT(ISBLANK('A-RACHNATMAK'!E288)),"A",IF(NOT(ISBLANK('A-RACHNATMAK'!E287)),"B",IF(NOT(ISBLANK('A-RACHNATMAK'!E286)),"C","")))</f>
        <v/>
      </c>
      <c r="E267" s="622" t="str">
        <f>IF(NOT(ISBLANK('A-RACHNATMAK'!F288)),"A",IF(NOT(ISBLANK('A-RACHNATMAK'!F287)),"B",IF(NOT(ISBLANK('A-RACHNATMAK'!F286)),"C","")))</f>
        <v/>
      </c>
      <c r="F267" s="622" t="str">
        <f>IF(NOT(ISBLANK('A-RACHNATMAK'!G288)),"A",IF(NOT(ISBLANK('A-RACHNATMAK'!G287)),"B",IF(NOT(ISBLANK('A-RACHNATMAK'!G286)),"C","")))</f>
        <v/>
      </c>
      <c r="G267" s="622" t="str">
        <f>IF(NOT(ISBLANK('A-RACHNATMAK'!H288)),"A",IF(NOT(ISBLANK('A-RACHNATMAK'!H287)),"B",IF(NOT(ISBLANK('A-RACHNATMAK'!H286)),"C","")))</f>
        <v/>
      </c>
      <c r="H267" s="622" t="str">
        <f>IF(NOT(ISBLANK('A-RACHNATMAK'!I288)),"A",IF(NOT(ISBLANK('A-RACHNATMAK'!I287)),"B",IF(NOT(ISBLANK('A-RACHNATMAK'!I286)),"C","")))</f>
        <v/>
      </c>
      <c r="I267" s="622" t="str">
        <f>IF(NOT(ISBLANK('A-RACHNATMAK'!J288)),"A",IF(NOT(ISBLANK('A-RACHNATMAK'!J287)),"B",IF(NOT(ISBLANK('A-RACHNATMAK'!J286)),"C","")))</f>
        <v/>
      </c>
      <c r="J267" s="622" t="str">
        <f>IF(NOT(ISBLANK('A-RACHNATMAK'!K288)),"A",IF(NOT(ISBLANK('A-RACHNATMAK'!K287)),"B",IF(NOT(ISBLANK('A-RACHNATMAK'!K286)),"C","")))</f>
        <v/>
      </c>
      <c r="K267" s="622" t="str">
        <f>IF(NOT(ISBLANK('A-RACHNATMAK'!L288)),"A",IF(NOT(ISBLANK('A-RACHNATMAK'!L287)),"B",IF(NOT(ISBLANK('A-RACHNATMAK'!L286)),"C","")))</f>
        <v/>
      </c>
      <c r="L267" s="622" t="str">
        <f>IF(NOT(ISBLANK('A-RACHNATMAK'!M288)),"A",IF(NOT(ISBLANK('A-RACHNATMAK'!M287)),"B",IF(NOT(ISBLANK('A-RACHNATMAK'!M286)),"C","")))</f>
        <v/>
      </c>
      <c r="M267" s="622" t="str">
        <f>IF(NOT(ISBLANK('A-RACHNATMAK'!N288)),"A",IF(NOT(ISBLANK('A-RACHNATMAK'!N287)),"B",IF(NOT(ISBLANK('A-RACHNATMAK'!N286)),"C","")))</f>
        <v/>
      </c>
      <c r="N267" s="622" t="str">
        <f>IF(NOT(ISBLANK('A-RACHNATMAK'!O288)),"A",IF(NOT(ISBLANK('A-RACHNATMAK'!O287)),"B",IF(NOT(ISBLANK('A-RACHNATMAK'!O286)),"C","")))</f>
        <v/>
      </c>
      <c r="O267" s="622" t="str">
        <f>IF(NOT(ISBLANK('A-RACHNATMAK'!P288)),"A",IF(NOT(ISBLANK('A-RACHNATMAK'!P287)),"B",IF(NOT(ISBLANK('A-RACHNATMAK'!P286)),"C","")))</f>
        <v/>
      </c>
      <c r="P267" s="622" t="str">
        <f>IF(NOT(ISBLANK('A-RACHNATMAK'!Q288)),"A",IF(NOT(ISBLANK('A-RACHNATMAK'!Q287)),"B",IF(NOT(ISBLANK('A-RACHNATMAK'!Q286)),"C","")))</f>
        <v/>
      </c>
      <c r="Q267" s="622" t="str">
        <f>IF(NOT(ISBLANK('A-RACHNATMAK'!R288)),"A",IF(NOT(ISBLANK('A-RACHNATMAK'!R287)),"B",IF(NOT(ISBLANK('A-RACHNATMAK'!R286)),"C","")))</f>
        <v/>
      </c>
      <c r="R267" s="622" t="str">
        <f>IF(NOT(ISBLANK('A-RACHNATMAK'!S288)),"A",IF(NOT(ISBLANK('A-RACHNATMAK'!S287)),"B",IF(NOT(ISBLANK('A-RACHNATMAK'!S286)),"C","")))</f>
        <v/>
      </c>
      <c r="S267" s="622" t="str">
        <f>IF(NOT(ISBLANK('A-RACHNATMAK'!T288)),"A",IF(NOT(ISBLANK('A-RACHNATMAK'!T287)),"B",IF(NOT(ISBLANK('A-RACHNATMAK'!T286)),"C","")))</f>
        <v/>
      </c>
      <c r="T267" s="622" t="str">
        <f>IF(NOT(ISBLANK('A-RACHNATMAK'!U288)),"A",IF(NOT(ISBLANK('A-RACHNATMAK'!U287)),"B",IF(NOT(ISBLANK('A-RACHNATMAK'!U286)),"C","")))</f>
        <v/>
      </c>
      <c r="U267" s="622" t="str">
        <f>IF(NOT(ISBLANK('A-RACHNATMAK'!V288)),"A",IF(NOT(ISBLANK('A-RACHNATMAK'!V287)),"B",IF(NOT(ISBLANK('A-RACHNATMAK'!V286)),"C","")))</f>
        <v/>
      </c>
      <c r="V267" s="622">
        <f t="shared" ref="V267" si="504">COUNTIF(B267:U267,"A")</f>
        <v>0</v>
      </c>
      <c r="W267" s="622">
        <f t="shared" ref="W267" si="505">COUNTIF(B267:U267,"B")</f>
        <v>0</v>
      </c>
      <c r="X267" s="622">
        <f t="shared" ref="X267" si="506">COUNTIF(B267:U267,"C")</f>
        <v>0</v>
      </c>
      <c r="Y267" s="330"/>
      <c r="Z267" s="623">
        <v>18</v>
      </c>
      <c r="AA267" s="622" t="str">
        <f>IF(NOT(ISBLANK('A-RACHNATMAK'!AD288)),"A",IF(NOT(ISBLANK('A-RACHNATMAK'!AD287)),"B",IF(NOT(ISBLANK('A-RACHNATMAK'!AD286)),"C","")))</f>
        <v/>
      </c>
      <c r="AB267" s="622" t="str">
        <f>IF(NOT(ISBLANK('A-RACHNATMAK'!AE288)),"A",IF(NOT(ISBLANK('A-RACHNATMAK'!AE287)),"B",IF(NOT(ISBLANK('A-RACHNATMAK'!AE286)),"C","")))</f>
        <v/>
      </c>
      <c r="AC267" s="622" t="str">
        <f>IF(NOT(ISBLANK('A-RACHNATMAK'!AF288)),"A",IF(NOT(ISBLANK('A-RACHNATMAK'!AF287)),"B",IF(NOT(ISBLANK('A-RACHNATMAK'!AF286)),"C","")))</f>
        <v/>
      </c>
      <c r="AD267" s="622" t="str">
        <f>IF(NOT(ISBLANK('A-RACHNATMAK'!AG288)),"A",IF(NOT(ISBLANK('A-RACHNATMAK'!AG287)),"B",IF(NOT(ISBLANK('A-RACHNATMAK'!AG286)),"C","")))</f>
        <v/>
      </c>
      <c r="AE267" s="622" t="str">
        <f>IF(NOT(ISBLANK('A-RACHNATMAK'!AH288)),"A",IF(NOT(ISBLANK('A-RACHNATMAK'!AH287)),"B",IF(NOT(ISBLANK('A-RACHNATMAK'!AH286)),"C","")))</f>
        <v/>
      </c>
      <c r="AF267" s="622" t="str">
        <f>IF(NOT(ISBLANK('A-RACHNATMAK'!AI288)),"A",IF(NOT(ISBLANK('A-RACHNATMAK'!AI287)),"B",IF(NOT(ISBLANK('A-RACHNATMAK'!AI286)),"C","")))</f>
        <v/>
      </c>
      <c r="AG267" s="622" t="str">
        <f>IF(NOT(ISBLANK('A-RACHNATMAK'!AJ288)),"A",IF(NOT(ISBLANK('A-RACHNATMAK'!AJ287)),"B",IF(NOT(ISBLANK('A-RACHNATMAK'!AJ286)),"C","")))</f>
        <v/>
      </c>
      <c r="AH267" s="622" t="str">
        <f>IF(NOT(ISBLANK('A-RACHNATMAK'!AK288)),"A",IF(NOT(ISBLANK('A-RACHNATMAK'!AK287)),"B",IF(NOT(ISBLANK('A-RACHNATMAK'!AK286)),"C","")))</f>
        <v/>
      </c>
      <c r="AI267" s="622" t="str">
        <f>IF(NOT(ISBLANK('A-RACHNATMAK'!AL288)),"A",IF(NOT(ISBLANK('A-RACHNATMAK'!AL287)),"B",IF(NOT(ISBLANK('A-RACHNATMAK'!AL286)),"C","")))</f>
        <v/>
      </c>
      <c r="AJ267" s="622" t="str">
        <f>IF(NOT(ISBLANK('A-RACHNATMAK'!AM288)),"A",IF(NOT(ISBLANK('A-RACHNATMAK'!AM287)),"B",IF(NOT(ISBLANK('A-RACHNATMAK'!AM286)),"C","")))</f>
        <v/>
      </c>
      <c r="AK267" s="622" t="str">
        <f>IF(NOT(ISBLANK('A-RACHNATMAK'!AN288)),"A",IF(NOT(ISBLANK('A-RACHNATMAK'!AN287)),"B",IF(NOT(ISBLANK('A-RACHNATMAK'!AN286)),"C","")))</f>
        <v/>
      </c>
      <c r="AL267" s="622" t="str">
        <f>IF(NOT(ISBLANK('A-RACHNATMAK'!AO288)),"A",IF(NOT(ISBLANK('A-RACHNATMAK'!AO287)),"B",IF(NOT(ISBLANK('A-RACHNATMAK'!AO286)),"C","")))</f>
        <v/>
      </c>
      <c r="AM267" s="622" t="str">
        <f>IF(NOT(ISBLANK('A-RACHNATMAK'!AP288)),"A",IF(NOT(ISBLANK('A-RACHNATMAK'!AP287)),"B",IF(NOT(ISBLANK('A-RACHNATMAK'!AP286)),"C","")))</f>
        <v/>
      </c>
      <c r="AN267" s="622" t="str">
        <f>IF(NOT(ISBLANK('A-RACHNATMAK'!AQ288)),"A",IF(NOT(ISBLANK('A-RACHNATMAK'!AQ287)),"B",IF(NOT(ISBLANK('A-RACHNATMAK'!AQ286)),"C","")))</f>
        <v/>
      </c>
      <c r="AO267" s="622" t="str">
        <f>IF(NOT(ISBLANK('A-RACHNATMAK'!AR288)),"A",IF(NOT(ISBLANK('A-RACHNATMAK'!AR287)),"B",IF(NOT(ISBLANK('A-RACHNATMAK'!AR286)),"C","")))</f>
        <v/>
      </c>
      <c r="AP267" s="622" t="str">
        <f>IF(NOT(ISBLANK('A-RACHNATMAK'!AS288)),"A",IF(NOT(ISBLANK('A-RACHNATMAK'!AS287)),"B",IF(NOT(ISBLANK('A-RACHNATMAK'!AS286)),"C","")))</f>
        <v/>
      </c>
      <c r="AQ267" s="622" t="str">
        <f>IF(NOT(ISBLANK('A-RACHNATMAK'!AT288)),"A",IF(NOT(ISBLANK('A-RACHNATMAK'!AT287)),"B",IF(NOT(ISBLANK('A-RACHNATMAK'!AT286)),"C","")))</f>
        <v/>
      </c>
      <c r="AR267" s="622" t="str">
        <f>IF(NOT(ISBLANK('A-RACHNATMAK'!AU288)),"A",IF(NOT(ISBLANK('A-RACHNATMAK'!AU287)),"B",IF(NOT(ISBLANK('A-RACHNATMAK'!AU286)),"C","")))</f>
        <v/>
      </c>
      <c r="AS267" s="622" t="str">
        <f>IF(NOT(ISBLANK('A-RACHNATMAK'!AV288)),"A",IF(NOT(ISBLANK('A-RACHNATMAK'!AV287)),"B",IF(NOT(ISBLANK('A-RACHNATMAK'!AV286)),"C","")))</f>
        <v/>
      </c>
      <c r="AT267" s="622" t="str">
        <f>IF(NOT(ISBLANK('A-RACHNATMAK'!AW288)),"A",IF(NOT(ISBLANK('A-RACHNATMAK'!AW287)),"B",IF(NOT(ISBLANK('A-RACHNATMAK'!AW286)),"C","")))</f>
        <v/>
      </c>
      <c r="AU267" s="622">
        <f t="shared" ref="AU267" si="507">COUNTIF(AA267:AT267,"A")</f>
        <v>0</v>
      </c>
      <c r="AV267" s="622">
        <f t="shared" ref="AV267" si="508">COUNTIF(AA267:AT267,"B")</f>
        <v>0</v>
      </c>
      <c r="AW267" s="622">
        <f t="shared" ref="AW267" si="509">COUNTIF(AA267:AT267,"C")</f>
        <v>0</v>
      </c>
    </row>
    <row r="268" spans="1:49" ht="7.5" customHeight="1">
      <c r="A268" s="623"/>
      <c r="B268" s="622"/>
      <c r="C268" s="622"/>
      <c r="D268" s="622"/>
      <c r="E268" s="622"/>
      <c r="F268" s="622"/>
      <c r="G268" s="622"/>
      <c r="H268" s="622"/>
      <c r="I268" s="622"/>
      <c r="J268" s="622"/>
      <c r="K268" s="622"/>
      <c r="L268" s="622"/>
      <c r="M268" s="622"/>
      <c r="N268" s="622"/>
      <c r="O268" s="622"/>
      <c r="P268" s="622"/>
      <c r="Q268" s="622"/>
      <c r="R268" s="622"/>
      <c r="S268" s="622"/>
      <c r="T268" s="622"/>
      <c r="U268" s="622"/>
      <c r="V268" s="622"/>
      <c r="W268" s="622"/>
      <c r="X268" s="622"/>
      <c r="Y268" s="330"/>
      <c r="Z268" s="623"/>
      <c r="AA268" s="622"/>
      <c r="AB268" s="622"/>
      <c r="AC268" s="622"/>
      <c r="AD268" s="622"/>
      <c r="AE268" s="622"/>
      <c r="AF268" s="622"/>
      <c r="AG268" s="622"/>
      <c r="AH268" s="622"/>
      <c r="AI268" s="622"/>
      <c r="AJ268" s="622"/>
      <c r="AK268" s="622"/>
      <c r="AL268" s="622"/>
      <c r="AM268" s="622"/>
      <c r="AN268" s="622"/>
      <c r="AO268" s="622"/>
      <c r="AP268" s="622"/>
      <c r="AQ268" s="622"/>
      <c r="AR268" s="622"/>
      <c r="AS268" s="622"/>
      <c r="AT268" s="622"/>
      <c r="AU268" s="622"/>
      <c r="AV268" s="622"/>
      <c r="AW268" s="622"/>
    </row>
    <row r="269" spans="1:49" ht="7.5" customHeight="1">
      <c r="A269" s="623"/>
      <c r="B269" s="622"/>
      <c r="C269" s="622"/>
      <c r="D269" s="622"/>
      <c r="E269" s="622"/>
      <c r="F269" s="622"/>
      <c r="G269" s="622"/>
      <c r="H269" s="622"/>
      <c r="I269" s="622"/>
      <c r="J269" s="622"/>
      <c r="K269" s="622"/>
      <c r="L269" s="622"/>
      <c r="M269" s="622"/>
      <c r="N269" s="622"/>
      <c r="O269" s="622"/>
      <c r="P269" s="622"/>
      <c r="Q269" s="622"/>
      <c r="R269" s="622"/>
      <c r="S269" s="622"/>
      <c r="T269" s="622"/>
      <c r="U269" s="622"/>
      <c r="V269" s="622"/>
      <c r="W269" s="622"/>
      <c r="X269" s="622"/>
      <c r="Y269" s="330"/>
      <c r="Z269" s="623"/>
      <c r="AA269" s="622"/>
      <c r="AB269" s="622"/>
      <c r="AC269" s="622"/>
      <c r="AD269" s="622"/>
      <c r="AE269" s="622"/>
      <c r="AF269" s="622"/>
      <c r="AG269" s="622"/>
      <c r="AH269" s="622"/>
      <c r="AI269" s="622"/>
      <c r="AJ269" s="622"/>
      <c r="AK269" s="622"/>
      <c r="AL269" s="622"/>
      <c r="AM269" s="622"/>
      <c r="AN269" s="622"/>
      <c r="AO269" s="622"/>
      <c r="AP269" s="622"/>
      <c r="AQ269" s="622"/>
      <c r="AR269" s="622"/>
      <c r="AS269" s="622"/>
      <c r="AT269" s="622"/>
      <c r="AU269" s="622"/>
      <c r="AV269" s="622"/>
      <c r="AW269" s="622"/>
    </row>
    <row r="270" spans="1:49" ht="7.5" customHeight="1">
      <c r="A270" s="623">
        <v>19</v>
      </c>
      <c r="B270" s="622" t="str">
        <f>IF(NOT(ISBLANK('A-RACHNATMAK'!C291)),"A",IF(NOT(ISBLANK('A-RACHNATMAK'!C290)),"B",IF(NOT(ISBLANK('A-RACHNATMAK'!C289)),"C","")))</f>
        <v/>
      </c>
      <c r="C270" s="622" t="str">
        <f>IF(NOT(ISBLANK('A-RACHNATMAK'!D291)),"A",IF(NOT(ISBLANK('A-RACHNATMAK'!D290)),"B",IF(NOT(ISBLANK('A-RACHNATMAK'!D289)),"C","")))</f>
        <v/>
      </c>
      <c r="D270" s="622" t="str">
        <f>IF(NOT(ISBLANK('A-RACHNATMAK'!E291)),"A",IF(NOT(ISBLANK('A-RACHNATMAK'!E290)),"B",IF(NOT(ISBLANK('A-RACHNATMAK'!E289)),"C","")))</f>
        <v/>
      </c>
      <c r="E270" s="622" t="str">
        <f>IF(NOT(ISBLANK('A-RACHNATMAK'!F291)),"A",IF(NOT(ISBLANK('A-RACHNATMAK'!F290)),"B",IF(NOT(ISBLANK('A-RACHNATMAK'!F289)),"C","")))</f>
        <v/>
      </c>
      <c r="F270" s="622" t="str">
        <f>IF(NOT(ISBLANK('A-RACHNATMAK'!G291)),"A",IF(NOT(ISBLANK('A-RACHNATMAK'!G290)),"B",IF(NOT(ISBLANK('A-RACHNATMAK'!G289)),"C","")))</f>
        <v/>
      </c>
      <c r="G270" s="622" t="str">
        <f>IF(NOT(ISBLANK('A-RACHNATMAK'!H291)),"A",IF(NOT(ISBLANK('A-RACHNATMAK'!H290)),"B",IF(NOT(ISBLANK('A-RACHNATMAK'!H289)),"C","")))</f>
        <v/>
      </c>
      <c r="H270" s="622" t="str">
        <f>IF(NOT(ISBLANK('A-RACHNATMAK'!I291)),"A",IF(NOT(ISBLANK('A-RACHNATMAK'!I290)),"B",IF(NOT(ISBLANK('A-RACHNATMAK'!I289)),"C","")))</f>
        <v/>
      </c>
      <c r="I270" s="622" t="str">
        <f>IF(NOT(ISBLANK('A-RACHNATMAK'!J291)),"A",IF(NOT(ISBLANK('A-RACHNATMAK'!J290)),"B",IF(NOT(ISBLANK('A-RACHNATMAK'!J289)),"C","")))</f>
        <v/>
      </c>
      <c r="J270" s="622" t="str">
        <f>IF(NOT(ISBLANK('A-RACHNATMAK'!K291)),"A",IF(NOT(ISBLANK('A-RACHNATMAK'!K290)),"B",IF(NOT(ISBLANK('A-RACHNATMAK'!K289)),"C","")))</f>
        <v/>
      </c>
      <c r="K270" s="622" t="str">
        <f>IF(NOT(ISBLANK('A-RACHNATMAK'!L291)),"A",IF(NOT(ISBLANK('A-RACHNATMAK'!L290)),"B",IF(NOT(ISBLANK('A-RACHNATMAK'!L289)),"C","")))</f>
        <v/>
      </c>
      <c r="L270" s="622" t="str">
        <f>IF(NOT(ISBLANK('A-RACHNATMAK'!M291)),"A",IF(NOT(ISBLANK('A-RACHNATMAK'!M290)),"B",IF(NOT(ISBLANK('A-RACHNATMAK'!M289)),"C","")))</f>
        <v/>
      </c>
      <c r="M270" s="622" t="str">
        <f>IF(NOT(ISBLANK('A-RACHNATMAK'!N291)),"A",IF(NOT(ISBLANK('A-RACHNATMAK'!N290)),"B",IF(NOT(ISBLANK('A-RACHNATMAK'!N289)),"C","")))</f>
        <v/>
      </c>
      <c r="N270" s="622" t="str">
        <f>IF(NOT(ISBLANK('A-RACHNATMAK'!O291)),"A",IF(NOT(ISBLANK('A-RACHNATMAK'!O290)),"B",IF(NOT(ISBLANK('A-RACHNATMAK'!O289)),"C","")))</f>
        <v/>
      </c>
      <c r="O270" s="622" t="str">
        <f>IF(NOT(ISBLANK('A-RACHNATMAK'!P291)),"A",IF(NOT(ISBLANK('A-RACHNATMAK'!P290)),"B",IF(NOT(ISBLANK('A-RACHNATMAK'!P289)),"C","")))</f>
        <v/>
      </c>
      <c r="P270" s="622" t="str">
        <f>IF(NOT(ISBLANK('A-RACHNATMAK'!Q291)),"A",IF(NOT(ISBLANK('A-RACHNATMAK'!Q290)),"B",IF(NOT(ISBLANK('A-RACHNATMAK'!Q289)),"C","")))</f>
        <v/>
      </c>
      <c r="Q270" s="622" t="str">
        <f>IF(NOT(ISBLANK('A-RACHNATMAK'!R291)),"A",IF(NOT(ISBLANK('A-RACHNATMAK'!R290)),"B",IF(NOT(ISBLANK('A-RACHNATMAK'!R289)),"C","")))</f>
        <v/>
      </c>
      <c r="R270" s="622" t="str">
        <f>IF(NOT(ISBLANK('A-RACHNATMAK'!S291)),"A",IF(NOT(ISBLANK('A-RACHNATMAK'!S290)),"B",IF(NOT(ISBLANK('A-RACHNATMAK'!S289)),"C","")))</f>
        <v/>
      </c>
      <c r="S270" s="622" t="str">
        <f>IF(NOT(ISBLANK('A-RACHNATMAK'!T291)),"A",IF(NOT(ISBLANK('A-RACHNATMAK'!T290)),"B",IF(NOT(ISBLANK('A-RACHNATMAK'!T289)),"C","")))</f>
        <v/>
      </c>
      <c r="T270" s="622" t="str">
        <f>IF(NOT(ISBLANK('A-RACHNATMAK'!U291)),"A",IF(NOT(ISBLANK('A-RACHNATMAK'!U290)),"B",IF(NOT(ISBLANK('A-RACHNATMAK'!U289)),"C","")))</f>
        <v/>
      </c>
      <c r="U270" s="622" t="str">
        <f>IF(NOT(ISBLANK('A-RACHNATMAK'!V291)),"A",IF(NOT(ISBLANK('A-RACHNATMAK'!V290)),"B",IF(NOT(ISBLANK('A-RACHNATMAK'!V289)),"C","")))</f>
        <v/>
      </c>
      <c r="V270" s="622">
        <f t="shared" ref="V270" si="510">COUNTIF(B270:U270,"A")</f>
        <v>0</v>
      </c>
      <c r="W270" s="622">
        <f t="shared" ref="W270" si="511">COUNTIF(B270:U270,"B")</f>
        <v>0</v>
      </c>
      <c r="X270" s="622">
        <f t="shared" ref="X270" si="512">COUNTIF(B270:U270,"C")</f>
        <v>0</v>
      </c>
      <c r="Y270" s="330"/>
      <c r="Z270" s="623">
        <v>19</v>
      </c>
      <c r="AA270" s="622" t="str">
        <f>IF(NOT(ISBLANK('A-RACHNATMAK'!AD291)),"A",IF(NOT(ISBLANK('A-RACHNATMAK'!AD290)),"B",IF(NOT(ISBLANK('A-RACHNATMAK'!AD289)),"C","")))</f>
        <v/>
      </c>
      <c r="AB270" s="622" t="str">
        <f>IF(NOT(ISBLANK('A-RACHNATMAK'!AE291)),"A",IF(NOT(ISBLANK('A-RACHNATMAK'!AE290)),"B",IF(NOT(ISBLANK('A-RACHNATMAK'!AE289)),"C","")))</f>
        <v/>
      </c>
      <c r="AC270" s="622" t="str">
        <f>IF(NOT(ISBLANK('A-RACHNATMAK'!AF291)),"A",IF(NOT(ISBLANK('A-RACHNATMAK'!AF290)),"B",IF(NOT(ISBLANK('A-RACHNATMAK'!AF289)),"C","")))</f>
        <v/>
      </c>
      <c r="AD270" s="622" t="str">
        <f>IF(NOT(ISBLANK('A-RACHNATMAK'!AG291)),"A",IF(NOT(ISBLANK('A-RACHNATMAK'!AG290)),"B",IF(NOT(ISBLANK('A-RACHNATMAK'!AG289)),"C","")))</f>
        <v/>
      </c>
      <c r="AE270" s="622" t="str">
        <f>IF(NOT(ISBLANK('A-RACHNATMAK'!AH291)),"A",IF(NOT(ISBLANK('A-RACHNATMAK'!AH290)),"B",IF(NOT(ISBLANK('A-RACHNATMAK'!AH289)),"C","")))</f>
        <v/>
      </c>
      <c r="AF270" s="622" t="str">
        <f>IF(NOT(ISBLANK('A-RACHNATMAK'!AI291)),"A",IF(NOT(ISBLANK('A-RACHNATMAK'!AI290)),"B",IF(NOT(ISBLANK('A-RACHNATMAK'!AI289)),"C","")))</f>
        <v/>
      </c>
      <c r="AG270" s="622" t="str">
        <f>IF(NOT(ISBLANK('A-RACHNATMAK'!AJ291)),"A",IF(NOT(ISBLANK('A-RACHNATMAK'!AJ290)),"B",IF(NOT(ISBLANK('A-RACHNATMAK'!AJ289)),"C","")))</f>
        <v/>
      </c>
      <c r="AH270" s="622" t="str">
        <f>IF(NOT(ISBLANK('A-RACHNATMAK'!AK291)),"A",IF(NOT(ISBLANK('A-RACHNATMAK'!AK290)),"B",IF(NOT(ISBLANK('A-RACHNATMAK'!AK289)),"C","")))</f>
        <v/>
      </c>
      <c r="AI270" s="622" t="str">
        <f>IF(NOT(ISBLANK('A-RACHNATMAK'!AL291)),"A",IF(NOT(ISBLANK('A-RACHNATMAK'!AL290)),"B",IF(NOT(ISBLANK('A-RACHNATMAK'!AL289)),"C","")))</f>
        <v/>
      </c>
      <c r="AJ270" s="622" t="str">
        <f>IF(NOT(ISBLANK('A-RACHNATMAK'!AM291)),"A",IF(NOT(ISBLANK('A-RACHNATMAK'!AM290)),"B",IF(NOT(ISBLANK('A-RACHNATMAK'!AM289)),"C","")))</f>
        <v/>
      </c>
      <c r="AK270" s="622" t="str">
        <f>IF(NOT(ISBLANK('A-RACHNATMAK'!AN291)),"A",IF(NOT(ISBLANK('A-RACHNATMAK'!AN290)),"B",IF(NOT(ISBLANK('A-RACHNATMAK'!AN289)),"C","")))</f>
        <v/>
      </c>
      <c r="AL270" s="622" t="str">
        <f>IF(NOT(ISBLANK('A-RACHNATMAK'!AO291)),"A",IF(NOT(ISBLANK('A-RACHNATMAK'!AO290)),"B",IF(NOT(ISBLANK('A-RACHNATMAK'!AO289)),"C","")))</f>
        <v/>
      </c>
      <c r="AM270" s="622" t="str">
        <f>IF(NOT(ISBLANK('A-RACHNATMAK'!AP291)),"A",IF(NOT(ISBLANK('A-RACHNATMAK'!AP290)),"B",IF(NOT(ISBLANK('A-RACHNATMAK'!AP289)),"C","")))</f>
        <v/>
      </c>
      <c r="AN270" s="622" t="str">
        <f>IF(NOT(ISBLANK('A-RACHNATMAK'!AQ291)),"A",IF(NOT(ISBLANK('A-RACHNATMAK'!AQ290)),"B",IF(NOT(ISBLANK('A-RACHNATMAK'!AQ289)),"C","")))</f>
        <v/>
      </c>
      <c r="AO270" s="622" t="str">
        <f>IF(NOT(ISBLANK('A-RACHNATMAK'!AR291)),"A",IF(NOT(ISBLANK('A-RACHNATMAK'!AR290)),"B",IF(NOT(ISBLANK('A-RACHNATMAK'!AR289)),"C","")))</f>
        <v/>
      </c>
      <c r="AP270" s="622" t="str">
        <f>IF(NOT(ISBLANK('A-RACHNATMAK'!AS291)),"A",IF(NOT(ISBLANK('A-RACHNATMAK'!AS290)),"B",IF(NOT(ISBLANK('A-RACHNATMAK'!AS289)),"C","")))</f>
        <v/>
      </c>
      <c r="AQ270" s="622" t="str">
        <f>IF(NOT(ISBLANK('A-RACHNATMAK'!AT291)),"A",IF(NOT(ISBLANK('A-RACHNATMAK'!AT290)),"B",IF(NOT(ISBLANK('A-RACHNATMAK'!AT289)),"C","")))</f>
        <v/>
      </c>
      <c r="AR270" s="622" t="str">
        <f>IF(NOT(ISBLANK('A-RACHNATMAK'!AU291)),"A",IF(NOT(ISBLANK('A-RACHNATMAK'!AU290)),"B",IF(NOT(ISBLANK('A-RACHNATMAK'!AU289)),"C","")))</f>
        <v/>
      </c>
      <c r="AS270" s="622" t="str">
        <f>IF(NOT(ISBLANK('A-RACHNATMAK'!AV291)),"A",IF(NOT(ISBLANK('A-RACHNATMAK'!AV290)),"B",IF(NOT(ISBLANK('A-RACHNATMAK'!AV289)),"C","")))</f>
        <v/>
      </c>
      <c r="AT270" s="622" t="str">
        <f>IF(NOT(ISBLANK('A-RACHNATMAK'!AW291)),"A",IF(NOT(ISBLANK('A-RACHNATMAK'!AW290)),"B",IF(NOT(ISBLANK('A-RACHNATMAK'!AW289)),"C","")))</f>
        <v/>
      </c>
      <c r="AU270" s="622">
        <f t="shared" ref="AU270" si="513">COUNTIF(AA270:AT270,"A")</f>
        <v>0</v>
      </c>
      <c r="AV270" s="622">
        <f t="shared" ref="AV270" si="514">COUNTIF(AA270:AT270,"B")</f>
        <v>0</v>
      </c>
      <c r="AW270" s="622">
        <f t="shared" ref="AW270" si="515">COUNTIF(AA270:AT270,"C")</f>
        <v>0</v>
      </c>
    </row>
    <row r="271" spans="1:49" ht="7.5" customHeight="1">
      <c r="A271" s="623"/>
      <c r="B271" s="622"/>
      <c r="C271" s="622"/>
      <c r="D271" s="622"/>
      <c r="E271" s="622"/>
      <c r="F271" s="622"/>
      <c r="G271" s="622"/>
      <c r="H271" s="622"/>
      <c r="I271" s="622"/>
      <c r="J271" s="622"/>
      <c r="K271" s="622"/>
      <c r="L271" s="622"/>
      <c r="M271" s="622"/>
      <c r="N271" s="622"/>
      <c r="O271" s="622"/>
      <c r="P271" s="622"/>
      <c r="Q271" s="622"/>
      <c r="R271" s="622"/>
      <c r="S271" s="622"/>
      <c r="T271" s="622"/>
      <c r="U271" s="622"/>
      <c r="V271" s="622"/>
      <c r="W271" s="622"/>
      <c r="X271" s="622"/>
      <c r="Y271" s="330"/>
      <c r="Z271" s="623"/>
      <c r="AA271" s="622"/>
      <c r="AB271" s="622"/>
      <c r="AC271" s="622"/>
      <c r="AD271" s="622"/>
      <c r="AE271" s="622"/>
      <c r="AF271" s="622"/>
      <c r="AG271" s="622"/>
      <c r="AH271" s="622"/>
      <c r="AI271" s="622"/>
      <c r="AJ271" s="622"/>
      <c r="AK271" s="622"/>
      <c r="AL271" s="622"/>
      <c r="AM271" s="622"/>
      <c r="AN271" s="622"/>
      <c r="AO271" s="622"/>
      <c r="AP271" s="622"/>
      <c r="AQ271" s="622"/>
      <c r="AR271" s="622"/>
      <c r="AS271" s="622"/>
      <c r="AT271" s="622"/>
      <c r="AU271" s="622"/>
      <c r="AV271" s="622"/>
      <c r="AW271" s="622"/>
    </row>
    <row r="272" spans="1:49" ht="7.5" customHeight="1">
      <c r="A272" s="623"/>
      <c r="B272" s="622"/>
      <c r="C272" s="622"/>
      <c r="D272" s="622"/>
      <c r="E272" s="622"/>
      <c r="F272" s="622"/>
      <c r="G272" s="622"/>
      <c r="H272" s="622"/>
      <c r="I272" s="622"/>
      <c r="J272" s="622"/>
      <c r="K272" s="622"/>
      <c r="L272" s="622"/>
      <c r="M272" s="622"/>
      <c r="N272" s="622"/>
      <c r="O272" s="622"/>
      <c r="P272" s="622"/>
      <c r="Q272" s="622"/>
      <c r="R272" s="622"/>
      <c r="S272" s="622"/>
      <c r="T272" s="622"/>
      <c r="U272" s="622"/>
      <c r="V272" s="622"/>
      <c r="W272" s="622"/>
      <c r="X272" s="622"/>
      <c r="Y272" s="330"/>
      <c r="Z272" s="623"/>
      <c r="AA272" s="622"/>
      <c r="AB272" s="622"/>
      <c r="AC272" s="622"/>
      <c r="AD272" s="622"/>
      <c r="AE272" s="622"/>
      <c r="AF272" s="622"/>
      <c r="AG272" s="622"/>
      <c r="AH272" s="622"/>
      <c r="AI272" s="622"/>
      <c r="AJ272" s="622"/>
      <c r="AK272" s="622"/>
      <c r="AL272" s="622"/>
      <c r="AM272" s="622"/>
      <c r="AN272" s="622"/>
      <c r="AO272" s="622"/>
      <c r="AP272" s="622"/>
      <c r="AQ272" s="622"/>
      <c r="AR272" s="622"/>
      <c r="AS272" s="622"/>
      <c r="AT272" s="622"/>
      <c r="AU272" s="622"/>
      <c r="AV272" s="622"/>
      <c r="AW272" s="622"/>
    </row>
    <row r="273" spans="1:49" ht="7.5" customHeight="1">
      <c r="A273" s="623">
        <v>20</v>
      </c>
      <c r="B273" s="622" t="str">
        <f>IF(NOT(ISBLANK('A-RACHNATMAK'!C294)),"A",IF(NOT(ISBLANK('A-RACHNATMAK'!C293)),"B",IF(NOT(ISBLANK('A-RACHNATMAK'!C292)),"C","")))</f>
        <v/>
      </c>
      <c r="C273" s="622" t="str">
        <f>IF(NOT(ISBLANK('A-RACHNATMAK'!D294)),"A",IF(NOT(ISBLANK('A-RACHNATMAK'!D293)),"B",IF(NOT(ISBLANK('A-RACHNATMAK'!D292)),"C","")))</f>
        <v/>
      </c>
      <c r="D273" s="622" t="str">
        <f>IF(NOT(ISBLANK('A-RACHNATMAK'!E294)),"A",IF(NOT(ISBLANK('A-RACHNATMAK'!E293)),"B",IF(NOT(ISBLANK('A-RACHNATMAK'!E292)),"C","")))</f>
        <v/>
      </c>
      <c r="E273" s="622" t="str">
        <f>IF(NOT(ISBLANK('A-RACHNATMAK'!F294)),"A",IF(NOT(ISBLANK('A-RACHNATMAK'!F293)),"B",IF(NOT(ISBLANK('A-RACHNATMAK'!F292)),"C","")))</f>
        <v/>
      </c>
      <c r="F273" s="622" t="str">
        <f>IF(NOT(ISBLANK('A-RACHNATMAK'!G294)),"A",IF(NOT(ISBLANK('A-RACHNATMAK'!G293)),"B",IF(NOT(ISBLANK('A-RACHNATMAK'!G292)),"C","")))</f>
        <v/>
      </c>
      <c r="G273" s="622" t="str">
        <f>IF(NOT(ISBLANK('A-RACHNATMAK'!H294)),"A",IF(NOT(ISBLANK('A-RACHNATMAK'!H293)),"B",IF(NOT(ISBLANK('A-RACHNATMAK'!H292)),"C","")))</f>
        <v/>
      </c>
      <c r="H273" s="622" t="str">
        <f>IF(NOT(ISBLANK('A-RACHNATMAK'!I294)),"A",IF(NOT(ISBLANK('A-RACHNATMAK'!I293)),"B",IF(NOT(ISBLANK('A-RACHNATMAK'!I292)),"C","")))</f>
        <v/>
      </c>
      <c r="I273" s="622" t="str">
        <f>IF(NOT(ISBLANK('A-RACHNATMAK'!J294)),"A",IF(NOT(ISBLANK('A-RACHNATMAK'!J293)),"B",IF(NOT(ISBLANK('A-RACHNATMAK'!J292)),"C","")))</f>
        <v/>
      </c>
      <c r="J273" s="622" t="str">
        <f>IF(NOT(ISBLANK('A-RACHNATMAK'!K294)),"A",IF(NOT(ISBLANK('A-RACHNATMAK'!K293)),"B",IF(NOT(ISBLANK('A-RACHNATMAK'!K292)),"C","")))</f>
        <v/>
      </c>
      <c r="K273" s="622" t="str">
        <f>IF(NOT(ISBLANK('A-RACHNATMAK'!L294)),"A",IF(NOT(ISBLANK('A-RACHNATMAK'!L293)),"B",IF(NOT(ISBLANK('A-RACHNATMAK'!L292)),"C","")))</f>
        <v/>
      </c>
      <c r="L273" s="622" t="str">
        <f>IF(NOT(ISBLANK('A-RACHNATMAK'!M294)),"A",IF(NOT(ISBLANK('A-RACHNATMAK'!M293)),"B",IF(NOT(ISBLANK('A-RACHNATMAK'!M292)),"C","")))</f>
        <v/>
      </c>
      <c r="M273" s="622" t="str">
        <f>IF(NOT(ISBLANK('A-RACHNATMAK'!N294)),"A",IF(NOT(ISBLANK('A-RACHNATMAK'!N293)),"B",IF(NOT(ISBLANK('A-RACHNATMAK'!N292)),"C","")))</f>
        <v/>
      </c>
      <c r="N273" s="622" t="str">
        <f>IF(NOT(ISBLANK('A-RACHNATMAK'!O294)),"A",IF(NOT(ISBLANK('A-RACHNATMAK'!O293)),"B",IF(NOT(ISBLANK('A-RACHNATMAK'!O292)),"C","")))</f>
        <v/>
      </c>
      <c r="O273" s="622" t="str">
        <f>IF(NOT(ISBLANK('A-RACHNATMAK'!P294)),"A",IF(NOT(ISBLANK('A-RACHNATMAK'!P293)),"B",IF(NOT(ISBLANK('A-RACHNATMAK'!P292)),"C","")))</f>
        <v/>
      </c>
      <c r="P273" s="622" t="str">
        <f>IF(NOT(ISBLANK('A-RACHNATMAK'!Q294)),"A",IF(NOT(ISBLANK('A-RACHNATMAK'!Q293)),"B",IF(NOT(ISBLANK('A-RACHNATMAK'!Q292)),"C","")))</f>
        <v/>
      </c>
      <c r="Q273" s="622" t="str">
        <f>IF(NOT(ISBLANK('A-RACHNATMAK'!R294)),"A",IF(NOT(ISBLANK('A-RACHNATMAK'!R293)),"B",IF(NOT(ISBLANK('A-RACHNATMAK'!R292)),"C","")))</f>
        <v/>
      </c>
      <c r="R273" s="622" t="str">
        <f>IF(NOT(ISBLANK('A-RACHNATMAK'!S294)),"A",IF(NOT(ISBLANK('A-RACHNATMAK'!S293)),"B",IF(NOT(ISBLANK('A-RACHNATMAK'!S292)),"C","")))</f>
        <v/>
      </c>
      <c r="S273" s="622" t="str">
        <f>IF(NOT(ISBLANK('A-RACHNATMAK'!T294)),"A",IF(NOT(ISBLANK('A-RACHNATMAK'!T293)),"B",IF(NOT(ISBLANK('A-RACHNATMAK'!T292)),"C","")))</f>
        <v/>
      </c>
      <c r="T273" s="622" t="str">
        <f>IF(NOT(ISBLANK('A-RACHNATMAK'!U294)),"A",IF(NOT(ISBLANK('A-RACHNATMAK'!U293)),"B",IF(NOT(ISBLANK('A-RACHNATMAK'!U292)),"C","")))</f>
        <v/>
      </c>
      <c r="U273" s="622" t="str">
        <f>IF(NOT(ISBLANK('A-RACHNATMAK'!V294)),"A",IF(NOT(ISBLANK('A-RACHNATMAK'!V293)),"B",IF(NOT(ISBLANK('A-RACHNATMAK'!V292)),"C","")))</f>
        <v/>
      </c>
      <c r="V273" s="622">
        <f t="shared" ref="V273" si="516">COUNTIF(B273:U273,"A")</f>
        <v>0</v>
      </c>
      <c r="W273" s="622">
        <f t="shared" ref="W273" si="517">COUNTIF(B273:U273,"B")</f>
        <v>0</v>
      </c>
      <c r="X273" s="622">
        <f t="shared" ref="X273" si="518">COUNTIF(B273:U273,"C")</f>
        <v>0</v>
      </c>
      <c r="Y273" s="330"/>
      <c r="Z273" s="623">
        <v>20</v>
      </c>
      <c r="AA273" s="622" t="str">
        <f>IF(NOT(ISBLANK('A-RACHNATMAK'!AD294)),"A",IF(NOT(ISBLANK('A-RACHNATMAK'!AD293)),"B",IF(NOT(ISBLANK('A-RACHNATMAK'!AD292)),"C","")))</f>
        <v/>
      </c>
      <c r="AB273" s="622" t="str">
        <f>IF(NOT(ISBLANK('A-RACHNATMAK'!AE294)),"A",IF(NOT(ISBLANK('A-RACHNATMAK'!AE293)),"B",IF(NOT(ISBLANK('A-RACHNATMAK'!AE292)),"C","")))</f>
        <v/>
      </c>
      <c r="AC273" s="622" t="str">
        <f>IF(NOT(ISBLANK('A-RACHNATMAK'!AF294)),"A",IF(NOT(ISBLANK('A-RACHNATMAK'!AF293)),"B",IF(NOT(ISBLANK('A-RACHNATMAK'!AF292)),"C","")))</f>
        <v/>
      </c>
      <c r="AD273" s="622" t="str">
        <f>IF(NOT(ISBLANK('A-RACHNATMAK'!AG294)),"A",IF(NOT(ISBLANK('A-RACHNATMAK'!AG293)),"B",IF(NOT(ISBLANK('A-RACHNATMAK'!AG292)),"C","")))</f>
        <v/>
      </c>
      <c r="AE273" s="622" t="str">
        <f>IF(NOT(ISBLANK('A-RACHNATMAK'!AH294)),"A",IF(NOT(ISBLANK('A-RACHNATMAK'!AH293)),"B",IF(NOT(ISBLANK('A-RACHNATMAK'!AH292)),"C","")))</f>
        <v/>
      </c>
      <c r="AF273" s="622" t="str">
        <f>IF(NOT(ISBLANK('A-RACHNATMAK'!AI294)),"A",IF(NOT(ISBLANK('A-RACHNATMAK'!AI293)),"B",IF(NOT(ISBLANK('A-RACHNATMAK'!AI292)),"C","")))</f>
        <v/>
      </c>
      <c r="AG273" s="622" t="str">
        <f>IF(NOT(ISBLANK('A-RACHNATMAK'!AJ294)),"A",IF(NOT(ISBLANK('A-RACHNATMAK'!AJ293)),"B",IF(NOT(ISBLANK('A-RACHNATMAK'!AJ292)),"C","")))</f>
        <v/>
      </c>
      <c r="AH273" s="622" t="str">
        <f>IF(NOT(ISBLANK('A-RACHNATMAK'!AK294)),"A",IF(NOT(ISBLANK('A-RACHNATMAK'!AK293)),"B",IF(NOT(ISBLANK('A-RACHNATMAK'!AK292)),"C","")))</f>
        <v/>
      </c>
      <c r="AI273" s="622" t="str">
        <f>IF(NOT(ISBLANK('A-RACHNATMAK'!AL294)),"A",IF(NOT(ISBLANK('A-RACHNATMAK'!AL293)),"B",IF(NOT(ISBLANK('A-RACHNATMAK'!AL292)),"C","")))</f>
        <v/>
      </c>
      <c r="AJ273" s="622" t="str">
        <f>IF(NOT(ISBLANK('A-RACHNATMAK'!AM294)),"A",IF(NOT(ISBLANK('A-RACHNATMAK'!AM293)),"B",IF(NOT(ISBLANK('A-RACHNATMAK'!AM292)),"C","")))</f>
        <v/>
      </c>
      <c r="AK273" s="622" t="str">
        <f>IF(NOT(ISBLANK('A-RACHNATMAK'!AN294)),"A",IF(NOT(ISBLANK('A-RACHNATMAK'!AN293)),"B",IF(NOT(ISBLANK('A-RACHNATMAK'!AN292)),"C","")))</f>
        <v/>
      </c>
      <c r="AL273" s="622" t="str">
        <f>IF(NOT(ISBLANK('A-RACHNATMAK'!AO294)),"A",IF(NOT(ISBLANK('A-RACHNATMAK'!AO293)),"B",IF(NOT(ISBLANK('A-RACHNATMAK'!AO292)),"C","")))</f>
        <v/>
      </c>
      <c r="AM273" s="622" t="str">
        <f>IF(NOT(ISBLANK('A-RACHNATMAK'!AP294)),"A",IF(NOT(ISBLANK('A-RACHNATMAK'!AP293)),"B",IF(NOT(ISBLANK('A-RACHNATMAK'!AP292)),"C","")))</f>
        <v/>
      </c>
      <c r="AN273" s="622" t="str">
        <f>IF(NOT(ISBLANK('A-RACHNATMAK'!AQ294)),"A",IF(NOT(ISBLANK('A-RACHNATMAK'!AQ293)),"B",IF(NOT(ISBLANK('A-RACHNATMAK'!AQ292)),"C","")))</f>
        <v/>
      </c>
      <c r="AO273" s="622" t="str">
        <f>IF(NOT(ISBLANK('A-RACHNATMAK'!AR294)),"A",IF(NOT(ISBLANK('A-RACHNATMAK'!AR293)),"B",IF(NOT(ISBLANK('A-RACHNATMAK'!AR292)),"C","")))</f>
        <v/>
      </c>
      <c r="AP273" s="622" t="str">
        <f>IF(NOT(ISBLANK('A-RACHNATMAK'!AS294)),"A",IF(NOT(ISBLANK('A-RACHNATMAK'!AS293)),"B",IF(NOT(ISBLANK('A-RACHNATMAK'!AS292)),"C","")))</f>
        <v/>
      </c>
      <c r="AQ273" s="622" t="str">
        <f>IF(NOT(ISBLANK('A-RACHNATMAK'!AT294)),"A",IF(NOT(ISBLANK('A-RACHNATMAK'!AT293)),"B",IF(NOT(ISBLANK('A-RACHNATMAK'!AT292)),"C","")))</f>
        <v/>
      </c>
      <c r="AR273" s="622" t="str">
        <f>IF(NOT(ISBLANK('A-RACHNATMAK'!AU294)),"A",IF(NOT(ISBLANK('A-RACHNATMAK'!AU293)),"B",IF(NOT(ISBLANK('A-RACHNATMAK'!AU292)),"C","")))</f>
        <v/>
      </c>
      <c r="AS273" s="622" t="str">
        <f>IF(NOT(ISBLANK('A-RACHNATMAK'!AV294)),"A",IF(NOT(ISBLANK('A-RACHNATMAK'!AV293)),"B",IF(NOT(ISBLANK('A-RACHNATMAK'!AV292)),"C","")))</f>
        <v/>
      </c>
      <c r="AT273" s="622" t="str">
        <f>IF(NOT(ISBLANK('A-RACHNATMAK'!AW294)),"A",IF(NOT(ISBLANK('A-RACHNATMAK'!AW293)),"B",IF(NOT(ISBLANK('A-RACHNATMAK'!AW292)),"C","")))</f>
        <v/>
      </c>
      <c r="AU273" s="622">
        <f t="shared" ref="AU273" si="519">COUNTIF(AA273:AT273,"A")</f>
        <v>0</v>
      </c>
      <c r="AV273" s="622">
        <f t="shared" ref="AV273" si="520">COUNTIF(AA273:AT273,"B")</f>
        <v>0</v>
      </c>
      <c r="AW273" s="622">
        <f t="shared" ref="AW273" si="521">COUNTIF(AA273:AT273,"C")</f>
        <v>0</v>
      </c>
    </row>
    <row r="274" spans="1:49" ht="7.5" customHeight="1">
      <c r="A274" s="623"/>
      <c r="B274" s="622"/>
      <c r="C274" s="622"/>
      <c r="D274" s="622"/>
      <c r="E274" s="622"/>
      <c r="F274" s="622"/>
      <c r="G274" s="622"/>
      <c r="H274" s="622"/>
      <c r="I274" s="622"/>
      <c r="J274" s="622"/>
      <c r="K274" s="622"/>
      <c r="L274" s="622"/>
      <c r="M274" s="622"/>
      <c r="N274" s="622"/>
      <c r="O274" s="622"/>
      <c r="P274" s="622"/>
      <c r="Q274" s="622"/>
      <c r="R274" s="622"/>
      <c r="S274" s="622"/>
      <c r="T274" s="622"/>
      <c r="U274" s="622"/>
      <c r="V274" s="622"/>
      <c r="W274" s="622"/>
      <c r="X274" s="622"/>
      <c r="Y274" s="330"/>
      <c r="Z274" s="623"/>
      <c r="AA274" s="622"/>
      <c r="AB274" s="622"/>
      <c r="AC274" s="622"/>
      <c r="AD274" s="622"/>
      <c r="AE274" s="622"/>
      <c r="AF274" s="622"/>
      <c r="AG274" s="622"/>
      <c r="AH274" s="622"/>
      <c r="AI274" s="622"/>
      <c r="AJ274" s="622"/>
      <c r="AK274" s="622"/>
      <c r="AL274" s="622"/>
      <c r="AM274" s="622"/>
      <c r="AN274" s="622"/>
      <c r="AO274" s="622"/>
      <c r="AP274" s="622"/>
      <c r="AQ274" s="622"/>
      <c r="AR274" s="622"/>
      <c r="AS274" s="622"/>
      <c r="AT274" s="622"/>
      <c r="AU274" s="622"/>
      <c r="AV274" s="622"/>
      <c r="AW274" s="622"/>
    </row>
    <row r="275" spans="1:49" ht="7.5" customHeight="1">
      <c r="A275" s="623"/>
      <c r="B275" s="622"/>
      <c r="C275" s="622"/>
      <c r="D275" s="622"/>
      <c r="E275" s="622"/>
      <c r="F275" s="622"/>
      <c r="G275" s="622"/>
      <c r="H275" s="622"/>
      <c r="I275" s="622"/>
      <c r="J275" s="622"/>
      <c r="K275" s="622"/>
      <c r="L275" s="622"/>
      <c r="M275" s="622"/>
      <c r="N275" s="622"/>
      <c r="O275" s="622"/>
      <c r="P275" s="622"/>
      <c r="Q275" s="622"/>
      <c r="R275" s="622"/>
      <c r="S275" s="622"/>
      <c r="T275" s="622"/>
      <c r="U275" s="622"/>
      <c r="V275" s="622"/>
      <c r="W275" s="622"/>
      <c r="X275" s="622"/>
      <c r="Y275" s="330"/>
      <c r="Z275" s="623"/>
      <c r="AA275" s="622"/>
      <c r="AB275" s="622"/>
      <c r="AC275" s="622"/>
      <c r="AD275" s="622"/>
      <c r="AE275" s="622"/>
      <c r="AF275" s="622"/>
      <c r="AG275" s="622"/>
      <c r="AH275" s="622"/>
      <c r="AI275" s="622"/>
      <c r="AJ275" s="622"/>
      <c r="AK275" s="622"/>
      <c r="AL275" s="622"/>
      <c r="AM275" s="622"/>
      <c r="AN275" s="622"/>
      <c r="AO275" s="622"/>
      <c r="AP275" s="622"/>
      <c r="AQ275" s="622"/>
      <c r="AR275" s="622"/>
      <c r="AS275" s="622"/>
      <c r="AT275" s="622"/>
      <c r="AU275" s="622"/>
      <c r="AV275" s="622"/>
      <c r="AW275" s="622"/>
    </row>
    <row r="276" spans="1:49" ht="7.5" customHeight="1">
      <c r="A276" s="623">
        <v>21</v>
      </c>
      <c r="B276" s="622" t="str">
        <f>IF(NOT(ISBLANK('A-RACHNATMAK'!C297)),"A",IF(NOT(ISBLANK('A-RACHNATMAK'!C296)),"B",IF(NOT(ISBLANK('A-RACHNATMAK'!C295)),"C","")))</f>
        <v/>
      </c>
      <c r="C276" s="622" t="str">
        <f>IF(NOT(ISBLANK('A-RACHNATMAK'!D297)),"A",IF(NOT(ISBLANK('A-RACHNATMAK'!D296)),"B",IF(NOT(ISBLANK('A-RACHNATMAK'!D295)),"C","")))</f>
        <v/>
      </c>
      <c r="D276" s="622" t="str">
        <f>IF(NOT(ISBLANK('A-RACHNATMAK'!E297)),"A",IF(NOT(ISBLANK('A-RACHNATMAK'!E296)),"B",IF(NOT(ISBLANK('A-RACHNATMAK'!E295)),"C","")))</f>
        <v/>
      </c>
      <c r="E276" s="622" t="str">
        <f>IF(NOT(ISBLANK('A-RACHNATMAK'!F297)),"A",IF(NOT(ISBLANK('A-RACHNATMAK'!F296)),"B",IF(NOT(ISBLANK('A-RACHNATMAK'!F295)),"C","")))</f>
        <v/>
      </c>
      <c r="F276" s="622" t="str">
        <f>IF(NOT(ISBLANK('A-RACHNATMAK'!G297)),"A",IF(NOT(ISBLANK('A-RACHNATMAK'!G296)),"B",IF(NOT(ISBLANK('A-RACHNATMAK'!G295)),"C","")))</f>
        <v/>
      </c>
      <c r="G276" s="622" t="str">
        <f>IF(NOT(ISBLANK('A-RACHNATMAK'!H297)),"A",IF(NOT(ISBLANK('A-RACHNATMAK'!H296)),"B",IF(NOT(ISBLANK('A-RACHNATMAK'!H295)),"C","")))</f>
        <v/>
      </c>
      <c r="H276" s="622" t="str">
        <f>IF(NOT(ISBLANK('A-RACHNATMAK'!I297)),"A",IF(NOT(ISBLANK('A-RACHNATMAK'!I296)),"B",IF(NOT(ISBLANK('A-RACHNATMAK'!I295)),"C","")))</f>
        <v/>
      </c>
      <c r="I276" s="622" t="str">
        <f>IF(NOT(ISBLANK('A-RACHNATMAK'!J297)),"A",IF(NOT(ISBLANK('A-RACHNATMAK'!J296)),"B",IF(NOT(ISBLANK('A-RACHNATMAK'!J295)),"C","")))</f>
        <v/>
      </c>
      <c r="J276" s="622" t="str">
        <f>IF(NOT(ISBLANK('A-RACHNATMAK'!K297)),"A",IF(NOT(ISBLANK('A-RACHNATMAK'!K296)),"B",IF(NOT(ISBLANK('A-RACHNATMAK'!K295)),"C","")))</f>
        <v/>
      </c>
      <c r="K276" s="622" t="str">
        <f>IF(NOT(ISBLANK('A-RACHNATMAK'!L297)),"A",IF(NOT(ISBLANK('A-RACHNATMAK'!L296)),"B",IF(NOT(ISBLANK('A-RACHNATMAK'!L295)),"C","")))</f>
        <v/>
      </c>
      <c r="L276" s="622" t="str">
        <f>IF(NOT(ISBLANK('A-RACHNATMAK'!M297)),"A",IF(NOT(ISBLANK('A-RACHNATMAK'!M296)),"B",IF(NOT(ISBLANK('A-RACHNATMAK'!M295)),"C","")))</f>
        <v/>
      </c>
      <c r="M276" s="622" t="str">
        <f>IF(NOT(ISBLANK('A-RACHNATMAK'!N297)),"A",IF(NOT(ISBLANK('A-RACHNATMAK'!N296)),"B",IF(NOT(ISBLANK('A-RACHNATMAK'!N295)),"C","")))</f>
        <v/>
      </c>
      <c r="N276" s="622" t="str">
        <f>IF(NOT(ISBLANK('A-RACHNATMAK'!O297)),"A",IF(NOT(ISBLANK('A-RACHNATMAK'!O296)),"B",IF(NOT(ISBLANK('A-RACHNATMAK'!O295)),"C","")))</f>
        <v/>
      </c>
      <c r="O276" s="622" t="str">
        <f>IF(NOT(ISBLANK('A-RACHNATMAK'!P297)),"A",IF(NOT(ISBLANK('A-RACHNATMAK'!P296)),"B",IF(NOT(ISBLANK('A-RACHNATMAK'!P295)),"C","")))</f>
        <v/>
      </c>
      <c r="P276" s="622" t="str">
        <f>IF(NOT(ISBLANK('A-RACHNATMAK'!Q297)),"A",IF(NOT(ISBLANK('A-RACHNATMAK'!Q296)),"B",IF(NOT(ISBLANK('A-RACHNATMAK'!Q295)),"C","")))</f>
        <v/>
      </c>
      <c r="Q276" s="622" t="str">
        <f>IF(NOT(ISBLANK('A-RACHNATMAK'!R297)),"A",IF(NOT(ISBLANK('A-RACHNATMAK'!R296)),"B",IF(NOT(ISBLANK('A-RACHNATMAK'!R295)),"C","")))</f>
        <v/>
      </c>
      <c r="R276" s="622" t="str">
        <f>IF(NOT(ISBLANK('A-RACHNATMAK'!S297)),"A",IF(NOT(ISBLANK('A-RACHNATMAK'!S296)),"B",IF(NOT(ISBLANK('A-RACHNATMAK'!S295)),"C","")))</f>
        <v/>
      </c>
      <c r="S276" s="622" t="str">
        <f>IF(NOT(ISBLANK('A-RACHNATMAK'!T297)),"A",IF(NOT(ISBLANK('A-RACHNATMAK'!T296)),"B",IF(NOT(ISBLANK('A-RACHNATMAK'!T295)),"C","")))</f>
        <v/>
      </c>
      <c r="T276" s="622" t="str">
        <f>IF(NOT(ISBLANK('A-RACHNATMAK'!U297)),"A",IF(NOT(ISBLANK('A-RACHNATMAK'!U296)),"B",IF(NOT(ISBLANK('A-RACHNATMAK'!U295)),"C","")))</f>
        <v/>
      </c>
      <c r="U276" s="622" t="str">
        <f>IF(NOT(ISBLANK('A-RACHNATMAK'!V297)),"A",IF(NOT(ISBLANK('A-RACHNATMAK'!V296)),"B",IF(NOT(ISBLANK('A-RACHNATMAK'!V295)),"C","")))</f>
        <v/>
      </c>
      <c r="V276" s="622">
        <f t="shared" ref="V276" si="522">COUNTIF(B276:U276,"A")</f>
        <v>0</v>
      </c>
      <c r="W276" s="622">
        <f t="shared" ref="W276" si="523">COUNTIF(B276:U276,"B")</f>
        <v>0</v>
      </c>
      <c r="X276" s="622">
        <f t="shared" ref="X276" si="524">COUNTIF(B276:U276,"C")</f>
        <v>0</v>
      </c>
      <c r="Y276" s="330"/>
      <c r="Z276" s="623">
        <v>21</v>
      </c>
      <c r="AA276" s="622" t="str">
        <f>IF(NOT(ISBLANK('A-RACHNATMAK'!AD297)),"A",IF(NOT(ISBLANK('A-RACHNATMAK'!AD296)),"B",IF(NOT(ISBLANK('A-RACHNATMAK'!AD295)),"C","")))</f>
        <v/>
      </c>
      <c r="AB276" s="622" t="str">
        <f>IF(NOT(ISBLANK('A-RACHNATMAK'!AE297)),"A",IF(NOT(ISBLANK('A-RACHNATMAK'!AE296)),"B",IF(NOT(ISBLANK('A-RACHNATMAK'!AE295)),"C","")))</f>
        <v/>
      </c>
      <c r="AC276" s="622" t="str">
        <f>IF(NOT(ISBLANK('A-RACHNATMAK'!AF297)),"A",IF(NOT(ISBLANK('A-RACHNATMAK'!AF296)),"B",IF(NOT(ISBLANK('A-RACHNATMAK'!AF295)),"C","")))</f>
        <v/>
      </c>
      <c r="AD276" s="622" t="str">
        <f>IF(NOT(ISBLANK('A-RACHNATMAK'!AG297)),"A",IF(NOT(ISBLANK('A-RACHNATMAK'!AG296)),"B",IF(NOT(ISBLANK('A-RACHNATMAK'!AG295)),"C","")))</f>
        <v/>
      </c>
      <c r="AE276" s="622" t="str">
        <f>IF(NOT(ISBLANK('A-RACHNATMAK'!AH297)),"A",IF(NOT(ISBLANK('A-RACHNATMAK'!AH296)),"B",IF(NOT(ISBLANK('A-RACHNATMAK'!AH295)),"C","")))</f>
        <v/>
      </c>
      <c r="AF276" s="622" t="str">
        <f>IF(NOT(ISBLANK('A-RACHNATMAK'!AI297)),"A",IF(NOT(ISBLANK('A-RACHNATMAK'!AI296)),"B",IF(NOT(ISBLANK('A-RACHNATMAK'!AI295)),"C","")))</f>
        <v/>
      </c>
      <c r="AG276" s="622" t="str">
        <f>IF(NOT(ISBLANK('A-RACHNATMAK'!AJ297)),"A",IF(NOT(ISBLANK('A-RACHNATMAK'!AJ296)),"B",IF(NOT(ISBLANK('A-RACHNATMAK'!AJ295)),"C","")))</f>
        <v/>
      </c>
      <c r="AH276" s="622" t="str">
        <f>IF(NOT(ISBLANK('A-RACHNATMAK'!AK297)),"A",IF(NOT(ISBLANK('A-RACHNATMAK'!AK296)),"B",IF(NOT(ISBLANK('A-RACHNATMAK'!AK295)),"C","")))</f>
        <v/>
      </c>
      <c r="AI276" s="622" t="str">
        <f>IF(NOT(ISBLANK('A-RACHNATMAK'!AL297)),"A",IF(NOT(ISBLANK('A-RACHNATMAK'!AL296)),"B",IF(NOT(ISBLANK('A-RACHNATMAK'!AL295)),"C","")))</f>
        <v/>
      </c>
      <c r="AJ276" s="622" t="str">
        <f>IF(NOT(ISBLANK('A-RACHNATMAK'!AM297)),"A",IF(NOT(ISBLANK('A-RACHNATMAK'!AM296)),"B",IF(NOT(ISBLANK('A-RACHNATMAK'!AM295)),"C","")))</f>
        <v/>
      </c>
      <c r="AK276" s="622" t="str">
        <f>IF(NOT(ISBLANK('A-RACHNATMAK'!AN297)),"A",IF(NOT(ISBLANK('A-RACHNATMAK'!AN296)),"B",IF(NOT(ISBLANK('A-RACHNATMAK'!AN295)),"C","")))</f>
        <v/>
      </c>
      <c r="AL276" s="622" t="str">
        <f>IF(NOT(ISBLANK('A-RACHNATMAK'!AO297)),"A",IF(NOT(ISBLANK('A-RACHNATMAK'!AO296)),"B",IF(NOT(ISBLANK('A-RACHNATMAK'!AO295)),"C","")))</f>
        <v/>
      </c>
      <c r="AM276" s="622" t="str">
        <f>IF(NOT(ISBLANK('A-RACHNATMAK'!AP297)),"A",IF(NOT(ISBLANK('A-RACHNATMAK'!AP296)),"B",IF(NOT(ISBLANK('A-RACHNATMAK'!AP295)),"C","")))</f>
        <v/>
      </c>
      <c r="AN276" s="622" t="str">
        <f>IF(NOT(ISBLANK('A-RACHNATMAK'!AQ297)),"A",IF(NOT(ISBLANK('A-RACHNATMAK'!AQ296)),"B",IF(NOT(ISBLANK('A-RACHNATMAK'!AQ295)),"C","")))</f>
        <v/>
      </c>
      <c r="AO276" s="622" t="str">
        <f>IF(NOT(ISBLANK('A-RACHNATMAK'!AR297)),"A",IF(NOT(ISBLANK('A-RACHNATMAK'!AR296)),"B",IF(NOT(ISBLANK('A-RACHNATMAK'!AR295)),"C","")))</f>
        <v/>
      </c>
      <c r="AP276" s="622" t="str">
        <f>IF(NOT(ISBLANK('A-RACHNATMAK'!AS297)),"A",IF(NOT(ISBLANK('A-RACHNATMAK'!AS296)),"B",IF(NOT(ISBLANK('A-RACHNATMAK'!AS295)),"C","")))</f>
        <v/>
      </c>
      <c r="AQ276" s="622" t="str">
        <f>IF(NOT(ISBLANK('A-RACHNATMAK'!AT297)),"A",IF(NOT(ISBLANK('A-RACHNATMAK'!AT296)),"B",IF(NOT(ISBLANK('A-RACHNATMAK'!AT295)),"C","")))</f>
        <v/>
      </c>
      <c r="AR276" s="622" t="str">
        <f>IF(NOT(ISBLANK('A-RACHNATMAK'!AU297)),"A",IF(NOT(ISBLANK('A-RACHNATMAK'!AU296)),"B",IF(NOT(ISBLANK('A-RACHNATMAK'!AU295)),"C","")))</f>
        <v/>
      </c>
      <c r="AS276" s="622" t="str">
        <f>IF(NOT(ISBLANK('A-RACHNATMAK'!AV297)),"A",IF(NOT(ISBLANK('A-RACHNATMAK'!AV296)),"B",IF(NOT(ISBLANK('A-RACHNATMAK'!AV295)),"C","")))</f>
        <v/>
      </c>
      <c r="AT276" s="622" t="str">
        <f>IF(NOT(ISBLANK('A-RACHNATMAK'!AW297)),"A",IF(NOT(ISBLANK('A-RACHNATMAK'!AW296)),"B",IF(NOT(ISBLANK('A-RACHNATMAK'!AW295)),"C","")))</f>
        <v/>
      </c>
      <c r="AU276" s="622">
        <f t="shared" ref="AU276" si="525">COUNTIF(AA276:AT276,"A")</f>
        <v>0</v>
      </c>
      <c r="AV276" s="622">
        <f t="shared" ref="AV276" si="526">COUNTIF(AA276:AT276,"B")</f>
        <v>0</v>
      </c>
      <c r="AW276" s="622">
        <f t="shared" ref="AW276" si="527">COUNTIF(AA276:AT276,"C")</f>
        <v>0</v>
      </c>
    </row>
    <row r="277" spans="1:49" ht="7.5" customHeight="1">
      <c r="A277" s="623"/>
      <c r="B277" s="622"/>
      <c r="C277" s="622"/>
      <c r="D277" s="622"/>
      <c r="E277" s="622"/>
      <c r="F277" s="622"/>
      <c r="G277" s="622"/>
      <c r="H277" s="622"/>
      <c r="I277" s="622"/>
      <c r="J277" s="622"/>
      <c r="K277" s="622"/>
      <c r="L277" s="622"/>
      <c r="M277" s="622"/>
      <c r="N277" s="622"/>
      <c r="O277" s="622"/>
      <c r="P277" s="622"/>
      <c r="Q277" s="622"/>
      <c r="R277" s="622"/>
      <c r="S277" s="622"/>
      <c r="T277" s="622"/>
      <c r="U277" s="622"/>
      <c r="V277" s="622"/>
      <c r="W277" s="622"/>
      <c r="X277" s="622"/>
      <c r="Y277" s="330"/>
      <c r="Z277" s="623"/>
      <c r="AA277" s="622"/>
      <c r="AB277" s="622"/>
      <c r="AC277" s="622"/>
      <c r="AD277" s="622"/>
      <c r="AE277" s="622"/>
      <c r="AF277" s="622"/>
      <c r="AG277" s="622"/>
      <c r="AH277" s="622"/>
      <c r="AI277" s="622"/>
      <c r="AJ277" s="622"/>
      <c r="AK277" s="622"/>
      <c r="AL277" s="622"/>
      <c r="AM277" s="622"/>
      <c r="AN277" s="622"/>
      <c r="AO277" s="622"/>
      <c r="AP277" s="622"/>
      <c r="AQ277" s="622"/>
      <c r="AR277" s="622"/>
      <c r="AS277" s="622"/>
      <c r="AT277" s="622"/>
      <c r="AU277" s="622"/>
      <c r="AV277" s="622"/>
      <c r="AW277" s="622"/>
    </row>
    <row r="278" spans="1:49" ht="7.5" customHeight="1">
      <c r="A278" s="623"/>
      <c r="B278" s="622"/>
      <c r="C278" s="622"/>
      <c r="D278" s="622"/>
      <c r="E278" s="622"/>
      <c r="F278" s="622"/>
      <c r="G278" s="622"/>
      <c r="H278" s="622"/>
      <c r="I278" s="622"/>
      <c r="J278" s="622"/>
      <c r="K278" s="622"/>
      <c r="L278" s="622"/>
      <c r="M278" s="622"/>
      <c r="N278" s="622"/>
      <c r="O278" s="622"/>
      <c r="P278" s="622"/>
      <c r="Q278" s="622"/>
      <c r="R278" s="622"/>
      <c r="S278" s="622"/>
      <c r="T278" s="622"/>
      <c r="U278" s="622"/>
      <c r="V278" s="622"/>
      <c r="W278" s="622"/>
      <c r="X278" s="622"/>
      <c r="Y278" s="330"/>
      <c r="Z278" s="623"/>
      <c r="AA278" s="622"/>
      <c r="AB278" s="622"/>
      <c r="AC278" s="622"/>
      <c r="AD278" s="622"/>
      <c r="AE278" s="622"/>
      <c r="AF278" s="622"/>
      <c r="AG278" s="622"/>
      <c r="AH278" s="622"/>
      <c r="AI278" s="622"/>
      <c r="AJ278" s="622"/>
      <c r="AK278" s="622"/>
      <c r="AL278" s="622"/>
      <c r="AM278" s="622"/>
      <c r="AN278" s="622"/>
      <c r="AO278" s="622"/>
      <c r="AP278" s="622"/>
      <c r="AQ278" s="622"/>
      <c r="AR278" s="622"/>
      <c r="AS278" s="622"/>
      <c r="AT278" s="622"/>
      <c r="AU278" s="622"/>
      <c r="AV278" s="622"/>
      <c r="AW278" s="622"/>
    </row>
    <row r="279" spans="1:49" ht="7.5" customHeight="1">
      <c r="A279" s="623">
        <v>22</v>
      </c>
      <c r="B279" s="622" t="str">
        <f>IF(NOT(ISBLANK('A-RACHNATMAK'!C300)),"A",IF(NOT(ISBLANK('A-RACHNATMAK'!C299)),"B",IF(NOT(ISBLANK('A-RACHNATMAK'!C298)),"C","")))</f>
        <v/>
      </c>
      <c r="C279" s="622" t="str">
        <f>IF(NOT(ISBLANK('A-RACHNATMAK'!D300)),"A",IF(NOT(ISBLANK('A-RACHNATMAK'!D299)),"B",IF(NOT(ISBLANK('A-RACHNATMAK'!D298)),"C","")))</f>
        <v/>
      </c>
      <c r="D279" s="622" t="str">
        <f>IF(NOT(ISBLANK('A-RACHNATMAK'!E300)),"A",IF(NOT(ISBLANK('A-RACHNATMAK'!E299)),"B",IF(NOT(ISBLANK('A-RACHNATMAK'!E298)),"C","")))</f>
        <v/>
      </c>
      <c r="E279" s="622" t="str">
        <f>IF(NOT(ISBLANK('A-RACHNATMAK'!F300)),"A",IF(NOT(ISBLANK('A-RACHNATMAK'!F299)),"B",IF(NOT(ISBLANK('A-RACHNATMAK'!F298)),"C","")))</f>
        <v/>
      </c>
      <c r="F279" s="622" t="str">
        <f>IF(NOT(ISBLANK('A-RACHNATMAK'!G300)),"A",IF(NOT(ISBLANK('A-RACHNATMAK'!G299)),"B",IF(NOT(ISBLANK('A-RACHNATMAK'!G298)),"C","")))</f>
        <v/>
      </c>
      <c r="G279" s="622" t="str">
        <f>IF(NOT(ISBLANK('A-RACHNATMAK'!H300)),"A",IF(NOT(ISBLANK('A-RACHNATMAK'!H299)),"B",IF(NOT(ISBLANK('A-RACHNATMAK'!H298)),"C","")))</f>
        <v/>
      </c>
      <c r="H279" s="622" t="str">
        <f>IF(NOT(ISBLANK('A-RACHNATMAK'!I300)),"A",IF(NOT(ISBLANK('A-RACHNATMAK'!I299)),"B",IF(NOT(ISBLANK('A-RACHNATMAK'!I298)),"C","")))</f>
        <v/>
      </c>
      <c r="I279" s="622" t="str">
        <f>IF(NOT(ISBLANK('A-RACHNATMAK'!J300)),"A",IF(NOT(ISBLANK('A-RACHNATMAK'!J299)),"B",IF(NOT(ISBLANK('A-RACHNATMAK'!J298)),"C","")))</f>
        <v/>
      </c>
      <c r="J279" s="622" t="str">
        <f>IF(NOT(ISBLANK('A-RACHNATMAK'!K300)),"A",IF(NOT(ISBLANK('A-RACHNATMAK'!K299)),"B",IF(NOT(ISBLANK('A-RACHNATMAK'!K298)),"C","")))</f>
        <v/>
      </c>
      <c r="K279" s="622" t="str">
        <f>IF(NOT(ISBLANK('A-RACHNATMAK'!L300)),"A",IF(NOT(ISBLANK('A-RACHNATMAK'!L299)),"B",IF(NOT(ISBLANK('A-RACHNATMAK'!L298)),"C","")))</f>
        <v/>
      </c>
      <c r="L279" s="622" t="str">
        <f>IF(NOT(ISBLANK('A-RACHNATMAK'!M300)),"A",IF(NOT(ISBLANK('A-RACHNATMAK'!M299)),"B",IF(NOT(ISBLANK('A-RACHNATMAK'!M298)),"C","")))</f>
        <v/>
      </c>
      <c r="M279" s="622" t="str">
        <f>IF(NOT(ISBLANK('A-RACHNATMAK'!N300)),"A",IF(NOT(ISBLANK('A-RACHNATMAK'!N299)),"B",IF(NOT(ISBLANK('A-RACHNATMAK'!N298)),"C","")))</f>
        <v/>
      </c>
      <c r="N279" s="622" t="str">
        <f>IF(NOT(ISBLANK('A-RACHNATMAK'!O300)),"A",IF(NOT(ISBLANK('A-RACHNATMAK'!O299)),"B",IF(NOT(ISBLANK('A-RACHNATMAK'!O298)),"C","")))</f>
        <v/>
      </c>
      <c r="O279" s="622" t="str">
        <f>IF(NOT(ISBLANK('A-RACHNATMAK'!P300)),"A",IF(NOT(ISBLANK('A-RACHNATMAK'!P299)),"B",IF(NOT(ISBLANK('A-RACHNATMAK'!P298)),"C","")))</f>
        <v/>
      </c>
      <c r="P279" s="622" t="str">
        <f>IF(NOT(ISBLANK('A-RACHNATMAK'!Q300)),"A",IF(NOT(ISBLANK('A-RACHNATMAK'!Q299)),"B",IF(NOT(ISBLANK('A-RACHNATMAK'!Q298)),"C","")))</f>
        <v/>
      </c>
      <c r="Q279" s="622" t="str">
        <f>IF(NOT(ISBLANK('A-RACHNATMAK'!R300)),"A",IF(NOT(ISBLANK('A-RACHNATMAK'!R299)),"B",IF(NOT(ISBLANK('A-RACHNATMAK'!R298)),"C","")))</f>
        <v/>
      </c>
      <c r="R279" s="622" t="str">
        <f>IF(NOT(ISBLANK('A-RACHNATMAK'!S300)),"A",IF(NOT(ISBLANK('A-RACHNATMAK'!S299)),"B",IF(NOT(ISBLANK('A-RACHNATMAK'!S298)),"C","")))</f>
        <v/>
      </c>
      <c r="S279" s="622" t="str">
        <f>IF(NOT(ISBLANK('A-RACHNATMAK'!T300)),"A",IF(NOT(ISBLANK('A-RACHNATMAK'!T299)),"B",IF(NOT(ISBLANK('A-RACHNATMAK'!T298)),"C","")))</f>
        <v/>
      </c>
      <c r="T279" s="622" t="str">
        <f>IF(NOT(ISBLANK('A-RACHNATMAK'!U300)),"A",IF(NOT(ISBLANK('A-RACHNATMAK'!U299)),"B",IF(NOT(ISBLANK('A-RACHNATMAK'!U298)),"C","")))</f>
        <v/>
      </c>
      <c r="U279" s="622" t="str">
        <f>IF(NOT(ISBLANK('A-RACHNATMAK'!V300)),"A",IF(NOT(ISBLANK('A-RACHNATMAK'!V299)),"B",IF(NOT(ISBLANK('A-RACHNATMAK'!V298)),"C","")))</f>
        <v/>
      </c>
      <c r="V279" s="622">
        <f t="shared" ref="V279" si="528">COUNTIF(B279:U279,"A")</f>
        <v>0</v>
      </c>
      <c r="W279" s="622">
        <f t="shared" ref="W279" si="529">COUNTIF(B279:U279,"B")</f>
        <v>0</v>
      </c>
      <c r="X279" s="622">
        <f t="shared" ref="X279" si="530">COUNTIF(B279:U279,"C")</f>
        <v>0</v>
      </c>
      <c r="Y279" s="330"/>
      <c r="Z279" s="623">
        <v>22</v>
      </c>
      <c r="AA279" s="622" t="str">
        <f>IF(NOT(ISBLANK('A-RACHNATMAK'!AD300)),"A",IF(NOT(ISBLANK('A-RACHNATMAK'!AD299)),"B",IF(NOT(ISBLANK('A-RACHNATMAK'!AD298)),"C","")))</f>
        <v/>
      </c>
      <c r="AB279" s="622" t="str">
        <f>IF(NOT(ISBLANK('A-RACHNATMAK'!AE300)),"A",IF(NOT(ISBLANK('A-RACHNATMAK'!AE299)),"B",IF(NOT(ISBLANK('A-RACHNATMAK'!AE298)),"C","")))</f>
        <v/>
      </c>
      <c r="AC279" s="622" t="str">
        <f>IF(NOT(ISBLANK('A-RACHNATMAK'!AF300)),"A",IF(NOT(ISBLANK('A-RACHNATMAK'!AF299)),"B",IF(NOT(ISBLANK('A-RACHNATMAK'!AF298)),"C","")))</f>
        <v/>
      </c>
      <c r="AD279" s="622" t="str">
        <f>IF(NOT(ISBLANK('A-RACHNATMAK'!AG300)),"A",IF(NOT(ISBLANK('A-RACHNATMAK'!AG299)),"B",IF(NOT(ISBLANK('A-RACHNATMAK'!AG298)),"C","")))</f>
        <v/>
      </c>
      <c r="AE279" s="622" t="str">
        <f>IF(NOT(ISBLANK('A-RACHNATMAK'!AH300)),"A",IF(NOT(ISBLANK('A-RACHNATMAK'!AH299)),"B",IF(NOT(ISBLANK('A-RACHNATMAK'!AH298)),"C","")))</f>
        <v/>
      </c>
      <c r="AF279" s="622" t="str">
        <f>IF(NOT(ISBLANK('A-RACHNATMAK'!AI300)),"A",IF(NOT(ISBLANK('A-RACHNATMAK'!AI299)),"B",IF(NOT(ISBLANK('A-RACHNATMAK'!AI298)),"C","")))</f>
        <v/>
      </c>
      <c r="AG279" s="622" t="str">
        <f>IF(NOT(ISBLANK('A-RACHNATMAK'!AJ300)),"A",IF(NOT(ISBLANK('A-RACHNATMAK'!AJ299)),"B",IF(NOT(ISBLANK('A-RACHNATMAK'!AJ298)),"C","")))</f>
        <v/>
      </c>
      <c r="AH279" s="622" t="str">
        <f>IF(NOT(ISBLANK('A-RACHNATMAK'!AK300)),"A",IF(NOT(ISBLANK('A-RACHNATMAK'!AK299)),"B",IF(NOT(ISBLANK('A-RACHNATMAK'!AK298)),"C","")))</f>
        <v/>
      </c>
      <c r="AI279" s="622" t="str">
        <f>IF(NOT(ISBLANK('A-RACHNATMAK'!AL300)),"A",IF(NOT(ISBLANK('A-RACHNATMAK'!AL299)),"B",IF(NOT(ISBLANK('A-RACHNATMAK'!AL298)),"C","")))</f>
        <v/>
      </c>
      <c r="AJ279" s="622" t="str">
        <f>IF(NOT(ISBLANK('A-RACHNATMAK'!AM300)),"A",IF(NOT(ISBLANK('A-RACHNATMAK'!AM299)),"B",IF(NOT(ISBLANK('A-RACHNATMAK'!AM298)),"C","")))</f>
        <v/>
      </c>
      <c r="AK279" s="622" t="str">
        <f>IF(NOT(ISBLANK('A-RACHNATMAK'!AN300)),"A",IF(NOT(ISBLANK('A-RACHNATMAK'!AN299)),"B",IF(NOT(ISBLANK('A-RACHNATMAK'!AN298)),"C","")))</f>
        <v/>
      </c>
      <c r="AL279" s="622" t="str">
        <f>IF(NOT(ISBLANK('A-RACHNATMAK'!AO300)),"A",IF(NOT(ISBLANK('A-RACHNATMAK'!AO299)),"B",IF(NOT(ISBLANK('A-RACHNATMAK'!AO298)),"C","")))</f>
        <v/>
      </c>
      <c r="AM279" s="622" t="str">
        <f>IF(NOT(ISBLANK('A-RACHNATMAK'!AP300)),"A",IF(NOT(ISBLANK('A-RACHNATMAK'!AP299)),"B",IF(NOT(ISBLANK('A-RACHNATMAK'!AP298)),"C","")))</f>
        <v/>
      </c>
      <c r="AN279" s="622" t="str">
        <f>IF(NOT(ISBLANK('A-RACHNATMAK'!AQ300)),"A",IF(NOT(ISBLANK('A-RACHNATMAK'!AQ299)),"B",IF(NOT(ISBLANK('A-RACHNATMAK'!AQ298)),"C","")))</f>
        <v/>
      </c>
      <c r="AO279" s="622" t="str">
        <f>IF(NOT(ISBLANK('A-RACHNATMAK'!AR300)),"A",IF(NOT(ISBLANK('A-RACHNATMAK'!AR299)),"B",IF(NOT(ISBLANK('A-RACHNATMAK'!AR298)),"C","")))</f>
        <v/>
      </c>
      <c r="AP279" s="622" t="str">
        <f>IF(NOT(ISBLANK('A-RACHNATMAK'!AS300)),"A",IF(NOT(ISBLANK('A-RACHNATMAK'!AS299)),"B",IF(NOT(ISBLANK('A-RACHNATMAK'!AS298)),"C","")))</f>
        <v/>
      </c>
      <c r="AQ279" s="622" t="str">
        <f>IF(NOT(ISBLANK('A-RACHNATMAK'!AT300)),"A",IF(NOT(ISBLANK('A-RACHNATMAK'!AT299)),"B",IF(NOT(ISBLANK('A-RACHNATMAK'!AT298)),"C","")))</f>
        <v/>
      </c>
      <c r="AR279" s="622" t="str">
        <f>IF(NOT(ISBLANK('A-RACHNATMAK'!AU300)),"A",IF(NOT(ISBLANK('A-RACHNATMAK'!AU299)),"B",IF(NOT(ISBLANK('A-RACHNATMAK'!AU298)),"C","")))</f>
        <v/>
      </c>
      <c r="AS279" s="622" t="str">
        <f>IF(NOT(ISBLANK('A-RACHNATMAK'!AV300)),"A",IF(NOT(ISBLANK('A-RACHNATMAK'!AV299)),"B",IF(NOT(ISBLANK('A-RACHNATMAK'!AV298)),"C","")))</f>
        <v/>
      </c>
      <c r="AT279" s="622" t="str">
        <f>IF(NOT(ISBLANK('A-RACHNATMAK'!AW300)),"A",IF(NOT(ISBLANK('A-RACHNATMAK'!AW299)),"B",IF(NOT(ISBLANK('A-RACHNATMAK'!AW298)),"C","")))</f>
        <v/>
      </c>
      <c r="AU279" s="622">
        <f t="shared" ref="AU279" si="531">COUNTIF(AA279:AT279,"A")</f>
        <v>0</v>
      </c>
      <c r="AV279" s="622">
        <f t="shared" ref="AV279" si="532">COUNTIF(AA279:AT279,"B")</f>
        <v>0</v>
      </c>
      <c r="AW279" s="622">
        <f t="shared" ref="AW279" si="533">COUNTIF(AA279:AT279,"C")</f>
        <v>0</v>
      </c>
    </row>
    <row r="280" spans="1:49" ht="7.5" customHeight="1">
      <c r="A280" s="623"/>
      <c r="B280" s="622"/>
      <c r="C280" s="622"/>
      <c r="D280" s="622"/>
      <c r="E280" s="622"/>
      <c r="F280" s="622"/>
      <c r="G280" s="622"/>
      <c r="H280" s="622"/>
      <c r="I280" s="622"/>
      <c r="J280" s="622"/>
      <c r="K280" s="622"/>
      <c r="L280" s="622"/>
      <c r="M280" s="622"/>
      <c r="N280" s="622"/>
      <c r="O280" s="622"/>
      <c r="P280" s="622"/>
      <c r="Q280" s="622"/>
      <c r="R280" s="622"/>
      <c r="S280" s="622"/>
      <c r="T280" s="622"/>
      <c r="U280" s="622"/>
      <c r="V280" s="622"/>
      <c r="W280" s="622"/>
      <c r="X280" s="622"/>
      <c r="Y280" s="330"/>
      <c r="Z280" s="623"/>
      <c r="AA280" s="622"/>
      <c r="AB280" s="622"/>
      <c r="AC280" s="622"/>
      <c r="AD280" s="622"/>
      <c r="AE280" s="622"/>
      <c r="AF280" s="622"/>
      <c r="AG280" s="622"/>
      <c r="AH280" s="622"/>
      <c r="AI280" s="622"/>
      <c r="AJ280" s="622"/>
      <c r="AK280" s="622"/>
      <c r="AL280" s="622"/>
      <c r="AM280" s="622"/>
      <c r="AN280" s="622"/>
      <c r="AO280" s="622"/>
      <c r="AP280" s="622"/>
      <c r="AQ280" s="622"/>
      <c r="AR280" s="622"/>
      <c r="AS280" s="622"/>
      <c r="AT280" s="622"/>
      <c r="AU280" s="622"/>
      <c r="AV280" s="622"/>
      <c r="AW280" s="622"/>
    </row>
    <row r="281" spans="1:49" ht="7.5" customHeight="1">
      <c r="A281" s="623"/>
      <c r="B281" s="622"/>
      <c r="C281" s="622"/>
      <c r="D281" s="622"/>
      <c r="E281" s="622"/>
      <c r="F281" s="622"/>
      <c r="G281" s="622"/>
      <c r="H281" s="622"/>
      <c r="I281" s="622"/>
      <c r="J281" s="622"/>
      <c r="K281" s="622"/>
      <c r="L281" s="622"/>
      <c r="M281" s="622"/>
      <c r="N281" s="622"/>
      <c r="O281" s="622"/>
      <c r="P281" s="622"/>
      <c r="Q281" s="622"/>
      <c r="R281" s="622"/>
      <c r="S281" s="622"/>
      <c r="T281" s="622"/>
      <c r="U281" s="622"/>
      <c r="V281" s="622"/>
      <c r="W281" s="622"/>
      <c r="X281" s="622"/>
      <c r="Y281" s="330"/>
      <c r="Z281" s="623"/>
      <c r="AA281" s="622"/>
      <c r="AB281" s="622"/>
      <c r="AC281" s="622"/>
      <c r="AD281" s="622"/>
      <c r="AE281" s="622"/>
      <c r="AF281" s="622"/>
      <c r="AG281" s="622"/>
      <c r="AH281" s="622"/>
      <c r="AI281" s="622"/>
      <c r="AJ281" s="622"/>
      <c r="AK281" s="622"/>
      <c r="AL281" s="622"/>
      <c r="AM281" s="622"/>
      <c r="AN281" s="622"/>
      <c r="AO281" s="622"/>
      <c r="AP281" s="622"/>
      <c r="AQ281" s="622"/>
      <c r="AR281" s="622"/>
      <c r="AS281" s="622"/>
      <c r="AT281" s="622"/>
      <c r="AU281" s="622"/>
      <c r="AV281" s="622"/>
      <c r="AW281" s="622"/>
    </row>
    <row r="282" spans="1:49" ht="7.5" customHeight="1">
      <c r="A282" s="623">
        <v>23</v>
      </c>
      <c r="B282" s="622" t="str">
        <f>IF(NOT(ISBLANK('A-RACHNATMAK'!C303)),"A",IF(NOT(ISBLANK('A-RACHNATMAK'!C302)),"B",IF(NOT(ISBLANK('A-RACHNATMAK'!C301)),"C","")))</f>
        <v/>
      </c>
      <c r="C282" s="622" t="str">
        <f>IF(NOT(ISBLANK('A-RACHNATMAK'!D303)),"A",IF(NOT(ISBLANK('A-RACHNATMAK'!D302)),"B",IF(NOT(ISBLANK('A-RACHNATMAK'!D301)),"C","")))</f>
        <v/>
      </c>
      <c r="D282" s="622" t="str">
        <f>IF(NOT(ISBLANK('A-RACHNATMAK'!E303)),"A",IF(NOT(ISBLANK('A-RACHNATMAK'!E302)),"B",IF(NOT(ISBLANK('A-RACHNATMAK'!E301)),"C","")))</f>
        <v/>
      </c>
      <c r="E282" s="622" t="str">
        <f>IF(NOT(ISBLANK('A-RACHNATMAK'!F303)),"A",IF(NOT(ISBLANK('A-RACHNATMAK'!F302)),"B",IF(NOT(ISBLANK('A-RACHNATMAK'!F301)),"C","")))</f>
        <v/>
      </c>
      <c r="F282" s="622" t="str">
        <f>IF(NOT(ISBLANK('A-RACHNATMAK'!G303)),"A",IF(NOT(ISBLANK('A-RACHNATMAK'!G302)),"B",IF(NOT(ISBLANK('A-RACHNATMAK'!G301)),"C","")))</f>
        <v/>
      </c>
      <c r="G282" s="622" t="str">
        <f>IF(NOT(ISBLANK('A-RACHNATMAK'!H303)),"A",IF(NOT(ISBLANK('A-RACHNATMAK'!H302)),"B",IF(NOT(ISBLANK('A-RACHNATMAK'!H301)),"C","")))</f>
        <v/>
      </c>
      <c r="H282" s="622" t="str">
        <f>IF(NOT(ISBLANK('A-RACHNATMAK'!I303)),"A",IF(NOT(ISBLANK('A-RACHNATMAK'!I302)),"B",IF(NOT(ISBLANK('A-RACHNATMAK'!I301)),"C","")))</f>
        <v/>
      </c>
      <c r="I282" s="622" t="str">
        <f>IF(NOT(ISBLANK('A-RACHNATMAK'!J303)),"A",IF(NOT(ISBLANK('A-RACHNATMAK'!J302)),"B",IF(NOT(ISBLANK('A-RACHNATMAK'!J301)),"C","")))</f>
        <v/>
      </c>
      <c r="J282" s="622" t="str">
        <f>IF(NOT(ISBLANK('A-RACHNATMAK'!K303)),"A",IF(NOT(ISBLANK('A-RACHNATMAK'!K302)),"B",IF(NOT(ISBLANK('A-RACHNATMAK'!K301)),"C","")))</f>
        <v/>
      </c>
      <c r="K282" s="622" t="str">
        <f>IF(NOT(ISBLANK('A-RACHNATMAK'!L303)),"A",IF(NOT(ISBLANK('A-RACHNATMAK'!L302)),"B",IF(NOT(ISBLANK('A-RACHNATMAK'!L301)),"C","")))</f>
        <v/>
      </c>
      <c r="L282" s="622" t="str">
        <f>IF(NOT(ISBLANK('A-RACHNATMAK'!M303)),"A",IF(NOT(ISBLANK('A-RACHNATMAK'!M302)),"B",IF(NOT(ISBLANK('A-RACHNATMAK'!M301)),"C","")))</f>
        <v/>
      </c>
      <c r="M282" s="622" t="str">
        <f>IF(NOT(ISBLANK('A-RACHNATMAK'!N303)),"A",IF(NOT(ISBLANK('A-RACHNATMAK'!N302)),"B",IF(NOT(ISBLANK('A-RACHNATMAK'!N301)),"C","")))</f>
        <v/>
      </c>
      <c r="N282" s="622" t="str">
        <f>IF(NOT(ISBLANK('A-RACHNATMAK'!O303)),"A",IF(NOT(ISBLANK('A-RACHNATMAK'!O302)),"B",IF(NOT(ISBLANK('A-RACHNATMAK'!O301)),"C","")))</f>
        <v/>
      </c>
      <c r="O282" s="622" t="str">
        <f>IF(NOT(ISBLANK('A-RACHNATMAK'!P303)),"A",IF(NOT(ISBLANK('A-RACHNATMAK'!P302)),"B",IF(NOT(ISBLANK('A-RACHNATMAK'!P301)),"C","")))</f>
        <v/>
      </c>
      <c r="P282" s="622" t="str">
        <f>IF(NOT(ISBLANK('A-RACHNATMAK'!Q303)),"A",IF(NOT(ISBLANK('A-RACHNATMAK'!Q302)),"B",IF(NOT(ISBLANK('A-RACHNATMAK'!Q301)),"C","")))</f>
        <v/>
      </c>
      <c r="Q282" s="622" t="str">
        <f>IF(NOT(ISBLANK('A-RACHNATMAK'!R303)),"A",IF(NOT(ISBLANK('A-RACHNATMAK'!R302)),"B",IF(NOT(ISBLANK('A-RACHNATMAK'!R301)),"C","")))</f>
        <v/>
      </c>
      <c r="R282" s="622" t="str">
        <f>IF(NOT(ISBLANK('A-RACHNATMAK'!S303)),"A",IF(NOT(ISBLANK('A-RACHNATMAK'!S302)),"B",IF(NOT(ISBLANK('A-RACHNATMAK'!S301)),"C","")))</f>
        <v/>
      </c>
      <c r="S282" s="622" t="str">
        <f>IF(NOT(ISBLANK('A-RACHNATMAK'!T303)),"A",IF(NOT(ISBLANK('A-RACHNATMAK'!T302)),"B",IF(NOT(ISBLANK('A-RACHNATMAK'!T301)),"C","")))</f>
        <v/>
      </c>
      <c r="T282" s="622" t="str">
        <f>IF(NOT(ISBLANK('A-RACHNATMAK'!U303)),"A",IF(NOT(ISBLANK('A-RACHNATMAK'!U302)),"B",IF(NOT(ISBLANK('A-RACHNATMAK'!U301)),"C","")))</f>
        <v/>
      </c>
      <c r="U282" s="622" t="str">
        <f>IF(NOT(ISBLANK('A-RACHNATMAK'!V303)),"A",IF(NOT(ISBLANK('A-RACHNATMAK'!V302)),"B",IF(NOT(ISBLANK('A-RACHNATMAK'!V301)),"C","")))</f>
        <v/>
      </c>
      <c r="V282" s="622">
        <f t="shared" ref="V282" si="534">COUNTIF(B282:U282,"A")</f>
        <v>0</v>
      </c>
      <c r="W282" s="622">
        <f t="shared" ref="W282" si="535">COUNTIF(B282:U282,"B")</f>
        <v>0</v>
      </c>
      <c r="X282" s="622">
        <f t="shared" ref="X282" si="536">COUNTIF(B282:U282,"C")</f>
        <v>0</v>
      </c>
      <c r="Y282" s="330"/>
      <c r="Z282" s="623">
        <v>23</v>
      </c>
      <c r="AA282" s="622" t="str">
        <f>IF(NOT(ISBLANK('A-RACHNATMAK'!AD303)),"A",IF(NOT(ISBLANK('A-RACHNATMAK'!AD302)),"B",IF(NOT(ISBLANK('A-RACHNATMAK'!AD301)),"C","")))</f>
        <v/>
      </c>
      <c r="AB282" s="622" t="str">
        <f>IF(NOT(ISBLANK('A-RACHNATMAK'!AE303)),"A",IF(NOT(ISBLANK('A-RACHNATMAK'!AE302)),"B",IF(NOT(ISBLANK('A-RACHNATMAK'!AE301)),"C","")))</f>
        <v/>
      </c>
      <c r="AC282" s="622" t="str">
        <f>IF(NOT(ISBLANK('A-RACHNATMAK'!AF303)),"A",IF(NOT(ISBLANK('A-RACHNATMAK'!AF302)),"B",IF(NOT(ISBLANK('A-RACHNATMAK'!AF301)),"C","")))</f>
        <v/>
      </c>
      <c r="AD282" s="622" t="str">
        <f>IF(NOT(ISBLANK('A-RACHNATMAK'!AG303)),"A",IF(NOT(ISBLANK('A-RACHNATMAK'!AG302)),"B",IF(NOT(ISBLANK('A-RACHNATMAK'!AG301)),"C","")))</f>
        <v/>
      </c>
      <c r="AE282" s="622" t="str">
        <f>IF(NOT(ISBLANK('A-RACHNATMAK'!AH303)),"A",IF(NOT(ISBLANK('A-RACHNATMAK'!AH302)),"B",IF(NOT(ISBLANK('A-RACHNATMAK'!AH301)),"C","")))</f>
        <v/>
      </c>
      <c r="AF282" s="622" t="str">
        <f>IF(NOT(ISBLANK('A-RACHNATMAK'!AI303)),"A",IF(NOT(ISBLANK('A-RACHNATMAK'!AI302)),"B",IF(NOT(ISBLANK('A-RACHNATMAK'!AI301)),"C","")))</f>
        <v/>
      </c>
      <c r="AG282" s="622" t="str">
        <f>IF(NOT(ISBLANK('A-RACHNATMAK'!AJ303)),"A",IF(NOT(ISBLANK('A-RACHNATMAK'!AJ302)),"B",IF(NOT(ISBLANK('A-RACHNATMAK'!AJ301)),"C","")))</f>
        <v/>
      </c>
      <c r="AH282" s="622" t="str">
        <f>IF(NOT(ISBLANK('A-RACHNATMAK'!AK303)),"A",IF(NOT(ISBLANK('A-RACHNATMAK'!AK302)),"B",IF(NOT(ISBLANK('A-RACHNATMAK'!AK301)),"C","")))</f>
        <v/>
      </c>
      <c r="AI282" s="622" t="str">
        <f>IF(NOT(ISBLANK('A-RACHNATMAK'!AL303)),"A",IF(NOT(ISBLANK('A-RACHNATMAK'!AL302)),"B",IF(NOT(ISBLANK('A-RACHNATMAK'!AL301)),"C","")))</f>
        <v/>
      </c>
      <c r="AJ282" s="622" t="str">
        <f>IF(NOT(ISBLANK('A-RACHNATMAK'!AM303)),"A",IF(NOT(ISBLANK('A-RACHNATMAK'!AM302)),"B",IF(NOT(ISBLANK('A-RACHNATMAK'!AM301)),"C","")))</f>
        <v/>
      </c>
      <c r="AK282" s="622" t="str">
        <f>IF(NOT(ISBLANK('A-RACHNATMAK'!AN303)),"A",IF(NOT(ISBLANK('A-RACHNATMAK'!AN302)),"B",IF(NOT(ISBLANK('A-RACHNATMAK'!AN301)),"C","")))</f>
        <v/>
      </c>
      <c r="AL282" s="622" t="str">
        <f>IF(NOT(ISBLANK('A-RACHNATMAK'!AO303)),"A",IF(NOT(ISBLANK('A-RACHNATMAK'!AO302)),"B",IF(NOT(ISBLANK('A-RACHNATMAK'!AO301)),"C","")))</f>
        <v/>
      </c>
      <c r="AM282" s="622" t="str">
        <f>IF(NOT(ISBLANK('A-RACHNATMAK'!AP303)),"A",IF(NOT(ISBLANK('A-RACHNATMAK'!AP302)),"B",IF(NOT(ISBLANK('A-RACHNATMAK'!AP301)),"C","")))</f>
        <v/>
      </c>
      <c r="AN282" s="622" t="str">
        <f>IF(NOT(ISBLANK('A-RACHNATMAK'!AQ303)),"A",IF(NOT(ISBLANK('A-RACHNATMAK'!AQ302)),"B",IF(NOT(ISBLANK('A-RACHNATMAK'!AQ301)),"C","")))</f>
        <v/>
      </c>
      <c r="AO282" s="622" t="str">
        <f>IF(NOT(ISBLANK('A-RACHNATMAK'!AR303)),"A",IF(NOT(ISBLANK('A-RACHNATMAK'!AR302)),"B",IF(NOT(ISBLANK('A-RACHNATMAK'!AR301)),"C","")))</f>
        <v/>
      </c>
      <c r="AP282" s="622" t="str">
        <f>IF(NOT(ISBLANK('A-RACHNATMAK'!AS303)),"A",IF(NOT(ISBLANK('A-RACHNATMAK'!AS302)),"B",IF(NOT(ISBLANK('A-RACHNATMAK'!AS301)),"C","")))</f>
        <v/>
      </c>
      <c r="AQ282" s="622" t="str">
        <f>IF(NOT(ISBLANK('A-RACHNATMAK'!AT303)),"A",IF(NOT(ISBLANK('A-RACHNATMAK'!AT302)),"B",IF(NOT(ISBLANK('A-RACHNATMAK'!AT301)),"C","")))</f>
        <v/>
      </c>
      <c r="AR282" s="622" t="str">
        <f>IF(NOT(ISBLANK('A-RACHNATMAK'!AU303)),"A",IF(NOT(ISBLANK('A-RACHNATMAK'!AU302)),"B",IF(NOT(ISBLANK('A-RACHNATMAK'!AU301)),"C","")))</f>
        <v/>
      </c>
      <c r="AS282" s="622" t="str">
        <f>IF(NOT(ISBLANK('A-RACHNATMAK'!AV303)),"A",IF(NOT(ISBLANK('A-RACHNATMAK'!AV302)),"B",IF(NOT(ISBLANK('A-RACHNATMAK'!AV301)),"C","")))</f>
        <v/>
      </c>
      <c r="AT282" s="622" t="str">
        <f>IF(NOT(ISBLANK('A-RACHNATMAK'!AW303)),"A",IF(NOT(ISBLANK('A-RACHNATMAK'!AW302)),"B",IF(NOT(ISBLANK('A-RACHNATMAK'!AW301)),"C","")))</f>
        <v/>
      </c>
      <c r="AU282" s="622">
        <f t="shared" ref="AU282" si="537">COUNTIF(AA282:AT282,"A")</f>
        <v>0</v>
      </c>
      <c r="AV282" s="622">
        <f t="shared" ref="AV282" si="538">COUNTIF(AA282:AT282,"B")</f>
        <v>0</v>
      </c>
      <c r="AW282" s="622">
        <f t="shared" ref="AW282" si="539">COUNTIF(AA282:AT282,"C")</f>
        <v>0</v>
      </c>
    </row>
    <row r="283" spans="1:49" ht="7.5" customHeight="1">
      <c r="A283" s="623"/>
      <c r="B283" s="622"/>
      <c r="C283" s="622"/>
      <c r="D283" s="622"/>
      <c r="E283" s="622"/>
      <c r="F283" s="622"/>
      <c r="G283" s="622"/>
      <c r="H283" s="622"/>
      <c r="I283" s="622"/>
      <c r="J283" s="622"/>
      <c r="K283" s="622"/>
      <c r="L283" s="622"/>
      <c r="M283" s="622"/>
      <c r="N283" s="622"/>
      <c r="O283" s="622"/>
      <c r="P283" s="622"/>
      <c r="Q283" s="622"/>
      <c r="R283" s="622"/>
      <c r="S283" s="622"/>
      <c r="T283" s="622"/>
      <c r="U283" s="622"/>
      <c r="V283" s="622"/>
      <c r="W283" s="622"/>
      <c r="X283" s="622"/>
      <c r="Y283" s="330"/>
      <c r="Z283" s="623"/>
      <c r="AA283" s="622"/>
      <c r="AB283" s="622"/>
      <c r="AC283" s="622"/>
      <c r="AD283" s="622"/>
      <c r="AE283" s="622"/>
      <c r="AF283" s="622"/>
      <c r="AG283" s="622"/>
      <c r="AH283" s="622"/>
      <c r="AI283" s="622"/>
      <c r="AJ283" s="622"/>
      <c r="AK283" s="622"/>
      <c r="AL283" s="622"/>
      <c r="AM283" s="622"/>
      <c r="AN283" s="622"/>
      <c r="AO283" s="622"/>
      <c r="AP283" s="622"/>
      <c r="AQ283" s="622"/>
      <c r="AR283" s="622"/>
      <c r="AS283" s="622"/>
      <c r="AT283" s="622"/>
      <c r="AU283" s="622"/>
      <c r="AV283" s="622"/>
      <c r="AW283" s="622"/>
    </row>
    <row r="284" spans="1:49" ht="7.5" customHeight="1">
      <c r="A284" s="623"/>
      <c r="B284" s="622"/>
      <c r="C284" s="622"/>
      <c r="D284" s="622"/>
      <c r="E284" s="622"/>
      <c r="F284" s="622"/>
      <c r="G284" s="622"/>
      <c r="H284" s="622"/>
      <c r="I284" s="622"/>
      <c r="J284" s="622"/>
      <c r="K284" s="622"/>
      <c r="L284" s="622"/>
      <c r="M284" s="622"/>
      <c r="N284" s="622"/>
      <c r="O284" s="622"/>
      <c r="P284" s="622"/>
      <c r="Q284" s="622"/>
      <c r="R284" s="622"/>
      <c r="S284" s="622"/>
      <c r="T284" s="622"/>
      <c r="U284" s="622"/>
      <c r="V284" s="622"/>
      <c r="W284" s="622"/>
      <c r="X284" s="622"/>
      <c r="Y284" s="330"/>
      <c r="Z284" s="623"/>
      <c r="AA284" s="622"/>
      <c r="AB284" s="622"/>
      <c r="AC284" s="622"/>
      <c r="AD284" s="622"/>
      <c r="AE284" s="622"/>
      <c r="AF284" s="622"/>
      <c r="AG284" s="622"/>
      <c r="AH284" s="622"/>
      <c r="AI284" s="622"/>
      <c r="AJ284" s="622"/>
      <c r="AK284" s="622"/>
      <c r="AL284" s="622"/>
      <c r="AM284" s="622"/>
      <c r="AN284" s="622"/>
      <c r="AO284" s="622"/>
      <c r="AP284" s="622"/>
      <c r="AQ284" s="622"/>
      <c r="AR284" s="622"/>
      <c r="AS284" s="622"/>
      <c r="AT284" s="622"/>
      <c r="AU284" s="622"/>
      <c r="AV284" s="622"/>
      <c r="AW284" s="622"/>
    </row>
    <row r="285" spans="1:49" ht="7.5" customHeight="1">
      <c r="A285" s="623">
        <v>24</v>
      </c>
      <c r="B285" s="622" t="str">
        <f>IF(NOT(ISBLANK('A-RACHNATMAK'!C306)),"A",IF(NOT(ISBLANK('A-RACHNATMAK'!C305)),"B",IF(NOT(ISBLANK('A-RACHNATMAK'!C304)),"C","")))</f>
        <v/>
      </c>
      <c r="C285" s="622" t="str">
        <f>IF(NOT(ISBLANK('A-RACHNATMAK'!D306)),"A",IF(NOT(ISBLANK('A-RACHNATMAK'!D305)),"B",IF(NOT(ISBLANK('A-RACHNATMAK'!D304)),"C","")))</f>
        <v/>
      </c>
      <c r="D285" s="622" t="str">
        <f>IF(NOT(ISBLANK('A-RACHNATMAK'!E306)),"A",IF(NOT(ISBLANK('A-RACHNATMAK'!E305)),"B",IF(NOT(ISBLANK('A-RACHNATMAK'!E304)),"C","")))</f>
        <v/>
      </c>
      <c r="E285" s="622" t="str">
        <f>IF(NOT(ISBLANK('A-RACHNATMAK'!F306)),"A",IF(NOT(ISBLANK('A-RACHNATMAK'!F305)),"B",IF(NOT(ISBLANK('A-RACHNATMAK'!F304)),"C","")))</f>
        <v/>
      </c>
      <c r="F285" s="622" t="str">
        <f>IF(NOT(ISBLANK('A-RACHNATMAK'!G306)),"A",IF(NOT(ISBLANK('A-RACHNATMAK'!G305)),"B",IF(NOT(ISBLANK('A-RACHNATMAK'!G304)),"C","")))</f>
        <v/>
      </c>
      <c r="G285" s="622" t="str">
        <f>IF(NOT(ISBLANK('A-RACHNATMAK'!H306)),"A",IF(NOT(ISBLANK('A-RACHNATMAK'!H305)),"B",IF(NOT(ISBLANK('A-RACHNATMAK'!H304)),"C","")))</f>
        <v/>
      </c>
      <c r="H285" s="622" t="str">
        <f>IF(NOT(ISBLANK('A-RACHNATMAK'!I306)),"A",IF(NOT(ISBLANK('A-RACHNATMAK'!I305)),"B",IF(NOT(ISBLANK('A-RACHNATMAK'!I304)),"C","")))</f>
        <v/>
      </c>
      <c r="I285" s="622" t="str">
        <f>IF(NOT(ISBLANK('A-RACHNATMAK'!J306)),"A",IF(NOT(ISBLANK('A-RACHNATMAK'!J305)),"B",IF(NOT(ISBLANK('A-RACHNATMAK'!J304)),"C","")))</f>
        <v/>
      </c>
      <c r="J285" s="622" t="str">
        <f>IF(NOT(ISBLANK('A-RACHNATMAK'!K306)),"A",IF(NOT(ISBLANK('A-RACHNATMAK'!K305)),"B",IF(NOT(ISBLANK('A-RACHNATMAK'!K304)),"C","")))</f>
        <v/>
      </c>
      <c r="K285" s="622" t="str">
        <f>IF(NOT(ISBLANK('A-RACHNATMAK'!L306)),"A",IF(NOT(ISBLANK('A-RACHNATMAK'!L305)),"B",IF(NOT(ISBLANK('A-RACHNATMAK'!L304)),"C","")))</f>
        <v/>
      </c>
      <c r="L285" s="622" t="str">
        <f>IF(NOT(ISBLANK('A-RACHNATMAK'!M306)),"A",IF(NOT(ISBLANK('A-RACHNATMAK'!M305)),"B",IF(NOT(ISBLANK('A-RACHNATMAK'!M304)),"C","")))</f>
        <v/>
      </c>
      <c r="M285" s="622" t="str">
        <f>IF(NOT(ISBLANK('A-RACHNATMAK'!N306)),"A",IF(NOT(ISBLANK('A-RACHNATMAK'!N305)),"B",IF(NOT(ISBLANK('A-RACHNATMAK'!N304)),"C","")))</f>
        <v/>
      </c>
      <c r="N285" s="622" t="str">
        <f>IF(NOT(ISBLANK('A-RACHNATMAK'!O306)),"A",IF(NOT(ISBLANK('A-RACHNATMAK'!O305)),"B",IF(NOT(ISBLANK('A-RACHNATMAK'!O304)),"C","")))</f>
        <v/>
      </c>
      <c r="O285" s="622" t="str">
        <f>IF(NOT(ISBLANK('A-RACHNATMAK'!P306)),"A",IF(NOT(ISBLANK('A-RACHNATMAK'!P305)),"B",IF(NOT(ISBLANK('A-RACHNATMAK'!P304)),"C","")))</f>
        <v/>
      </c>
      <c r="P285" s="622" t="str">
        <f>IF(NOT(ISBLANK('A-RACHNATMAK'!Q306)),"A",IF(NOT(ISBLANK('A-RACHNATMAK'!Q305)),"B",IF(NOT(ISBLANK('A-RACHNATMAK'!Q304)),"C","")))</f>
        <v/>
      </c>
      <c r="Q285" s="622" t="str">
        <f>IF(NOT(ISBLANK('A-RACHNATMAK'!R306)),"A",IF(NOT(ISBLANK('A-RACHNATMAK'!R305)),"B",IF(NOT(ISBLANK('A-RACHNATMAK'!R304)),"C","")))</f>
        <v/>
      </c>
      <c r="R285" s="622" t="str">
        <f>IF(NOT(ISBLANK('A-RACHNATMAK'!S306)),"A",IF(NOT(ISBLANK('A-RACHNATMAK'!S305)),"B",IF(NOT(ISBLANK('A-RACHNATMAK'!S304)),"C","")))</f>
        <v/>
      </c>
      <c r="S285" s="622" t="str">
        <f>IF(NOT(ISBLANK('A-RACHNATMAK'!T306)),"A",IF(NOT(ISBLANK('A-RACHNATMAK'!T305)),"B",IF(NOT(ISBLANK('A-RACHNATMAK'!T304)),"C","")))</f>
        <v/>
      </c>
      <c r="T285" s="622" t="str">
        <f>IF(NOT(ISBLANK('A-RACHNATMAK'!U306)),"A",IF(NOT(ISBLANK('A-RACHNATMAK'!U305)),"B",IF(NOT(ISBLANK('A-RACHNATMAK'!U304)),"C","")))</f>
        <v/>
      </c>
      <c r="U285" s="622" t="str">
        <f>IF(NOT(ISBLANK('A-RACHNATMAK'!V306)),"A",IF(NOT(ISBLANK('A-RACHNATMAK'!V305)),"B",IF(NOT(ISBLANK('A-RACHNATMAK'!V304)),"C","")))</f>
        <v/>
      </c>
      <c r="V285" s="622">
        <f t="shared" ref="V285" si="540">COUNTIF(B285:U285,"A")</f>
        <v>0</v>
      </c>
      <c r="W285" s="622">
        <f t="shared" ref="W285" si="541">COUNTIF(B285:U285,"B")</f>
        <v>0</v>
      </c>
      <c r="X285" s="622">
        <f t="shared" ref="X285" si="542">COUNTIF(B285:U285,"C")</f>
        <v>0</v>
      </c>
      <c r="Y285" s="330"/>
      <c r="Z285" s="623">
        <v>24</v>
      </c>
      <c r="AA285" s="622" t="str">
        <f>IF(NOT(ISBLANK('A-RACHNATMAK'!AD306)),"A",IF(NOT(ISBLANK('A-RACHNATMAK'!AD305)),"B",IF(NOT(ISBLANK('A-RACHNATMAK'!AD304)),"C","")))</f>
        <v/>
      </c>
      <c r="AB285" s="622" t="str">
        <f>IF(NOT(ISBLANK('A-RACHNATMAK'!AE306)),"A",IF(NOT(ISBLANK('A-RACHNATMAK'!AE305)),"B",IF(NOT(ISBLANK('A-RACHNATMAK'!AE304)),"C","")))</f>
        <v/>
      </c>
      <c r="AC285" s="622" t="str">
        <f>IF(NOT(ISBLANK('A-RACHNATMAK'!AF306)),"A",IF(NOT(ISBLANK('A-RACHNATMAK'!AF305)),"B",IF(NOT(ISBLANK('A-RACHNATMAK'!AF304)),"C","")))</f>
        <v/>
      </c>
      <c r="AD285" s="622" t="str">
        <f>IF(NOT(ISBLANK('A-RACHNATMAK'!AG306)),"A",IF(NOT(ISBLANK('A-RACHNATMAK'!AG305)),"B",IF(NOT(ISBLANK('A-RACHNATMAK'!AG304)),"C","")))</f>
        <v/>
      </c>
      <c r="AE285" s="622" t="str">
        <f>IF(NOT(ISBLANK('A-RACHNATMAK'!AH306)),"A",IF(NOT(ISBLANK('A-RACHNATMAK'!AH305)),"B",IF(NOT(ISBLANK('A-RACHNATMAK'!AH304)),"C","")))</f>
        <v/>
      </c>
      <c r="AF285" s="622" t="str">
        <f>IF(NOT(ISBLANK('A-RACHNATMAK'!AI306)),"A",IF(NOT(ISBLANK('A-RACHNATMAK'!AI305)),"B",IF(NOT(ISBLANK('A-RACHNATMAK'!AI304)),"C","")))</f>
        <v/>
      </c>
      <c r="AG285" s="622" t="str">
        <f>IF(NOT(ISBLANK('A-RACHNATMAK'!AJ306)),"A",IF(NOT(ISBLANK('A-RACHNATMAK'!AJ305)),"B",IF(NOT(ISBLANK('A-RACHNATMAK'!AJ304)),"C","")))</f>
        <v/>
      </c>
      <c r="AH285" s="622" t="str">
        <f>IF(NOT(ISBLANK('A-RACHNATMAK'!AK306)),"A",IF(NOT(ISBLANK('A-RACHNATMAK'!AK305)),"B",IF(NOT(ISBLANK('A-RACHNATMAK'!AK304)),"C","")))</f>
        <v/>
      </c>
      <c r="AI285" s="622" t="str">
        <f>IF(NOT(ISBLANK('A-RACHNATMAK'!AL306)),"A",IF(NOT(ISBLANK('A-RACHNATMAK'!AL305)),"B",IF(NOT(ISBLANK('A-RACHNATMAK'!AL304)),"C","")))</f>
        <v/>
      </c>
      <c r="AJ285" s="622" t="str">
        <f>IF(NOT(ISBLANK('A-RACHNATMAK'!AM306)),"A",IF(NOT(ISBLANK('A-RACHNATMAK'!AM305)),"B",IF(NOT(ISBLANK('A-RACHNATMAK'!AM304)),"C","")))</f>
        <v/>
      </c>
      <c r="AK285" s="622" t="str">
        <f>IF(NOT(ISBLANK('A-RACHNATMAK'!AN306)),"A",IF(NOT(ISBLANK('A-RACHNATMAK'!AN305)),"B",IF(NOT(ISBLANK('A-RACHNATMAK'!AN304)),"C","")))</f>
        <v/>
      </c>
      <c r="AL285" s="622" t="str">
        <f>IF(NOT(ISBLANK('A-RACHNATMAK'!AO306)),"A",IF(NOT(ISBLANK('A-RACHNATMAK'!AO305)),"B",IF(NOT(ISBLANK('A-RACHNATMAK'!AO304)),"C","")))</f>
        <v/>
      </c>
      <c r="AM285" s="622" t="str">
        <f>IF(NOT(ISBLANK('A-RACHNATMAK'!AP306)),"A",IF(NOT(ISBLANK('A-RACHNATMAK'!AP305)),"B",IF(NOT(ISBLANK('A-RACHNATMAK'!AP304)),"C","")))</f>
        <v/>
      </c>
      <c r="AN285" s="622" t="str">
        <f>IF(NOT(ISBLANK('A-RACHNATMAK'!AQ306)),"A",IF(NOT(ISBLANK('A-RACHNATMAK'!AQ305)),"B",IF(NOT(ISBLANK('A-RACHNATMAK'!AQ304)),"C","")))</f>
        <v/>
      </c>
      <c r="AO285" s="622" t="str">
        <f>IF(NOT(ISBLANK('A-RACHNATMAK'!AR306)),"A",IF(NOT(ISBLANK('A-RACHNATMAK'!AR305)),"B",IF(NOT(ISBLANK('A-RACHNATMAK'!AR304)),"C","")))</f>
        <v/>
      </c>
      <c r="AP285" s="622" t="str">
        <f>IF(NOT(ISBLANK('A-RACHNATMAK'!AS306)),"A",IF(NOT(ISBLANK('A-RACHNATMAK'!AS305)),"B",IF(NOT(ISBLANK('A-RACHNATMAK'!AS304)),"C","")))</f>
        <v/>
      </c>
      <c r="AQ285" s="622" t="str">
        <f>IF(NOT(ISBLANK('A-RACHNATMAK'!AT306)),"A",IF(NOT(ISBLANK('A-RACHNATMAK'!AT305)),"B",IF(NOT(ISBLANK('A-RACHNATMAK'!AT304)),"C","")))</f>
        <v/>
      </c>
      <c r="AR285" s="622" t="str">
        <f>IF(NOT(ISBLANK('A-RACHNATMAK'!AU306)),"A",IF(NOT(ISBLANK('A-RACHNATMAK'!AU305)),"B",IF(NOT(ISBLANK('A-RACHNATMAK'!AU304)),"C","")))</f>
        <v/>
      </c>
      <c r="AS285" s="622" t="str">
        <f>IF(NOT(ISBLANK('A-RACHNATMAK'!AV306)),"A",IF(NOT(ISBLANK('A-RACHNATMAK'!AV305)),"B",IF(NOT(ISBLANK('A-RACHNATMAK'!AV304)),"C","")))</f>
        <v/>
      </c>
      <c r="AT285" s="622" t="str">
        <f>IF(NOT(ISBLANK('A-RACHNATMAK'!AW306)),"A",IF(NOT(ISBLANK('A-RACHNATMAK'!AW305)),"B",IF(NOT(ISBLANK('A-RACHNATMAK'!AW304)),"C","")))</f>
        <v/>
      </c>
      <c r="AU285" s="622">
        <f t="shared" ref="AU285" si="543">COUNTIF(AA285:AT285,"A")</f>
        <v>0</v>
      </c>
      <c r="AV285" s="622">
        <f t="shared" ref="AV285" si="544">COUNTIF(AA285:AT285,"B")</f>
        <v>0</v>
      </c>
      <c r="AW285" s="622">
        <f t="shared" ref="AW285" si="545">COUNTIF(AA285:AT285,"C")</f>
        <v>0</v>
      </c>
    </row>
    <row r="286" spans="1:49" ht="7.5" customHeight="1">
      <c r="A286" s="623"/>
      <c r="B286" s="622"/>
      <c r="C286" s="622"/>
      <c r="D286" s="622"/>
      <c r="E286" s="622"/>
      <c r="F286" s="622"/>
      <c r="G286" s="622"/>
      <c r="H286" s="622"/>
      <c r="I286" s="622"/>
      <c r="J286" s="622"/>
      <c r="K286" s="622"/>
      <c r="L286" s="622"/>
      <c r="M286" s="622"/>
      <c r="N286" s="622"/>
      <c r="O286" s="622"/>
      <c r="P286" s="622"/>
      <c r="Q286" s="622"/>
      <c r="R286" s="622"/>
      <c r="S286" s="622"/>
      <c r="T286" s="622"/>
      <c r="U286" s="622"/>
      <c r="V286" s="622"/>
      <c r="W286" s="622"/>
      <c r="X286" s="622"/>
      <c r="Y286" s="330"/>
      <c r="Z286" s="623"/>
      <c r="AA286" s="622"/>
      <c r="AB286" s="622"/>
      <c r="AC286" s="622"/>
      <c r="AD286" s="622"/>
      <c r="AE286" s="622"/>
      <c r="AF286" s="622"/>
      <c r="AG286" s="622"/>
      <c r="AH286" s="622"/>
      <c r="AI286" s="622"/>
      <c r="AJ286" s="622"/>
      <c r="AK286" s="622"/>
      <c r="AL286" s="622"/>
      <c r="AM286" s="622"/>
      <c r="AN286" s="622"/>
      <c r="AO286" s="622"/>
      <c r="AP286" s="622"/>
      <c r="AQ286" s="622"/>
      <c r="AR286" s="622"/>
      <c r="AS286" s="622"/>
      <c r="AT286" s="622"/>
      <c r="AU286" s="622"/>
      <c r="AV286" s="622"/>
      <c r="AW286" s="622"/>
    </row>
    <row r="287" spans="1:49" ht="7.5" customHeight="1">
      <c r="A287" s="623"/>
      <c r="B287" s="622"/>
      <c r="C287" s="622"/>
      <c r="D287" s="622"/>
      <c r="E287" s="622"/>
      <c r="F287" s="622"/>
      <c r="G287" s="622"/>
      <c r="H287" s="622"/>
      <c r="I287" s="622"/>
      <c r="J287" s="622"/>
      <c r="K287" s="622"/>
      <c r="L287" s="622"/>
      <c r="M287" s="622"/>
      <c r="N287" s="622"/>
      <c r="O287" s="622"/>
      <c r="P287" s="622"/>
      <c r="Q287" s="622"/>
      <c r="R287" s="622"/>
      <c r="S287" s="622"/>
      <c r="T287" s="622"/>
      <c r="U287" s="622"/>
      <c r="V287" s="622"/>
      <c r="W287" s="622"/>
      <c r="X287" s="622"/>
      <c r="Y287" s="330"/>
      <c r="Z287" s="623"/>
      <c r="AA287" s="622"/>
      <c r="AB287" s="622"/>
      <c r="AC287" s="622"/>
      <c r="AD287" s="622"/>
      <c r="AE287" s="622"/>
      <c r="AF287" s="622"/>
      <c r="AG287" s="622"/>
      <c r="AH287" s="622"/>
      <c r="AI287" s="622"/>
      <c r="AJ287" s="622"/>
      <c r="AK287" s="622"/>
      <c r="AL287" s="622"/>
      <c r="AM287" s="622"/>
      <c r="AN287" s="622"/>
      <c r="AO287" s="622"/>
      <c r="AP287" s="622"/>
      <c r="AQ287" s="622"/>
      <c r="AR287" s="622"/>
      <c r="AS287" s="622"/>
      <c r="AT287" s="622"/>
      <c r="AU287" s="622"/>
      <c r="AV287" s="622"/>
      <c r="AW287" s="622"/>
    </row>
    <row r="288" spans="1:49" ht="7.5" customHeight="1">
      <c r="A288" s="623">
        <v>25</v>
      </c>
      <c r="B288" s="622" t="str">
        <f>IF(NOT(ISBLANK('A-RACHNATMAK'!C309)),"A",IF(NOT(ISBLANK('A-RACHNATMAK'!C308)),"B",IF(NOT(ISBLANK('A-RACHNATMAK'!C307)),"C","")))</f>
        <v/>
      </c>
      <c r="C288" s="622" t="str">
        <f>IF(NOT(ISBLANK('A-RACHNATMAK'!D309)),"A",IF(NOT(ISBLANK('A-RACHNATMAK'!D308)),"B",IF(NOT(ISBLANK('A-RACHNATMAK'!D307)),"C","")))</f>
        <v/>
      </c>
      <c r="D288" s="622" t="str">
        <f>IF(NOT(ISBLANK('A-RACHNATMAK'!E309)),"A",IF(NOT(ISBLANK('A-RACHNATMAK'!E308)),"B",IF(NOT(ISBLANK('A-RACHNATMAK'!E307)),"C","")))</f>
        <v/>
      </c>
      <c r="E288" s="622" t="str">
        <f>IF(NOT(ISBLANK('A-RACHNATMAK'!F309)),"A",IF(NOT(ISBLANK('A-RACHNATMAK'!F308)),"B",IF(NOT(ISBLANK('A-RACHNATMAK'!F307)),"C","")))</f>
        <v/>
      </c>
      <c r="F288" s="622" t="str">
        <f>IF(NOT(ISBLANK('A-RACHNATMAK'!G309)),"A",IF(NOT(ISBLANK('A-RACHNATMAK'!G308)),"B",IF(NOT(ISBLANK('A-RACHNATMAK'!G307)),"C","")))</f>
        <v/>
      </c>
      <c r="G288" s="622" t="str">
        <f>IF(NOT(ISBLANK('A-RACHNATMAK'!H309)),"A",IF(NOT(ISBLANK('A-RACHNATMAK'!H308)),"B",IF(NOT(ISBLANK('A-RACHNATMAK'!H307)),"C","")))</f>
        <v/>
      </c>
      <c r="H288" s="622" t="str">
        <f>IF(NOT(ISBLANK('A-RACHNATMAK'!I309)),"A",IF(NOT(ISBLANK('A-RACHNATMAK'!I308)),"B",IF(NOT(ISBLANK('A-RACHNATMAK'!I307)),"C","")))</f>
        <v/>
      </c>
      <c r="I288" s="622" t="str">
        <f>IF(NOT(ISBLANK('A-RACHNATMAK'!J309)),"A",IF(NOT(ISBLANK('A-RACHNATMAK'!J308)),"B",IF(NOT(ISBLANK('A-RACHNATMAK'!J307)),"C","")))</f>
        <v/>
      </c>
      <c r="J288" s="622" t="str">
        <f>IF(NOT(ISBLANK('A-RACHNATMAK'!K309)),"A",IF(NOT(ISBLANK('A-RACHNATMAK'!K308)),"B",IF(NOT(ISBLANK('A-RACHNATMAK'!K307)),"C","")))</f>
        <v/>
      </c>
      <c r="K288" s="622" t="str">
        <f>IF(NOT(ISBLANK('A-RACHNATMAK'!L309)),"A",IF(NOT(ISBLANK('A-RACHNATMAK'!L308)),"B",IF(NOT(ISBLANK('A-RACHNATMAK'!L307)),"C","")))</f>
        <v/>
      </c>
      <c r="L288" s="622" t="str">
        <f>IF(NOT(ISBLANK('A-RACHNATMAK'!M309)),"A",IF(NOT(ISBLANK('A-RACHNATMAK'!M308)),"B",IF(NOT(ISBLANK('A-RACHNATMAK'!M307)),"C","")))</f>
        <v/>
      </c>
      <c r="M288" s="622" t="str">
        <f>IF(NOT(ISBLANK('A-RACHNATMAK'!N309)),"A",IF(NOT(ISBLANK('A-RACHNATMAK'!N308)),"B",IF(NOT(ISBLANK('A-RACHNATMAK'!N307)),"C","")))</f>
        <v/>
      </c>
      <c r="N288" s="622" t="str">
        <f>IF(NOT(ISBLANK('A-RACHNATMAK'!O309)),"A",IF(NOT(ISBLANK('A-RACHNATMAK'!O308)),"B",IF(NOT(ISBLANK('A-RACHNATMAK'!O307)),"C","")))</f>
        <v/>
      </c>
      <c r="O288" s="622" t="str">
        <f>IF(NOT(ISBLANK('A-RACHNATMAK'!P309)),"A",IF(NOT(ISBLANK('A-RACHNATMAK'!P308)),"B",IF(NOT(ISBLANK('A-RACHNATMAK'!P307)),"C","")))</f>
        <v/>
      </c>
      <c r="P288" s="622" t="str">
        <f>IF(NOT(ISBLANK('A-RACHNATMAK'!Q309)),"A",IF(NOT(ISBLANK('A-RACHNATMAK'!Q308)),"B",IF(NOT(ISBLANK('A-RACHNATMAK'!Q307)),"C","")))</f>
        <v/>
      </c>
      <c r="Q288" s="622" t="str">
        <f>IF(NOT(ISBLANK('A-RACHNATMAK'!R309)),"A",IF(NOT(ISBLANK('A-RACHNATMAK'!R308)),"B",IF(NOT(ISBLANK('A-RACHNATMAK'!R307)),"C","")))</f>
        <v/>
      </c>
      <c r="R288" s="622" t="str">
        <f>IF(NOT(ISBLANK('A-RACHNATMAK'!S309)),"A",IF(NOT(ISBLANK('A-RACHNATMAK'!S308)),"B",IF(NOT(ISBLANK('A-RACHNATMAK'!S307)),"C","")))</f>
        <v/>
      </c>
      <c r="S288" s="622" t="str">
        <f>IF(NOT(ISBLANK('A-RACHNATMAK'!T309)),"A",IF(NOT(ISBLANK('A-RACHNATMAK'!T308)),"B",IF(NOT(ISBLANK('A-RACHNATMAK'!T307)),"C","")))</f>
        <v/>
      </c>
      <c r="T288" s="622" t="str">
        <f>IF(NOT(ISBLANK('A-RACHNATMAK'!U309)),"A",IF(NOT(ISBLANK('A-RACHNATMAK'!U308)),"B",IF(NOT(ISBLANK('A-RACHNATMAK'!U307)),"C","")))</f>
        <v/>
      </c>
      <c r="U288" s="622" t="str">
        <f>IF(NOT(ISBLANK('A-RACHNATMAK'!V309)),"A",IF(NOT(ISBLANK('A-RACHNATMAK'!V308)),"B",IF(NOT(ISBLANK('A-RACHNATMAK'!V307)),"C","")))</f>
        <v/>
      </c>
      <c r="V288" s="622">
        <f t="shared" ref="V288" si="546">COUNTIF(B288:U288,"A")</f>
        <v>0</v>
      </c>
      <c r="W288" s="622">
        <f t="shared" ref="W288" si="547">COUNTIF(B288:U288,"B")</f>
        <v>0</v>
      </c>
      <c r="X288" s="622">
        <f t="shared" ref="X288" si="548">COUNTIF(B288:U288,"C")</f>
        <v>0</v>
      </c>
      <c r="Y288" s="330"/>
      <c r="Z288" s="623">
        <v>25</v>
      </c>
      <c r="AA288" s="622" t="str">
        <f>IF(NOT(ISBLANK('A-RACHNATMAK'!AD309)),"A",IF(NOT(ISBLANK('A-RACHNATMAK'!AD308)),"B",IF(NOT(ISBLANK('A-RACHNATMAK'!AD307)),"C","")))</f>
        <v/>
      </c>
      <c r="AB288" s="622" t="str">
        <f>IF(NOT(ISBLANK('A-RACHNATMAK'!AE309)),"A",IF(NOT(ISBLANK('A-RACHNATMAK'!AE308)),"B",IF(NOT(ISBLANK('A-RACHNATMAK'!AE307)),"C","")))</f>
        <v>B</v>
      </c>
      <c r="AC288" s="622" t="str">
        <f>IF(NOT(ISBLANK('A-RACHNATMAK'!AF309)),"A",IF(NOT(ISBLANK('A-RACHNATMAK'!AF308)),"B",IF(NOT(ISBLANK('A-RACHNATMAK'!AF307)),"C","")))</f>
        <v/>
      </c>
      <c r="AD288" s="622" t="str">
        <f>IF(NOT(ISBLANK('A-RACHNATMAK'!AG309)),"A",IF(NOT(ISBLANK('A-RACHNATMAK'!AG308)),"B",IF(NOT(ISBLANK('A-RACHNATMAK'!AG307)),"C","")))</f>
        <v/>
      </c>
      <c r="AE288" s="622" t="str">
        <f>IF(NOT(ISBLANK('A-RACHNATMAK'!AH309)),"A",IF(NOT(ISBLANK('A-RACHNATMAK'!AH308)),"B",IF(NOT(ISBLANK('A-RACHNATMAK'!AH307)),"C","")))</f>
        <v/>
      </c>
      <c r="AF288" s="622" t="str">
        <f>IF(NOT(ISBLANK('A-RACHNATMAK'!AI309)),"A",IF(NOT(ISBLANK('A-RACHNATMAK'!AI308)),"B",IF(NOT(ISBLANK('A-RACHNATMAK'!AI307)),"C","")))</f>
        <v/>
      </c>
      <c r="AG288" s="622" t="str">
        <f>IF(NOT(ISBLANK('A-RACHNATMAK'!AJ309)),"A",IF(NOT(ISBLANK('A-RACHNATMAK'!AJ308)),"B",IF(NOT(ISBLANK('A-RACHNATMAK'!AJ307)),"C","")))</f>
        <v/>
      </c>
      <c r="AH288" s="622" t="str">
        <f>IF(NOT(ISBLANK('A-RACHNATMAK'!AK309)),"A",IF(NOT(ISBLANK('A-RACHNATMAK'!AK308)),"B",IF(NOT(ISBLANK('A-RACHNATMAK'!AK307)),"C","")))</f>
        <v/>
      </c>
      <c r="AI288" s="622" t="str">
        <f>IF(NOT(ISBLANK('A-RACHNATMAK'!AL309)),"A",IF(NOT(ISBLANK('A-RACHNATMAK'!AL308)),"B",IF(NOT(ISBLANK('A-RACHNATMAK'!AL307)),"C","")))</f>
        <v/>
      </c>
      <c r="AJ288" s="622" t="str">
        <f>IF(NOT(ISBLANK('A-RACHNATMAK'!AM309)),"A",IF(NOT(ISBLANK('A-RACHNATMAK'!AM308)),"B",IF(NOT(ISBLANK('A-RACHNATMAK'!AM307)),"C","")))</f>
        <v/>
      </c>
      <c r="AK288" s="622" t="str">
        <f>IF(NOT(ISBLANK('A-RACHNATMAK'!AN309)),"A",IF(NOT(ISBLANK('A-RACHNATMAK'!AN308)),"B",IF(NOT(ISBLANK('A-RACHNATMAK'!AN307)),"C","")))</f>
        <v/>
      </c>
      <c r="AL288" s="622" t="str">
        <f>IF(NOT(ISBLANK('A-RACHNATMAK'!AO309)),"A",IF(NOT(ISBLANK('A-RACHNATMAK'!AO308)),"B",IF(NOT(ISBLANK('A-RACHNATMAK'!AO307)),"C","")))</f>
        <v/>
      </c>
      <c r="AM288" s="622" t="str">
        <f>IF(NOT(ISBLANK('A-RACHNATMAK'!AP309)),"A",IF(NOT(ISBLANK('A-RACHNATMAK'!AP308)),"B",IF(NOT(ISBLANK('A-RACHNATMAK'!AP307)),"C","")))</f>
        <v/>
      </c>
      <c r="AN288" s="622" t="str">
        <f>IF(NOT(ISBLANK('A-RACHNATMAK'!AQ309)),"A",IF(NOT(ISBLANK('A-RACHNATMAK'!AQ308)),"B",IF(NOT(ISBLANK('A-RACHNATMAK'!AQ307)),"C","")))</f>
        <v/>
      </c>
      <c r="AO288" s="622" t="str">
        <f>IF(NOT(ISBLANK('A-RACHNATMAK'!AR309)),"A",IF(NOT(ISBLANK('A-RACHNATMAK'!AR308)),"B",IF(NOT(ISBLANK('A-RACHNATMAK'!AR307)),"C","")))</f>
        <v/>
      </c>
      <c r="AP288" s="622" t="str">
        <f>IF(NOT(ISBLANK('A-RACHNATMAK'!AS309)),"A",IF(NOT(ISBLANK('A-RACHNATMAK'!AS308)),"B",IF(NOT(ISBLANK('A-RACHNATMAK'!AS307)),"C","")))</f>
        <v/>
      </c>
      <c r="AQ288" s="622" t="str">
        <f>IF(NOT(ISBLANK('A-RACHNATMAK'!AT309)),"A",IF(NOT(ISBLANK('A-RACHNATMAK'!AT308)),"B",IF(NOT(ISBLANK('A-RACHNATMAK'!AT307)),"C","")))</f>
        <v/>
      </c>
      <c r="AR288" s="622" t="str">
        <f>IF(NOT(ISBLANK('A-RACHNATMAK'!AU309)),"A",IF(NOT(ISBLANK('A-RACHNATMAK'!AU308)),"B",IF(NOT(ISBLANK('A-RACHNATMAK'!AU307)),"C","")))</f>
        <v/>
      </c>
      <c r="AS288" s="622" t="str">
        <f>IF(NOT(ISBLANK('A-RACHNATMAK'!AV309)),"A",IF(NOT(ISBLANK('A-RACHNATMAK'!AV308)),"B",IF(NOT(ISBLANK('A-RACHNATMAK'!AV307)),"C","")))</f>
        <v/>
      </c>
      <c r="AT288" s="622" t="str">
        <f>IF(NOT(ISBLANK('A-RACHNATMAK'!AW309)),"A",IF(NOT(ISBLANK('A-RACHNATMAK'!AW308)),"B",IF(NOT(ISBLANK('A-RACHNATMAK'!AW307)),"C","")))</f>
        <v/>
      </c>
      <c r="AU288" s="622">
        <f t="shared" ref="AU288" si="549">COUNTIF(AA288:AT288,"A")</f>
        <v>0</v>
      </c>
      <c r="AV288" s="622">
        <f t="shared" ref="AV288" si="550">COUNTIF(AA288:AT288,"B")</f>
        <v>1</v>
      </c>
      <c r="AW288" s="622">
        <f t="shared" ref="AW288" si="551">COUNTIF(AA288:AT288,"C")</f>
        <v>0</v>
      </c>
    </row>
    <row r="289" spans="1:49" ht="7.5" customHeight="1">
      <c r="A289" s="623"/>
      <c r="B289" s="622"/>
      <c r="C289" s="622"/>
      <c r="D289" s="622"/>
      <c r="E289" s="622"/>
      <c r="F289" s="622"/>
      <c r="G289" s="622"/>
      <c r="H289" s="622"/>
      <c r="I289" s="622"/>
      <c r="J289" s="622"/>
      <c r="K289" s="622"/>
      <c r="L289" s="622"/>
      <c r="M289" s="622"/>
      <c r="N289" s="622"/>
      <c r="O289" s="622"/>
      <c r="P289" s="622"/>
      <c r="Q289" s="622"/>
      <c r="R289" s="622"/>
      <c r="S289" s="622"/>
      <c r="T289" s="622"/>
      <c r="U289" s="622"/>
      <c r="V289" s="622"/>
      <c r="W289" s="622"/>
      <c r="X289" s="622"/>
      <c r="Y289" s="330"/>
      <c r="Z289" s="623"/>
      <c r="AA289" s="622"/>
      <c r="AB289" s="622"/>
      <c r="AC289" s="622"/>
      <c r="AD289" s="622"/>
      <c r="AE289" s="622"/>
      <c r="AF289" s="622"/>
      <c r="AG289" s="622"/>
      <c r="AH289" s="622"/>
      <c r="AI289" s="622"/>
      <c r="AJ289" s="622"/>
      <c r="AK289" s="622"/>
      <c r="AL289" s="622"/>
      <c r="AM289" s="622"/>
      <c r="AN289" s="622"/>
      <c r="AO289" s="622"/>
      <c r="AP289" s="622"/>
      <c r="AQ289" s="622"/>
      <c r="AR289" s="622"/>
      <c r="AS289" s="622"/>
      <c r="AT289" s="622"/>
      <c r="AU289" s="622"/>
      <c r="AV289" s="622"/>
      <c r="AW289" s="622"/>
    </row>
    <row r="290" spans="1:49" ht="7.5" customHeight="1">
      <c r="A290" s="623"/>
      <c r="B290" s="622"/>
      <c r="C290" s="622"/>
      <c r="D290" s="622"/>
      <c r="E290" s="622"/>
      <c r="F290" s="622"/>
      <c r="G290" s="622"/>
      <c r="H290" s="622"/>
      <c r="I290" s="622"/>
      <c r="J290" s="622"/>
      <c r="K290" s="622"/>
      <c r="L290" s="622"/>
      <c r="M290" s="622"/>
      <c r="N290" s="622"/>
      <c r="O290" s="622"/>
      <c r="P290" s="622"/>
      <c r="Q290" s="622"/>
      <c r="R290" s="622"/>
      <c r="S290" s="622"/>
      <c r="T290" s="622"/>
      <c r="U290" s="622"/>
      <c r="V290" s="622"/>
      <c r="W290" s="622"/>
      <c r="X290" s="622"/>
      <c r="Y290" s="330"/>
      <c r="Z290" s="623"/>
      <c r="AA290" s="622"/>
      <c r="AB290" s="622"/>
      <c r="AC290" s="622"/>
      <c r="AD290" s="622"/>
      <c r="AE290" s="622"/>
      <c r="AF290" s="622"/>
      <c r="AG290" s="622"/>
      <c r="AH290" s="622"/>
      <c r="AI290" s="622"/>
      <c r="AJ290" s="622"/>
      <c r="AK290" s="622"/>
      <c r="AL290" s="622"/>
      <c r="AM290" s="622"/>
      <c r="AN290" s="622"/>
      <c r="AO290" s="622"/>
      <c r="AP290" s="622"/>
      <c r="AQ290" s="622"/>
      <c r="AR290" s="622"/>
      <c r="AS290" s="622"/>
      <c r="AT290" s="622"/>
      <c r="AU290" s="622"/>
      <c r="AV290" s="622"/>
      <c r="AW290" s="622"/>
    </row>
    <row r="291" spans="1:49" ht="7.5" customHeight="1">
      <c r="A291" s="623">
        <v>26</v>
      </c>
      <c r="B291" s="622" t="str">
        <f>IF(NOT(ISBLANK('A-RACHNATMAK'!C312)),"A",IF(NOT(ISBLANK('A-RACHNATMAK'!C311)),"B",IF(NOT(ISBLANK('A-RACHNATMAK'!C310)),"C","")))</f>
        <v>A</v>
      </c>
      <c r="C291" s="622" t="str">
        <f>IF(NOT(ISBLANK('A-RACHNATMAK'!D312)),"A",IF(NOT(ISBLANK('A-RACHNATMAK'!D311)),"B",IF(NOT(ISBLANK('A-RACHNATMAK'!D310)),"C","")))</f>
        <v/>
      </c>
      <c r="D291" s="622" t="str">
        <f>IF(NOT(ISBLANK('A-RACHNATMAK'!E312)),"A",IF(NOT(ISBLANK('A-RACHNATMAK'!E311)),"B",IF(NOT(ISBLANK('A-RACHNATMAK'!E310)),"C","")))</f>
        <v>C</v>
      </c>
      <c r="E291" s="622" t="str">
        <f>IF(NOT(ISBLANK('A-RACHNATMAK'!F312)),"A",IF(NOT(ISBLANK('A-RACHNATMAK'!F311)),"B",IF(NOT(ISBLANK('A-RACHNATMAK'!F310)),"C","")))</f>
        <v/>
      </c>
      <c r="F291" s="622" t="str">
        <f>IF(NOT(ISBLANK('A-RACHNATMAK'!G312)),"A",IF(NOT(ISBLANK('A-RACHNATMAK'!G311)),"B",IF(NOT(ISBLANK('A-RACHNATMAK'!G310)),"C","")))</f>
        <v/>
      </c>
      <c r="G291" s="622" t="str">
        <f>IF(NOT(ISBLANK('A-RACHNATMAK'!H312)),"A",IF(NOT(ISBLANK('A-RACHNATMAK'!H311)),"B",IF(NOT(ISBLANK('A-RACHNATMAK'!H310)),"C","")))</f>
        <v>C</v>
      </c>
      <c r="H291" s="622" t="str">
        <f>IF(NOT(ISBLANK('A-RACHNATMAK'!I312)),"A",IF(NOT(ISBLANK('A-RACHNATMAK'!I311)),"B",IF(NOT(ISBLANK('A-RACHNATMAK'!I310)),"C","")))</f>
        <v/>
      </c>
      <c r="I291" s="622" t="str">
        <f>IF(NOT(ISBLANK('A-RACHNATMAK'!J312)),"A",IF(NOT(ISBLANK('A-RACHNATMAK'!J311)),"B",IF(NOT(ISBLANK('A-RACHNATMAK'!J310)),"C","")))</f>
        <v/>
      </c>
      <c r="J291" s="622" t="str">
        <f>IF(NOT(ISBLANK('A-RACHNATMAK'!K312)),"A",IF(NOT(ISBLANK('A-RACHNATMAK'!K311)),"B",IF(NOT(ISBLANK('A-RACHNATMAK'!K310)),"C","")))</f>
        <v/>
      </c>
      <c r="K291" s="622" t="str">
        <f>IF(NOT(ISBLANK('A-RACHNATMAK'!L312)),"A",IF(NOT(ISBLANK('A-RACHNATMAK'!L311)),"B",IF(NOT(ISBLANK('A-RACHNATMAK'!L310)),"C","")))</f>
        <v/>
      </c>
      <c r="L291" s="622" t="str">
        <f>IF(NOT(ISBLANK('A-RACHNATMAK'!M312)),"A",IF(NOT(ISBLANK('A-RACHNATMAK'!M311)),"B",IF(NOT(ISBLANK('A-RACHNATMAK'!M310)),"C","")))</f>
        <v/>
      </c>
      <c r="M291" s="622" t="str">
        <f>IF(NOT(ISBLANK('A-RACHNATMAK'!N312)),"A",IF(NOT(ISBLANK('A-RACHNATMAK'!N311)),"B",IF(NOT(ISBLANK('A-RACHNATMAK'!N310)),"C","")))</f>
        <v/>
      </c>
      <c r="N291" s="622" t="str">
        <f>IF(NOT(ISBLANK('A-RACHNATMAK'!O312)),"A",IF(NOT(ISBLANK('A-RACHNATMAK'!O311)),"B",IF(NOT(ISBLANK('A-RACHNATMAK'!O310)),"C","")))</f>
        <v/>
      </c>
      <c r="O291" s="622" t="str">
        <f>IF(NOT(ISBLANK('A-RACHNATMAK'!P312)),"A",IF(NOT(ISBLANK('A-RACHNATMAK'!P311)),"B",IF(NOT(ISBLANK('A-RACHNATMAK'!P310)),"C","")))</f>
        <v/>
      </c>
      <c r="P291" s="622" t="str">
        <f>IF(NOT(ISBLANK('A-RACHNATMAK'!Q312)),"A",IF(NOT(ISBLANK('A-RACHNATMAK'!Q311)),"B",IF(NOT(ISBLANK('A-RACHNATMAK'!Q310)),"C","")))</f>
        <v/>
      </c>
      <c r="Q291" s="622" t="str">
        <f>IF(NOT(ISBLANK('A-RACHNATMAK'!R312)),"A",IF(NOT(ISBLANK('A-RACHNATMAK'!R311)),"B",IF(NOT(ISBLANK('A-RACHNATMAK'!R310)),"C","")))</f>
        <v/>
      </c>
      <c r="R291" s="622" t="str">
        <f>IF(NOT(ISBLANK('A-RACHNATMAK'!S312)),"A",IF(NOT(ISBLANK('A-RACHNATMAK'!S311)),"B",IF(NOT(ISBLANK('A-RACHNATMAK'!S310)),"C","")))</f>
        <v/>
      </c>
      <c r="S291" s="622" t="str">
        <f>IF(NOT(ISBLANK('A-RACHNATMAK'!T312)),"A",IF(NOT(ISBLANK('A-RACHNATMAK'!T311)),"B",IF(NOT(ISBLANK('A-RACHNATMAK'!T310)),"C","")))</f>
        <v/>
      </c>
      <c r="T291" s="622" t="str">
        <f>IF(NOT(ISBLANK('A-RACHNATMAK'!U312)),"A",IF(NOT(ISBLANK('A-RACHNATMAK'!U311)),"B",IF(NOT(ISBLANK('A-RACHNATMAK'!U310)),"C","")))</f>
        <v/>
      </c>
      <c r="U291" s="622" t="str">
        <f>IF(NOT(ISBLANK('A-RACHNATMAK'!V312)),"A",IF(NOT(ISBLANK('A-RACHNATMAK'!V311)),"B",IF(NOT(ISBLANK('A-RACHNATMAK'!V310)),"C","")))</f>
        <v/>
      </c>
      <c r="V291" s="622">
        <f t="shared" ref="V291" si="552">COUNTIF(B291:U291,"A")</f>
        <v>1</v>
      </c>
      <c r="W291" s="622">
        <f t="shared" ref="W291" si="553">COUNTIF(B291:U291,"B")</f>
        <v>0</v>
      </c>
      <c r="X291" s="622">
        <f t="shared" ref="X291" si="554">COUNTIF(B291:U291,"C")</f>
        <v>2</v>
      </c>
      <c r="Y291" s="330"/>
      <c r="Z291" s="623">
        <v>26</v>
      </c>
      <c r="AA291" s="622" t="str">
        <f>IF(NOT(ISBLANK('A-RACHNATMAK'!AD312)),"A",IF(NOT(ISBLANK('A-RACHNATMAK'!AD311)),"B",IF(NOT(ISBLANK('A-RACHNATMAK'!AD310)),"C","")))</f>
        <v/>
      </c>
      <c r="AB291" s="622" t="str">
        <f>IF(NOT(ISBLANK('A-RACHNATMAK'!AE312)),"A",IF(NOT(ISBLANK('A-RACHNATMAK'!AE311)),"B",IF(NOT(ISBLANK('A-RACHNATMAK'!AE310)),"C","")))</f>
        <v/>
      </c>
      <c r="AC291" s="622" t="str">
        <f>IF(NOT(ISBLANK('A-RACHNATMAK'!AF312)),"A",IF(NOT(ISBLANK('A-RACHNATMAK'!AF311)),"B",IF(NOT(ISBLANK('A-RACHNATMAK'!AF310)),"C","")))</f>
        <v/>
      </c>
      <c r="AD291" s="622" t="str">
        <f>IF(NOT(ISBLANK('A-RACHNATMAK'!AG312)),"A",IF(NOT(ISBLANK('A-RACHNATMAK'!AG311)),"B",IF(NOT(ISBLANK('A-RACHNATMAK'!AG310)),"C","")))</f>
        <v/>
      </c>
      <c r="AE291" s="622" t="str">
        <f>IF(NOT(ISBLANK('A-RACHNATMAK'!AH312)),"A",IF(NOT(ISBLANK('A-RACHNATMAK'!AH311)),"B",IF(NOT(ISBLANK('A-RACHNATMAK'!AH310)),"C","")))</f>
        <v/>
      </c>
      <c r="AF291" s="622" t="str">
        <f>IF(NOT(ISBLANK('A-RACHNATMAK'!AI312)),"A",IF(NOT(ISBLANK('A-RACHNATMAK'!AI311)),"B",IF(NOT(ISBLANK('A-RACHNATMAK'!AI310)),"C","")))</f>
        <v/>
      </c>
      <c r="AG291" s="622" t="str">
        <f>IF(NOT(ISBLANK('A-RACHNATMAK'!AJ312)),"A",IF(NOT(ISBLANK('A-RACHNATMAK'!AJ311)),"B",IF(NOT(ISBLANK('A-RACHNATMAK'!AJ310)),"C","")))</f>
        <v/>
      </c>
      <c r="AH291" s="622" t="str">
        <f>IF(NOT(ISBLANK('A-RACHNATMAK'!AK312)),"A",IF(NOT(ISBLANK('A-RACHNATMAK'!AK311)),"B",IF(NOT(ISBLANK('A-RACHNATMAK'!AK310)),"C","")))</f>
        <v/>
      </c>
      <c r="AI291" s="622" t="str">
        <f>IF(NOT(ISBLANK('A-RACHNATMAK'!AL312)),"A",IF(NOT(ISBLANK('A-RACHNATMAK'!AL311)),"B",IF(NOT(ISBLANK('A-RACHNATMAK'!AL310)),"C","")))</f>
        <v/>
      </c>
      <c r="AJ291" s="622" t="str">
        <f>IF(NOT(ISBLANK('A-RACHNATMAK'!AM312)),"A",IF(NOT(ISBLANK('A-RACHNATMAK'!AM311)),"B",IF(NOT(ISBLANK('A-RACHNATMAK'!AM310)),"C","")))</f>
        <v/>
      </c>
      <c r="AK291" s="622" t="str">
        <f>IF(NOT(ISBLANK('A-RACHNATMAK'!AN312)),"A",IF(NOT(ISBLANK('A-RACHNATMAK'!AN311)),"B",IF(NOT(ISBLANK('A-RACHNATMAK'!AN310)),"C","")))</f>
        <v/>
      </c>
      <c r="AL291" s="622" t="str">
        <f>IF(NOT(ISBLANK('A-RACHNATMAK'!AO312)),"A",IF(NOT(ISBLANK('A-RACHNATMAK'!AO311)),"B",IF(NOT(ISBLANK('A-RACHNATMAK'!AO310)),"C","")))</f>
        <v/>
      </c>
      <c r="AM291" s="622" t="str">
        <f>IF(NOT(ISBLANK('A-RACHNATMAK'!AP312)),"A",IF(NOT(ISBLANK('A-RACHNATMAK'!AP311)),"B",IF(NOT(ISBLANK('A-RACHNATMAK'!AP310)),"C","")))</f>
        <v/>
      </c>
      <c r="AN291" s="622" t="str">
        <f>IF(NOT(ISBLANK('A-RACHNATMAK'!AQ312)),"A",IF(NOT(ISBLANK('A-RACHNATMAK'!AQ311)),"B",IF(NOT(ISBLANK('A-RACHNATMAK'!AQ310)),"C","")))</f>
        <v/>
      </c>
      <c r="AO291" s="622" t="str">
        <f>IF(NOT(ISBLANK('A-RACHNATMAK'!AR312)),"A",IF(NOT(ISBLANK('A-RACHNATMAK'!AR311)),"B",IF(NOT(ISBLANK('A-RACHNATMAK'!AR310)),"C","")))</f>
        <v/>
      </c>
      <c r="AP291" s="622" t="str">
        <f>IF(NOT(ISBLANK('A-RACHNATMAK'!AS312)),"A",IF(NOT(ISBLANK('A-RACHNATMAK'!AS311)),"B",IF(NOT(ISBLANK('A-RACHNATMAK'!AS310)),"C","")))</f>
        <v/>
      </c>
      <c r="AQ291" s="622" t="str">
        <f>IF(NOT(ISBLANK('A-RACHNATMAK'!AT312)),"A",IF(NOT(ISBLANK('A-RACHNATMAK'!AT311)),"B",IF(NOT(ISBLANK('A-RACHNATMAK'!AT310)),"C","")))</f>
        <v/>
      </c>
      <c r="AR291" s="622" t="str">
        <f>IF(NOT(ISBLANK('A-RACHNATMAK'!AU312)),"A",IF(NOT(ISBLANK('A-RACHNATMAK'!AU311)),"B",IF(NOT(ISBLANK('A-RACHNATMAK'!AU310)),"C","")))</f>
        <v/>
      </c>
      <c r="AS291" s="622" t="str">
        <f>IF(NOT(ISBLANK('A-RACHNATMAK'!AV312)),"A",IF(NOT(ISBLANK('A-RACHNATMAK'!AV311)),"B",IF(NOT(ISBLANK('A-RACHNATMAK'!AV310)),"C","")))</f>
        <v/>
      </c>
      <c r="AT291" s="622" t="str">
        <f>IF(NOT(ISBLANK('A-RACHNATMAK'!AW312)),"A",IF(NOT(ISBLANK('A-RACHNATMAK'!AW311)),"B",IF(NOT(ISBLANK('A-RACHNATMAK'!AW310)),"C","")))</f>
        <v/>
      </c>
      <c r="AU291" s="622">
        <f t="shared" ref="AU291" si="555">COUNTIF(AA291:AT291,"A")</f>
        <v>0</v>
      </c>
      <c r="AV291" s="622">
        <f t="shared" ref="AV291" si="556">COUNTIF(AA291:AT291,"B")</f>
        <v>0</v>
      </c>
      <c r="AW291" s="622">
        <f t="shared" ref="AW291" si="557">COUNTIF(AA291:AT291,"C")</f>
        <v>0</v>
      </c>
    </row>
    <row r="292" spans="1:49" ht="7.5" customHeight="1">
      <c r="A292" s="623"/>
      <c r="B292" s="622"/>
      <c r="C292" s="622"/>
      <c r="D292" s="622"/>
      <c r="E292" s="622"/>
      <c r="F292" s="622"/>
      <c r="G292" s="622"/>
      <c r="H292" s="622"/>
      <c r="I292" s="622"/>
      <c r="J292" s="622"/>
      <c r="K292" s="622"/>
      <c r="L292" s="622"/>
      <c r="M292" s="622"/>
      <c r="N292" s="622"/>
      <c r="O292" s="622"/>
      <c r="P292" s="622"/>
      <c r="Q292" s="622"/>
      <c r="R292" s="622"/>
      <c r="S292" s="622"/>
      <c r="T292" s="622"/>
      <c r="U292" s="622"/>
      <c r="V292" s="622"/>
      <c r="W292" s="622"/>
      <c r="X292" s="622"/>
      <c r="Y292" s="330"/>
      <c r="Z292" s="623"/>
      <c r="AA292" s="622"/>
      <c r="AB292" s="622"/>
      <c r="AC292" s="622"/>
      <c r="AD292" s="622"/>
      <c r="AE292" s="622"/>
      <c r="AF292" s="622"/>
      <c r="AG292" s="622"/>
      <c r="AH292" s="622"/>
      <c r="AI292" s="622"/>
      <c r="AJ292" s="622"/>
      <c r="AK292" s="622"/>
      <c r="AL292" s="622"/>
      <c r="AM292" s="622"/>
      <c r="AN292" s="622"/>
      <c r="AO292" s="622"/>
      <c r="AP292" s="622"/>
      <c r="AQ292" s="622"/>
      <c r="AR292" s="622"/>
      <c r="AS292" s="622"/>
      <c r="AT292" s="622"/>
      <c r="AU292" s="622"/>
      <c r="AV292" s="622"/>
      <c r="AW292" s="622"/>
    </row>
    <row r="293" spans="1:49" ht="7.5" customHeight="1">
      <c r="A293" s="623"/>
      <c r="B293" s="622"/>
      <c r="C293" s="622"/>
      <c r="D293" s="622"/>
      <c r="E293" s="622"/>
      <c r="F293" s="622"/>
      <c r="G293" s="622"/>
      <c r="H293" s="622"/>
      <c r="I293" s="622"/>
      <c r="J293" s="622"/>
      <c r="K293" s="622"/>
      <c r="L293" s="622"/>
      <c r="M293" s="622"/>
      <c r="N293" s="622"/>
      <c r="O293" s="622"/>
      <c r="P293" s="622"/>
      <c r="Q293" s="622"/>
      <c r="R293" s="622"/>
      <c r="S293" s="622"/>
      <c r="T293" s="622"/>
      <c r="U293" s="622"/>
      <c r="V293" s="622"/>
      <c r="W293" s="622"/>
      <c r="X293" s="622"/>
      <c r="Y293" s="330"/>
      <c r="Z293" s="623"/>
      <c r="AA293" s="622"/>
      <c r="AB293" s="622"/>
      <c r="AC293" s="622"/>
      <c r="AD293" s="622"/>
      <c r="AE293" s="622"/>
      <c r="AF293" s="622"/>
      <c r="AG293" s="622"/>
      <c r="AH293" s="622"/>
      <c r="AI293" s="622"/>
      <c r="AJ293" s="622"/>
      <c r="AK293" s="622"/>
      <c r="AL293" s="622"/>
      <c r="AM293" s="622"/>
      <c r="AN293" s="622"/>
      <c r="AO293" s="622"/>
      <c r="AP293" s="622"/>
      <c r="AQ293" s="622"/>
      <c r="AR293" s="622"/>
      <c r="AS293" s="622"/>
      <c r="AT293" s="622"/>
      <c r="AU293" s="622"/>
      <c r="AV293" s="622"/>
      <c r="AW293" s="622"/>
    </row>
    <row r="294" spans="1:49" ht="7.5" customHeight="1">
      <c r="A294" s="623">
        <v>27</v>
      </c>
      <c r="B294" s="622" t="str">
        <f>IF(NOT(ISBLANK('A-RACHNATMAK'!C315)),"A",IF(NOT(ISBLANK('A-RACHNATMAK'!C314)),"B",IF(NOT(ISBLANK('A-RACHNATMAK'!C313)),"C","")))</f>
        <v/>
      </c>
      <c r="C294" s="622" t="str">
        <f>IF(NOT(ISBLANK('A-RACHNATMAK'!D315)),"A",IF(NOT(ISBLANK('A-RACHNATMAK'!D314)),"B",IF(NOT(ISBLANK('A-RACHNATMAK'!D313)),"C","")))</f>
        <v/>
      </c>
      <c r="D294" s="622" t="str">
        <f>IF(NOT(ISBLANK('A-RACHNATMAK'!E315)),"A",IF(NOT(ISBLANK('A-RACHNATMAK'!E314)),"B",IF(NOT(ISBLANK('A-RACHNATMAK'!E313)),"C","")))</f>
        <v/>
      </c>
      <c r="E294" s="622" t="str">
        <f>IF(NOT(ISBLANK('A-RACHNATMAK'!F315)),"A",IF(NOT(ISBLANK('A-RACHNATMAK'!F314)),"B",IF(NOT(ISBLANK('A-RACHNATMAK'!F313)),"C","")))</f>
        <v/>
      </c>
      <c r="F294" s="622" t="str">
        <f>IF(NOT(ISBLANK('A-RACHNATMAK'!G315)),"A",IF(NOT(ISBLANK('A-RACHNATMAK'!G314)),"B",IF(NOT(ISBLANK('A-RACHNATMAK'!G313)),"C","")))</f>
        <v/>
      </c>
      <c r="G294" s="622" t="str">
        <f>IF(NOT(ISBLANK('A-RACHNATMAK'!H315)),"A",IF(NOT(ISBLANK('A-RACHNATMAK'!H314)),"B",IF(NOT(ISBLANK('A-RACHNATMAK'!H313)),"C","")))</f>
        <v/>
      </c>
      <c r="H294" s="622" t="str">
        <f>IF(NOT(ISBLANK('A-RACHNATMAK'!I315)),"A",IF(NOT(ISBLANK('A-RACHNATMAK'!I314)),"B",IF(NOT(ISBLANK('A-RACHNATMAK'!I313)),"C","")))</f>
        <v/>
      </c>
      <c r="I294" s="622" t="str">
        <f>IF(NOT(ISBLANK('A-RACHNATMAK'!J315)),"A",IF(NOT(ISBLANK('A-RACHNATMAK'!J314)),"B",IF(NOT(ISBLANK('A-RACHNATMAK'!J313)),"C","")))</f>
        <v/>
      </c>
      <c r="J294" s="622" t="str">
        <f>IF(NOT(ISBLANK('A-RACHNATMAK'!K315)),"A",IF(NOT(ISBLANK('A-RACHNATMAK'!K314)),"B",IF(NOT(ISBLANK('A-RACHNATMAK'!K313)),"C","")))</f>
        <v/>
      </c>
      <c r="K294" s="622" t="str">
        <f>IF(NOT(ISBLANK('A-RACHNATMAK'!L315)),"A",IF(NOT(ISBLANK('A-RACHNATMAK'!L314)),"B",IF(NOT(ISBLANK('A-RACHNATMAK'!L313)),"C","")))</f>
        <v/>
      </c>
      <c r="L294" s="622" t="str">
        <f>IF(NOT(ISBLANK('A-RACHNATMAK'!M315)),"A",IF(NOT(ISBLANK('A-RACHNATMAK'!M314)),"B",IF(NOT(ISBLANK('A-RACHNATMAK'!M313)),"C","")))</f>
        <v/>
      </c>
      <c r="M294" s="622" t="str">
        <f>IF(NOT(ISBLANK('A-RACHNATMAK'!N315)),"A",IF(NOT(ISBLANK('A-RACHNATMAK'!N314)),"B",IF(NOT(ISBLANK('A-RACHNATMAK'!N313)),"C","")))</f>
        <v/>
      </c>
      <c r="N294" s="622" t="str">
        <f>IF(NOT(ISBLANK('A-RACHNATMAK'!O315)),"A",IF(NOT(ISBLANK('A-RACHNATMAK'!O314)),"B",IF(NOT(ISBLANK('A-RACHNATMAK'!O313)),"C","")))</f>
        <v>A</v>
      </c>
      <c r="O294" s="622" t="str">
        <f>IF(NOT(ISBLANK('A-RACHNATMAK'!P315)),"A",IF(NOT(ISBLANK('A-RACHNATMAK'!P314)),"B",IF(NOT(ISBLANK('A-RACHNATMAK'!P313)),"C","")))</f>
        <v/>
      </c>
      <c r="P294" s="622" t="str">
        <f>IF(NOT(ISBLANK('A-RACHNATMAK'!Q315)),"A",IF(NOT(ISBLANK('A-RACHNATMAK'!Q314)),"B",IF(NOT(ISBLANK('A-RACHNATMAK'!Q313)),"C","")))</f>
        <v/>
      </c>
      <c r="Q294" s="622" t="str">
        <f>IF(NOT(ISBLANK('A-RACHNATMAK'!R315)),"A",IF(NOT(ISBLANK('A-RACHNATMAK'!R314)),"B",IF(NOT(ISBLANK('A-RACHNATMAK'!R313)),"C","")))</f>
        <v/>
      </c>
      <c r="R294" s="622" t="str">
        <f>IF(NOT(ISBLANK('A-RACHNATMAK'!S315)),"A",IF(NOT(ISBLANK('A-RACHNATMAK'!S314)),"B",IF(NOT(ISBLANK('A-RACHNATMAK'!S313)),"C","")))</f>
        <v/>
      </c>
      <c r="S294" s="622" t="str">
        <f>IF(NOT(ISBLANK('A-RACHNATMAK'!T315)),"A",IF(NOT(ISBLANK('A-RACHNATMAK'!T314)),"B",IF(NOT(ISBLANK('A-RACHNATMAK'!T313)),"C","")))</f>
        <v/>
      </c>
      <c r="T294" s="622" t="str">
        <f>IF(NOT(ISBLANK('A-RACHNATMAK'!U315)),"A",IF(NOT(ISBLANK('A-RACHNATMAK'!U314)),"B",IF(NOT(ISBLANK('A-RACHNATMAK'!U313)),"C","")))</f>
        <v/>
      </c>
      <c r="U294" s="622" t="str">
        <f>IF(NOT(ISBLANK('A-RACHNATMAK'!V315)),"A",IF(NOT(ISBLANK('A-RACHNATMAK'!V314)),"B",IF(NOT(ISBLANK('A-RACHNATMAK'!V313)),"C","")))</f>
        <v/>
      </c>
      <c r="V294" s="622">
        <f t="shared" ref="V294" si="558">COUNTIF(B294:U294,"A")</f>
        <v>1</v>
      </c>
      <c r="W294" s="622">
        <f t="shared" ref="W294" si="559">COUNTIF(B294:U294,"B")</f>
        <v>0</v>
      </c>
      <c r="X294" s="622">
        <f t="shared" ref="X294" si="560">COUNTIF(B294:U294,"C")</f>
        <v>0</v>
      </c>
      <c r="Y294" s="330"/>
      <c r="Z294" s="623">
        <v>27</v>
      </c>
      <c r="AA294" s="622" t="str">
        <f>IF(NOT(ISBLANK('A-RACHNATMAK'!AD315)),"A",IF(NOT(ISBLANK('A-RACHNATMAK'!AD314)),"B",IF(NOT(ISBLANK('A-RACHNATMAK'!AD313)),"C","")))</f>
        <v/>
      </c>
      <c r="AB294" s="622" t="str">
        <f>IF(NOT(ISBLANK('A-RACHNATMAK'!AE315)),"A",IF(NOT(ISBLANK('A-RACHNATMAK'!AE314)),"B",IF(NOT(ISBLANK('A-RACHNATMAK'!AE313)),"C","")))</f>
        <v/>
      </c>
      <c r="AC294" s="622" t="str">
        <f>IF(NOT(ISBLANK('A-RACHNATMAK'!AF315)),"A",IF(NOT(ISBLANK('A-RACHNATMAK'!AF314)),"B",IF(NOT(ISBLANK('A-RACHNATMAK'!AF313)),"C","")))</f>
        <v/>
      </c>
      <c r="AD294" s="622" t="str">
        <f>IF(NOT(ISBLANK('A-RACHNATMAK'!AG315)),"A",IF(NOT(ISBLANK('A-RACHNATMAK'!AG314)),"B",IF(NOT(ISBLANK('A-RACHNATMAK'!AG313)),"C","")))</f>
        <v/>
      </c>
      <c r="AE294" s="622" t="str">
        <f>IF(NOT(ISBLANK('A-RACHNATMAK'!AH315)),"A",IF(NOT(ISBLANK('A-RACHNATMAK'!AH314)),"B",IF(NOT(ISBLANK('A-RACHNATMAK'!AH313)),"C","")))</f>
        <v/>
      </c>
      <c r="AF294" s="622" t="str">
        <f>IF(NOT(ISBLANK('A-RACHNATMAK'!AI315)),"A",IF(NOT(ISBLANK('A-RACHNATMAK'!AI314)),"B",IF(NOT(ISBLANK('A-RACHNATMAK'!AI313)),"C","")))</f>
        <v/>
      </c>
      <c r="AG294" s="622" t="str">
        <f>IF(NOT(ISBLANK('A-RACHNATMAK'!AJ315)),"A",IF(NOT(ISBLANK('A-RACHNATMAK'!AJ314)),"B",IF(NOT(ISBLANK('A-RACHNATMAK'!AJ313)),"C","")))</f>
        <v/>
      </c>
      <c r="AH294" s="622" t="str">
        <f>IF(NOT(ISBLANK('A-RACHNATMAK'!AK315)),"A",IF(NOT(ISBLANK('A-RACHNATMAK'!AK314)),"B",IF(NOT(ISBLANK('A-RACHNATMAK'!AK313)),"C","")))</f>
        <v/>
      </c>
      <c r="AI294" s="622" t="str">
        <f>IF(NOT(ISBLANK('A-RACHNATMAK'!AL315)),"A",IF(NOT(ISBLANK('A-RACHNATMAK'!AL314)),"B",IF(NOT(ISBLANK('A-RACHNATMAK'!AL313)),"C","")))</f>
        <v/>
      </c>
      <c r="AJ294" s="622" t="str">
        <f>IF(NOT(ISBLANK('A-RACHNATMAK'!AM315)),"A",IF(NOT(ISBLANK('A-RACHNATMAK'!AM314)),"B",IF(NOT(ISBLANK('A-RACHNATMAK'!AM313)),"C","")))</f>
        <v/>
      </c>
      <c r="AK294" s="622" t="str">
        <f>IF(NOT(ISBLANK('A-RACHNATMAK'!AN315)),"A",IF(NOT(ISBLANK('A-RACHNATMAK'!AN314)),"B",IF(NOT(ISBLANK('A-RACHNATMAK'!AN313)),"C","")))</f>
        <v/>
      </c>
      <c r="AL294" s="622" t="str">
        <f>IF(NOT(ISBLANK('A-RACHNATMAK'!AO315)),"A",IF(NOT(ISBLANK('A-RACHNATMAK'!AO314)),"B",IF(NOT(ISBLANK('A-RACHNATMAK'!AO313)),"C","")))</f>
        <v/>
      </c>
      <c r="AM294" s="622" t="str">
        <f>IF(NOT(ISBLANK('A-RACHNATMAK'!AP315)),"A",IF(NOT(ISBLANK('A-RACHNATMAK'!AP314)),"B",IF(NOT(ISBLANK('A-RACHNATMAK'!AP313)),"C","")))</f>
        <v/>
      </c>
      <c r="AN294" s="622" t="str">
        <f>IF(NOT(ISBLANK('A-RACHNATMAK'!AQ315)),"A",IF(NOT(ISBLANK('A-RACHNATMAK'!AQ314)),"B",IF(NOT(ISBLANK('A-RACHNATMAK'!AQ313)),"C","")))</f>
        <v/>
      </c>
      <c r="AO294" s="622" t="str">
        <f>IF(NOT(ISBLANK('A-RACHNATMAK'!AR315)),"A",IF(NOT(ISBLANK('A-RACHNATMAK'!AR314)),"B",IF(NOT(ISBLANK('A-RACHNATMAK'!AR313)),"C","")))</f>
        <v/>
      </c>
      <c r="AP294" s="622" t="str">
        <f>IF(NOT(ISBLANK('A-RACHNATMAK'!AS315)),"A",IF(NOT(ISBLANK('A-RACHNATMAK'!AS314)),"B",IF(NOT(ISBLANK('A-RACHNATMAK'!AS313)),"C","")))</f>
        <v/>
      </c>
      <c r="AQ294" s="622" t="str">
        <f>IF(NOT(ISBLANK('A-RACHNATMAK'!AT315)),"A",IF(NOT(ISBLANK('A-RACHNATMAK'!AT314)),"B",IF(NOT(ISBLANK('A-RACHNATMAK'!AT313)),"C","")))</f>
        <v/>
      </c>
      <c r="AR294" s="622" t="str">
        <f>IF(NOT(ISBLANK('A-RACHNATMAK'!AU315)),"A",IF(NOT(ISBLANK('A-RACHNATMAK'!AU314)),"B",IF(NOT(ISBLANK('A-RACHNATMAK'!AU313)),"C","")))</f>
        <v/>
      </c>
      <c r="AS294" s="622" t="str">
        <f>IF(NOT(ISBLANK('A-RACHNATMAK'!AV315)),"A",IF(NOT(ISBLANK('A-RACHNATMAK'!AV314)),"B",IF(NOT(ISBLANK('A-RACHNATMAK'!AV313)),"C","")))</f>
        <v/>
      </c>
      <c r="AT294" s="622" t="str">
        <f>IF(NOT(ISBLANK('A-RACHNATMAK'!AW315)),"A",IF(NOT(ISBLANK('A-RACHNATMAK'!AW314)),"B",IF(NOT(ISBLANK('A-RACHNATMAK'!AW313)),"C","")))</f>
        <v/>
      </c>
      <c r="AU294" s="622">
        <f t="shared" ref="AU294" si="561">COUNTIF(AA294:AT294,"A")</f>
        <v>0</v>
      </c>
      <c r="AV294" s="622">
        <f t="shared" ref="AV294" si="562">COUNTIF(AA294:AT294,"B")</f>
        <v>0</v>
      </c>
      <c r="AW294" s="622">
        <f t="shared" ref="AW294" si="563">COUNTIF(AA294:AT294,"C")</f>
        <v>0</v>
      </c>
    </row>
    <row r="295" spans="1:49" ht="7.5" customHeight="1">
      <c r="A295" s="623"/>
      <c r="B295" s="622"/>
      <c r="C295" s="622"/>
      <c r="D295" s="622"/>
      <c r="E295" s="622"/>
      <c r="F295" s="622"/>
      <c r="G295" s="622"/>
      <c r="H295" s="622"/>
      <c r="I295" s="622"/>
      <c r="J295" s="622"/>
      <c r="K295" s="622"/>
      <c r="L295" s="622"/>
      <c r="M295" s="622"/>
      <c r="N295" s="622"/>
      <c r="O295" s="622"/>
      <c r="P295" s="622"/>
      <c r="Q295" s="622"/>
      <c r="R295" s="622"/>
      <c r="S295" s="622"/>
      <c r="T295" s="622"/>
      <c r="U295" s="622"/>
      <c r="V295" s="622"/>
      <c r="W295" s="622"/>
      <c r="X295" s="622"/>
      <c r="Y295" s="330"/>
      <c r="Z295" s="623"/>
      <c r="AA295" s="622"/>
      <c r="AB295" s="622"/>
      <c r="AC295" s="622"/>
      <c r="AD295" s="622"/>
      <c r="AE295" s="622"/>
      <c r="AF295" s="622"/>
      <c r="AG295" s="622"/>
      <c r="AH295" s="622"/>
      <c r="AI295" s="622"/>
      <c r="AJ295" s="622"/>
      <c r="AK295" s="622"/>
      <c r="AL295" s="622"/>
      <c r="AM295" s="622"/>
      <c r="AN295" s="622"/>
      <c r="AO295" s="622"/>
      <c r="AP295" s="622"/>
      <c r="AQ295" s="622"/>
      <c r="AR295" s="622"/>
      <c r="AS295" s="622"/>
      <c r="AT295" s="622"/>
      <c r="AU295" s="622"/>
      <c r="AV295" s="622"/>
      <c r="AW295" s="622"/>
    </row>
    <row r="296" spans="1:49" ht="7.5" customHeight="1">
      <c r="A296" s="623"/>
      <c r="B296" s="622"/>
      <c r="C296" s="622"/>
      <c r="D296" s="622"/>
      <c r="E296" s="622"/>
      <c r="F296" s="622"/>
      <c r="G296" s="622"/>
      <c r="H296" s="622"/>
      <c r="I296" s="622"/>
      <c r="J296" s="622"/>
      <c r="K296" s="622"/>
      <c r="L296" s="622"/>
      <c r="M296" s="622"/>
      <c r="N296" s="622"/>
      <c r="O296" s="622"/>
      <c r="P296" s="622"/>
      <c r="Q296" s="622"/>
      <c r="R296" s="622"/>
      <c r="S296" s="622"/>
      <c r="T296" s="622"/>
      <c r="U296" s="622"/>
      <c r="V296" s="622"/>
      <c r="W296" s="622"/>
      <c r="X296" s="622"/>
      <c r="Y296" s="330"/>
      <c r="Z296" s="623"/>
      <c r="AA296" s="622"/>
      <c r="AB296" s="622"/>
      <c r="AC296" s="622"/>
      <c r="AD296" s="622"/>
      <c r="AE296" s="622"/>
      <c r="AF296" s="622"/>
      <c r="AG296" s="622"/>
      <c r="AH296" s="622"/>
      <c r="AI296" s="622"/>
      <c r="AJ296" s="622"/>
      <c r="AK296" s="622"/>
      <c r="AL296" s="622"/>
      <c r="AM296" s="622"/>
      <c r="AN296" s="622"/>
      <c r="AO296" s="622"/>
      <c r="AP296" s="622"/>
      <c r="AQ296" s="622"/>
      <c r="AR296" s="622"/>
      <c r="AS296" s="622"/>
      <c r="AT296" s="622"/>
      <c r="AU296" s="622"/>
      <c r="AV296" s="622"/>
      <c r="AW296" s="622"/>
    </row>
    <row r="297" spans="1:49" ht="7.5" customHeight="1">
      <c r="A297" s="623">
        <v>28</v>
      </c>
      <c r="B297" s="622" t="str">
        <f>IF(NOT(ISBLANK('A-RACHNATMAK'!C318)),"A",IF(NOT(ISBLANK('A-RACHNATMAK'!C317)),"B",IF(NOT(ISBLANK('A-RACHNATMAK'!C316)),"C","")))</f>
        <v/>
      </c>
      <c r="C297" s="622" t="str">
        <f>IF(NOT(ISBLANK('A-RACHNATMAK'!D318)),"A",IF(NOT(ISBLANK('A-RACHNATMAK'!D317)),"B",IF(NOT(ISBLANK('A-RACHNATMAK'!D316)),"C","")))</f>
        <v/>
      </c>
      <c r="D297" s="622" t="str">
        <f>IF(NOT(ISBLANK('A-RACHNATMAK'!E318)),"A",IF(NOT(ISBLANK('A-RACHNATMAK'!E317)),"B",IF(NOT(ISBLANK('A-RACHNATMAK'!E316)),"C","")))</f>
        <v/>
      </c>
      <c r="E297" s="622" t="str">
        <f>IF(NOT(ISBLANK('A-RACHNATMAK'!F318)),"A",IF(NOT(ISBLANK('A-RACHNATMAK'!F317)),"B",IF(NOT(ISBLANK('A-RACHNATMAK'!F316)),"C","")))</f>
        <v/>
      </c>
      <c r="F297" s="622" t="str">
        <f>IF(NOT(ISBLANK('A-RACHNATMAK'!G318)),"A",IF(NOT(ISBLANK('A-RACHNATMAK'!G317)),"B",IF(NOT(ISBLANK('A-RACHNATMAK'!G316)),"C","")))</f>
        <v/>
      </c>
      <c r="G297" s="622" t="str">
        <f>IF(NOT(ISBLANK('A-RACHNATMAK'!H318)),"A",IF(NOT(ISBLANK('A-RACHNATMAK'!H317)),"B",IF(NOT(ISBLANK('A-RACHNATMAK'!H316)),"C","")))</f>
        <v/>
      </c>
      <c r="H297" s="622" t="str">
        <f>IF(NOT(ISBLANK('A-RACHNATMAK'!I318)),"A",IF(NOT(ISBLANK('A-RACHNATMAK'!I317)),"B",IF(NOT(ISBLANK('A-RACHNATMAK'!I316)),"C","")))</f>
        <v/>
      </c>
      <c r="I297" s="622" t="str">
        <f>IF(NOT(ISBLANK('A-RACHNATMAK'!J318)),"A",IF(NOT(ISBLANK('A-RACHNATMAK'!J317)),"B",IF(NOT(ISBLANK('A-RACHNATMAK'!J316)),"C","")))</f>
        <v/>
      </c>
      <c r="J297" s="622" t="str">
        <f>IF(NOT(ISBLANK('A-RACHNATMAK'!K318)),"A",IF(NOT(ISBLANK('A-RACHNATMAK'!K317)),"B",IF(NOT(ISBLANK('A-RACHNATMAK'!K316)),"C","")))</f>
        <v/>
      </c>
      <c r="K297" s="622" t="str">
        <f>IF(NOT(ISBLANK('A-RACHNATMAK'!L318)),"A",IF(NOT(ISBLANK('A-RACHNATMAK'!L317)),"B",IF(NOT(ISBLANK('A-RACHNATMAK'!L316)),"C","")))</f>
        <v/>
      </c>
      <c r="L297" s="622" t="str">
        <f>IF(NOT(ISBLANK('A-RACHNATMAK'!M318)),"A",IF(NOT(ISBLANK('A-RACHNATMAK'!M317)),"B",IF(NOT(ISBLANK('A-RACHNATMAK'!M316)),"C","")))</f>
        <v/>
      </c>
      <c r="M297" s="622" t="str">
        <f>IF(NOT(ISBLANK('A-RACHNATMAK'!N318)),"A",IF(NOT(ISBLANK('A-RACHNATMAK'!N317)),"B",IF(NOT(ISBLANK('A-RACHNATMAK'!N316)),"C","")))</f>
        <v/>
      </c>
      <c r="N297" s="622" t="str">
        <f>IF(NOT(ISBLANK('A-RACHNATMAK'!O318)),"A",IF(NOT(ISBLANK('A-RACHNATMAK'!O317)),"B",IF(NOT(ISBLANK('A-RACHNATMAK'!O316)),"C","")))</f>
        <v/>
      </c>
      <c r="O297" s="622" t="str">
        <f>IF(NOT(ISBLANK('A-RACHNATMAK'!P318)),"A",IF(NOT(ISBLANK('A-RACHNATMAK'!P317)),"B",IF(NOT(ISBLANK('A-RACHNATMAK'!P316)),"C","")))</f>
        <v/>
      </c>
      <c r="P297" s="622" t="str">
        <f>IF(NOT(ISBLANK('A-RACHNATMAK'!Q318)),"A",IF(NOT(ISBLANK('A-RACHNATMAK'!Q317)),"B",IF(NOT(ISBLANK('A-RACHNATMAK'!Q316)),"C","")))</f>
        <v/>
      </c>
      <c r="Q297" s="622" t="str">
        <f>IF(NOT(ISBLANK('A-RACHNATMAK'!R318)),"A",IF(NOT(ISBLANK('A-RACHNATMAK'!R317)),"B",IF(NOT(ISBLANK('A-RACHNATMAK'!R316)),"C","")))</f>
        <v/>
      </c>
      <c r="R297" s="622" t="str">
        <f>IF(NOT(ISBLANK('A-RACHNATMAK'!S318)),"A",IF(NOT(ISBLANK('A-RACHNATMAK'!S317)),"B",IF(NOT(ISBLANK('A-RACHNATMAK'!S316)),"C","")))</f>
        <v/>
      </c>
      <c r="S297" s="622" t="str">
        <f>IF(NOT(ISBLANK('A-RACHNATMAK'!T318)),"A",IF(NOT(ISBLANK('A-RACHNATMAK'!T317)),"B",IF(NOT(ISBLANK('A-RACHNATMAK'!T316)),"C","")))</f>
        <v/>
      </c>
      <c r="T297" s="622" t="str">
        <f>IF(NOT(ISBLANK('A-RACHNATMAK'!U318)),"A",IF(NOT(ISBLANK('A-RACHNATMAK'!U317)),"B",IF(NOT(ISBLANK('A-RACHNATMAK'!U316)),"C","")))</f>
        <v/>
      </c>
      <c r="U297" s="622" t="str">
        <f>IF(NOT(ISBLANK('A-RACHNATMAK'!V318)),"A",IF(NOT(ISBLANK('A-RACHNATMAK'!V317)),"B",IF(NOT(ISBLANK('A-RACHNATMAK'!V316)),"C","")))</f>
        <v/>
      </c>
      <c r="V297" s="622">
        <f t="shared" ref="V297" si="564">COUNTIF(B297:U297,"A")</f>
        <v>0</v>
      </c>
      <c r="W297" s="622">
        <f t="shared" ref="W297" si="565">COUNTIF(B297:U297,"B")</f>
        <v>0</v>
      </c>
      <c r="X297" s="622">
        <f t="shared" ref="X297" si="566">COUNTIF(B297:U297,"C")</f>
        <v>0</v>
      </c>
      <c r="Y297" s="330"/>
      <c r="Z297" s="623">
        <v>28</v>
      </c>
      <c r="AA297" s="622" t="str">
        <f>IF(NOT(ISBLANK('A-RACHNATMAK'!AD318)),"A",IF(NOT(ISBLANK('A-RACHNATMAK'!AD317)),"B",IF(NOT(ISBLANK('A-RACHNATMAK'!AD316)),"C","")))</f>
        <v/>
      </c>
      <c r="AB297" s="622" t="str">
        <f>IF(NOT(ISBLANK('A-RACHNATMAK'!AE318)),"A",IF(NOT(ISBLANK('A-RACHNATMAK'!AE317)),"B",IF(NOT(ISBLANK('A-RACHNATMAK'!AE316)),"C","")))</f>
        <v/>
      </c>
      <c r="AC297" s="622" t="str">
        <f>IF(NOT(ISBLANK('A-RACHNATMAK'!AF318)),"A",IF(NOT(ISBLANK('A-RACHNATMAK'!AF317)),"B",IF(NOT(ISBLANK('A-RACHNATMAK'!AF316)),"C","")))</f>
        <v/>
      </c>
      <c r="AD297" s="622" t="str">
        <f>IF(NOT(ISBLANK('A-RACHNATMAK'!AG318)),"A",IF(NOT(ISBLANK('A-RACHNATMAK'!AG317)),"B",IF(NOT(ISBLANK('A-RACHNATMAK'!AG316)),"C","")))</f>
        <v/>
      </c>
      <c r="AE297" s="622" t="str">
        <f>IF(NOT(ISBLANK('A-RACHNATMAK'!AH318)),"A",IF(NOT(ISBLANK('A-RACHNATMAK'!AH317)),"B",IF(NOT(ISBLANK('A-RACHNATMAK'!AH316)),"C","")))</f>
        <v/>
      </c>
      <c r="AF297" s="622" t="str">
        <f>IF(NOT(ISBLANK('A-RACHNATMAK'!AI318)),"A",IF(NOT(ISBLANK('A-RACHNATMAK'!AI317)),"B",IF(NOT(ISBLANK('A-RACHNATMAK'!AI316)),"C","")))</f>
        <v/>
      </c>
      <c r="AG297" s="622" t="str">
        <f>IF(NOT(ISBLANK('A-RACHNATMAK'!AJ318)),"A",IF(NOT(ISBLANK('A-RACHNATMAK'!AJ317)),"B",IF(NOT(ISBLANK('A-RACHNATMAK'!AJ316)),"C","")))</f>
        <v/>
      </c>
      <c r="AH297" s="622" t="str">
        <f>IF(NOT(ISBLANK('A-RACHNATMAK'!AK318)),"A",IF(NOT(ISBLANK('A-RACHNATMAK'!AK317)),"B",IF(NOT(ISBLANK('A-RACHNATMAK'!AK316)),"C","")))</f>
        <v/>
      </c>
      <c r="AI297" s="622" t="str">
        <f>IF(NOT(ISBLANK('A-RACHNATMAK'!AL318)),"A",IF(NOT(ISBLANK('A-RACHNATMAK'!AL317)),"B",IF(NOT(ISBLANK('A-RACHNATMAK'!AL316)),"C","")))</f>
        <v/>
      </c>
      <c r="AJ297" s="622" t="str">
        <f>IF(NOT(ISBLANK('A-RACHNATMAK'!AM318)),"A",IF(NOT(ISBLANK('A-RACHNATMAK'!AM317)),"B",IF(NOT(ISBLANK('A-RACHNATMAK'!AM316)),"C","")))</f>
        <v/>
      </c>
      <c r="AK297" s="622" t="str">
        <f>IF(NOT(ISBLANK('A-RACHNATMAK'!AN318)),"A",IF(NOT(ISBLANK('A-RACHNATMAK'!AN317)),"B",IF(NOT(ISBLANK('A-RACHNATMAK'!AN316)),"C","")))</f>
        <v/>
      </c>
      <c r="AL297" s="622" t="str">
        <f>IF(NOT(ISBLANK('A-RACHNATMAK'!AO318)),"A",IF(NOT(ISBLANK('A-RACHNATMAK'!AO317)),"B",IF(NOT(ISBLANK('A-RACHNATMAK'!AO316)),"C","")))</f>
        <v/>
      </c>
      <c r="AM297" s="622" t="str">
        <f>IF(NOT(ISBLANK('A-RACHNATMAK'!AP318)),"A",IF(NOT(ISBLANK('A-RACHNATMAK'!AP317)),"B",IF(NOT(ISBLANK('A-RACHNATMAK'!AP316)),"C","")))</f>
        <v/>
      </c>
      <c r="AN297" s="622" t="str">
        <f>IF(NOT(ISBLANK('A-RACHNATMAK'!AQ318)),"A",IF(NOT(ISBLANK('A-RACHNATMAK'!AQ317)),"B",IF(NOT(ISBLANK('A-RACHNATMAK'!AQ316)),"C","")))</f>
        <v/>
      </c>
      <c r="AO297" s="622" t="str">
        <f>IF(NOT(ISBLANK('A-RACHNATMAK'!AR318)),"A",IF(NOT(ISBLANK('A-RACHNATMAK'!AR317)),"B",IF(NOT(ISBLANK('A-RACHNATMAK'!AR316)),"C","")))</f>
        <v/>
      </c>
      <c r="AP297" s="622" t="str">
        <f>IF(NOT(ISBLANK('A-RACHNATMAK'!AS318)),"A",IF(NOT(ISBLANK('A-RACHNATMAK'!AS317)),"B",IF(NOT(ISBLANK('A-RACHNATMAK'!AS316)),"C","")))</f>
        <v/>
      </c>
      <c r="AQ297" s="622" t="str">
        <f>IF(NOT(ISBLANK('A-RACHNATMAK'!AT318)),"A",IF(NOT(ISBLANK('A-RACHNATMAK'!AT317)),"B",IF(NOT(ISBLANK('A-RACHNATMAK'!AT316)),"C","")))</f>
        <v/>
      </c>
      <c r="AR297" s="622" t="str">
        <f>IF(NOT(ISBLANK('A-RACHNATMAK'!AU318)),"A",IF(NOT(ISBLANK('A-RACHNATMAK'!AU317)),"B",IF(NOT(ISBLANK('A-RACHNATMAK'!AU316)),"C","")))</f>
        <v/>
      </c>
      <c r="AS297" s="622" t="str">
        <f>IF(NOT(ISBLANK('A-RACHNATMAK'!AV318)),"A",IF(NOT(ISBLANK('A-RACHNATMAK'!AV317)),"B",IF(NOT(ISBLANK('A-RACHNATMAK'!AV316)),"C","")))</f>
        <v/>
      </c>
      <c r="AT297" s="622" t="str">
        <f>IF(NOT(ISBLANK('A-RACHNATMAK'!AW318)),"A",IF(NOT(ISBLANK('A-RACHNATMAK'!AW317)),"B",IF(NOT(ISBLANK('A-RACHNATMAK'!AW316)),"C","")))</f>
        <v/>
      </c>
      <c r="AU297" s="622">
        <f t="shared" ref="AU297" si="567">COUNTIF(AA297:AT297,"A")</f>
        <v>0</v>
      </c>
      <c r="AV297" s="622">
        <f t="shared" ref="AV297" si="568">COUNTIF(AA297:AT297,"B")</f>
        <v>0</v>
      </c>
      <c r="AW297" s="622">
        <f t="shared" ref="AW297" si="569">COUNTIF(AA297:AT297,"C")</f>
        <v>0</v>
      </c>
    </row>
    <row r="298" spans="1:49" ht="7.5" customHeight="1">
      <c r="A298" s="623"/>
      <c r="B298" s="622"/>
      <c r="C298" s="622"/>
      <c r="D298" s="622"/>
      <c r="E298" s="622"/>
      <c r="F298" s="622"/>
      <c r="G298" s="622"/>
      <c r="H298" s="622"/>
      <c r="I298" s="622"/>
      <c r="J298" s="622"/>
      <c r="K298" s="622"/>
      <c r="L298" s="622"/>
      <c r="M298" s="622"/>
      <c r="N298" s="622"/>
      <c r="O298" s="622"/>
      <c r="P298" s="622"/>
      <c r="Q298" s="622"/>
      <c r="R298" s="622"/>
      <c r="S298" s="622"/>
      <c r="T298" s="622"/>
      <c r="U298" s="622"/>
      <c r="V298" s="622"/>
      <c r="W298" s="622"/>
      <c r="X298" s="622"/>
      <c r="Y298" s="330"/>
      <c r="Z298" s="623"/>
      <c r="AA298" s="622"/>
      <c r="AB298" s="622"/>
      <c r="AC298" s="622"/>
      <c r="AD298" s="622"/>
      <c r="AE298" s="622"/>
      <c r="AF298" s="622"/>
      <c r="AG298" s="622"/>
      <c r="AH298" s="622"/>
      <c r="AI298" s="622"/>
      <c r="AJ298" s="622"/>
      <c r="AK298" s="622"/>
      <c r="AL298" s="622"/>
      <c r="AM298" s="622"/>
      <c r="AN298" s="622"/>
      <c r="AO298" s="622"/>
      <c r="AP298" s="622"/>
      <c r="AQ298" s="622"/>
      <c r="AR298" s="622"/>
      <c r="AS298" s="622"/>
      <c r="AT298" s="622"/>
      <c r="AU298" s="622"/>
      <c r="AV298" s="622"/>
      <c r="AW298" s="622"/>
    </row>
    <row r="299" spans="1:49" ht="7.5" customHeight="1">
      <c r="A299" s="623"/>
      <c r="B299" s="622"/>
      <c r="C299" s="622"/>
      <c r="D299" s="622"/>
      <c r="E299" s="622"/>
      <c r="F299" s="622"/>
      <c r="G299" s="622"/>
      <c r="H299" s="622"/>
      <c r="I299" s="622"/>
      <c r="J299" s="622"/>
      <c r="K299" s="622"/>
      <c r="L299" s="622"/>
      <c r="M299" s="622"/>
      <c r="N299" s="622"/>
      <c r="O299" s="622"/>
      <c r="P299" s="622"/>
      <c r="Q299" s="622"/>
      <c r="R299" s="622"/>
      <c r="S299" s="622"/>
      <c r="T299" s="622"/>
      <c r="U299" s="622"/>
      <c r="V299" s="622"/>
      <c r="W299" s="622"/>
      <c r="X299" s="622"/>
      <c r="Y299" s="330"/>
      <c r="Z299" s="623"/>
      <c r="AA299" s="622"/>
      <c r="AB299" s="622"/>
      <c r="AC299" s="622"/>
      <c r="AD299" s="622"/>
      <c r="AE299" s="622"/>
      <c r="AF299" s="622"/>
      <c r="AG299" s="622"/>
      <c r="AH299" s="622"/>
      <c r="AI299" s="622"/>
      <c r="AJ299" s="622"/>
      <c r="AK299" s="622"/>
      <c r="AL299" s="622"/>
      <c r="AM299" s="622"/>
      <c r="AN299" s="622"/>
      <c r="AO299" s="622"/>
      <c r="AP299" s="622"/>
      <c r="AQ299" s="622"/>
      <c r="AR299" s="622"/>
      <c r="AS299" s="622"/>
      <c r="AT299" s="622"/>
      <c r="AU299" s="622"/>
      <c r="AV299" s="622"/>
      <c r="AW299" s="622"/>
    </row>
    <row r="300" spans="1:49" ht="7.5" customHeight="1">
      <c r="A300" s="623">
        <v>29</v>
      </c>
      <c r="B300" s="622" t="str">
        <f>IF(NOT(ISBLANK('A-RACHNATMAK'!C321)),"A",IF(NOT(ISBLANK('A-RACHNATMAK'!C320)),"B",IF(NOT(ISBLANK('A-RACHNATMAK'!C319)),"C","")))</f>
        <v/>
      </c>
      <c r="C300" s="622" t="str">
        <f>IF(NOT(ISBLANK('A-RACHNATMAK'!D321)),"A",IF(NOT(ISBLANK('A-RACHNATMAK'!D320)),"B",IF(NOT(ISBLANK('A-RACHNATMAK'!D319)),"C","")))</f>
        <v/>
      </c>
      <c r="D300" s="622" t="str">
        <f>IF(NOT(ISBLANK('A-RACHNATMAK'!E321)),"A",IF(NOT(ISBLANK('A-RACHNATMAK'!E320)),"B",IF(NOT(ISBLANK('A-RACHNATMAK'!E319)),"C","")))</f>
        <v/>
      </c>
      <c r="E300" s="622" t="str">
        <f>IF(NOT(ISBLANK('A-RACHNATMAK'!F321)),"A",IF(NOT(ISBLANK('A-RACHNATMAK'!F320)),"B",IF(NOT(ISBLANK('A-RACHNATMAK'!F319)),"C","")))</f>
        <v/>
      </c>
      <c r="F300" s="622" t="str">
        <f>IF(NOT(ISBLANK('A-RACHNATMAK'!G321)),"A",IF(NOT(ISBLANK('A-RACHNATMAK'!G320)),"B",IF(NOT(ISBLANK('A-RACHNATMAK'!G319)),"C","")))</f>
        <v/>
      </c>
      <c r="G300" s="622" t="str">
        <f>IF(NOT(ISBLANK('A-RACHNATMAK'!H321)),"A",IF(NOT(ISBLANK('A-RACHNATMAK'!H320)),"B",IF(NOT(ISBLANK('A-RACHNATMAK'!H319)),"C","")))</f>
        <v/>
      </c>
      <c r="H300" s="622" t="str">
        <f>IF(NOT(ISBLANK('A-RACHNATMAK'!I321)),"A",IF(NOT(ISBLANK('A-RACHNATMAK'!I320)),"B",IF(NOT(ISBLANK('A-RACHNATMAK'!I319)),"C","")))</f>
        <v/>
      </c>
      <c r="I300" s="622" t="str">
        <f>IF(NOT(ISBLANK('A-RACHNATMAK'!J321)),"A",IF(NOT(ISBLANK('A-RACHNATMAK'!J320)),"B",IF(NOT(ISBLANK('A-RACHNATMAK'!J319)),"C","")))</f>
        <v/>
      </c>
      <c r="J300" s="622" t="str">
        <f>IF(NOT(ISBLANK('A-RACHNATMAK'!K321)),"A",IF(NOT(ISBLANK('A-RACHNATMAK'!K320)),"B",IF(NOT(ISBLANK('A-RACHNATMAK'!K319)),"C","")))</f>
        <v/>
      </c>
      <c r="K300" s="622" t="str">
        <f>IF(NOT(ISBLANK('A-RACHNATMAK'!L321)),"A",IF(NOT(ISBLANK('A-RACHNATMAK'!L320)),"B",IF(NOT(ISBLANK('A-RACHNATMAK'!L319)),"C","")))</f>
        <v/>
      </c>
      <c r="L300" s="622" t="str">
        <f>IF(NOT(ISBLANK('A-RACHNATMAK'!M321)),"A",IF(NOT(ISBLANK('A-RACHNATMAK'!M320)),"B",IF(NOT(ISBLANK('A-RACHNATMAK'!M319)),"C","")))</f>
        <v/>
      </c>
      <c r="M300" s="622" t="str">
        <f>IF(NOT(ISBLANK('A-RACHNATMAK'!N321)),"A",IF(NOT(ISBLANK('A-RACHNATMAK'!N320)),"B",IF(NOT(ISBLANK('A-RACHNATMAK'!N319)),"C","")))</f>
        <v/>
      </c>
      <c r="N300" s="622" t="str">
        <f>IF(NOT(ISBLANK('A-RACHNATMAK'!O321)),"A",IF(NOT(ISBLANK('A-RACHNATMAK'!O320)),"B",IF(NOT(ISBLANK('A-RACHNATMAK'!O319)),"C","")))</f>
        <v/>
      </c>
      <c r="O300" s="622" t="str">
        <f>IF(NOT(ISBLANK('A-RACHNATMAK'!P321)),"A",IF(NOT(ISBLANK('A-RACHNATMAK'!P320)),"B",IF(NOT(ISBLANK('A-RACHNATMAK'!P319)),"C","")))</f>
        <v/>
      </c>
      <c r="P300" s="622" t="str">
        <f>IF(NOT(ISBLANK('A-RACHNATMAK'!Q321)),"A",IF(NOT(ISBLANK('A-RACHNATMAK'!Q320)),"B",IF(NOT(ISBLANK('A-RACHNATMAK'!Q319)),"C","")))</f>
        <v/>
      </c>
      <c r="Q300" s="622" t="str">
        <f>IF(NOT(ISBLANK('A-RACHNATMAK'!R321)),"A",IF(NOT(ISBLANK('A-RACHNATMAK'!R320)),"B",IF(NOT(ISBLANK('A-RACHNATMAK'!R319)),"C","")))</f>
        <v/>
      </c>
      <c r="R300" s="622" t="str">
        <f>IF(NOT(ISBLANK('A-RACHNATMAK'!S321)),"A",IF(NOT(ISBLANK('A-RACHNATMAK'!S320)),"B",IF(NOT(ISBLANK('A-RACHNATMAK'!S319)),"C","")))</f>
        <v/>
      </c>
      <c r="S300" s="622" t="str">
        <f>IF(NOT(ISBLANK('A-RACHNATMAK'!T321)),"A",IF(NOT(ISBLANK('A-RACHNATMAK'!T320)),"B",IF(NOT(ISBLANK('A-RACHNATMAK'!T319)),"C","")))</f>
        <v/>
      </c>
      <c r="T300" s="622" t="str">
        <f>IF(NOT(ISBLANK('A-RACHNATMAK'!U321)),"A",IF(NOT(ISBLANK('A-RACHNATMAK'!U320)),"B",IF(NOT(ISBLANK('A-RACHNATMAK'!U319)),"C","")))</f>
        <v/>
      </c>
      <c r="U300" s="622" t="str">
        <f>IF(NOT(ISBLANK('A-RACHNATMAK'!V321)),"A",IF(NOT(ISBLANK('A-RACHNATMAK'!V320)),"B",IF(NOT(ISBLANK('A-RACHNATMAK'!V319)),"C","")))</f>
        <v/>
      </c>
      <c r="V300" s="622">
        <f t="shared" ref="V300" si="570">COUNTIF(B300:U300,"A")</f>
        <v>0</v>
      </c>
      <c r="W300" s="622">
        <f t="shared" ref="W300" si="571">COUNTIF(B300:U300,"B")</f>
        <v>0</v>
      </c>
      <c r="X300" s="622">
        <f t="shared" ref="X300" si="572">COUNTIF(B300:U300,"C")</f>
        <v>0</v>
      </c>
      <c r="Y300" s="330"/>
      <c r="Z300" s="623">
        <v>29</v>
      </c>
      <c r="AA300" s="622" t="str">
        <f>IF(NOT(ISBLANK('A-RACHNATMAK'!AD321)),"A",IF(NOT(ISBLANK('A-RACHNATMAK'!AD320)),"B",IF(NOT(ISBLANK('A-RACHNATMAK'!AD319)),"C","")))</f>
        <v/>
      </c>
      <c r="AB300" s="622" t="str">
        <f>IF(NOT(ISBLANK('A-RACHNATMAK'!AE321)),"A",IF(NOT(ISBLANK('A-RACHNATMAK'!AE320)),"B",IF(NOT(ISBLANK('A-RACHNATMAK'!AE319)),"C","")))</f>
        <v/>
      </c>
      <c r="AC300" s="622" t="str">
        <f>IF(NOT(ISBLANK('A-RACHNATMAK'!AF321)),"A",IF(NOT(ISBLANK('A-RACHNATMAK'!AF320)),"B",IF(NOT(ISBLANK('A-RACHNATMAK'!AF319)),"C","")))</f>
        <v/>
      </c>
      <c r="AD300" s="622" t="str">
        <f>IF(NOT(ISBLANK('A-RACHNATMAK'!AG321)),"A",IF(NOT(ISBLANK('A-RACHNATMAK'!AG320)),"B",IF(NOT(ISBLANK('A-RACHNATMAK'!AG319)),"C","")))</f>
        <v/>
      </c>
      <c r="AE300" s="622" t="str">
        <f>IF(NOT(ISBLANK('A-RACHNATMAK'!AH321)),"A",IF(NOT(ISBLANK('A-RACHNATMAK'!AH320)),"B",IF(NOT(ISBLANK('A-RACHNATMAK'!AH319)),"C","")))</f>
        <v/>
      </c>
      <c r="AF300" s="622" t="str">
        <f>IF(NOT(ISBLANK('A-RACHNATMAK'!AI321)),"A",IF(NOT(ISBLANK('A-RACHNATMAK'!AI320)),"B",IF(NOT(ISBLANK('A-RACHNATMAK'!AI319)),"C","")))</f>
        <v/>
      </c>
      <c r="AG300" s="622" t="str">
        <f>IF(NOT(ISBLANK('A-RACHNATMAK'!AJ321)),"A",IF(NOT(ISBLANK('A-RACHNATMAK'!AJ320)),"B",IF(NOT(ISBLANK('A-RACHNATMAK'!AJ319)),"C","")))</f>
        <v/>
      </c>
      <c r="AH300" s="622" t="str">
        <f>IF(NOT(ISBLANK('A-RACHNATMAK'!AK321)),"A",IF(NOT(ISBLANK('A-RACHNATMAK'!AK320)),"B",IF(NOT(ISBLANK('A-RACHNATMAK'!AK319)),"C","")))</f>
        <v/>
      </c>
      <c r="AI300" s="622" t="str">
        <f>IF(NOT(ISBLANK('A-RACHNATMAK'!AL321)),"A",IF(NOT(ISBLANK('A-RACHNATMAK'!AL320)),"B",IF(NOT(ISBLANK('A-RACHNATMAK'!AL319)),"C","")))</f>
        <v/>
      </c>
      <c r="AJ300" s="622" t="str">
        <f>IF(NOT(ISBLANK('A-RACHNATMAK'!AM321)),"A",IF(NOT(ISBLANK('A-RACHNATMAK'!AM320)),"B",IF(NOT(ISBLANK('A-RACHNATMAK'!AM319)),"C","")))</f>
        <v/>
      </c>
      <c r="AK300" s="622" t="str">
        <f>IF(NOT(ISBLANK('A-RACHNATMAK'!AN321)),"A",IF(NOT(ISBLANK('A-RACHNATMAK'!AN320)),"B",IF(NOT(ISBLANK('A-RACHNATMAK'!AN319)),"C","")))</f>
        <v/>
      </c>
      <c r="AL300" s="622" t="str">
        <f>IF(NOT(ISBLANK('A-RACHNATMAK'!AO321)),"A",IF(NOT(ISBLANK('A-RACHNATMAK'!AO320)),"B",IF(NOT(ISBLANK('A-RACHNATMAK'!AO319)),"C","")))</f>
        <v/>
      </c>
      <c r="AM300" s="622" t="str">
        <f>IF(NOT(ISBLANK('A-RACHNATMAK'!AP321)),"A",IF(NOT(ISBLANK('A-RACHNATMAK'!AP320)),"B",IF(NOT(ISBLANK('A-RACHNATMAK'!AP319)),"C","")))</f>
        <v/>
      </c>
      <c r="AN300" s="622" t="str">
        <f>IF(NOT(ISBLANK('A-RACHNATMAK'!AQ321)),"A",IF(NOT(ISBLANK('A-RACHNATMAK'!AQ320)),"B",IF(NOT(ISBLANK('A-RACHNATMAK'!AQ319)),"C","")))</f>
        <v/>
      </c>
      <c r="AO300" s="622" t="str">
        <f>IF(NOT(ISBLANK('A-RACHNATMAK'!AR321)),"A",IF(NOT(ISBLANK('A-RACHNATMAK'!AR320)),"B",IF(NOT(ISBLANK('A-RACHNATMAK'!AR319)),"C","")))</f>
        <v/>
      </c>
      <c r="AP300" s="622" t="str">
        <f>IF(NOT(ISBLANK('A-RACHNATMAK'!AS321)),"A",IF(NOT(ISBLANK('A-RACHNATMAK'!AS320)),"B",IF(NOT(ISBLANK('A-RACHNATMAK'!AS319)),"C","")))</f>
        <v/>
      </c>
      <c r="AQ300" s="622" t="str">
        <f>IF(NOT(ISBLANK('A-RACHNATMAK'!AT321)),"A",IF(NOT(ISBLANK('A-RACHNATMAK'!AT320)),"B",IF(NOT(ISBLANK('A-RACHNATMAK'!AT319)),"C","")))</f>
        <v/>
      </c>
      <c r="AR300" s="622" t="str">
        <f>IF(NOT(ISBLANK('A-RACHNATMAK'!AU321)),"A",IF(NOT(ISBLANK('A-RACHNATMAK'!AU320)),"B",IF(NOT(ISBLANK('A-RACHNATMAK'!AU319)),"C","")))</f>
        <v/>
      </c>
      <c r="AS300" s="622" t="str">
        <f>IF(NOT(ISBLANK('A-RACHNATMAK'!AV321)),"A",IF(NOT(ISBLANK('A-RACHNATMAK'!AV320)),"B",IF(NOT(ISBLANK('A-RACHNATMAK'!AV319)),"C","")))</f>
        <v/>
      </c>
      <c r="AT300" s="622" t="str">
        <f>IF(NOT(ISBLANK('A-RACHNATMAK'!AW321)),"A",IF(NOT(ISBLANK('A-RACHNATMAK'!AW320)),"B",IF(NOT(ISBLANK('A-RACHNATMAK'!AW319)),"C","")))</f>
        <v/>
      </c>
      <c r="AU300" s="622">
        <f t="shared" ref="AU300" si="573">COUNTIF(AA300:AT300,"A")</f>
        <v>0</v>
      </c>
      <c r="AV300" s="622">
        <f t="shared" ref="AV300" si="574">COUNTIF(AA300:AT300,"B")</f>
        <v>0</v>
      </c>
      <c r="AW300" s="622">
        <f t="shared" ref="AW300" si="575">COUNTIF(AA300:AT300,"C")</f>
        <v>0</v>
      </c>
    </row>
    <row r="301" spans="1:49" ht="7.5" customHeight="1">
      <c r="A301" s="623"/>
      <c r="B301" s="622"/>
      <c r="C301" s="622"/>
      <c r="D301" s="622"/>
      <c r="E301" s="622"/>
      <c r="F301" s="622"/>
      <c r="G301" s="622"/>
      <c r="H301" s="622"/>
      <c r="I301" s="622"/>
      <c r="J301" s="622"/>
      <c r="K301" s="622"/>
      <c r="L301" s="622"/>
      <c r="M301" s="622"/>
      <c r="N301" s="622"/>
      <c r="O301" s="622"/>
      <c r="P301" s="622"/>
      <c r="Q301" s="622"/>
      <c r="R301" s="622"/>
      <c r="S301" s="622"/>
      <c r="T301" s="622"/>
      <c r="U301" s="622"/>
      <c r="V301" s="622"/>
      <c r="W301" s="622"/>
      <c r="X301" s="622"/>
      <c r="Y301" s="330"/>
      <c r="Z301" s="623"/>
      <c r="AA301" s="622"/>
      <c r="AB301" s="622"/>
      <c r="AC301" s="622"/>
      <c r="AD301" s="622"/>
      <c r="AE301" s="622"/>
      <c r="AF301" s="622"/>
      <c r="AG301" s="622"/>
      <c r="AH301" s="622"/>
      <c r="AI301" s="622"/>
      <c r="AJ301" s="622"/>
      <c r="AK301" s="622"/>
      <c r="AL301" s="622"/>
      <c r="AM301" s="622"/>
      <c r="AN301" s="622"/>
      <c r="AO301" s="622"/>
      <c r="AP301" s="622"/>
      <c r="AQ301" s="622"/>
      <c r="AR301" s="622"/>
      <c r="AS301" s="622"/>
      <c r="AT301" s="622"/>
      <c r="AU301" s="622"/>
      <c r="AV301" s="622"/>
      <c r="AW301" s="622"/>
    </row>
    <row r="302" spans="1:49" ht="7.5" customHeight="1">
      <c r="A302" s="623"/>
      <c r="B302" s="622"/>
      <c r="C302" s="622"/>
      <c r="D302" s="622"/>
      <c r="E302" s="622"/>
      <c r="F302" s="622"/>
      <c r="G302" s="622"/>
      <c r="H302" s="622"/>
      <c r="I302" s="622"/>
      <c r="J302" s="622"/>
      <c r="K302" s="622"/>
      <c r="L302" s="622"/>
      <c r="M302" s="622"/>
      <c r="N302" s="622"/>
      <c r="O302" s="622"/>
      <c r="P302" s="622"/>
      <c r="Q302" s="622"/>
      <c r="R302" s="622"/>
      <c r="S302" s="622"/>
      <c r="T302" s="622"/>
      <c r="U302" s="622"/>
      <c r="V302" s="622"/>
      <c r="W302" s="622"/>
      <c r="X302" s="622"/>
      <c r="Y302" s="330"/>
      <c r="Z302" s="623"/>
      <c r="AA302" s="622"/>
      <c r="AB302" s="622"/>
      <c r="AC302" s="622"/>
      <c r="AD302" s="622"/>
      <c r="AE302" s="622"/>
      <c r="AF302" s="622"/>
      <c r="AG302" s="622"/>
      <c r="AH302" s="622"/>
      <c r="AI302" s="622"/>
      <c r="AJ302" s="622"/>
      <c r="AK302" s="622"/>
      <c r="AL302" s="622"/>
      <c r="AM302" s="622"/>
      <c r="AN302" s="622"/>
      <c r="AO302" s="622"/>
      <c r="AP302" s="622"/>
      <c r="AQ302" s="622"/>
      <c r="AR302" s="622"/>
      <c r="AS302" s="622"/>
      <c r="AT302" s="622"/>
      <c r="AU302" s="622"/>
      <c r="AV302" s="622"/>
      <c r="AW302" s="622"/>
    </row>
    <row r="303" spans="1:49" ht="7.5" customHeight="1">
      <c r="A303" s="623">
        <v>30</v>
      </c>
      <c r="B303" s="622" t="str">
        <f>IF(NOT(ISBLANK('A-RACHNATMAK'!C324)),"A",IF(NOT(ISBLANK('A-RACHNATMAK'!C323)),"B",IF(NOT(ISBLANK('A-RACHNATMAK'!C322)),"C","")))</f>
        <v/>
      </c>
      <c r="C303" s="622" t="str">
        <f>IF(NOT(ISBLANK('A-RACHNATMAK'!D324)),"A",IF(NOT(ISBLANK('A-RACHNATMAK'!D323)),"B",IF(NOT(ISBLANK('A-RACHNATMAK'!D322)),"C","")))</f>
        <v/>
      </c>
      <c r="D303" s="622" t="str">
        <f>IF(NOT(ISBLANK('A-RACHNATMAK'!E324)),"A",IF(NOT(ISBLANK('A-RACHNATMAK'!E323)),"B",IF(NOT(ISBLANK('A-RACHNATMAK'!E322)),"C","")))</f>
        <v/>
      </c>
      <c r="E303" s="622" t="str">
        <f>IF(NOT(ISBLANK('A-RACHNATMAK'!F324)),"A",IF(NOT(ISBLANK('A-RACHNATMAK'!F323)),"B",IF(NOT(ISBLANK('A-RACHNATMAK'!F322)),"C","")))</f>
        <v/>
      </c>
      <c r="F303" s="622" t="str">
        <f>IF(NOT(ISBLANK('A-RACHNATMAK'!G324)),"A",IF(NOT(ISBLANK('A-RACHNATMAK'!G323)),"B",IF(NOT(ISBLANK('A-RACHNATMAK'!G322)),"C","")))</f>
        <v/>
      </c>
      <c r="G303" s="622" t="str">
        <f>IF(NOT(ISBLANK('A-RACHNATMAK'!H324)),"A",IF(NOT(ISBLANK('A-RACHNATMAK'!H323)),"B",IF(NOT(ISBLANK('A-RACHNATMAK'!H322)),"C","")))</f>
        <v/>
      </c>
      <c r="H303" s="622" t="str">
        <f>IF(NOT(ISBLANK('A-RACHNATMAK'!I324)),"A",IF(NOT(ISBLANK('A-RACHNATMAK'!I323)),"B",IF(NOT(ISBLANK('A-RACHNATMAK'!I322)),"C","")))</f>
        <v/>
      </c>
      <c r="I303" s="622" t="str">
        <f>IF(NOT(ISBLANK('A-RACHNATMAK'!J324)),"A",IF(NOT(ISBLANK('A-RACHNATMAK'!J323)),"B",IF(NOT(ISBLANK('A-RACHNATMAK'!J322)),"C","")))</f>
        <v/>
      </c>
      <c r="J303" s="622" t="str">
        <f>IF(NOT(ISBLANK('A-RACHNATMAK'!K324)),"A",IF(NOT(ISBLANK('A-RACHNATMAK'!K323)),"B",IF(NOT(ISBLANK('A-RACHNATMAK'!K322)),"C","")))</f>
        <v/>
      </c>
      <c r="K303" s="622" t="str">
        <f>IF(NOT(ISBLANK('A-RACHNATMAK'!L324)),"A",IF(NOT(ISBLANK('A-RACHNATMAK'!L323)),"B",IF(NOT(ISBLANK('A-RACHNATMAK'!L322)),"C","")))</f>
        <v/>
      </c>
      <c r="L303" s="622" t="str">
        <f>IF(NOT(ISBLANK('A-RACHNATMAK'!M324)),"A",IF(NOT(ISBLANK('A-RACHNATMAK'!M323)),"B",IF(NOT(ISBLANK('A-RACHNATMAK'!M322)),"C","")))</f>
        <v/>
      </c>
      <c r="M303" s="622" t="str">
        <f>IF(NOT(ISBLANK('A-RACHNATMAK'!N324)),"A",IF(NOT(ISBLANK('A-RACHNATMAK'!N323)),"B",IF(NOT(ISBLANK('A-RACHNATMAK'!N322)),"C","")))</f>
        <v/>
      </c>
      <c r="N303" s="622" t="str">
        <f>IF(NOT(ISBLANK('A-RACHNATMAK'!O324)),"A",IF(NOT(ISBLANK('A-RACHNATMAK'!O323)),"B",IF(NOT(ISBLANK('A-RACHNATMAK'!O322)),"C","")))</f>
        <v/>
      </c>
      <c r="O303" s="622" t="str">
        <f>IF(NOT(ISBLANK('A-RACHNATMAK'!P324)),"A",IF(NOT(ISBLANK('A-RACHNATMAK'!P323)),"B",IF(NOT(ISBLANK('A-RACHNATMAK'!P322)),"C","")))</f>
        <v/>
      </c>
      <c r="P303" s="622" t="str">
        <f>IF(NOT(ISBLANK('A-RACHNATMAK'!Q324)),"A",IF(NOT(ISBLANK('A-RACHNATMAK'!Q323)),"B",IF(NOT(ISBLANK('A-RACHNATMAK'!Q322)),"C","")))</f>
        <v/>
      </c>
      <c r="Q303" s="622" t="str">
        <f>IF(NOT(ISBLANK('A-RACHNATMAK'!R324)),"A",IF(NOT(ISBLANK('A-RACHNATMAK'!R323)),"B",IF(NOT(ISBLANK('A-RACHNATMAK'!R322)),"C","")))</f>
        <v/>
      </c>
      <c r="R303" s="622" t="str">
        <f>IF(NOT(ISBLANK('A-RACHNATMAK'!S324)),"A",IF(NOT(ISBLANK('A-RACHNATMAK'!S323)),"B",IF(NOT(ISBLANK('A-RACHNATMAK'!S322)),"C","")))</f>
        <v/>
      </c>
      <c r="S303" s="622" t="str">
        <f>IF(NOT(ISBLANK('A-RACHNATMAK'!T324)),"A",IF(NOT(ISBLANK('A-RACHNATMAK'!T323)),"B",IF(NOT(ISBLANK('A-RACHNATMAK'!T322)),"C","")))</f>
        <v/>
      </c>
      <c r="T303" s="622" t="str">
        <f>IF(NOT(ISBLANK('A-RACHNATMAK'!U324)),"A",IF(NOT(ISBLANK('A-RACHNATMAK'!U323)),"B",IF(NOT(ISBLANK('A-RACHNATMAK'!U322)),"C","")))</f>
        <v/>
      </c>
      <c r="U303" s="622" t="str">
        <f>IF(NOT(ISBLANK('A-RACHNATMAK'!V324)),"A",IF(NOT(ISBLANK('A-RACHNATMAK'!V323)),"B",IF(NOT(ISBLANK('A-RACHNATMAK'!V322)),"C","")))</f>
        <v/>
      </c>
      <c r="V303" s="622">
        <f t="shared" ref="V303" si="576">COUNTIF(B303:U303,"A")</f>
        <v>0</v>
      </c>
      <c r="W303" s="622">
        <f t="shared" ref="W303" si="577">COUNTIF(B303:U303,"B")</f>
        <v>0</v>
      </c>
      <c r="X303" s="622">
        <f t="shared" ref="X303" si="578">COUNTIF(B303:U303,"C")</f>
        <v>0</v>
      </c>
      <c r="Y303" s="330"/>
      <c r="Z303" s="623">
        <v>30</v>
      </c>
      <c r="AA303" s="622" t="str">
        <f>IF(NOT(ISBLANK('A-RACHNATMAK'!AD324)),"A",IF(NOT(ISBLANK('A-RACHNATMAK'!AD323)),"B",IF(NOT(ISBLANK('A-RACHNATMAK'!AD322)),"C","")))</f>
        <v/>
      </c>
      <c r="AB303" s="622" t="str">
        <f>IF(NOT(ISBLANK('A-RACHNATMAK'!AE324)),"A",IF(NOT(ISBLANK('A-RACHNATMAK'!AE323)),"B",IF(NOT(ISBLANK('A-RACHNATMAK'!AE322)),"C","")))</f>
        <v/>
      </c>
      <c r="AC303" s="622" t="str">
        <f>IF(NOT(ISBLANK('A-RACHNATMAK'!AF324)),"A",IF(NOT(ISBLANK('A-RACHNATMAK'!AF323)),"B",IF(NOT(ISBLANK('A-RACHNATMAK'!AF322)),"C","")))</f>
        <v/>
      </c>
      <c r="AD303" s="622" t="str">
        <f>IF(NOT(ISBLANK('A-RACHNATMAK'!AG324)),"A",IF(NOT(ISBLANK('A-RACHNATMAK'!AG323)),"B",IF(NOT(ISBLANK('A-RACHNATMAK'!AG322)),"C","")))</f>
        <v/>
      </c>
      <c r="AE303" s="622" t="str">
        <f>IF(NOT(ISBLANK('A-RACHNATMAK'!AH324)),"A",IF(NOT(ISBLANK('A-RACHNATMAK'!AH323)),"B",IF(NOT(ISBLANK('A-RACHNATMAK'!AH322)),"C","")))</f>
        <v/>
      </c>
      <c r="AF303" s="622" t="str">
        <f>IF(NOT(ISBLANK('A-RACHNATMAK'!AI324)),"A",IF(NOT(ISBLANK('A-RACHNATMAK'!AI323)),"B",IF(NOT(ISBLANK('A-RACHNATMAK'!AI322)),"C","")))</f>
        <v/>
      </c>
      <c r="AG303" s="622" t="str">
        <f>IF(NOT(ISBLANK('A-RACHNATMAK'!AJ324)),"A",IF(NOT(ISBLANK('A-RACHNATMAK'!AJ323)),"B",IF(NOT(ISBLANK('A-RACHNATMAK'!AJ322)),"C","")))</f>
        <v/>
      </c>
      <c r="AH303" s="622" t="str">
        <f>IF(NOT(ISBLANK('A-RACHNATMAK'!AK324)),"A",IF(NOT(ISBLANK('A-RACHNATMAK'!AK323)),"B",IF(NOT(ISBLANK('A-RACHNATMAK'!AK322)),"C","")))</f>
        <v/>
      </c>
      <c r="AI303" s="622" t="str">
        <f>IF(NOT(ISBLANK('A-RACHNATMAK'!AL324)),"A",IF(NOT(ISBLANK('A-RACHNATMAK'!AL323)),"B",IF(NOT(ISBLANK('A-RACHNATMAK'!AL322)),"C","")))</f>
        <v/>
      </c>
      <c r="AJ303" s="622" t="str">
        <f>IF(NOT(ISBLANK('A-RACHNATMAK'!AM324)),"A",IF(NOT(ISBLANK('A-RACHNATMAK'!AM323)),"B",IF(NOT(ISBLANK('A-RACHNATMAK'!AM322)),"C","")))</f>
        <v/>
      </c>
      <c r="AK303" s="622" t="str">
        <f>IF(NOT(ISBLANK('A-RACHNATMAK'!AN324)),"A",IF(NOT(ISBLANK('A-RACHNATMAK'!AN323)),"B",IF(NOT(ISBLANK('A-RACHNATMAK'!AN322)),"C","")))</f>
        <v/>
      </c>
      <c r="AL303" s="622" t="str">
        <f>IF(NOT(ISBLANK('A-RACHNATMAK'!AO324)),"A",IF(NOT(ISBLANK('A-RACHNATMAK'!AO323)),"B",IF(NOT(ISBLANK('A-RACHNATMAK'!AO322)),"C","")))</f>
        <v/>
      </c>
      <c r="AM303" s="622" t="str">
        <f>IF(NOT(ISBLANK('A-RACHNATMAK'!AP324)),"A",IF(NOT(ISBLANK('A-RACHNATMAK'!AP323)),"B",IF(NOT(ISBLANK('A-RACHNATMAK'!AP322)),"C","")))</f>
        <v/>
      </c>
      <c r="AN303" s="622" t="str">
        <f>IF(NOT(ISBLANK('A-RACHNATMAK'!AQ324)),"A",IF(NOT(ISBLANK('A-RACHNATMAK'!AQ323)),"B",IF(NOT(ISBLANK('A-RACHNATMAK'!AQ322)),"C","")))</f>
        <v/>
      </c>
      <c r="AO303" s="622" t="str">
        <f>IF(NOT(ISBLANK('A-RACHNATMAK'!AR324)),"A",IF(NOT(ISBLANK('A-RACHNATMAK'!AR323)),"B",IF(NOT(ISBLANK('A-RACHNATMAK'!AR322)),"C","")))</f>
        <v/>
      </c>
      <c r="AP303" s="622" t="str">
        <f>IF(NOT(ISBLANK('A-RACHNATMAK'!AS324)),"A",IF(NOT(ISBLANK('A-RACHNATMAK'!AS323)),"B",IF(NOT(ISBLANK('A-RACHNATMAK'!AS322)),"C","")))</f>
        <v/>
      </c>
      <c r="AQ303" s="622" t="str">
        <f>IF(NOT(ISBLANK('A-RACHNATMAK'!AT324)),"A",IF(NOT(ISBLANK('A-RACHNATMAK'!AT323)),"B",IF(NOT(ISBLANK('A-RACHNATMAK'!AT322)),"C","")))</f>
        <v/>
      </c>
      <c r="AR303" s="622" t="str">
        <f>IF(NOT(ISBLANK('A-RACHNATMAK'!AU324)),"A",IF(NOT(ISBLANK('A-RACHNATMAK'!AU323)),"B",IF(NOT(ISBLANK('A-RACHNATMAK'!AU322)),"C","")))</f>
        <v/>
      </c>
      <c r="AS303" s="622" t="str">
        <f>IF(NOT(ISBLANK('A-RACHNATMAK'!AV324)),"A",IF(NOT(ISBLANK('A-RACHNATMAK'!AV323)),"B",IF(NOT(ISBLANK('A-RACHNATMAK'!AV322)),"C","")))</f>
        <v/>
      </c>
      <c r="AT303" s="622" t="str">
        <f>IF(NOT(ISBLANK('A-RACHNATMAK'!AW324)),"A",IF(NOT(ISBLANK('A-RACHNATMAK'!AW323)),"B",IF(NOT(ISBLANK('A-RACHNATMAK'!AW322)),"C","")))</f>
        <v/>
      </c>
      <c r="AU303" s="622">
        <f t="shared" ref="AU303" si="579">COUNTIF(AA303:AT303,"A")</f>
        <v>0</v>
      </c>
      <c r="AV303" s="622">
        <f t="shared" ref="AV303" si="580">COUNTIF(AA303:AT303,"B")</f>
        <v>0</v>
      </c>
      <c r="AW303" s="622">
        <f t="shared" ref="AW303" si="581">COUNTIF(AA303:AT303,"C")</f>
        <v>0</v>
      </c>
    </row>
    <row r="304" spans="1:49" ht="7.5" customHeight="1">
      <c r="A304" s="623"/>
      <c r="B304" s="622"/>
      <c r="C304" s="622"/>
      <c r="D304" s="622"/>
      <c r="E304" s="622"/>
      <c r="F304" s="622"/>
      <c r="G304" s="622"/>
      <c r="H304" s="622"/>
      <c r="I304" s="622"/>
      <c r="J304" s="622"/>
      <c r="K304" s="622"/>
      <c r="L304" s="622"/>
      <c r="M304" s="622"/>
      <c r="N304" s="622"/>
      <c r="O304" s="622"/>
      <c r="P304" s="622"/>
      <c r="Q304" s="622"/>
      <c r="R304" s="622"/>
      <c r="S304" s="622"/>
      <c r="T304" s="622"/>
      <c r="U304" s="622"/>
      <c r="V304" s="622"/>
      <c r="W304" s="622"/>
      <c r="X304" s="622"/>
      <c r="Y304" s="330"/>
      <c r="Z304" s="623"/>
      <c r="AA304" s="622"/>
      <c r="AB304" s="622"/>
      <c r="AC304" s="622"/>
      <c r="AD304" s="622"/>
      <c r="AE304" s="622"/>
      <c r="AF304" s="622"/>
      <c r="AG304" s="622"/>
      <c r="AH304" s="622"/>
      <c r="AI304" s="622"/>
      <c r="AJ304" s="622"/>
      <c r="AK304" s="622"/>
      <c r="AL304" s="622"/>
      <c r="AM304" s="622"/>
      <c r="AN304" s="622"/>
      <c r="AO304" s="622"/>
      <c r="AP304" s="622"/>
      <c r="AQ304" s="622"/>
      <c r="AR304" s="622"/>
      <c r="AS304" s="622"/>
      <c r="AT304" s="622"/>
      <c r="AU304" s="622"/>
      <c r="AV304" s="622"/>
      <c r="AW304" s="622"/>
    </row>
    <row r="305" spans="1:49" ht="7.5" customHeight="1">
      <c r="A305" s="623"/>
      <c r="B305" s="622"/>
      <c r="C305" s="622"/>
      <c r="D305" s="622"/>
      <c r="E305" s="622"/>
      <c r="F305" s="622"/>
      <c r="G305" s="622"/>
      <c r="H305" s="622"/>
      <c r="I305" s="622"/>
      <c r="J305" s="622"/>
      <c r="K305" s="622"/>
      <c r="L305" s="622"/>
      <c r="M305" s="622"/>
      <c r="N305" s="622"/>
      <c r="O305" s="622"/>
      <c r="P305" s="622"/>
      <c r="Q305" s="622"/>
      <c r="R305" s="622"/>
      <c r="S305" s="622"/>
      <c r="T305" s="622"/>
      <c r="U305" s="622"/>
      <c r="V305" s="622"/>
      <c r="W305" s="622"/>
      <c r="X305" s="622"/>
      <c r="Y305" s="330"/>
      <c r="Z305" s="623"/>
      <c r="AA305" s="622"/>
      <c r="AB305" s="622"/>
      <c r="AC305" s="622"/>
      <c r="AD305" s="622"/>
      <c r="AE305" s="622"/>
      <c r="AF305" s="622"/>
      <c r="AG305" s="622"/>
      <c r="AH305" s="622"/>
      <c r="AI305" s="622"/>
      <c r="AJ305" s="622"/>
      <c r="AK305" s="622"/>
      <c r="AL305" s="622"/>
      <c r="AM305" s="622"/>
      <c r="AN305" s="622"/>
      <c r="AO305" s="622"/>
      <c r="AP305" s="622"/>
      <c r="AQ305" s="622"/>
      <c r="AR305" s="622"/>
      <c r="AS305" s="622"/>
      <c r="AT305" s="622"/>
      <c r="AU305" s="622"/>
      <c r="AV305" s="622"/>
      <c r="AW305" s="622"/>
    </row>
    <row r="306" spans="1:49" ht="7.5" customHeight="1">
      <c r="A306" s="623">
        <v>31</v>
      </c>
      <c r="B306" s="622" t="str">
        <f>IF(NOT(ISBLANK('A-RACHNATMAK'!C327)),"A",IF(NOT(ISBLANK('A-RACHNATMAK'!C326)),"B",IF(NOT(ISBLANK('A-RACHNATMAK'!C325)),"C","")))</f>
        <v/>
      </c>
      <c r="C306" s="622" t="str">
        <f>IF(NOT(ISBLANK('A-RACHNATMAK'!D327)),"A",IF(NOT(ISBLANK('A-RACHNATMAK'!D326)),"B",IF(NOT(ISBLANK('A-RACHNATMAK'!D325)),"C","")))</f>
        <v/>
      </c>
      <c r="D306" s="622" t="str">
        <f>IF(NOT(ISBLANK('A-RACHNATMAK'!E327)),"A",IF(NOT(ISBLANK('A-RACHNATMAK'!E326)),"B",IF(NOT(ISBLANK('A-RACHNATMAK'!E325)),"C","")))</f>
        <v/>
      </c>
      <c r="E306" s="622" t="str">
        <f>IF(NOT(ISBLANK('A-RACHNATMAK'!F327)),"A",IF(NOT(ISBLANK('A-RACHNATMAK'!F326)),"B",IF(NOT(ISBLANK('A-RACHNATMAK'!F325)),"C","")))</f>
        <v/>
      </c>
      <c r="F306" s="622" t="str">
        <f>IF(NOT(ISBLANK('A-RACHNATMAK'!G327)),"A",IF(NOT(ISBLANK('A-RACHNATMAK'!G326)),"B",IF(NOT(ISBLANK('A-RACHNATMAK'!G325)),"C","")))</f>
        <v/>
      </c>
      <c r="G306" s="622" t="str">
        <f>IF(NOT(ISBLANK('A-RACHNATMAK'!H327)),"A",IF(NOT(ISBLANK('A-RACHNATMAK'!H326)),"B",IF(NOT(ISBLANK('A-RACHNATMAK'!H325)),"C","")))</f>
        <v/>
      </c>
      <c r="H306" s="622" t="str">
        <f>IF(NOT(ISBLANK('A-RACHNATMAK'!I327)),"A",IF(NOT(ISBLANK('A-RACHNATMAK'!I326)),"B",IF(NOT(ISBLANK('A-RACHNATMAK'!I325)),"C","")))</f>
        <v/>
      </c>
      <c r="I306" s="622" t="str">
        <f>IF(NOT(ISBLANK('A-RACHNATMAK'!J327)),"A",IF(NOT(ISBLANK('A-RACHNATMAK'!J326)),"B",IF(NOT(ISBLANK('A-RACHNATMAK'!J325)),"C","")))</f>
        <v/>
      </c>
      <c r="J306" s="622" t="str">
        <f>IF(NOT(ISBLANK('A-RACHNATMAK'!K327)),"A",IF(NOT(ISBLANK('A-RACHNATMAK'!K326)),"B",IF(NOT(ISBLANK('A-RACHNATMAK'!K325)),"C","")))</f>
        <v/>
      </c>
      <c r="K306" s="622" t="str">
        <f>IF(NOT(ISBLANK('A-RACHNATMAK'!L327)),"A",IF(NOT(ISBLANK('A-RACHNATMAK'!L326)),"B",IF(NOT(ISBLANK('A-RACHNATMAK'!L325)),"C","")))</f>
        <v/>
      </c>
      <c r="L306" s="622" t="str">
        <f>IF(NOT(ISBLANK('A-RACHNATMAK'!M327)),"A",IF(NOT(ISBLANK('A-RACHNATMAK'!M326)),"B",IF(NOT(ISBLANK('A-RACHNATMAK'!M325)),"C","")))</f>
        <v/>
      </c>
      <c r="M306" s="622" t="str">
        <f>IF(NOT(ISBLANK('A-RACHNATMAK'!N327)),"A",IF(NOT(ISBLANK('A-RACHNATMAK'!N326)),"B",IF(NOT(ISBLANK('A-RACHNATMAK'!N325)),"C","")))</f>
        <v/>
      </c>
      <c r="N306" s="622" t="str">
        <f>IF(NOT(ISBLANK('A-RACHNATMAK'!O327)),"A",IF(NOT(ISBLANK('A-RACHNATMAK'!O326)),"B",IF(NOT(ISBLANK('A-RACHNATMAK'!O325)),"C","")))</f>
        <v/>
      </c>
      <c r="O306" s="622" t="str">
        <f>IF(NOT(ISBLANK('A-RACHNATMAK'!P327)),"A",IF(NOT(ISBLANK('A-RACHNATMAK'!P326)),"B",IF(NOT(ISBLANK('A-RACHNATMAK'!P325)),"C","")))</f>
        <v/>
      </c>
      <c r="P306" s="622" t="str">
        <f>IF(NOT(ISBLANK('A-RACHNATMAK'!Q327)),"A",IF(NOT(ISBLANK('A-RACHNATMAK'!Q326)),"B",IF(NOT(ISBLANK('A-RACHNATMAK'!Q325)),"C","")))</f>
        <v/>
      </c>
      <c r="Q306" s="622" t="str">
        <f>IF(NOT(ISBLANK('A-RACHNATMAK'!R327)),"A",IF(NOT(ISBLANK('A-RACHNATMAK'!R326)),"B",IF(NOT(ISBLANK('A-RACHNATMAK'!R325)),"C","")))</f>
        <v/>
      </c>
      <c r="R306" s="622" t="str">
        <f>IF(NOT(ISBLANK('A-RACHNATMAK'!S327)),"A",IF(NOT(ISBLANK('A-RACHNATMAK'!S326)),"B",IF(NOT(ISBLANK('A-RACHNATMAK'!S325)),"C","")))</f>
        <v/>
      </c>
      <c r="S306" s="622" t="str">
        <f>IF(NOT(ISBLANK('A-RACHNATMAK'!T327)),"A",IF(NOT(ISBLANK('A-RACHNATMAK'!T326)),"B",IF(NOT(ISBLANK('A-RACHNATMAK'!T325)),"C","")))</f>
        <v/>
      </c>
      <c r="T306" s="622" t="str">
        <f>IF(NOT(ISBLANK('A-RACHNATMAK'!U327)),"A",IF(NOT(ISBLANK('A-RACHNATMAK'!U326)),"B",IF(NOT(ISBLANK('A-RACHNATMAK'!U325)),"C","")))</f>
        <v/>
      </c>
      <c r="U306" s="622" t="str">
        <f>IF(NOT(ISBLANK('A-RACHNATMAK'!V327)),"A",IF(NOT(ISBLANK('A-RACHNATMAK'!V326)),"B",IF(NOT(ISBLANK('A-RACHNATMAK'!V325)),"C","")))</f>
        <v/>
      </c>
      <c r="V306" s="622">
        <f t="shared" ref="V306" si="582">COUNTIF(B306:U306,"A")</f>
        <v>0</v>
      </c>
      <c r="W306" s="622">
        <f t="shared" ref="W306" si="583">COUNTIF(B306:U306,"B")</f>
        <v>0</v>
      </c>
      <c r="X306" s="622">
        <f t="shared" ref="X306" si="584">COUNTIF(B306:U306,"C")</f>
        <v>0</v>
      </c>
      <c r="Y306" s="330"/>
      <c r="Z306" s="623">
        <v>31</v>
      </c>
      <c r="AA306" s="622" t="str">
        <f>IF(NOT(ISBLANK('A-RACHNATMAK'!AD327)),"A",IF(NOT(ISBLANK('A-RACHNATMAK'!AD326)),"B",IF(NOT(ISBLANK('A-RACHNATMAK'!AD325)),"C","")))</f>
        <v/>
      </c>
      <c r="AB306" s="622" t="str">
        <f>IF(NOT(ISBLANK('A-RACHNATMAK'!AE327)),"A",IF(NOT(ISBLANK('A-RACHNATMAK'!AE326)),"B",IF(NOT(ISBLANK('A-RACHNATMAK'!AE325)),"C","")))</f>
        <v/>
      </c>
      <c r="AC306" s="622" t="str">
        <f>IF(NOT(ISBLANK('A-RACHNATMAK'!AF327)),"A",IF(NOT(ISBLANK('A-RACHNATMAK'!AF326)),"B",IF(NOT(ISBLANK('A-RACHNATMAK'!AF325)),"C","")))</f>
        <v/>
      </c>
      <c r="AD306" s="622" t="str">
        <f>IF(NOT(ISBLANK('A-RACHNATMAK'!AG327)),"A",IF(NOT(ISBLANK('A-RACHNATMAK'!AG326)),"B",IF(NOT(ISBLANK('A-RACHNATMAK'!AG325)),"C","")))</f>
        <v/>
      </c>
      <c r="AE306" s="622" t="str">
        <f>IF(NOT(ISBLANK('A-RACHNATMAK'!AH327)),"A",IF(NOT(ISBLANK('A-RACHNATMAK'!AH326)),"B",IF(NOT(ISBLANK('A-RACHNATMAK'!AH325)),"C","")))</f>
        <v/>
      </c>
      <c r="AF306" s="622" t="str">
        <f>IF(NOT(ISBLANK('A-RACHNATMAK'!AI327)),"A",IF(NOT(ISBLANK('A-RACHNATMAK'!AI326)),"B",IF(NOT(ISBLANK('A-RACHNATMAK'!AI325)),"C","")))</f>
        <v/>
      </c>
      <c r="AG306" s="622" t="str">
        <f>IF(NOT(ISBLANK('A-RACHNATMAK'!AJ327)),"A",IF(NOT(ISBLANK('A-RACHNATMAK'!AJ326)),"B",IF(NOT(ISBLANK('A-RACHNATMAK'!AJ325)),"C","")))</f>
        <v/>
      </c>
      <c r="AH306" s="622" t="str">
        <f>IF(NOT(ISBLANK('A-RACHNATMAK'!AK327)),"A",IF(NOT(ISBLANK('A-RACHNATMAK'!AK326)),"B",IF(NOT(ISBLANK('A-RACHNATMAK'!AK325)),"C","")))</f>
        <v/>
      </c>
      <c r="AI306" s="622" t="str">
        <f>IF(NOT(ISBLANK('A-RACHNATMAK'!AL327)),"A",IF(NOT(ISBLANK('A-RACHNATMAK'!AL326)),"B",IF(NOT(ISBLANK('A-RACHNATMAK'!AL325)),"C","")))</f>
        <v/>
      </c>
      <c r="AJ306" s="622" t="str">
        <f>IF(NOT(ISBLANK('A-RACHNATMAK'!AM327)),"A",IF(NOT(ISBLANK('A-RACHNATMAK'!AM326)),"B",IF(NOT(ISBLANK('A-RACHNATMAK'!AM325)),"C","")))</f>
        <v/>
      </c>
      <c r="AK306" s="622" t="str">
        <f>IF(NOT(ISBLANK('A-RACHNATMAK'!AN327)),"A",IF(NOT(ISBLANK('A-RACHNATMAK'!AN326)),"B",IF(NOT(ISBLANK('A-RACHNATMAK'!AN325)),"C","")))</f>
        <v/>
      </c>
      <c r="AL306" s="622" t="str">
        <f>IF(NOT(ISBLANK('A-RACHNATMAK'!AO327)),"A",IF(NOT(ISBLANK('A-RACHNATMAK'!AO326)),"B",IF(NOT(ISBLANK('A-RACHNATMAK'!AO325)),"C","")))</f>
        <v/>
      </c>
      <c r="AM306" s="622" t="str">
        <f>IF(NOT(ISBLANK('A-RACHNATMAK'!AP327)),"A",IF(NOT(ISBLANK('A-RACHNATMAK'!AP326)),"B",IF(NOT(ISBLANK('A-RACHNATMAK'!AP325)),"C","")))</f>
        <v/>
      </c>
      <c r="AN306" s="622" t="str">
        <f>IF(NOT(ISBLANK('A-RACHNATMAK'!AQ327)),"A",IF(NOT(ISBLANK('A-RACHNATMAK'!AQ326)),"B",IF(NOT(ISBLANK('A-RACHNATMAK'!AQ325)),"C","")))</f>
        <v/>
      </c>
      <c r="AO306" s="622" t="str">
        <f>IF(NOT(ISBLANK('A-RACHNATMAK'!AR327)),"A",IF(NOT(ISBLANK('A-RACHNATMAK'!AR326)),"B",IF(NOT(ISBLANK('A-RACHNATMAK'!AR325)),"C","")))</f>
        <v/>
      </c>
      <c r="AP306" s="622" t="str">
        <f>IF(NOT(ISBLANK('A-RACHNATMAK'!AS327)),"A",IF(NOT(ISBLANK('A-RACHNATMAK'!AS326)),"B",IF(NOT(ISBLANK('A-RACHNATMAK'!AS325)),"C","")))</f>
        <v/>
      </c>
      <c r="AQ306" s="622" t="str">
        <f>IF(NOT(ISBLANK('A-RACHNATMAK'!AT327)),"A",IF(NOT(ISBLANK('A-RACHNATMAK'!AT326)),"B",IF(NOT(ISBLANK('A-RACHNATMAK'!AT325)),"C","")))</f>
        <v/>
      </c>
      <c r="AR306" s="622" t="str">
        <f>IF(NOT(ISBLANK('A-RACHNATMAK'!AU327)),"A",IF(NOT(ISBLANK('A-RACHNATMAK'!AU326)),"B",IF(NOT(ISBLANK('A-RACHNATMAK'!AU325)),"C","")))</f>
        <v/>
      </c>
      <c r="AS306" s="622" t="str">
        <f>IF(NOT(ISBLANK('A-RACHNATMAK'!AV327)),"A",IF(NOT(ISBLANK('A-RACHNATMAK'!AV326)),"B",IF(NOT(ISBLANK('A-RACHNATMAK'!AV325)),"C","")))</f>
        <v/>
      </c>
      <c r="AT306" s="622" t="str">
        <f>IF(NOT(ISBLANK('A-RACHNATMAK'!AW327)),"A",IF(NOT(ISBLANK('A-RACHNATMAK'!AW326)),"B",IF(NOT(ISBLANK('A-RACHNATMAK'!AW325)),"C","")))</f>
        <v/>
      </c>
      <c r="AU306" s="622">
        <f t="shared" ref="AU306" si="585">COUNTIF(AA306:AT306,"A")</f>
        <v>0</v>
      </c>
      <c r="AV306" s="622">
        <f t="shared" ref="AV306" si="586">COUNTIF(AA306:AT306,"B")</f>
        <v>0</v>
      </c>
      <c r="AW306" s="622">
        <f t="shared" ref="AW306" si="587">COUNTIF(AA306:AT306,"C")</f>
        <v>0</v>
      </c>
    </row>
    <row r="307" spans="1:49" ht="7.5" customHeight="1">
      <c r="A307" s="623"/>
      <c r="B307" s="622"/>
      <c r="C307" s="622"/>
      <c r="D307" s="622"/>
      <c r="E307" s="622"/>
      <c r="F307" s="622"/>
      <c r="G307" s="622"/>
      <c r="H307" s="622"/>
      <c r="I307" s="622"/>
      <c r="J307" s="622"/>
      <c r="K307" s="622"/>
      <c r="L307" s="622"/>
      <c r="M307" s="622"/>
      <c r="N307" s="622"/>
      <c r="O307" s="622"/>
      <c r="P307" s="622"/>
      <c r="Q307" s="622"/>
      <c r="R307" s="622"/>
      <c r="S307" s="622"/>
      <c r="T307" s="622"/>
      <c r="U307" s="622"/>
      <c r="V307" s="622"/>
      <c r="W307" s="622"/>
      <c r="X307" s="622"/>
      <c r="Y307" s="330"/>
      <c r="Z307" s="623"/>
      <c r="AA307" s="622"/>
      <c r="AB307" s="622"/>
      <c r="AC307" s="622"/>
      <c r="AD307" s="622"/>
      <c r="AE307" s="622"/>
      <c r="AF307" s="622"/>
      <c r="AG307" s="622"/>
      <c r="AH307" s="622"/>
      <c r="AI307" s="622"/>
      <c r="AJ307" s="622"/>
      <c r="AK307" s="622"/>
      <c r="AL307" s="622"/>
      <c r="AM307" s="622"/>
      <c r="AN307" s="622"/>
      <c r="AO307" s="622"/>
      <c r="AP307" s="622"/>
      <c r="AQ307" s="622"/>
      <c r="AR307" s="622"/>
      <c r="AS307" s="622"/>
      <c r="AT307" s="622"/>
      <c r="AU307" s="622"/>
      <c r="AV307" s="622"/>
      <c r="AW307" s="622"/>
    </row>
    <row r="308" spans="1:49" ht="7.5" customHeight="1">
      <c r="A308" s="623"/>
      <c r="B308" s="622"/>
      <c r="C308" s="622"/>
      <c r="D308" s="622"/>
      <c r="E308" s="622"/>
      <c r="F308" s="622"/>
      <c r="G308" s="622"/>
      <c r="H308" s="622"/>
      <c r="I308" s="622"/>
      <c r="J308" s="622"/>
      <c r="K308" s="622"/>
      <c r="L308" s="622"/>
      <c r="M308" s="622"/>
      <c r="N308" s="622"/>
      <c r="O308" s="622"/>
      <c r="P308" s="622"/>
      <c r="Q308" s="622"/>
      <c r="R308" s="622"/>
      <c r="S308" s="622"/>
      <c r="T308" s="622"/>
      <c r="U308" s="622"/>
      <c r="V308" s="622"/>
      <c r="W308" s="622"/>
      <c r="X308" s="622"/>
      <c r="Y308" s="330"/>
      <c r="Z308" s="623"/>
      <c r="AA308" s="622"/>
      <c r="AB308" s="622"/>
      <c r="AC308" s="622"/>
      <c r="AD308" s="622"/>
      <c r="AE308" s="622"/>
      <c r="AF308" s="622"/>
      <c r="AG308" s="622"/>
      <c r="AH308" s="622"/>
      <c r="AI308" s="622"/>
      <c r="AJ308" s="622"/>
      <c r="AK308" s="622"/>
      <c r="AL308" s="622"/>
      <c r="AM308" s="622"/>
      <c r="AN308" s="622"/>
      <c r="AO308" s="622"/>
      <c r="AP308" s="622"/>
      <c r="AQ308" s="622"/>
      <c r="AR308" s="622"/>
      <c r="AS308" s="622"/>
      <c r="AT308" s="622"/>
      <c r="AU308" s="622"/>
      <c r="AV308" s="622"/>
      <c r="AW308" s="622"/>
    </row>
    <row r="309" spans="1:49" ht="7.5" customHeight="1">
      <c r="A309" s="623">
        <v>32</v>
      </c>
      <c r="B309" s="622" t="str">
        <f>IF(NOT(ISBLANK('A-RACHNATMAK'!C330)),"A",IF(NOT(ISBLANK('A-RACHNATMAK'!C329)),"B",IF(NOT(ISBLANK('A-RACHNATMAK'!C328)),"C","")))</f>
        <v/>
      </c>
      <c r="C309" s="622" t="str">
        <f>IF(NOT(ISBLANK('A-RACHNATMAK'!D330)),"A",IF(NOT(ISBLANK('A-RACHNATMAK'!D329)),"B",IF(NOT(ISBLANK('A-RACHNATMAK'!D328)),"C","")))</f>
        <v/>
      </c>
      <c r="D309" s="622" t="str">
        <f>IF(NOT(ISBLANK('A-RACHNATMAK'!E330)),"A",IF(NOT(ISBLANK('A-RACHNATMAK'!E329)),"B",IF(NOT(ISBLANK('A-RACHNATMAK'!E328)),"C","")))</f>
        <v/>
      </c>
      <c r="E309" s="622" t="str">
        <f>IF(NOT(ISBLANK('A-RACHNATMAK'!F330)),"A",IF(NOT(ISBLANK('A-RACHNATMAK'!F329)),"B",IF(NOT(ISBLANK('A-RACHNATMAK'!F328)),"C","")))</f>
        <v/>
      </c>
      <c r="F309" s="622" t="str">
        <f>IF(NOT(ISBLANK('A-RACHNATMAK'!G330)),"A",IF(NOT(ISBLANK('A-RACHNATMAK'!G329)),"B",IF(NOT(ISBLANK('A-RACHNATMAK'!G328)),"C","")))</f>
        <v/>
      </c>
      <c r="G309" s="622" t="str">
        <f>IF(NOT(ISBLANK('A-RACHNATMAK'!H330)),"A",IF(NOT(ISBLANK('A-RACHNATMAK'!H329)),"B",IF(NOT(ISBLANK('A-RACHNATMAK'!H328)),"C","")))</f>
        <v/>
      </c>
      <c r="H309" s="622" t="str">
        <f>IF(NOT(ISBLANK('A-RACHNATMAK'!I330)),"A",IF(NOT(ISBLANK('A-RACHNATMAK'!I329)),"B",IF(NOT(ISBLANK('A-RACHNATMAK'!I328)),"C","")))</f>
        <v/>
      </c>
      <c r="I309" s="622" t="str">
        <f>IF(NOT(ISBLANK('A-RACHNATMAK'!J330)),"A",IF(NOT(ISBLANK('A-RACHNATMAK'!J329)),"B",IF(NOT(ISBLANK('A-RACHNATMAK'!J328)),"C","")))</f>
        <v/>
      </c>
      <c r="J309" s="622" t="str">
        <f>IF(NOT(ISBLANK('A-RACHNATMAK'!K330)),"A",IF(NOT(ISBLANK('A-RACHNATMAK'!K329)),"B",IF(NOT(ISBLANK('A-RACHNATMAK'!K328)),"C","")))</f>
        <v/>
      </c>
      <c r="K309" s="622" t="str">
        <f>IF(NOT(ISBLANK('A-RACHNATMAK'!L330)),"A",IF(NOT(ISBLANK('A-RACHNATMAK'!L329)),"B",IF(NOT(ISBLANK('A-RACHNATMAK'!L328)),"C","")))</f>
        <v/>
      </c>
      <c r="L309" s="622" t="str">
        <f>IF(NOT(ISBLANK('A-RACHNATMAK'!M330)),"A",IF(NOT(ISBLANK('A-RACHNATMAK'!M329)),"B",IF(NOT(ISBLANK('A-RACHNATMAK'!M328)),"C","")))</f>
        <v/>
      </c>
      <c r="M309" s="622" t="str">
        <f>IF(NOT(ISBLANK('A-RACHNATMAK'!N330)),"A",IF(NOT(ISBLANK('A-RACHNATMAK'!N329)),"B",IF(NOT(ISBLANK('A-RACHNATMAK'!N328)),"C","")))</f>
        <v/>
      </c>
      <c r="N309" s="622" t="str">
        <f>IF(NOT(ISBLANK('A-RACHNATMAK'!O330)),"A",IF(NOT(ISBLANK('A-RACHNATMAK'!O329)),"B",IF(NOT(ISBLANK('A-RACHNATMAK'!O328)),"C","")))</f>
        <v/>
      </c>
      <c r="O309" s="622" t="str">
        <f>IF(NOT(ISBLANK('A-RACHNATMAK'!P330)),"A",IF(NOT(ISBLANK('A-RACHNATMAK'!P329)),"B",IF(NOT(ISBLANK('A-RACHNATMAK'!P328)),"C","")))</f>
        <v/>
      </c>
      <c r="P309" s="622" t="str">
        <f>IF(NOT(ISBLANK('A-RACHNATMAK'!Q330)),"A",IF(NOT(ISBLANK('A-RACHNATMAK'!Q329)),"B",IF(NOT(ISBLANK('A-RACHNATMAK'!Q328)),"C","")))</f>
        <v/>
      </c>
      <c r="Q309" s="622" t="str">
        <f>IF(NOT(ISBLANK('A-RACHNATMAK'!R330)),"A",IF(NOT(ISBLANK('A-RACHNATMAK'!R329)),"B",IF(NOT(ISBLANK('A-RACHNATMAK'!R328)),"C","")))</f>
        <v/>
      </c>
      <c r="R309" s="622" t="str">
        <f>IF(NOT(ISBLANK('A-RACHNATMAK'!S330)),"A",IF(NOT(ISBLANK('A-RACHNATMAK'!S329)),"B",IF(NOT(ISBLANK('A-RACHNATMAK'!S328)),"C","")))</f>
        <v/>
      </c>
      <c r="S309" s="622" t="str">
        <f>IF(NOT(ISBLANK('A-RACHNATMAK'!T330)),"A",IF(NOT(ISBLANK('A-RACHNATMAK'!T329)),"B",IF(NOT(ISBLANK('A-RACHNATMAK'!T328)),"C","")))</f>
        <v/>
      </c>
      <c r="T309" s="622" t="str">
        <f>IF(NOT(ISBLANK('A-RACHNATMAK'!U330)),"A",IF(NOT(ISBLANK('A-RACHNATMAK'!U329)),"B",IF(NOT(ISBLANK('A-RACHNATMAK'!U328)),"C","")))</f>
        <v/>
      </c>
      <c r="U309" s="622" t="str">
        <f>IF(NOT(ISBLANK('A-RACHNATMAK'!V330)),"A",IF(NOT(ISBLANK('A-RACHNATMAK'!V329)),"B",IF(NOT(ISBLANK('A-RACHNATMAK'!V328)),"C","")))</f>
        <v/>
      </c>
      <c r="V309" s="622">
        <f t="shared" ref="V309" si="588">COUNTIF(B309:U309,"A")</f>
        <v>0</v>
      </c>
      <c r="W309" s="622">
        <f t="shared" ref="W309" si="589">COUNTIF(B309:U309,"B")</f>
        <v>0</v>
      </c>
      <c r="X309" s="622">
        <f t="shared" ref="X309" si="590">COUNTIF(B309:U309,"C")</f>
        <v>0</v>
      </c>
      <c r="Y309" s="330"/>
      <c r="Z309" s="623">
        <v>32</v>
      </c>
      <c r="AA309" s="622" t="str">
        <f>IF(NOT(ISBLANK('A-RACHNATMAK'!AD330)),"A",IF(NOT(ISBLANK('A-RACHNATMAK'!AD329)),"B",IF(NOT(ISBLANK('A-RACHNATMAK'!AD328)),"C","")))</f>
        <v/>
      </c>
      <c r="AB309" s="622" t="str">
        <f>IF(NOT(ISBLANK('A-RACHNATMAK'!AE330)),"A",IF(NOT(ISBLANK('A-RACHNATMAK'!AE329)),"B",IF(NOT(ISBLANK('A-RACHNATMAK'!AE328)),"C","")))</f>
        <v/>
      </c>
      <c r="AC309" s="622" t="str">
        <f>IF(NOT(ISBLANK('A-RACHNATMAK'!AF330)),"A",IF(NOT(ISBLANK('A-RACHNATMAK'!AF329)),"B",IF(NOT(ISBLANK('A-RACHNATMAK'!AF328)),"C","")))</f>
        <v/>
      </c>
      <c r="AD309" s="622" t="str">
        <f>IF(NOT(ISBLANK('A-RACHNATMAK'!AG330)),"A",IF(NOT(ISBLANK('A-RACHNATMAK'!AG329)),"B",IF(NOT(ISBLANK('A-RACHNATMAK'!AG328)),"C","")))</f>
        <v/>
      </c>
      <c r="AE309" s="622" t="str">
        <f>IF(NOT(ISBLANK('A-RACHNATMAK'!AH330)),"A",IF(NOT(ISBLANK('A-RACHNATMAK'!AH329)),"B",IF(NOT(ISBLANK('A-RACHNATMAK'!AH328)),"C","")))</f>
        <v/>
      </c>
      <c r="AF309" s="622" t="str">
        <f>IF(NOT(ISBLANK('A-RACHNATMAK'!AI330)),"A",IF(NOT(ISBLANK('A-RACHNATMAK'!AI329)),"B",IF(NOT(ISBLANK('A-RACHNATMAK'!AI328)),"C","")))</f>
        <v/>
      </c>
      <c r="AG309" s="622" t="str">
        <f>IF(NOT(ISBLANK('A-RACHNATMAK'!AJ330)),"A",IF(NOT(ISBLANK('A-RACHNATMAK'!AJ329)),"B",IF(NOT(ISBLANK('A-RACHNATMAK'!AJ328)),"C","")))</f>
        <v/>
      </c>
      <c r="AH309" s="622" t="str">
        <f>IF(NOT(ISBLANK('A-RACHNATMAK'!AK330)),"A",IF(NOT(ISBLANK('A-RACHNATMAK'!AK329)),"B",IF(NOT(ISBLANK('A-RACHNATMAK'!AK328)),"C","")))</f>
        <v/>
      </c>
      <c r="AI309" s="622" t="str">
        <f>IF(NOT(ISBLANK('A-RACHNATMAK'!AL330)),"A",IF(NOT(ISBLANK('A-RACHNATMAK'!AL329)),"B",IF(NOT(ISBLANK('A-RACHNATMAK'!AL328)),"C","")))</f>
        <v/>
      </c>
      <c r="AJ309" s="622" t="str">
        <f>IF(NOT(ISBLANK('A-RACHNATMAK'!AM330)),"A",IF(NOT(ISBLANK('A-RACHNATMAK'!AM329)),"B",IF(NOT(ISBLANK('A-RACHNATMAK'!AM328)),"C","")))</f>
        <v/>
      </c>
      <c r="AK309" s="622" t="str">
        <f>IF(NOT(ISBLANK('A-RACHNATMAK'!AN330)),"A",IF(NOT(ISBLANK('A-RACHNATMAK'!AN329)),"B",IF(NOT(ISBLANK('A-RACHNATMAK'!AN328)),"C","")))</f>
        <v/>
      </c>
      <c r="AL309" s="622" t="str">
        <f>IF(NOT(ISBLANK('A-RACHNATMAK'!AO330)),"A",IF(NOT(ISBLANK('A-RACHNATMAK'!AO329)),"B",IF(NOT(ISBLANK('A-RACHNATMAK'!AO328)),"C","")))</f>
        <v/>
      </c>
      <c r="AM309" s="622" t="str">
        <f>IF(NOT(ISBLANK('A-RACHNATMAK'!AP330)),"A",IF(NOT(ISBLANK('A-RACHNATMAK'!AP329)),"B",IF(NOT(ISBLANK('A-RACHNATMAK'!AP328)),"C","")))</f>
        <v/>
      </c>
      <c r="AN309" s="622" t="str">
        <f>IF(NOT(ISBLANK('A-RACHNATMAK'!AQ330)),"A",IF(NOT(ISBLANK('A-RACHNATMAK'!AQ329)),"B",IF(NOT(ISBLANK('A-RACHNATMAK'!AQ328)),"C","")))</f>
        <v/>
      </c>
      <c r="AO309" s="622" t="str">
        <f>IF(NOT(ISBLANK('A-RACHNATMAK'!AR330)),"A",IF(NOT(ISBLANK('A-RACHNATMAK'!AR329)),"B",IF(NOT(ISBLANK('A-RACHNATMAK'!AR328)),"C","")))</f>
        <v/>
      </c>
      <c r="AP309" s="622" t="str">
        <f>IF(NOT(ISBLANK('A-RACHNATMAK'!AS330)),"A",IF(NOT(ISBLANK('A-RACHNATMAK'!AS329)),"B",IF(NOT(ISBLANK('A-RACHNATMAK'!AS328)),"C","")))</f>
        <v/>
      </c>
      <c r="AQ309" s="622" t="str">
        <f>IF(NOT(ISBLANK('A-RACHNATMAK'!AT330)),"A",IF(NOT(ISBLANK('A-RACHNATMAK'!AT329)),"B",IF(NOT(ISBLANK('A-RACHNATMAK'!AT328)),"C","")))</f>
        <v/>
      </c>
      <c r="AR309" s="622" t="str">
        <f>IF(NOT(ISBLANK('A-RACHNATMAK'!AU330)),"A",IF(NOT(ISBLANK('A-RACHNATMAK'!AU329)),"B",IF(NOT(ISBLANK('A-RACHNATMAK'!AU328)),"C","")))</f>
        <v/>
      </c>
      <c r="AS309" s="622" t="str">
        <f>IF(NOT(ISBLANK('A-RACHNATMAK'!AV330)),"A",IF(NOT(ISBLANK('A-RACHNATMAK'!AV329)),"B",IF(NOT(ISBLANK('A-RACHNATMAK'!AV328)),"C","")))</f>
        <v/>
      </c>
      <c r="AT309" s="622" t="str">
        <f>IF(NOT(ISBLANK('A-RACHNATMAK'!AW330)),"A",IF(NOT(ISBLANK('A-RACHNATMAK'!AW329)),"B",IF(NOT(ISBLANK('A-RACHNATMAK'!AW328)),"C","")))</f>
        <v/>
      </c>
      <c r="AU309" s="622">
        <f t="shared" ref="AU309" si="591">COUNTIF(AA309:AT309,"A")</f>
        <v>0</v>
      </c>
      <c r="AV309" s="622">
        <f t="shared" ref="AV309" si="592">COUNTIF(AA309:AT309,"B")</f>
        <v>0</v>
      </c>
      <c r="AW309" s="622">
        <f t="shared" ref="AW309" si="593">COUNTIF(AA309:AT309,"C")</f>
        <v>0</v>
      </c>
    </row>
    <row r="310" spans="1:49" ht="7.5" customHeight="1">
      <c r="A310" s="623"/>
      <c r="B310" s="622"/>
      <c r="C310" s="622"/>
      <c r="D310" s="622"/>
      <c r="E310" s="622"/>
      <c r="F310" s="622"/>
      <c r="G310" s="622"/>
      <c r="H310" s="622"/>
      <c r="I310" s="622"/>
      <c r="J310" s="622"/>
      <c r="K310" s="622"/>
      <c r="L310" s="622"/>
      <c r="M310" s="622"/>
      <c r="N310" s="622"/>
      <c r="O310" s="622"/>
      <c r="P310" s="622"/>
      <c r="Q310" s="622"/>
      <c r="R310" s="622"/>
      <c r="S310" s="622"/>
      <c r="T310" s="622"/>
      <c r="U310" s="622"/>
      <c r="V310" s="622"/>
      <c r="W310" s="622"/>
      <c r="X310" s="622"/>
      <c r="Y310" s="330"/>
      <c r="Z310" s="623"/>
      <c r="AA310" s="622"/>
      <c r="AB310" s="622"/>
      <c r="AC310" s="622"/>
      <c r="AD310" s="622"/>
      <c r="AE310" s="622"/>
      <c r="AF310" s="622"/>
      <c r="AG310" s="622"/>
      <c r="AH310" s="622"/>
      <c r="AI310" s="622"/>
      <c r="AJ310" s="622"/>
      <c r="AK310" s="622"/>
      <c r="AL310" s="622"/>
      <c r="AM310" s="622"/>
      <c r="AN310" s="622"/>
      <c r="AO310" s="622"/>
      <c r="AP310" s="622"/>
      <c r="AQ310" s="622"/>
      <c r="AR310" s="622"/>
      <c r="AS310" s="622"/>
      <c r="AT310" s="622"/>
      <c r="AU310" s="622"/>
      <c r="AV310" s="622"/>
      <c r="AW310" s="622"/>
    </row>
    <row r="311" spans="1:49" ht="7.5" customHeight="1">
      <c r="A311" s="623"/>
      <c r="B311" s="622"/>
      <c r="C311" s="622"/>
      <c r="D311" s="622"/>
      <c r="E311" s="622"/>
      <c r="F311" s="622"/>
      <c r="G311" s="622"/>
      <c r="H311" s="622"/>
      <c r="I311" s="622"/>
      <c r="J311" s="622"/>
      <c r="K311" s="622"/>
      <c r="L311" s="622"/>
      <c r="M311" s="622"/>
      <c r="N311" s="622"/>
      <c r="O311" s="622"/>
      <c r="P311" s="622"/>
      <c r="Q311" s="622"/>
      <c r="R311" s="622"/>
      <c r="S311" s="622"/>
      <c r="T311" s="622"/>
      <c r="U311" s="622"/>
      <c r="V311" s="622"/>
      <c r="W311" s="622"/>
      <c r="X311" s="622"/>
      <c r="Y311" s="330"/>
      <c r="Z311" s="623"/>
      <c r="AA311" s="622"/>
      <c r="AB311" s="622"/>
      <c r="AC311" s="622"/>
      <c r="AD311" s="622"/>
      <c r="AE311" s="622"/>
      <c r="AF311" s="622"/>
      <c r="AG311" s="622"/>
      <c r="AH311" s="622"/>
      <c r="AI311" s="622"/>
      <c r="AJ311" s="622"/>
      <c r="AK311" s="622"/>
      <c r="AL311" s="622"/>
      <c r="AM311" s="622"/>
      <c r="AN311" s="622"/>
      <c r="AO311" s="622"/>
      <c r="AP311" s="622"/>
      <c r="AQ311" s="622"/>
      <c r="AR311" s="622"/>
      <c r="AS311" s="622"/>
      <c r="AT311" s="622"/>
      <c r="AU311" s="622"/>
      <c r="AV311" s="622"/>
      <c r="AW311" s="622"/>
    </row>
    <row r="312" spans="1:49" ht="7.5" customHeight="1">
      <c r="A312" s="623">
        <v>33</v>
      </c>
      <c r="B312" s="622" t="str">
        <f>IF(NOT(ISBLANK('A-RACHNATMAK'!C333)),"A",IF(NOT(ISBLANK('A-RACHNATMAK'!C332)),"B",IF(NOT(ISBLANK('A-RACHNATMAK'!C331)),"C","")))</f>
        <v/>
      </c>
      <c r="C312" s="622" t="str">
        <f>IF(NOT(ISBLANK('A-RACHNATMAK'!D333)),"A",IF(NOT(ISBLANK('A-RACHNATMAK'!D332)),"B",IF(NOT(ISBLANK('A-RACHNATMAK'!D331)),"C","")))</f>
        <v/>
      </c>
      <c r="D312" s="622" t="str">
        <f>IF(NOT(ISBLANK('A-RACHNATMAK'!E333)),"A",IF(NOT(ISBLANK('A-RACHNATMAK'!E332)),"B",IF(NOT(ISBLANK('A-RACHNATMAK'!E331)),"C","")))</f>
        <v/>
      </c>
      <c r="E312" s="622" t="str">
        <f>IF(NOT(ISBLANK('A-RACHNATMAK'!F333)),"A",IF(NOT(ISBLANK('A-RACHNATMAK'!F332)),"B",IF(NOT(ISBLANK('A-RACHNATMAK'!F331)),"C","")))</f>
        <v/>
      </c>
      <c r="F312" s="622" t="str">
        <f>IF(NOT(ISBLANK('A-RACHNATMAK'!G333)),"A",IF(NOT(ISBLANK('A-RACHNATMAK'!G332)),"B",IF(NOT(ISBLANK('A-RACHNATMAK'!G331)),"C","")))</f>
        <v/>
      </c>
      <c r="G312" s="622" t="str">
        <f>IF(NOT(ISBLANK('A-RACHNATMAK'!H333)),"A",IF(NOT(ISBLANK('A-RACHNATMAK'!H332)),"B",IF(NOT(ISBLANK('A-RACHNATMAK'!H331)),"C","")))</f>
        <v/>
      </c>
      <c r="H312" s="622" t="str">
        <f>IF(NOT(ISBLANK('A-RACHNATMAK'!I333)),"A",IF(NOT(ISBLANK('A-RACHNATMAK'!I332)),"B",IF(NOT(ISBLANK('A-RACHNATMAK'!I331)),"C","")))</f>
        <v/>
      </c>
      <c r="I312" s="622" t="str">
        <f>IF(NOT(ISBLANK('A-RACHNATMAK'!J333)),"A",IF(NOT(ISBLANK('A-RACHNATMAK'!J332)),"B",IF(NOT(ISBLANK('A-RACHNATMAK'!J331)),"C","")))</f>
        <v/>
      </c>
      <c r="J312" s="622" t="str">
        <f>IF(NOT(ISBLANK('A-RACHNATMAK'!K333)),"A",IF(NOT(ISBLANK('A-RACHNATMAK'!K332)),"B",IF(NOT(ISBLANK('A-RACHNATMAK'!K331)),"C","")))</f>
        <v/>
      </c>
      <c r="K312" s="622" t="str">
        <f>IF(NOT(ISBLANK('A-RACHNATMAK'!L333)),"A",IF(NOT(ISBLANK('A-RACHNATMAK'!L332)),"B",IF(NOT(ISBLANK('A-RACHNATMAK'!L331)),"C","")))</f>
        <v/>
      </c>
      <c r="L312" s="622" t="str">
        <f>IF(NOT(ISBLANK('A-RACHNATMAK'!M333)),"A",IF(NOT(ISBLANK('A-RACHNATMAK'!M332)),"B",IF(NOT(ISBLANK('A-RACHNATMAK'!M331)),"C","")))</f>
        <v/>
      </c>
      <c r="M312" s="622" t="str">
        <f>IF(NOT(ISBLANK('A-RACHNATMAK'!N333)),"A",IF(NOT(ISBLANK('A-RACHNATMAK'!N332)),"B",IF(NOT(ISBLANK('A-RACHNATMAK'!N331)),"C","")))</f>
        <v/>
      </c>
      <c r="N312" s="622" t="str">
        <f>IF(NOT(ISBLANK('A-RACHNATMAK'!O333)),"A",IF(NOT(ISBLANK('A-RACHNATMAK'!O332)),"B",IF(NOT(ISBLANK('A-RACHNATMAK'!O331)),"C","")))</f>
        <v/>
      </c>
      <c r="O312" s="622" t="str">
        <f>IF(NOT(ISBLANK('A-RACHNATMAK'!P333)),"A",IF(NOT(ISBLANK('A-RACHNATMAK'!P332)),"B",IF(NOT(ISBLANK('A-RACHNATMAK'!P331)),"C","")))</f>
        <v/>
      </c>
      <c r="P312" s="622" t="str">
        <f>IF(NOT(ISBLANK('A-RACHNATMAK'!Q333)),"A",IF(NOT(ISBLANK('A-RACHNATMAK'!Q332)),"B",IF(NOT(ISBLANK('A-RACHNATMAK'!Q331)),"C","")))</f>
        <v/>
      </c>
      <c r="Q312" s="622" t="str">
        <f>IF(NOT(ISBLANK('A-RACHNATMAK'!R333)),"A",IF(NOT(ISBLANK('A-RACHNATMAK'!R332)),"B",IF(NOT(ISBLANK('A-RACHNATMAK'!R331)),"C","")))</f>
        <v/>
      </c>
      <c r="R312" s="622" t="str">
        <f>IF(NOT(ISBLANK('A-RACHNATMAK'!S333)),"A",IF(NOT(ISBLANK('A-RACHNATMAK'!S332)),"B",IF(NOT(ISBLANK('A-RACHNATMAK'!S331)),"C","")))</f>
        <v/>
      </c>
      <c r="S312" s="622" t="str">
        <f>IF(NOT(ISBLANK('A-RACHNATMAK'!T333)),"A",IF(NOT(ISBLANK('A-RACHNATMAK'!T332)),"B",IF(NOT(ISBLANK('A-RACHNATMAK'!T331)),"C","")))</f>
        <v/>
      </c>
      <c r="T312" s="622" t="str">
        <f>IF(NOT(ISBLANK('A-RACHNATMAK'!U333)),"A",IF(NOT(ISBLANK('A-RACHNATMAK'!U332)),"B",IF(NOT(ISBLANK('A-RACHNATMAK'!U331)),"C","")))</f>
        <v/>
      </c>
      <c r="U312" s="622" t="str">
        <f>IF(NOT(ISBLANK('A-RACHNATMAK'!V333)),"A",IF(NOT(ISBLANK('A-RACHNATMAK'!V332)),"B",IF(NOT(ISBLANK('A-RACHNATMAK'!V331)),"C","")))</f>
        <v/>
      </c>
      <c r="V312" s="622">
        <f t="shared" ref="V312" si="594">COUNTIF(B312:U312,"A")</f>
        <v>0</v>
      </c>
      <c r="W312" s="622">
        <f t="shared" ref="W312" si="595">COUNTIF(B312:U312,"B")</f>
        <v>0</v>
      </c>
      <c r="X312" s="622">
        <f t="shared" ref="X312" si="596">COUNTIF(B312:U312,"C")</f>
        <v>0</v>
      </c>
      <c r="Y312" s="330"/>
      <c r="Z312" s="623">
        <v>33</v>
      </c>
      <c r="AA312" s="622" t="str">
        <f>IF(NOT(ISBLANK('A-RACHNATMAK'!AD333)),"A",IF(NOT(ISBLANK('A-RACHNATMAK'!AD332)),"B",IF(NOT(ISBLANK('A-RACHNATMAK'!AD331)),"C","")))</f>
        <v/>
      </c>
      <c r="AB312" s="622" t="str">
        <f>IF(NOT(ISBLANK('A-RACHNATMAK'!AE333)),"A",IF(NOT(ISBLANK('A-RACHNATMAK'!AE332)),"B",IF(NOT(ISBLANK('A-RACHNATMAK'!AE331)),"C","")))</f>
        <v/>
      </c>
      <c r="AC312" s="622" t="str">
        <f>IF(NOT(ISBLANK('A-RACHNATMAK'!AF333)),"A",IF(NOT(ISBLANK('A-RACHNATMAK'!AF332)),"B",IF(NOT(ISBLANK('A-RACHNATMAK'!AF331)),"C","")))</f>
        <v/>
      </c>
      <c r="AD312" s="622" t="str">
        <f>IF(NOT(ISBLANK('A-RACHNATMAK'!AG333)),"A",IF(NOT(ISBLANK('A-RACHNATMAK'!AG332)),"B",IF(NOT(ISBLANK('A-RACHNATMAK'!AG331)),"C","")))</f>
        <v/>
      </c>
      <c r="AE312" s="622" t="str">
        <f>IF(NOT(ISBLANK('A-RACHNATMAK'!AH333)),"A",IF(NOT(ISBLANK('A-RACHNATMAK'!AH332)),"B",IF(NOT(ISBLANK('A-RACHNATMAK'!AH331)),"C","")))</f>
        <v/>
      </c>
      <c r="AF312" s="622" t="str">
        <f>IF(NOT(ISBLANK('A-RACHNATMAK'!AI333)),"A",IF(NOT(ISBLANK('A-RACHNATMAK'!AI332)),"B",IF(NOT(ISBLANK('A-RACHNATMAK'!AI331)),"C","")))</f>
        <v/>
      </c>
      <c r="AG312" s="622" t="str">
        <f>IF(NOT(ISBLANK('A-RACHNATMAK'!AJ333)),"A",IF(NOT(ISBLANK('A-RACHNATMAK'!AJ332)),"B",IF(NOT(ISBLANK('A-RACHNATMAK'!AJ331)),"C","")))</f>
        <v/>
      </c>
      <c r="AH312" s="622" t="str">
        <f>IF(NOT(ISBLANK('A-RACHNATMAK'!AK333)),"A",IF(NOT(ISBLANK('A-RACHNATMAK'!AK332)),"B",IF(NOT(ISBLANK('A-RACHNATMAK'!AK331)),"C","")))</f>
        <v/>
      </c>
      <c r="AI312" s="622" t="str">
        <f>IF(NOT(ISBLANK('A-RACHNATMAK'!AL333)),"A",IF(NOT(ISBLANK('A-RACHNATMAK'!AL332)),"B",IF(NOT(ISBLANK('A-RACHNATMAK'!AL331)),"C","")))</f>
        <v/>
      </c>
      <c r="AJ312" s="622" t="str">
        <f>IF(NOT(ISBLANK('A-RACHNATMAK'!AM333)),"A",IF(NOT(ISBLANK('A-RACHNATMAK'!AM332)),"B",IF(NOT(ISBLANK('A-RACHNATMAK'!AM331)),"C","")))</f>
        <v/>
      </c>
      <c r="AK312" s="622" t="str">
        <f>IF(NOT(ISBLANK('A-RACHNATMAK'!AN333)),"A",IF(NOT(ISBLANK('A-RACHNATMAK'!AN332)),"B",IF(NOT(ISBLANK('A-RACHNATMAK'!AN331)),"C","")))</f>
        <v/>
      </c>
      <c r="AL312" s="622" t="str">
        <f>IF(NOT(ISBLANK('A-RACHNATMAK'!AO333)),"A",IF(NOT(ISBLANK('A-RACHNATMAK'!AO332)),"B",IF(NOT(ISBLANK('A-RACHNATMAK'!AO331)),"C","")))</f>
        <v/>
      </c>
      <c r="AM312" s="622" t="str">
        <f>IF(NOT(ISBLANK('A-RACHNATMAK'!AP333)),"A",IF(NOT(ISBLANK('A-RACHNATMAK'!AP332)),"B",IF(NOT(ISBLANK('A-RACHNATMAK'!AP331)),"C","")))</f>
        <v/>
      </c>
      <c r="AN312" s="622" t="str">
        <f>IF(NOT(ISBLANK('A-RACHNATMAK'!AQ333)),"A",IF(NOT(ISBLANK('A-RACHNATMAK'!AQ332)),"B",IF(NOT(ISBLANK('A-RACHNATMAK'!AQ331)),"C","")))</f>
        <v/>
      </c>
      <c r="AO312" s="622" t="str">
        <f>IF(NOT(ISBLANK('A-RACHNATMAK'!AR333)),"A",IF(NOT(ISBLANK('A-RACHNATMAK'!AR332)),"B",IF(NOT(ISBLANK('A-RACHNATMAK'!AR331)),"C","")))</f>
        <v/>
      </c>
      <c r="AP312" s="622" t="str">
        <f>IF(NOT(ISBLANK('A-RACHNATMAK'!AS333)),"A",IF(NOT(ISBLANK('A-RACHNATMAK'!AS332)),"B",IF(NOT(ISBLANK('A-RACHNATMAK'!AS331)),"C","")))</f>
        <v/>
      </c>
      <c r="AQ312" s="622" t="str">
        <f>IF(NOT(ISBLANK('A-RACHNATMAK'!AT333)),"A",IF(NOT(ISBLANK('A-RACHNATMAK'!AT332)),"B",IF(NOT(ISBLANK('A-RACHNATMAK'!AT331)),"C","")))</f>
        <v/>
      </c>
      <c r="AR312" s="622" t="str">
        <f>IF(NOT(ISBLANK('A-RACHNATMAK'!AU333)),"A",IF(NOT(ISBLANK('A-RACHNATMAK'!AU332)),"B",IF(NOT(ISBLANK('A-RACHNATMAK'!AU331)),"C","")))</f>
        <v/>
      </c>
      <c r="AS312" s="622" t="str">
        <f>IF(NOT(ISBLANK('A-RACHNATMAK'!AV333)),"A",IF(NOT(ISBLANK('A-RACHNATMAK'!AV332)),"B",IF(NOT(ISBLANK('A-RACHNATMAK'!AV331)),"C","")))</f>
        <v/>
      </c>
      <c r="AT312" s="622" t="str">
        <f>IF(NOT(ISBLANK('A-RACHNATMAK'!AW333)),"A",IF(NOT(ISBLANK('A-RACHNATMAK'!AW332)),"B",IF(NOT(ISBLANK('A-RACHNATMAK'!AW331)),"C","")))</f>
        <v/>
      </c>
      <c r="AU312" s="622">
        <f t="shared" ref="AU312" si="597">COUNTIF(AA312:AT312,"A")</f>
        <v>0</v>
      </c>
      <c r="AV312" s="622">
        <f t="shared" ref="AV312" si="598">COUNTIF(AA312:AT312,"B")</f>
        <v>0</v>
      </c>
      <c r="AW312" s="622">
        <f t="shared" ref="AW312" si="599">COUNTIF(AA312:AT312,"C")</f>
        <v>0</v>
      </c>
    </row>
    <row r="313" spans="1:49" ht="7.5" customHeight="1">
      <c r="A313" s="623"/>
      <c r="B313" s="622"/>
      <c r="C313" s="622"/>
      <c r="D313" s="622"/>
      <c r="E313" s="622"/>
      <c r="F313" s="622"/>
      <c r="G313" s="622"/>
      <c r="H313" s="622"/>
      <c r="I313" s="622"/>
      <c r="J313" s="622"/>
      <c r="K313" s="622"/>
      <c r="L313" s="622"/>
      <c r="M313" s="622"/>
      <c r="N313" s="622"/>
      <c r="O313" s="622"/>
      <c r="P313" s="622"/>
      <c r="Q313" s="622"/>
      <c r="R313" s="622"/>
      <c r="S313" s="622"/>
      <c r="T313" s="622"/>
      <c r="U313" s="622"/>
      <c r="V313" s="622"/>
      <c r="W313" s="622"/>
      <c r="X313" s="622"/>
      <c r="Y313" s="330"/>
      <c r="Z313" s="623"/>
      <c r="AA313" s="622"/>
      <c r="AB313" s="622"/>
      <c r="AC313" s="622"/>
      <c r="AD313" s="622"/>
      <c r="AE313" s="622"/>
      <c r="AF313" s="622"/>
      <c r="AG313" s="622"/>
      <c r="AH313" s="622"/>
      <c r="AI313" s="622"/>
      <c r="AJ313" s="622"/>
      <c r="AK313" s="622"/>
      <c r="AL313" s="622"/>
      <c r="AM313" s="622"/>
      <c r="AN313" s="622"/>
      <c r="AO313" s="622"/>
      <c r="AP313" s="622"/>
      <c r="AQ313" s="622"/>
      <c r="AR313" s="622"/>
      <c r="AS313" s="622"/>
      <c r="AT313" s="622"/>
      <c r="AU313" s="622"/>
      <c r="AV313" s="622"/>
      <c r="AW313" s="622"/>
    </row>
    <row r="314" spans="1:49" ht="7.5" customHeight="1">
      <c r="A314" s="623"/>
      <c r="B314" s="622"/>
      <c r="C314" s="622"/>
      <c r="D314" s="622"/>
      <c r="E314" s="622"/>
      <c r="F314" s="622"/>
      <c r="G314" s="622"/>
      <c r="H314" s="622"/>
      <c r="I314" s="622"/>
      <c r="J314" s="622"/>
      <c r="K314" s="622"/>
      <c r="L314" s="622"/>
      <c r="M314" s="622"/>
      <c r="N314" s="622"/>
      <c r="O314" s="622"/>
      <c r="P314" s="622"/>
      <c r="Q314" s="622"/>
      <c r="R314" s="622"/>
      <c r="S314" s="622"/>
      <c r="T314" s="622"/>
      <c r="U314" s="622"/>
      <c r="V314" s="622"/>
      <c r="W314" s="622"/>
      <c r="X314" s="622"/>
      <c r="Y314" s="330"/>
      <c r="Z314" s="623"/>
      <c r="AA314" s="622"/>
      <c r="AB314" s="622"/>
      <c r="AC314" s="622"/>
      <c r="AD314" s="622"/>
      <c r="AE314" s="622"/>
      <c r="AF314" s="622"/>
      <c r="AG314" s="622"/>
      <c r="AH314" s="622"/>
      <c r="AI314" s="622"/>
      <c r="AJ314" s="622"/>
      <c r="AK314" s="622"/>
      <c r="AL314" s="622"/>
      <c r="AM314" s="622"/>
      <c r="AN314" s="622"/>
      <c r="AO314" s="622"/>
      <c r="AP314" s="622"/>
      <c r="AQ314" s="622"/>
      <c r="AR314" s="622"/>
      <c r="AS314" s="622"/>
      <c r="AT314" s="622"/>
      <c r="AU314" s="622"/>
      <c r="AV314" s="622"/>
      <c r="AW314" s="622"/>
    </row>
    <row r="315" spans="1:49" ht="7.5" customHeight="1">
      <c r="A315" s="623">
        <v>34</v>
      </c>
      <c r="B315" s="622" t="str">
        <f>IF(NOT(ISBLANK('A-RACHNATMAK'!C336)),"A",IF(NOT(ISBLANK('A-RACHNATMAK'!C335)),"B",IF(NOT(ISBLANK('A-RACHNATMAK'!C334)),"C","")))</f>
        <v/>
      </c>
      <c r="C315" s="622" t="str">
        <f>IF(NOT(ISBLANK('A-RACHNATMAK'!D336)),"A",IF(NOT(ISBLANK('A-RACHNATMAK'!D335)),"B",IF(NOT(ISBLANK('A-RACHNATMAK'!D334)),"C","")))</f>
        <v/>
      </c>
      <c r="D315" s="622" t="str">
        <f>IF(NOT(ISBLANK('A-RACHNATMAK'!E336)),"A",IF(NOT(ISBLANK('A-RACHNATMAK'!E335)),"B",IF(NOT(ISBLANK('A-RACHNATMAK'!E334)),"C","")))</f>
        <v/>
      </c>
      <c r="E315" s="622" t="str">
        <f>IF(NOT(ISBLANK('A-RACHNATMAK'!F336)),"A",IF(NOT(ISBLANK('A-RACHNATMAK'!F335)),"B",IF(NOT(ISBLANK('A-RACHNATMAK'!F334)),"C","")))</f>
        <v/>
      </c>
      <c r="F315" s="622" t="str">
        <f>IF(NOT(ISBLANK('A-RACHNATMAK'!G336)),"A",IF(NOT(ISBLANK('A-RACHNATMAK'!G335)),"B",IF(NOT(ISBLANK('A-RACHNATMAK'!G334)),"C","")))</f>
        <v/>
      </c>
      <c r="G315" s="622" t="str">
        <f>IF(NOT(ISBLANK('A-RACHNATMAK'!H336)),"A",IF(NOT(ISBLANK('A-RACHNATMAK'!H335)),"B",IF(NOT(ISBLANK('A-RACHNATMAK'!H334)),"C","")))</f>
        <v/>
      </c>
      <c r="H315" s="622" t="str">
        <f>IF(NOT(ISBLANK('A-RACHNATMAK'!I336)),"A",IF(NOT(ISBLANK('A-RACHNATMAK'!I335)),"B",IF(NOT(ISBLANK('A-RACHNATMAK'!I334)),"C","")))</f>
        <v/>
      </c>
      <c r="I315" s="622" t="str">
        <f>IF(NOT(ISBLANK('A-RACHNATMAK'!J336)),"A",IF(NOT(ISBLANK('A-RACHNATMAK'!J335)),"B",IF(NOT(ISBLANK('A-RACHNATMAK'!J334)),"C","")))</f>
        <v/>
      </c>
      <c r="J315" s="622" t="str">
        <f>IF(NOT(ISBLANK('A-RACHNATMAK'!K336)),"A",IF(NOT(ISBLANK('A-RACHNATMAK'!K335)),"B",IF(NOT(ISBLANK('A-RACHNATMAK'!K334)),"C","")))</f>
        <v/>
      </c>
      <c r="K315" s="622" t="str">
        <f>IF(NOT(ISBLANK('A-RACHNATMAK'!L336)),"A",IF(NOT(ISBLANK('A-RACHNATMAK'!L335)),"B",IF(NOT(ISBLANK('A-RACHNATMAK'!L334)),"C","")))</f>
        <v/>
      </c>
      <c r="L315" s="622" t="str">
        <f>IF(NOT(ISBLANK('A-RACHNATMAK'!M336)),"A",IF(NOT(ISBLANK('A-RACHNATMAK'!M335)),"B",IF(NOT(ISBLANK('A-RACHNATMAK'!M334)),"C","")))</f>
        <v/>
      </c>
      <c r="M315" s="622" t="str">
        <f>IF(NOT(ISBLANK('A-RACHNATMAK'!N336)),"A",IF(NOT(ISBLANK('A-RACHNATMAK'!N335)),"B",IF(NOT(ISBLANK('A-RACHNATMAK'!N334)),"C","")))</f>
        <v/>
      </c>
      <c r="N315" s="622" t="str">
        <f>IF(NOT(ISBLANK('A-RACHNATMAK'!O336)),"A",IF(NOT(ISBLANK('A-RACHNATMAK'!O335)),"B",IF(NOT(ISBLANK('A-RACHNATMAK'!O334)),"C","")))</f>
        <v/>
      </c>
      <c r="O315" s="622" t="str">
        <f>IF(NOT(ISBLANK('A-RACHNATMAK'!P336)),"A",IF(NOT(ISBLANK('A-RACHNATMAK'!P335)),"B",IF(NOT(ISBLANK('A-RACHNATMAK'!P334)),"C","")))</f>
        <v/>
      </c>
      <c r="P315" s="622" t="str">
        <f>IF(NOT(ISBLANK('A-RACHNATMAK'!Q336)),"A",IF(NOT(ISBLANK('A-RACHNATMAK'!Q335)),"B",IF(NOT(ISBLANK('A-RACHNATMAK'!Q334)),"C","")))</f>
        <v/>
      </c>
      <c r="Q315" s="622" t="str">
        <f>IF(NOT(ISBLANK('A-RACHNATMAK'!R336)),"A",IF(NOT(ISBLANK('A-RACHNATMAK'!R335)),"B",IF(NOT(ISBLANK('A-RACHNATMAK'!R334)),"C","")))</f>
        <v/>
      </c>
      <c r="R315" s="622" t="str">
        <f>IF(NOT(ISBLANK('A-RACHNATMAK'!S336)),"A",IF(NOT(ISBLANK('A-RACHNATMAK'!S335)),"B",IF(NOT(ISBLANK('A-RACHNATMAK'!S334)),"C","")))</f>
        <v/>
      </c>
      <c r="S315" s="622" t="str">
        <f>IF(NOT(ISBLANK('A-RACHNATMAK'!T336)),"A",IF(NOT(ISBLANK('A-RACHNATMAK'!T335)),"B",IF(NOT(ISBLANK('A-RACHNATMAK'!T334)),"C","")))</f>
        <v/>
      </c>
      <c r="T315" s="622" t="str">
        <f>IF(NOT(ISBLANK('A-RACHNATMAK'!U336)),"A",IF(NOT(ISBLANK('A-RACHNATMAK'!U335)),"B",IF(NOT(ISBLANK('A-RACHNATMAK'!U334)),"C","")))</f>
        <v/>
      </c>
      <c r="U315" s="622" t="str">
        <f>IF(NOT(ISBLANK('A-RACHNATMAK'!V336)),"A",IF(NOT(ISBLANK('A-RACHNATMAK'!V335)),"B",IF(NOT(ISBLANK('A-RACHNATMAK'!V334)),"C","")))</f>
        <v/>
      </c>
      <c r="V315" s="622">
        <f t="shared" ref="V315" si="600">COUNTIF(B315:U315,"A")</f>
        <v>0</v>
      </c>
      <c r="W315" s="622">
        <f t="shared" ref="W315" si="601">COUNTIF(B315:U315,"B")</f>
        <v>0</v>
      </c>
      <c r="X315" s="622">
        <f t="shared" ref="X315" si="602">COUNTIF(B315:U315,"C")</f>
        <v>0</v>
      </c>
      <c r="Y315" s="330"/>
      <c r="Z315" s="623">
        <v>34</v>
      </c>
      <c r="AA315" s="622" t="str">
        <f>IF(NOT(ISBLANK('A-RACHNATMAK'!AD336)),"A",IF(NOT(ISBLANK('A-RACHNATMAK'!AD335)),"B",IF(NOT(ISBLANK('A-RACHNATMAK'!AD334)),"C","")))</f>
        <v/>
      </c>
      <c r="AB315" s="622" t="str">
        <f>IF(NOT(ISBLANK('A-RACHNATMAK'!AE336)),"A",IF(NOT(ISBLANK('A-RACHNATMAK'!AE335)),"B",IF(NOT(ISBLANK('A-RACHNATMAK'!AE334)),"C","")))</f>
        <v/>
      </c>
      <c r="AC315" s="622" t="str">
        <f>IF(NOT(ISBLANK('A-RACHNATMAK'!AF336)),"A",IF(NOT(ISBLANK('A-RACHNATMAK'!AF335)),"B",IF(NOT(ISBLANK('A-RACHNATMAK'!AF334)),"C","")))</f>
        <v/>
      </c>
      <c r="AD315" s="622" t="str">
        <f>IF(NOT(ISBLANK('A-RACHNATMAK'!AG336)),"A",IF(NOT(ISBLANK('A-RACHNATMAK'!AG335)),"B",IF(NOT(ISBLANK('A-RACHNATMAK'!AG334)),"C","")))</f>
        <v/>
      </c>
      <c r="AE315" s="622" t="str">
        <f>IF(NOT(ISBLANK('A-RACHNATMAK'!AH336)),"A",IF(NOT(ISBLANK('A-RACHNATMAK'!AH335)),"B",IF(NOT(ISBLANK('A-RACHNATMAK'!AH334)),"C","")))</f>
        <v/>
      </c>
      <c r="AF315" s="622" t="str">
        <f>IF(NOT(ISBLANK('A-RACHNATMAK'!AI336)),"A",IF(NOT(ISBLANK('A-RACHNATMAK'!AI335)),"B",IF(NOT(ISBLANK('A-RACHNATMAK'!AI334)),"C","")))</f>
        <v/>
      </c>
      <c r="AG315" s="622" t="str">
        <f>IF(NOT(ISBLANK('A-RACHNATMAK'!AJ336)),"A",IF(NOT(ISBLANK('A-RACHNATMAK'!AJ335)),"B",IF(NOT(ISBLANK('A-RACHNATMAK'!AJ334)),"C","")))</f>
        <v/>
      </c>
      <c r="AH315" s="622" t="str">
        <f>IF(NOT(ISBLANK('A-RACHNATMAK'!AK336)),"A",IF(NOT(ISBLANK('A-RACHNATMAK'!AK335)),"B",IF(NOT(ISBLANK('A-RACHNATMAK'!AK334)),"C","")))</f>
        <v/>
      </c>
      <c r="AI315" s="622" t="str">
        <f>IF(NOT(ISBLANK('A-RACHNATMAK'!AL336)),"A",IF(NOT(ISBLANK('A-RACHNATMAK'!AL335)),"B",IF(NOT(ISBLANK('A-RACHNATMAK'!AL334)),"C","")))</f>
        <v/>
      </c>
      <c r="AJ315" s="622" t="str">
        <f>IF(NOT(ISBLANK('A-RACHNATMAK'!AM336)),"A",IF(NOT(ISBLANK('A-RACHNATMAK'!AM335)),"B",IF(NOT(ISBLANK('A-RACHNATMAK'!AM334)),"C","")))</f>
        <v/>
      </c>
      <c r="AK315" s="622" t="str">
        <f>IF(NOT(ISBLANK('A-RACHNATMAK'!AN336)),"A",IF(NOT(ISBLANK('A-RACHNATMAK'!AN335)),"B",IF(NOT(ISBLANK('A-RACHNATMAK'!AN334)),"C","")))</f>
        <v/>
      </c>
      <c r="AL315" s="622" t="str">
        <f>IF(NOT(ISBLANK('A-RACHNATMAK'!AO336)),"A",IF(NOT(ISBLANK('A-RACHNATMAK'!AO335)),"B",IF(NOT(ISBLANK('A-RACHNATMAK'!AO334)),"C","")))</f>
        <v/>
      </c>
      <c r="AM315" s="622" t="str">
        <f>IF(NOT(ISBLANK('A-RACHNATMAK'!AP336)),"A",IF(NOT(ISBLANK('A-RACHNATMAK'!AP335)),"B",IF(NOT(ISBLANK('A-RACHNATMAK'!AP334)),"C","")))</f>
        <v/>
      </c>
      <c r="AN315" s="622" t="str">
        <f>IF(NOT(ISBLANK('A-RACHNATMAK'!AQ336)),"A",IF(NOT(ISBLANK('A-RACHNATMAK'!AQ335)),"B",IF(NOT(ISBLANK('A-RACHNATMAK'!AQ334)),"C","")))</f>
        <v/>
      </c>
      <c r="AO315" s="622" t="str">
        <f>IF(NOT(ISBLANK('A-RACHNATMAK'!AR336)),"A",IF(NOT(ISBLANK('A-RACHNATMAK'!AR335)),"B",IF(NOT(ISBLANK('A-RACHNATMAK'!AR334)),"C","")))</f>
        <v/>
      </c>
      <c r="AP315" s="622" t="str">
        <f>IF(NOT(ISBLANK('A-RACHNATMAK'!AS336)),"A",IF(NOT(ISBLANK('A-RACHNATMAK'!AS335)),"B",IF(NOT(ISBLANK('A-RACHNATMAK'!AS334)),"C","")))</f>
        <v/>
      </c>
      <c r="AQ315" s="622" t="str">
        <f>IF(NOT(ISBLANK('A-RACHNATMAK'!AT336)),"A",IF(NOT(ISBLANK('A-RACHNATMAK'!AT335)),"B",IF(NOT(ISBLANK('A-RACHNATMAK'!AT334)),"C","")))</f>
        <v/>
      </c>
      <c r="AR315" s="622" t="str">
        <f>IF(NOT(ISBLANK('A-RACHNATMAK'!AU336)),"A",IF(NOT(ISBLANK('A-RACHNATMAK'!AU335)),"B",IF(NOT(ISBLANK('A-RACHNATMAK'!AU334)),"C","")))</f>
        <v/>
      </c>
      <c r="AS315" s="622" t="str">
        <f>IF(NOT(ISBLANK('A-RACHNATMAK'!AV336)),"A",IF(NOT(ISBLANK('A-RACHNATMAK'!AV335)),"B",IF(NOT(ISBLANK('A-RACHNATMAK'!AV334)),"C","")))</f>
        <v/>
      </c>
      <c r="AT315" s="622" t="str">
        <f>IF(NOT(ISBLANK('A-RACHNATMAK'!AW336)),"A",IF(NOT(ISBLANK('A-RACHNATMAK'!AW335)),"B",IF(NOT(ISBLANK('A-RACHNATMAK'!AW334)),"C","")))</f>
        <v/>
      </c>
      <c r="AU315" s="622">
        <f t="shared" ref="AU315" si="603">COUNTIF(AA315:AT315,"A")</f>
        <v>0</v>
      </c>
      <c r="AV315" s="622">
        <f t="shared" ref="AV315" si="604">COUNTIF(AA315:AT315,"B")</f>
        <v>0</v>
      </c>
      <c r="AW315" s="622">
        <f t="shared" ref="AW315" si="605">COUNTIF(AA315:AT315,"C")</f>
        <v>0</v>
      </c>
    </row>
    <row r="316" spans="1:49" ht="7.5" customHeight="1">
      <c r="A316" s="623"/>
      <c r="B316" s="622"/>
      <c r="C316" s="622"/>
      <c r="D316" s="622"/>
      <c r="E316" s="622"/>
      <c r="F316" s="622"/>
      <c r="G316" s="622"/>
      <c r="H316" s="622"/>
      <c r="I316" s="622"/>
      <c r="J316" s="622"/>
      <c r="K316" s="622"/>
      <c r="L316" s="622"/>
      <c r="M316" s="622"/>
      <c r="N316" s="622"/>
      <c r="O316" s="622"/>
      <c r="P316" s="622"/>
      <c r="Q316" s="622"/>
      <c r="R316" s="622"/>
      <c r="S316" s="622"/>
      <c r="T316" s="622"/>
      <c r="U316" s="622"/>
      <c r="V316" s="622"/>
      <c r="W316" s="622"/>
      <c r="X316" s="622"/>
      <c r="Y316" s="330"/>
      <c r="Z316" s="623"/>
      <c r="AA316" s="622"/>
      <c r="AB316" s="622"/>
      <c r="AC316" s="622"/>
      <c r="AD316" s="622"/>
      <c r="AE316" s="622"/>
      <c r="AF316" s="622"/>
      <c r="AG316" s="622"/>
      <c r="AH316" s="622"/>
      <c r="AI316" s="622"/>
      <c r="AJ316" s="622"/>
      <c r="AK316" s="622"/>
      <c r="AL316" s="622"/>
      <c r="AM316" s="622"/>
      <c r="AN316" s="622"/>
      <c r="AO316" s="622"/>
      <c r="AP316" s="622"/>
      <c r="AQ316" s="622"/>
      <c r="AR316" s="622"/>
      <c r="AS316" s="622"/>
      <c r="AT316" s="622"/>
      <c r="AU316" s="622"/>
      <c r="AV316" s="622"/>
      <c r="AW316" s="622"/>
    </row>
    <row r="317" spans="1:49" ht="7.5" customHeight="1">
      <c r="A317" s="623"/>
      <c r="B317" s="622"/>
      <c r="C317" s="622"/>
      <c r="D317" s="622"/>
      <c r="E317" s="622"/>
      <c r="F317" s="622"/>
      <c r="G317" s="622"/>
      <c r="H317" s="622"/>
      <c r="I317" s="622"/>
      <c r="J317" s="622"/>
      <c r="K317" s="622"/>
      <c r="L317" s="622"/>
      <c r="M317" s="622"/>
      <c r="N317" s="622"/>
      <c r="O317" s="622"/>
      <c r="P317" s="622"/>
      <c r="Q317" s="622"/>
      <c r="R317" s="622"/>
      <c r="S317" s="622"/>
      <c r="T317" s="622"/>
      <c r="U317" s="622"/>
      <c r="V317" s="622"/>
      <c r="W317" s="622"/>
      <c r="X317" s="622"/>
      <c r="Y317" s="330"/>
      <c r="Z317" s="623"/>
      <c r="AA317" s="622"/>
      <c r="AB317" s="622"/>
      <c r="AC317" s="622"/>
      <c r="AD317" s="622"/>
      <c r="AE317" s="622"/>
      <c r="AF317" s="622"/>
      <c r="AG317" s="622"/>
      <c r="AH317" s="622"/>
      <c r="AI317" s="622"/>
      <c r="AJ317" s="622"/>
      <c r="AK317" s="622"/>
      <c r="AL317" s="622"/>
      <c r="AM317" s="622"/>
      <c r="AN317" s="622"/>
      <c r="AO317" s="622"/>
      <c r="AP317" s="622"/>
      <c r="AQ317" s="622"/>
      <c r="AR317" s="622"/>
      <c r="AS317" s="622"/>
      <c r="AT317" s="622"/>
      <c r="AU317" s="622"/>
      <c r="AV317" s="622"/>
      <c r="AW317" s="622"/>
    </row>
    <row r="318" spans="1:49" ht="7.5" customHeight="1">
      <c r="A318" s="623">
        <v>35</v>
      </c>
      <c r="B318" s="622" t="str">
        <f>IF(NOT(ISBLANK('A-RACHNATMAK'!C339)),"A",IF(NOT(ISBLANK('A-RACHNATMAK'!C338)),"B",IF(NOT(ISBLANK('A-RACHNATMAK'!C337)),"C","")))</f>
        <v/>
      </c>
      <c r="C318" s="622" t="str">
        <f>IF(NOT(ISBLANK('A-RACHNATMAK'!D339)),"A",IF(NOT(ISBLANK('A-RACHNATMAK'!D338)),"B",IF(NOT(ISBLANK('A-RACHNATMAK'!D337)),"C","")))</f>
        <v/>
      </c>
      <c r="D318" s="622" t="str">
        <f>IF(NOT(ISBLANK('A-RACHNATMAK'!E339)),"A",IF(NOT(ISBLANK('A-RACHNATMAK'!E338)),"B",IF(NOT(ISBLANK('A-RACHNATMAK'!E337)),"C","")))</f>
        <v/>
      </c>
      <c r="E318" s="622" t="str">
        <f>IF(NOT(ISBLANK('A-RACHNATMAK'!F339)),"A",IF(NOT(ISBLANK('A-RACHNATMAK'!F338)),"B",IF(NOT(ISBLANK('A-RACHNATMAK'!F337)),"C","")))</f>
        <v/>
      </c>
      <c r="F318" s="622" t="str">
        <f>IF(NOT(ISBLANK('A-RACHNATMAK'!G339)),"A",IF(NOT(ISBLANK('A-RACHNATMAK'!G338)),"B",IF(NOT(ISBLANK('A-RACHNATMAK'!G337)),"C","")))</f>
        <v/>
      </c>
      <c r="G318" s="622" t="str">
        <f>IF(NOT(ISBLANK('A-RACHNATMAK'!H339)),"A",IF(NOT(ISBLANK('A-RACHNATMAK'!H338)),"B",IF(NOT(ISBLANK('A-RACHNATMAK'!H337)),"C","")))</f>
        <v/>
      </c>
      <c r="H318" s="622" t="str">
        <f>IF(NOT(ISBLANK('A-RACHNATMAK'!I339)),"A",IF(NOT(ISBLANK('A-RACHNATMAK'!I338)),"B",IF(NOT(ISBLANK('A-RACHNATMAK'!I337)),"C","")))</f>
        <v/>
      </c>
      <c r="I318" s="622" t="str">
        <f>IF(NOT(ISBLANK('A-RACHNATMAK'!J339)),"A",IF(NOT(ISBLANK('A-RACHNATMAK'!J338)),"B",IF(NOT(ISBLANK('A-RACHNATMAK'!J337)),"C","")))</f>
        <v/>
      </c>
      <c r="J318" s="622" t="str">
        <f>IF(NOT(ISBLANK('A-RACHNATMAK'!K339)),"A",IF(NOT(ISBLANK('A-RACHNATMAK'!K338)),"B",IF(NOT(ISBLANK('A-RACHNATMAK'!K337)),"C","")))</f>
        <v/>
      </c>
      <c r="K318" s="622" t="str">
        <f>IF(NOT(ISBLANK('A-RACHNATMAK'!L339)),"A",IF(NOT(ISBLANK('A-RACHNATMAK'!L338)),"B",IF(NOT(ISBLANK('A-RACHNATMAK'!L337)),"C","")))</f>
        <v/>
      </c>
      <c r="L318" s="622" t="str">
        <f>IF(NOT(ISBLANK('A-RACHNATMAK'!M339)),"A",IF(NOT(ISBLANK('A-RACHNATMAK'!M338)),"B",IF(NOT(ISBLANK('A-RACHNATMAK'!M337)),"C","")))</f>
        <v/>
      </c>
      <c r="M318" s="622" t="str">
        <f>IF(NOT(ISBLANK('A-RACHNATMAK'!N339)),"A",IF(NOT(ISBLANK('A-RACHNATMAK'!N338)),"B",IF(NOT(ISBLANK('A-RACHNATMAK'!N337)),"C","")))</f>
        <v/>
      </c>
      <c r="N318" s="622" t="str">
        <f>IF(NOT(ISBLANK('A-RACHNATMAK'!O339)),"A",IF(NOT(ISBLANK('A-RACHNATMAK'!O338)),"B",IF(NOT(ISBLANK('A-RACHNATMAK'!O337)),"C","")))</f>
        <v/>
      </c>
      <c r="O318" s="622" t="str">
        <f>IF(NOT(ISBLANK('A-RACHNATMAK'!P339)),"A",IF(NOT(ISBLANK('A-RACHNATMAK'!P338)),"B",IF(NOT(ISBLANK('A-RACHNATMAK'!P337)),"C","")))</f>
        <v/>
      </c>
      <c r="P318" s="622" t="str">
        <f>IF(NOT(ISBLANK('A-RACHNATMAK'!Q339)),"A",IF(NOT(ISBLANK('A-RACHNATMAK'!Q338)),"B",IF(NOT(ISBLANK('A-RACHNATMAK'!Q337)),"C","")))</f>
        <v/>
      </c>
      <c r="Q318" s="622" t="str">
        <f>IF(NOT(ISBLANK('A-RACHNATMAK'!R339)),"A",IF(NOT(ISBLANK('A-RACHNATMAK'!R338)),"B",IF(NOT(ISBLANK('A-RACHNATMAK'!R337)),"C","")))</f>
        <v/>
      </c>
      <c r="R318" s="622" t="str">
        <f>IF(NOT(ISBLANK('A-RACHNATMAK'!S339)),"A",IF(NOT(ISBLANK('A-RACHNATMAK'!S338)),"B",IF(NOT(ISBLANK('A-RACHNATMAK'!S337)),"C","")))</f>
        <v/>
      </c>
      <c r="S318" s="622" t="str">
        <f>IF(NOT(ISBLANK('A-RACHNATMAK'!T339)),"A",IF(NOT(ISBLANK('A-RACHNATMAK'!T338)),"B",IF(NOT(ISBLANK('A-RACHNATMAK'!T337)),"C","")))</f>
        <v/>
      </c>
      <c r="T318" s="622" t="str">
        <f>IF(NOT(ISBLANK('A-RACHNATMAK'!U339)),"A",IF(NOT(ISBLANK('A-RACHNATMAK'!U338)),"B",IF(NOT(ISBLANK('A-RACHNATMAK'!U337)),"C","")))</f>
        <v/>
      </c>
      <c r="U318" s="622" t="str">
        <f>IF(NOT(ISBLANK('A-RACHNATMAK'!V339)),"A",IF(NOT(ISBLANK('A-RACHNATMAK'!V338)),"B",IF(NOT(ISBLANK('A-RACHNATMAK'!V337)),"C","")))</f>
        <v/>
      </c>
      <c r="V318" s="622">
        <f t="shared" ref="V318" si="606">COUNTIF(B318:U318,"A")</f>
        <v>0</v>
      </c>
      <c r="W318" s="622">
        <f t="shared" ref="W318" si="607">COUNTIF(B318:U318,"B")</f>
        <v>0</v>
      </c>
      <c r="X318" s="622">
        <f t="shared" ref="X318" si="608">COUNTIF(B318:U318,"C")</f>
        <v>0</v>
      </c>
      <c r="Y318" s="330"/>
      <c r="Z318" s="623">
        <v>35</v>
      </c>
      <c r="AA318" s="622" t="str">
        <f>IF(NOT(ISBLANK('A-RACHNATMAK'!AD339)),"A",IF(NOT(ISBLANK('A-RACHNATMAK'!AD338)),"B",IF(NOT(ISBLANK('A-RACHNATMAK'!AD337)),"C","")))</f>
        <v/>
      </c>
      <c r="AB318" s="622" t="str">
        <f>IF(NOT(ISBLANK('A-RACHNATMAK'!AE339)),"A",IF(NOT(ISBLANK('A-RACHNATMAK'!AE338)),"B",IF(NOT(ISBLANK('A-RACHNATMAK'!AE337)),"C","")))</f>
        <v/>
      </c>
      <c r="AC318" s="622" t="str">
        <f>IF(NOT(ISBLANK('A-RACHNATMAK'!AF339)),"A",IF(NOT(ISBLANK('A-RACHNATMAK'!AF338)),"B",IF(NOT(ISBLANK('A-RACHNATMAK'!AF337)),"C","")))</f>
        <v/>
      </c>
      <c r="AD318" s="622" t="str">
        <f>IF(NOT(ISBLANK('A-RACHNATMAK'!AG339)),"A",IF(NOT(ISBLANK('A-RACHNATMAK'!AG338)),"B",IF(NOT(ISBLANK('A-RACHNATMAK'!AG337)),"C","")))</f>
        <v/>
      </c>
      <c r="AE318" s="622" t="str">
        <f>IF(NOT(ISBLANK('A-RACHNATMAK'!AH339)),"A",IF(NOT(ISBLANK('A-RACHNATMAK'!AH338)),"B",IF(NOT(ISBLANK('A-RACHNATMAK'!AH337)),"C","")))</f>
        <v/>
      </c>
      <c r="AF318" s="622" t="str">
        <f>IF(NOT(ISBLANK('A-RACHNATMAK'!AI339)),"A",IF(NOT(ISBLANK('A-RACHNATMAK'!AI338)),"B",IF(NOT(ISBLANK('A-RACHNATMAK'!AI337)),"C","")))</f>
        <v/>
      </c>
      <c r="AG318" s="622" t="str">
        <f>IF(NOT(ISBLANK('A-RACHNATMAK'!AJ339)),"A",IF(NOT(ISBLANK('A-RACHNATMAK'!AJ338)),"B",IF(NOT(ISBLANK('A-RACHNATMAK'!AJ337)),"C","")))</f>
        <v/>
      </c>
      <c r="AH318" s="622" t="str">
        <f>IF(NOT(ISBLANK('A-RACHNATMAK'!AK339)),"A",IF(NOT(ISBLANK('A-RACHNATMAK'!AK338)),"B",IF(NOT(ISBLANK('A-RACHNATMAK'!AK337)),"C","")))</f>
        <v/>
      </c>
      <c r="AI318" s="622" t="str">
        <f>IF(NOT(ISBLANK('A-RACHNATMAK'!AL339)),"A",IF(NOT(ISBLANK('A-RACHNATMAK'!AL338)),"B",IF(NOT(ISBLANK('A-RACHNATMAK'!AL337)),"C","")))</f>
        <v/>
      </c>
      <c r="AJ318" s="622" t="str">
        <f>IF(NOT(ISBLANK('A-RACHNATMAK'!AM339)),"A",IF(NOT(ISBLANK('A-RACHNATMAK'!AM338)),"B",IF(NOT(ISBLANK('A-RACHNATMAK'!AM337)),"C","")))</f>
        <v/>
      </c>
      <c r="AK318" s="622" t="str">
        <f>IF(NOT(ISBLANK('A-RACHNATMAK'!AN339)),"A",IF(NOT(ISBLANK('A-RACHNATMAK'!AN338)),"B",IF(NOT(ISBLANK('A-RACHNATMAK'!AN337)),"C","")))</f>
        <v/>
      </c>
      <c r="AL318" s="622" t="str">
        <f>IF(NOT(ISBLANK('A-RACHNATMAK'!AO339)),"A",IF(NOT(ISBLANK('A-RACHNATMAK'!AO338)),"B",IF(NOT(ISBLANK('A-RACHNATMAK'!AO337)),"C","")))</f>
        <v/>
      </c>
      <c r="AM318" s="622" t="str">
        <f>IF(NOT(ISBLANK('A-RACHNATMAK'!AP339)),"A",IF(NOT(ISBLANK('A-RACHNATMAK'!AP338)),"B",IF(NOT(ISBLANK('A-RACHNATMAK'!AP337)),"C","")))</f>
        <v/>
      </c>
      <c r="AN318" s="622" t="str">
        <f>IF(NOT(ISBLANK('A-RACHNATMAK'!AQ339)),"A",IF(NOT(ISBLANK('A-RACHNATMAK'!AQ338)),"B",IF(NOT(ISBLANK('A-RACHNATMAK'!AQ337)),"C","")))</f>
        <v/>
      </c>
      <c r="AO318" s="622" t="str">
        <f>IF(NOT(ISBLANK('A-RACHNATMAK'!AR339)),"A",IF(NOT(ISBLANK('A-RACHNATMAK'!AR338)),"B",IF(NOT(ISBLANK('A-RACHNATMAK'!AR337)),"C","")))</f>
        <v/>
      </c>
      <c r="AP318" s="622" t="str">
        <f>IF(NOT(ISBLANK('A-RACHNATMAK'!AS339)),"A",IF(NOT(ISBLANK('A-RACHNATMAK'!AS338)),"B",IF(NOT(ISBLANK('A-RACHNATMAK'!AS337)),"C","")))</f>
        <v/>
      </c>
      <c r="AQ318" s="622" t="str">
        <f>IF(NOT(ISBLANK('A-RACHNATMAK'!AT339)),"A",IF(NOT(ISBLANK('A-RACHNATMAK'!AT338)),"B",IF(NOT(ISBLANK('A-RACHNATMAK'!AT337)),"C","")))</f>
        <v/>
      </c>
      <c r="AR318" s="622" t="str">
        <f>IF(NOT(ISBLANK('A-RACHNATMAK'!AU339)),"A",IF(NOT(ISBLANK('A-RACHNATMAK'!AU338)),"B",IF(NOT(ISBLANK('A-RACHNATMAK'!AU337)),"C","")))</f>
        <v/>
      </c>
      <c r="AS318" s="622" t="str">
        <f>IF(NOT(ISBLANK('A-RACHNATMAK'!AV339)),"A",IF(NOT(ISBLANK('A-RACHNATMAK'!AV338)),"B",IF(NOT(ISBLANK('A-RACHNATMAK'!AV337)),"C","")))</f>
        <v/>
      </c>
      <c r="AT318" s="622" t="str">
        <f>IF(NOT(ISBLANK('A-RACHNATMAK'!AW339)),"A",IF(NOT(ISBLANK('A-RACHNATMAK'!AW338)),"B",IF(NOT(ISBLANK('A-RACHNATMAK'!AW337)),"C","")))</f>
        <v/>
      </c>
      <c r="AU318" s="622">
        <f t="shared" ref="AU318" si="609">COUNTIF(AA318:AT318,"A")</f>
        <v>0</v>
      </c>
      <c r="AV318" s="622">
        <f t="shared" ref="AV318" si="610">COUNTIF(AA318:AT318,"B")</f>
        <v>0</v>
      </c>
      <c r="AW318" s="622">
        <f t="shared" ref="AW318" si="611">COUNTIF(AA318:AT318,"C")</f>
        <v>0</v>
      </c>
    </row>
    <row r="319" spans="1:49" ht="7.5" customHeight="1">
      <c r="A319" s="623"/>
      <c r="B319" s="622"/>
      <c r="C319" s="622"/>
      <c r="D319" s="622"/>
      <c r="E319" s="622"/>
      <c r="F319" s="622"/>
      <c r="G319" s="622"/>
      <c r="H319" s="622"/>
      <c r="I319" s="622"/>
      <c r="J319" s="622"/>
      <c r="K319" s="622"/>
      <c r="L319" s="622"/>
      <c r="M319" s="622"/>
      <c r="N319" s="622"/>
      <c r="O319" s="622"/>
      <c r="P319" s="622"/>
      <c r="Q319" s="622"/>
      <c r="R319" s="622"/>
      <c r="S319" s="622"/>
      <c r="T319" s="622"/>
      <c r="U319" s="622"/>
      <c r="V319" s="622"/>
      <c r="W319" s="622"/>
      <c r="X319" s="622"/>
      <c r="Y319" s="330"/>
      <c r="Z319" s="623"/>
      <c r="AA319" s="622"/>
      <c r="AB319" s="622"/>
      <c r="AC319" s="622"/>
      <c r="AD319" s="622"/>
      <c r="AE319" s="622"/>
      <c r="AF319" s="622"/>
      <c r="AG319" s="622"/>
      <c r="AH319" s="622"/>
      <c r="AI319" s="622"/>
      <c r="AJ319" s="622"/>
      <c r="AK319" s="622"/>
      <c r="AL319" s="622"/>
      <c r="AM319" s="622"/>
      <c r="AN319" s="622"/>
      <c r="AO319" s="622"/>
      <c r="AP319" s="622"/>
      <c r="AQ319" s="622"/>
      <c r="AR319" s="622"/>
      <c r="AS319" s="622"/>
      <c r="AT319" s="622"/>
      <c r="AU319" s="622"/>
      <c r="AV319" s="622"/>
      <c r="AW319" s="622"/>
    </row>
    <row r="320" spans="1:49" ht="7.5" customHeight="1">
      <c r="A320" s="623"/>
      <c r="B320" s="622"/>
      <c r="C320" s="622"/>
      <c r="D320" s="622"/>
      <c r="E320" s="622"/>
      <c r="F320" s="622"/>
      <c r="G320" s="622"/>
      <c r="H320" s="622"/>
      <c r="I320" s="622"/>
      <c r="J320" s="622"/>
      <c r="K320" s="622"/>
      <c r="L320" s="622"/>
      <c r="M320" s="622"/>
      <c r="N320" s="622"/>
      <c r="O320" s="622"/>
      <c r="P320" s="622"/>
      <c r="Q320" s="622"/>
      <c r="R320" s="622"/>
      <c r="S320" s="622"/>
      <c r="T320" s="622"/>
      <c r="U320" s="622"/>
      <c r="V320" s="622"/>
      <c r="W320" s="622"/>
      <c r="X320" s="622"/>
      <c r="Y320" s="330"/>
      <c r="Z320" s="623"/>
      <c r="AA320" s="622"/>
      <c r="AB320" s="622"/>
      <c r="AC320" s="622"/>
      <c r="AD320" s="622"/>
      <c r="AE320" s="622"/>
      <c r="AF320" s="622"/>
      <c r="AG320" s="622"/>
      <c r="AH320" s="622"/>
      <c r="AI320" s="622"/>
      <c r="AJ320" s="622"/>
      <c r="AK320" s="622"/>
      <c r="AL320" s="622"/>
      <c r="AM320" s="622"/>
      <c r="AN320" s="622"/>
      <c r="AO320" s="622"/>
      <c r="AP320" s="622"/>
      <c r="AQ320" s="622"/>
      <c r="AR320" s="622"/>
      <c r="AS320" s="622"/>
      <c r="AT320" s="622"/>
      <c r="AU320" s="622"/>
      <c r="AV320" s="622"/>
      <c r="AW320" s="622"/>
    </row>
    <row r="322" spans="1:49">
      <c r="B322" s="624" t="s">
        <v>324</v>
      </c>
      <c r="C322" s="624"/>
      <c r="D322" s="624"/>
      <c r="E322" s="624"/>
      <c r="F322" s="624"/>
      <c r="G322" s="624"/>
      <c r="H322" s="624"/>
      <c r="I322" s="624"/>
      <c r="J322" s="624"/>
      <c r="K322" s="624"/>
      <c r="L322" s="624"/>
      <c r="M322" s="624"/>
      <c r="N322" s="624"/>
      <c r="O322" s="624"/>
      <c r="P322" s="624"/>
      <c r="Q322" s="624"/>
      <c r="R322" s="624"/>
      <c r="S322" s="624"/>
      <c r="T322" s="624"/>
      <c r="U322" s="624"/>
      <c r="V322" s="624"/>
      <c r="W322" s="624"/>
      <c r="X322" s="624"/>
      <c r="Y322" s="331"/>
      <c r="AA322" s="624" t="s">
        <v>325</v>
      </c>
      <c r="AB322" s="624"/>
      <c r="AC322" s="624"/>
      <c r="AD322" s="624"/>
      <c r="AE322" s="624"/>
      <c r="AF322" s="624"/>
      <c r="AG322" s="624"/>
      <c r="AH322" s="624"/>
      <c r="AI322" s="624"/>
      <c r="AJ322" s="624"/>
      <c r="AK322" s="624"/>
      <c r="AL322" s="624"/>
      <c r="AM322" s="624"/>
      <c r="AN322" s="624"/>
      <c r="AO322" s="624"/>
      <c r="AP322" s="624"/>
      <c r="AQ322" s="624"/>
      <c r="AR322" s="624"/>
      <c r="AS322" s="624"/>
      <c r="AT322" s="624"/>
      <c r="AU322" s="624"/>
      <c r="AV322" s="624"/>
      <c r="AW322" s="624"/>
    </row>
    <row r="323" spans="1:49" ht="7.5" customHeight="1">
      <c r="A323" s="623">
        <v>1</v>
      </c>
      <c r="B323" s="622" t="str">
        <f>IF(NOT(ISBLANK('A-RACHNATMAK'!C349)),"A",IF(NOT(ISBLANK('A-RACHNATMAK'!C348)),"B",IF(NOT(ISBLANK('A-RACHNATMAK'!C347)),"C","")))</f>
        <v/>
      </c>
      <c r="C323" s="622" t="str">
        <f>IF(NOT(ISBLANK('A-RACHNATMAK'!D349)),"A",IF(NOT(ISBLANK('A-RACHNATMAK'!D348)),"B",IF(NOT(ISBLANK('A-RACHNATMAK'!D347)),"C","")))</f>
        <v>A</v>
      </c>
      <c r="D323" s="622" t="str">
        <f>IF(NOT(ISBLANK('A-RACHNATMAK'!E349)),"A",IF(NOT(ISBLANK('A-RACHNATMAK'!E348)),"B",IF(NOT(ISBLANK('A-RACHNATMAK'!E347)),"C","")))</f>
        <v/>
      </c>
      <c r="E323" s="622" t="str">
        <f>IF(NOT(ISBLANK('A-RACHNATMAK'!F349)),"A",IF(NOT(ISBLANK('A-RACHNATMAK'!F348)),"B",IF(NOT(ISBLANK('A-RACHNATMAK'!F347)),"C","")))</f>
        <v>B</v>
      </c>
      <c r="F323" s="622" t="str">
        <f>IF(NOT(ISBLANK('A-RACHNATMAK'!G349)),"A",IF(NOT(ISBLANK('A-RACHNATMAK'!G348)),"B",IF(NOT(ISBLANK('A-RACHNATMAK'!G347)),"C","")))</f>
        <v/>
      </c>
      <c r="G323" s="622" t="str">
        <f>IF(NOT(ISBLANK('A-RACHNATMAK'!H349)),"A",IF(NOT(ISBLANK('A-RACHNATMAK'!H348)),"B",IF(NOT(ISBLANK('A-RACHNATMAK'!H347)),"C","")))</f>
        <v>A</v>
      </c>
      <c r="H323" s="622" t="str">
        <f>IF(NOT(ISBLANK('A-RACHNATMAK'!I349)),"A",IF(NOT(ISBLANK('A-RACHNATMAK'!I348)),"B",IF(NOT(ISBLANK('A-RACHNATMAK'!I347)),"C","")))</f>
        <v/>
      </c>
      <c r="I323" s="622" t="str">
        <f>IF(NOT(ISBLANK('A-RACHNATMAK'!J349)),"A",IF(NOT(ISBLANK('A-RACHNATMAK'!J348)),"B",IF(NOT(ISBLANK('A-RACHNATMAK'!J347)),"C","")))</f>
        <v/>
      </c>
      <c r="J323" s="622" t="str">
        <f>IF(NOT(ISBLANK('A-RACHNATMAK'!K349)),"A",IF(NOT(ISBLANK('A-RACHNATMAK'!K348)),"B",IF(NOT(ISBLANK('A-RACHNATMAK'!K347)),"C","")))</f>
        <v/>
      </c>
      <c r="K323" s="622" t="str">
        <f>IF(NOT(ISBLANK('A-RACHNATMAK'!L349)),"A",IF(NOT(ISBLANK('A-RACHNATMAK'!L348)),"B",IF(NOT(ISBLANK('A-RACHNATMAK'!L347)),"C","")))</f>
        <v/>
      </c>
      <c r="L323" s="622" t="str">
        <f>IF(NOT(ISBLANK('A-RACHNATMAK'!M349)),"A",IF(NOT(ISBLANK('A-RACHNATMAK'!M348)),"B",IF(NOT(ISBLANK('A-RACHNATMAK'!M347)),"C","")))</f>
        <v/>
      </c>
      <c r="M323" s="622" t="str">
        <f>IF(NOT(ISBLANK('A-RACHNATMAK'!N349)),"A",IF(NOT(ISBLANK('A-RACHNATMAK'!N348)),"B",IF(NOT(ISBLANK('A-RACHNATMAK'!N347)),"C","")))</f>
        <v/>
      </c>
      <c r="N323" s="622" t="str">
        <f>IF(NOT(ISBLANK('A-RACHNATMAK'!O349)),"A",IF(NOT(ISBLANK('A-RACHNATMAK'!O348)),"B",IF(NOT(ISBLANK('A-RACHNATMAK'!O347)),"C","")))</f>
        <v/>
      </c>
      <c r="O323" s="622" t="str">
        <f>IF(NOT(ISBLANK('A-RACHNATMAK'!P349)),"A",IF(NOT(ISBLANK('A-RACHNATMAK'!P348)),"B",IF(NOT(ISBLANK('A-RACHNATMAK'!P347)),"C","")))</f>
        <v/>
      </c>
      <c r="P323" s="622" t="str">
        <f>IF(NOT(ISBLANK('A-RACHNATMAK'!Q349)),"A",IF(NOT(ISBLANK('A-RACHNATMAK'!Q348)),"B",IF(NOT(ISBLANK('A-RACHNATMAK'!Q347)),"C","")))</f>
        <v/>
      </c>
      <c r="Q323" s="622" t="str">
        <f>IF(NOT(ISBLANK('A-RACHNATMAK'!R349)),"A",IF(NOT(ISBLANK('A-RACHNATMAK'!R348)),"B",IF(NOT(ISBLANK('A-RACHNATMAK'!R347)),"C","")))</f>
        <v/>
      </c>
      <c r="R323" s="622" t="str">
        <f>IF(NOT(ISBLANK('A-RACHNATMAK'!S349)),"A",IF(NOT(ISBLANK('A-RACHNATMAK'!S348)),"B",IF(NOT(ISBLANK('A-RACHNATMAK'!S347)),"C","")))</f>
        <v/>
      </c>
      <c r="S323" s="622" t="str">
        <f>IF(NOT(ISBLANK('A-RACHNATMAK'!T349)),"A",IF(NOT(ISBLANK('A-RACHNATMAK'!T348)),"B",IF(NOT(ISBLANK('A-RACHNATMAK'!T347)),"C","")))</f>
        <v/>
      </c>
      <c r="T323" s="622" t="str">
        <f>IF(NOT(ISBLANK('A-RACHNATMAK'!U349)),"A",IF(NOT(ISBLANK('A-RACHNATMAK'!U348)),"B",IF(NOT(ISBLANK('A-RACHNATMAK'!U347)),"C","")))</f>
        <v/>
      </c>
      <c r="U323" s="622" t="str">
        <f>IF(NOT(ISBLANK('A-RACHNATMAK'!V349)),"A",IF(NOT(ISBLANK('A-RACHNATMAK'!V348)),"B",IF(NOT(ISBLANK('A-RACHNATMAK'!V347)),"C","")))</f>
        <v/>
      </c>
      <c r="V323" s="622">
        <f>COUNTIF(B323:U323,"A")</f>
        <v>2</v>
      </c>
      <c r="W323" s="622">
        <f>COUNTIF(B323:U323,"B")</f>
        <v>1</v>
      </c>
      <c r="X323" s="622">
        <f>COUNTIF(B323:U323,"C")</f>
        <v>0</v>
      </c>
      <c r="Y323" s="330"/>
      <c r="Z323" s="623">
        <v>1</v>
      </c>
      <c r="AA323" s="622" t="str">
        <f>IF(NOT(ISBLANK('A-RACHNATMAK'!AD349)),"A",IF(NOT(ISBLANK('A-RACHNATMAK'!AD348)),"B",IF(NOT(ISBLANK('A-RACHNATMAK'!AD347)),"C","")))</f>
        <v/>
      </c>
      <c r="AB323" s="622" t="str">
        <f>IF(NOT(ISBLANK('A-RACHNATMAK'!AE349)),"A",IF(NOT(ISBLANK('A-RACHNATMAK'!AE348)),"B",IF(NOT(ISBLANK('A-RACHNATMAK'!AE347)),"C","")))</f>
        <v/>
      </c>
      <c r="AC323" s="622" t="str">
        <f>IF(NOT(ISBLANK('A-RACHNATMAK'!AF349)),"A",IF(NOT(ISBLANK('A-RACHNATMAK'!AF348)),"B",IF(NOT(ISBLANK('A-RACHNATMAK'!AF347)),"C","")))</f>
        <v/>
      </c>
      <c r="AD323" s="622" t="str">
        <f>IF(NOT(ISBLANK('A-RACHNATMAK'!AG349)),"A",IF(NOT(ISBLANK('A-RACHNATMAK'!AG348)),"B",IF(NOT(ISBLANK('A-RACHNATMAK'!AG347)),"C","")))</f>
        <v/>
      </c>
      <c r="AE323" s="622" t="str">
        <f>IF(NOT(ISBLANK('A-RACHNATMAK'!AH349)),"A",IF(NOT(ISBLANK('A-RACHNATMAK'!AH348)),"B",IF(NOT(ISBLANK('A-RACHNATMAK'!AH347)),"C","")))</f>
        <v/>
      </c>
      <c r="AF323" s="622" t="str">
        <f>IF(NOT(ISBLANK('A-RACHNATMAK'!AI349)),"A",IF(NOT(ISBLANK('A-RACHNATMAK'!AI348)),"B",IF(NOT(ISBLANK('A-RACHNATMAK'!AI347)),"C","")))</f>
        <v/>
      </c>
      <c r="AG323" s="622" t="str">
        <f>IF(NOT(ISBLANK('A-RACHNATMAK'!AJ349)),"A",IF(NOT(ISBLANK('A-RACHNATMAK'!AJ348)),"B",IF(NOT(ISBLANK('A-RACHNATMAK'!AJ347)),"C","")))</f>
        <v/>
      </c>
      <c r="AH323" s="622" t="str">
        <f>IF(NOT(ISBLANK('A-RACHNATMAK'!AK349)),"A",IF(NOT(ISBLANK('A-RACHNATMAK'!AK348)),"B",IF(NOT(ISBLANK('A-RACHNATMAK'!AK347)),"C","")))</f>
        <v>B</v>
      </c>
      <c r="AI323" s="622" t="str">
        <f>IF(NOT(ISBLANK('A-RACHNATMAK'!AL349)),"A",IF(NOT(ISBLANK('A-RACHNATMAK'!AL348)),"B",IF(NOT(ISBLANK('A-RACHNATMAK'!AL347)),"C","")))</f>
        <v/>
      </c>
      <c r="AJ323" s="622" t="str">
        <f>IF(NOT(ISBLANK('A-RACHNATMAK'!AM349)),"A",IF(NOT(ISBLANK('A-RACHNATMAK'!AM348)),"B",IF(NOT(ISBLANK('A-RACHNATMAK'!AM347)),"C","")))</f>
        <v/>
      </c>
      <c r="AK323" s="622" t="str">
        <f>IF(NOT(ISBLANK('A-RACHNATMAK'!AN349)),"A",IF(NOT(ISBLANK('A-RACHNATMAK'!AN348)),"B",IF(NOT(ISBLANK('A-RACHNATMAK'!AN347)),"C","")))</f>
        <v/>
      </c>
      <c r="AL323" s="622" t="str">
        <f>IF(NOT(ISBLANK('A-RACHNATMAK'!AO349)),"A",IF(NOT(ISBLANK('A-RACHNATMAK'!AO348)),"B",IF(NOT(ISBLANK('A-RACHNATMAK'!AO347)),"C","")))</f>
        <v/>
      </c>
      <c r="AM323" s="622" t="str">
        <f>IF(NOT(ISBLANK('A-RACHNATMAK'!AP349)),"A",IF(NOT(ISBLANK('A-RACHNATMAK'!AP348)),"B",IF(NOT(ISBLANK('A-RACHNATMAK'!AP347)),"C","")))</f>
        <v>A</v>
      </c>
      <c r="AN323" s="622" t="str">
        <f>IF(NOT(ISBLANK('A-RACHNATMAK'!AQ349)),"A",IF(NOT(ISBLANK('A-RACHNATMAK'!AQ348)),"B",IF(NOT(ISBLANK('A-RACHNATMAK'!AQ347)),"C","")))</f>
        <v/>
      </c>
      <c r="AO323" s="622" t="str">
        <f>IF(NOT(ISBLANK('A-RACHNATMAK'!AR349)),"A",IF(NOT(ISBLANK('A-RACHNATMAK'!AR348)),"B",IF(NOT(ISBLANK('A-RACHNATMAK'!AR347)),"C","")))</f>
        <v>B</v>
      </c>
      <c r="AP323" s="622" t="str">
        <f>IF(NOT(ISBLANK('A-RACHNATMAK'!AS349)),"A",IF(NOT(ISBLANK('A-RACHNATMAK'!AS348)),"B",IF(NOT(ISBLANK('A-RACHNATMAK'!AS347)),"C","")))</f>
        <v/>
      </c>
      <c r="AQ323" s="622" t="str">
        <f>IF(NOT(ISBLANK('A-RACHNATMAK'!AT349)),"A",IF(NOT(ISBLANK('A-RACHNATMAK'!AT348)),"B",IF(NOT(ISBLANK('A-RACHNATMAK'!AT347)),"C","")))</f>
        <v/>
      </c>
      <c r="AR323" s="622" t="str">
        <f>IF(NOT(ISBLANK('A-RACHNATMAK'!AU349)),"A",IF(NOT(ISBLANK('A-RACHNATMAK'!AU348)),"B",IF(NOT(ISBLANK('A-RACHNATMAK'!AU347)),"C","")))</f>
        <v/>
      </c>
      <c r="AS323" s="622" t="str">
        <f>IF(NOT(ISBLANK('A-RACHNATMAK'!AV349)),"A",IF(NOT(ISBLANK('A-RACHNATMAK'!AV348)),"B",IF(NOT(ISBLANK('A-RACHNATMAK'!AV347)),"C","")))</f>
        <v/>
      </c>
      <c r="AT323" s="622" t="str">
        <f>IF(NOT(ISBLANK('A-RACHNATMAK'!AW349)),"A",IF(NOT(ISBLANK('A-RACHNATMAK'!AW348)),"B",IF(NOT(ISBLANK('A-RACHNATMAK'!AW347)),"C","")))</f>
        <v/>
      </c>
      <c r="AU323" s="622">
        <f>COUNTIF(AA323:AT323,"A")</f>
        <v>1</v>
      </c>
      <c r="AV323" s="622">
        <f>COUNTIF(AA323:AT323,"B")</f>
        <v>2</v>
      </c>
      <c r="AW323" s="622">
        <f>COUNTIF(AA323:AT323,"C")</f>
        <v>0</v>
      </c>
    </row>
    <row r="324" spans="1:49" ht="7.5" customHeight="1">
      <c r="A324" s="623"/>
      <c r="B324" s="622"/>
      <c r="C324" s="622"/>
      <c r="D324" s="622"/>
      <c r="E324" s="622"/>
      <c r="F324" s="622"/>
      <c r="G324" s="622"/>
      <c r="H324" s="622"/>
      <c r="I324" s="622"/>
      <c r="J324" s="622"/>
      <c r="K324" s="622"/>
      <c r="L324" s="622"/>
      <c r="M324" s="622"/>
      <c r="N324" s="622"/>
      <c r="O324" s="622"/>
      <c r="P324" s="622"/>
      <c r="Q324" s="622"/>
      <c r="R324" s="622"/>
      <c r="S324" s="622"/>
      <c r="T324" s="622"/>
      <c r="U324" s="622"/>
      <c r="V324" s="622"/>
      <c r="W324" s="622"/>
      <c r="X324" s="622"/>
      <c r="Y324" s="330"/>
      <c r="Z324" s="623"/>
      <c r="AA324" s="622"/>
      <c r="AB324" s="622"/>
      <c r="AC324" s="622"/>
      <c r="AD324" s="622"/>
      <c r="AE324" s="622"/>
      <c r="AF324" s="622"/>
      <c r="AG324" s="622"/>
      <c r="AH324" s="622"/>
      <c r="AI324" s="622"/>
      <c r="AJ324" s="622"/>
      <c r="AK324" s="622"/>
      <c r="AL324" s="622"/>
      <c r="AM324" s="622"/>
      <c r="AN324" s="622"/>
      <c r="AO324" s="622"/>
      <c r="AP324" s="622"/>
      <c r="AQ324" s="622"/>
      <c r="AR324" s="622"/>
      <c r="AS324" s="622"/>
      <c r="AT324" s="622"/>
      <c r="AU324" s="622"/>
      <c r="AV324" s="622"/>
      <c r="AW324" s="622"/>
    </row>
    <row r="325" spans="1:49" ht="7.5" customHeight="1">
      <c r="A325" s="623"/>
      <c r="B325" s="622"/>
      <c r="C325" s="622"/>
      <c r="D325" s="622"/>
      <c r="E325" s="622"/>
      <c r="F325" s="622"/>
      <c r="G325" s="622"/>
      <c r="H325" s="622"/>
      <c r="I325" s="622"/>
      <c r="J325" s="622"/>
      <c r="K325" s="622"/>
      <c r="L325" s="622"/>
      <c r="M325" s="622"/>
      <c r="N325" s="622"/>
      <c r="O325" s="622"/>
      <c r="P325" s="622"/>
      <c r="Q325" s="622"/>
      <c r="R325" s="622"/>
      <c r="S325" s="622"/>
      <c r="T325" s="622"/>
      <c r="U325" s="622"/>
      <c r="V325" s="622"/>
      <c r="W325" s="622"/>
      <c r="X325" s="622"/>
      <c r="Y325" s="330"/>
      <c r="Z325" s="623"/>
      <c r="AA325" s="622"/>
      <c r="AB325" s="622"/>
      <c r="AC325" s="622"/>
      <c r="AD325" s="622"/>
      <c r="AE325" s="622"/>
      <c r="AF325" s="622"/>
      <c r="AG325" s="622"/>
      <c r="AH325" s="622"/>
      <c r="AI325" s="622"/>
      <c r="AJ325" s="622"/>
      <c r="AK325" s="622"/>
      <c r="AL325" s="622"/>
      <c r="AM325" s="622"/>
      <c r="AN325" s="622"/>
      <c r="AO325" s="622"/>
      <c r="AP325" s="622"/>
      <c r="AQ325" s="622"/>
      <c r="AR325" s="622"/>
      <c r="AS325" s="622"/>
      <c r="AT325" s="622"/>
      <c r="AU325" s="622"/>
      <c r="AV325" s="622"/>
      <c r="AW325" s="622"/>
    </row>
    <row r="326" spans="1:49" ht="7.5" customHeight="1">
      <c r="A326" s="623">
        <v>2</v>
      </c>
      <c r="B326" s="622" t="str">
        <f>IF(NOT(ISBLANK('A-RACHNATMAK'!C352)),"A",IF(NOT(ISBLANK('A-RACHNATMAK'!C351)),"B",IF(NOT(ISBLANK('A-RACHNATMAK'!C350)),"C","")))</f>
        <v/>
      </c>
      <c r="C326" s="622" t="str">
        <f>IF(NOT(ISBLANK('A-RACHNATMAK'!D352)),"A",IF(NOT(ISBLANK('A-RACHNATMAK'!D351)),"B",IF(NOT(ISBLANK('A-RACHNATMAK'!D350)),"C","")))</f>
        <v/>
      </c>
      <c r="D326" s="622" t="str">
        <f>IF(NOT(ISBLANK('A-RACHNATMAK'!E352)),"A",IF(NOT(ISBLANK('A-RACHNATMAK'!E351)),"B",IF(NOT(ISBLANK('A-RACHNATMAK'!E350)),"C","")))</f>
        <v/>
      </c>
      <c r="E326" s="622" t="str">
        <f>IF(NOT(ISBLANK('A-RACHNATMAK'!F352)),"A",IF(NOT(ISBLANK('A-RACHNATMAK'!F351)),"B",IF(NOT(ISBLANK('A-RACHNATMAK'!F350)),"C","")))</f>
        <v/>
      </c>
      <c r="F326" s="622" t="str">
        <f>IF(NOT(ISBLANK('A-RACHNATMAK'!G352)),"A",IF(NOT(ISBLANK('A-RACHNATMAK'!G351)),"B",IF(NOT(ISBLANK('A-RACHNATMAK'!G350)),"C","")))</f>
        <v/>
      </c>
      <c r="G326" s="622" t="str">
        <f>IF(NOT(ISBLANK('A-RACHNATMAK'!H352)),"A",IF(NOT(ISBLANK('A-RACHNATMAK'!H351)),"B",IF(NOT(ISBLANK('A-RACHNATMAK'!H350)),"C","")))</f>
        <v/>
      </c>
      <c r="H326" s="622" t="str">
        <f>IF(NOT(ISBLANK('A-RACHNATMAK'!I352)),"A",IF(NOT(ISBLANK('A-RACHNATMAK'!I351)),"B",IF(NOT(ISBLANK('A-RACHNATMAK'!I350)),"C","")))</f>
        <v/>
      </c>
      <c r="I326" s="622" t="str">
        <f>IF(NOT(ISBLANK('A-RACHNATMAK'!J352)),"A",IF(NOT(ISBLANK('A-RACHNATMAK'!J351)),"B",IF(NOT(ISBLANK('A-RACHNATMAK'!J350)),"C","")))</f>
        <v/>
      </c>
      <c r="J326" s="622" t="str">
        <f>IF(NOT(ISBLANK('A-RACHNATMAK'!K352)),"A",IF(NOT(ISBLANK('A-RACHNATMAK'!K351)),"B",IF(NOT(ISBLANK('A-RACHNATMAK'!K350)),"C","")))</f>
        <v/>
      </c>
      <c r="K326" s="622" t="str">
        <f>IF(NOT(ISBLANK('A-RACHNATMAK'!L352)),"A",IF(NOT(ISBLANK('A-RACHNATMAK'!L351)),"B",IF(NOT(ISBLANK('A-RACHNATMAK'!L350)),"C","")))</f>
        <v/>
      </c>
      <c r="L326" s="622" t="str">
        <f>IF(NOT(ISBLANK('A-RACHNATMAK'!M352)),"A",IF(NOT(ISBLANK('A-RACHNATMAK'!M351)),"B",IF(NOT(ISBLANK('A-RACHNATMAK'!M350)),"C","")))</f>
        <v/>
      </c>
      <c r="M326" s="622" t="str">
        <f>IF(NOT(ISBLANK('A-RACHNATMAK'!N352)),"A",IF(NOT(ISBLANK('A-RACHNATMAK'!N351)),"B",IF(NOT(ISBLANK('A-RACHNATMAK'!N350)),"C","")))</f>
        <v/>
      </c>
      <c r="N326" s="622" t="str">
        <f>IF(NOT(ISBLANK('A-RACHNATMAK'!O352)),"A",IF(NOT(ISBLANK('A-RACHNATMAK'!O351)),"B",IF(NOT(ISBLANK('A-RACHNATMAK'!O350)),"C","")))</f>
        <v/>
      </c>
      <c r="O326" s="622" t="str">
        <f>IF(NOT(ISBLANK('A-RACHNATMAK'!P352)),"A",IF(NOT(ISBLANK('A-RACHNATMAK'!P351)),"B",IF(NOT(ISBLANK('A-RACHNATMAK'!P350)),"C","")))</f>
        <v/>
      </c>
      <c r="P326" s="622" t="str">
        <f>IF(NOT(ISBLANK('A-RACHNATMAK'!Q352)),"A",IF(NOT(ISBLANK('A-RACHNATMAK'!Q351)),"B",IF(NOT(ISBLANK('A-RACHNATMAK'!Q350)),"C","")))</f>
        <v/>
      </c>
      <c r="Q326" s="622" t="str">
        <f>IF(NOT(ISBLANK('A-RACHNATMAK'!R352)),"A",IF(NOT(ISBLANK('A-RACHNATMAK'!R351)),"B",IF(NOT(ISBLANK('A-RACHNATMAK'!R350)),"C","")))</f>
        <v/>
      </c>
      <c r="R326" s="622" t="str">
        <f>IF(NOT(ISBLANK('A-RACHNATMAK'!S352)),"A",IF(NOT(ISBLANK('A-RACHNATMAK'!S351)),"B",IF(NOT(ISBLANK('A-RACHNATMAK'!S350)),"C","")))</f>
        <v/>
      </c>
      <c r="S326" s="622" t="str">
        <f>IF(NOT(ISBLANK('A-RACHNATMAK'!T352)),"A",IF(NOT(ISBLANK('A-RACHNATMAK'!T351)),"B",IF(NOT(ISBLANK('A-RACHNATMAK'!T350)),"C","")))</f>
        <v/>
      </c>
      <c r="T326" s="622" t="str">
        <f>IF(NOT(ISBLANK('A-RACHNATMAK'!U352)),"A",IF(NOT(ISBLANK('A-RACHNATMAK'!U351)),"B",IF(NOT(ISBLANK('A-RACHNATMAK'!U350)),"C","")))</f>
        <v/>
      </c>
      <c r="U326" s="622" t="str">
        <f>IF(NOT(ISBLANK('A-RACHNATMAK'!V352)),"A",IF(NOT(ISBLANK('A-RACHNATMAK'!V351)),"B",IF(NOT(ISBLANK('A-RACHNATMAK'!V350)),"C","")))</f>
        <v/>
      </c>
      <c r="V326" s="622">
        <f t="shared" ref="V326" si="612">COUNTIF(B326:U326,"A")</f>
        <v>0</v>
      </c>
      <c r="W326" s="622">
        <f t="shared" ref="W326" si="613">COUNTIF(B326:U326,"B")</f>
        <v>0</v>
      </c>
      <c r="X326" s="622">
        <f t="shared" ref="X326" si="614">COUNTIF(B326:U326,"C")</f>
        <v>0</v>
      </c>
      <c r="Y326" s="330"/>
      <c r="Z326" s="623">
        <v>2</v>
      </c>
      <c r="AA326" s="622" t="str">
        <f>IF(NOT(ISBLANK('A-RACHNATMAK'!AD352)),"A",IF(NOT(ISBLANK('A-RACHNATMAK'!AD351)),"B",IF(NOT(ISBLANK('A-RACHNATMAK'!AD350)),"C","")))</f>
        <v/>
      </c>
      <c r="AB326" s="622" t="str">
        <f>IF(NOT(ISBLANK('A-RACHNATMAK'!AE352)),"A",IF(NOT(ISBLANK('A-RACHNATMAK'!AE351)),"B",IF(NOT(ISBLANK('A-RACHNATMAK'!AE350)),"C","")))</f>
        <v/>
      </c>
      <c r="AC326" s="622" t="str">
        <f>IF(NOT(ISBLANK('A-RACHNATMAK'!AF352)),"A",IF(NOT(ISBLANK('A-RACHNATMAK'!AF351)),"B",IF(NOT(ISBLANK('A-RACHNATMAK'!AF350)),"C","")))</f>
        <v/>
      </c>
      <c r="AD326" s="622" t="str">
        <f>IF(NOT(ISBLANK('A-RACHNATMAK'!AG352)),"A",IF(NOT(ISBLANK('A-RACHNATMAK'!AG351)),"B",IF(NOT(ISBLANK('A-RACHNATMAK'!AG350)),"C","")))</f>
        <v/>
      </c>
      <c r="AE326" s="622" t="str">
        <f>IF(NOT(ISBLANK('A-RACHNATMAK'!AH352)),"A",IF(NOT(ISBLANK('A-RACHNATMAK'!AH351)),"B",IF(NOT(ISBLANK('A-RACHNATMAK'!AH350)),"C","")))</f>
        <v/>
      </c>
      <c r="AF326" s="622" t="str">
        <f>IF(NOT(ISBLANK('A-RACHNATMAK'!AI352)),"A",IF(NOT(ISBLANK('A-RACHNATMAK'!AI351)),"B",IF(NOT(ISBLANK('A-RACHNATMAK'!AI350)),"C","")))</f>
        <v/>
      </c>
      <c r="AG326" s="622" t="str">
        <f>IF(NOT(ISBLANK('A-RACHNATMAK'!AJ352)),"A",IF(NOT(ISBLANK('A-RACHNATMAK'!AJ351)),"B",IF(NOT(ISBLANK('A-RACHNATMAK'!AJ350)),"C","")))</f>
        <v/>
      </c>
      <c r="AH326" s="622" t="str">
        <f>IF(NOT(ISBLANK('A-RACHNATMAK'!AK352)),"A",IF(NOT(ISBLANK('A-RACHNATMAK'!AK351)),"B",IF(NOT(ISBLANK('A-RACHNATMAK'!AK350)),"C","")))</f>
        <v/>
      </c>
      <c r="AI326" s="622" t="str">
        <f>IF(NOT(ISBLANK('A-RACHNATMAK'!AL352)),"A",IF(NOT(ISBLANK('A-RACHNATMAK'!AL351)),"B",IF(NOT(ISBLANK('A-RACHNATMAK'!AL350)),"C","")))</f>
        <v/>
      </c>
      <c r="AJ326" s="622" t="str">
        <f>IF(NOT(ISBLANK('A-RACHNATMAK'!AM352)),"A",IF(NOT(ISBLANK('A-RACHNATMAK'!AM351)),"B",IF(NOT(ISBLANK('A-RACHNATMAK'!AM350)),"C","")))</f>
        <v/>
      </c>
      <c r="AK326" s="622" t="str">
        <f>IF(NOT(ISBLANK('A-RACHNATMAK'!AN352)),"A",IF(NOT(ISBLANK('A-RACHNATMAK'!AN351)),"B",IF(NOT(ISBLANK('A-RACHNATMAK'!AN350)),"C","")))</f>
        <v/>
      </c>
      <c r="AL326" s="622" t="str">
        <f>IF(NOT(ISBLANK('A-RACHNATMAK'!AO352)),"A",IF(NOT(ISBLANK('A-RACHNATMAK'!AO351)),"B",IF(NOT(ISBLANK('A-RACHNATMAK'!AO350)),"C","")))</f>
        <v/>
      </c>
      <c r="AM326" s="622" t="str">
        <f>IF(NOT(ISBLANK('A-RACHNATMAK'!AP352)),"A",IF(NOT(ISBLANK('A-RACHNATMAK'!AP351)),"B",IF(NOT(ISBLANK('A-RACHNATMAK'!AP350)),"C","")))</f>
        <v/>
      </c>
      <c r="AN326" s="622" t="str">
        <f>IF(NOT(ISBLANK('A-RACHNATMAK'!AQ352)),"A",IF(NOT(ISBLANK('A-RACHNATMAK'!AQ351)),"B",IF(NOT(ISBLANK('A-RACHNATMAK'!AQ350)),"C","")))</f>
        <v/>
      </c>
      <c r="AO326" s="622" t="str">
        <f>IF(NOT(ISBLANK('A-RACHNATMAK'!AR352)),"A",IF(NOT(ISBLANK('A-RACHNATMAK'!AR351)),"B",IF(NOT(ISBLANK('A-RACHNATMAK'!AR350)),"C","")))</f>
        <v/>
      </c>
      <c r="AP326" s="622" t="str">
        <f>IF(NOT(ISBLANK('A-RACHNATMAK'!AS352)),"A",IF(NOT(ISBLANK('A-RACHNATMAK'!AS351)),"B",IF(NOT(ISBLANK('A-RACHNATMAK'!AS350)),"C","")))</f>
        <v/>
      </c>
      <c r="AQ326" s="622" t="str">
        <f>IF(NOT(ISBLANK('A-RACHNATMAK'!AT352)),"A",IF(NOT(ISBLANK('A-RACHNATMAK'!AT351)),"B",IF(NOT(ISBLANK('A-RACHNATMAK'!AT350)),"C","")))</f>
        <v/>
      </c>
      <c r="AR326" s="622" t="str">
        <f>IF(NOT(ISBLANK('A-RACHNATMAK'!AU352)),"A",IF(NOT(ISBLANK('A-RACHNATMAK'!AU351)),"B",IF(NOT(ISBLANK('A-RACHNATMAK'!AU350)),"C","")))</f>
        <v/>
      </c>
      <c r="AS326" s="622" t="str">
        <f>IF(NOT(ISBLANK('A-RACHNATMAK'!AV352)),"A",IF(NOT(ISBLANK('A-RACHNATMAK'!AV351)),"B",IF(NOT(ISBLANK('A-RACHNATMAK'!AV350)),"C","")))</f>
        <v/>
      </c>
      <c r="AT326" s="622" t="str">
        <f>IF(NOT(ISBLANK('A-RACHNATMAK'!AW352)),"A",IF(NOT(ISBLANK('A-RACHNATMAK'!AW351)),"B",IF(NOT(ISBLANK('A-RACHNATMAK'!AW350)),"C","")))</f>
        <v/>
      </c>
      <c r="AU326" s="622">
        <f t="shared" ref="AU326" si="615">COUNTIF(AA326:AT326,"A")</f>
        <v>0</v>
      </c>
      <c r="AV326" s="622">
        <f t="shared" ref="AV326" si="616">COUNTIF(AA326:AT326,"B")</f>
        <v>0</v>
      </c>
      <c r="AW326" s="622">
        <f t="shared" ref="AW326" si="617">COUNTIF(AA326:AT326,"C")</f>
        <v>0</v>
      </c>
    </row>
    <row r="327" spans="1:49" ht="7.5" customHeight="1">
      <c r="A327" s="623"/>
      <c r="B327" s="622"/>
      <c r="C327" s="622"/>
      <c r="D327" s="622"/>
      <c r="E327" s="622"/>
      <c r="F327" s="622"/>
      <c r="G327" s="622"/>
      <c r="H327" s="622"/>
      <c r="I327" s="622"/>
      <c r="J327" s="622"/>
      <c r="K327" s="622"/>
      <c r="L327" s="622"/>
      <c r="M327" s="622"/>
      <c r="N327" s="622"/>
      <c r="O327" s="622"/>
      <c r="P327" s="622"/>
      <c r="Q327" s="622"/>
      <c r="R327" s="622"/>
      <c r="S327" s="622"/>
      <c r="T327" s="622"/>
      <c r="U327" s="622"/>
      <c r="V327" s="622"/>
      <c r="W327" s="622"/>
      <c r="X327" s="622"/>
      <c r="Y327" s="330"/>
      <c r="Z327" s="623"/>
      <c r="AA327" s="622"/>
      <c r="AB327" s="622"/>
      <c r="AC327" s="622"/>
      <c r="AD327" s="622"/>
      <c r="AE327" s="622"/>
      <c r="AF327" s="622"/>
      <c r="AG327" s="622"/>
      <c r="AH327" s="622"/>
      <c r="AI327" s="622"/>
      <c r="AJ327" s="622"/>
      <c r="AK327" s="622"/>
      <c r="AL327" s="622"/>
      <c r="AM327" s="622"/>
      <c r="AN327" s="622"/>
      <c r="AO327" s="622"/>
      <c r="AP327" s="622"/>
      <c r="AQ327" s="622"/>
      <c r="AR327" s="622"/>
      <c r="AS327" s="622"/>
      <c r="AT327" s="622"/>
      <c r="AU327" s="622"/>
      <c r="AV327" s="622"/>
      <c r="AW327" s="622"/>
    </row>
    <row r="328" spans="1:49" ht="7.5" customHeight="1">
      <c r="A328" s="623"/>
      <c r="B328" s="622"/>
      <c r="C328" s="622"/>
      <c r="D328" s="622"/>
      <c r="E328" s="622"/>
      <c r="F328" s="622"/>
      <c r="G328" s="622"/>
      <c r="H328" s="622"/>
      <c r="I328" s="622"/>
      <c r="J328" s="622"/>
      <c r="K328" s="622"/>
      <c r="L328" s="622"/>
      <c r="M328" s="622"/>
      <c r="N328" s="622"/>
      <c r="O328" s="622"/>
      <c r="P328" s="622"/>
      <c r="Q328" s="622"/>
      <c r="R328" s="622"/>
      <c r="S328" s="622"/>
      <c r="T328" s="622"/>
      <c r="U328" s="622"/>
      <c r="V328" s="622"/>
      <c r="W328" s="622"/>
      <c r="X328" s="622"/>
      <c r="Y328" s="330"/>
      <c r="Z328" s="623"/>
      <c r="AA328" s="622"/>
      <c r="AB328" s="622"/>
      <c r="AC328" s="622"/>
      <c r="AD328" s="622"/>
      <c r="AE328" s="622"/>
      <c r="AF328" s="622"/>
      <c r="AG328" s="622"/>
      <c r="AH328" s="622"/>
      <c r="AI328" s="622"/>
      <c r="AJ328" s="622"/>
      <c r="AK328" s="622"/>
      <c r="AL328" s="622"/>
      <c r="AM328" s="622"/>
      <c r="AN328" s="622"/>
      <c r="AO328" s="622"/>
      <c r="AP328" s="622"/>
      <c r="AQ328" s="622"/>
      <c r="AR328" s="622"/>
      <c r="AS328" s="622"/>
      <c r="AT328" s="622"/>
      <c r="AU328" s="622"/>
      <c r="AV328" s="622"/>
      <c r="AW328" s="622"/>
    </row>
    <row r="329" spans="1:49" ht="7.5" customHeight="1">
      <c r="A329" s="623">
        <v>3</v>
      </c>
      <c r="B329" s="622" t="str">
        <f>IF(NOT(ISBLANK('A-RACHNATMAK'!C355)),"A",IF(NOT(ISBLANK('A-RACHNATMAK'!C354)),"B",IF(NOT(ISBLANK('A-RACHNATMAK'!C353)),"C","")))</f>
        <v/>
      </c>
      <c r="C329" s="622" t="str">
        <f>IF(NOT(ISBLANK('A-RACHNATMAK'!D355)),"A",IF(NOT(ISBLANK('A-RACHNATMAK'!D354)),"B",IF(NOT(ISBLANK('A-RACHNATMAK'!D353)),"C","")))</f>
        <v/>
      </c>
      <c r="D329" s="622" t="str">
        <f>IF(NOT(ISBLANK('A-RACHNATMAK'!E355)),"A",IF(NOT(ISBLANK('A-RACHNATMAK'!E354)),"B",IF(NOT(ISBLANK('A-RACHNATMAK'!E353)),"C","")))</f>
        <v/>
      </c>
      <c r="E329" s="622" t="str">
        <f>IF(NOT(ISBLANK('A-RACHNATMAK'!F355)),"A",IF(NOT(ISBLANK('A-RACHNATMAK'!F354)),"B",IF(NOT(ISBLANK('A-RACHNATMAK'!F353)),"C","")))</f>
        <v/>
      </c>
      <c r="F329" s="622" t="str">
        <f>IF(NOT(ISBLANK('A-RACHNATMAK'!G355)),"A",IF(NOT(ISBLANK('A-RACHNATMAK'!G354)),"B",IF(NOT(ISBLANK('A-RACHNATMAK'!G353)),"C","")))</f>
        <v/>
      </c>
      <c r="G329" s="622" t="str">
        <f>IF(NOT(ISBLANK('A-RACHNATMAK'!H355)),"A",IF(NOT(ISBLANK('A-RACHNATMAK'!H354)),"B",IF(NOT(ISBLANK('A-RACHNATMAK'!H353)),"C","")))</f>
        <v/>
      </c>
      <c r="H329" s="622" t="str">
        <f>IF(NOT(ISBLANK('A-RACHNATMAK'!I355)),"A",IF(NOT(ISBLANK('A-RACHNATMAK'!I354)),"B",IF(NOT(ISBLANK('A-RACHNATMAK'!I353)),"C","")))</f>
        <v/>
      </c>
      <c r="I329" s="622" t="str">
        <f>IF(NOT(ISBLANK('A-RACHNATMAK'!J355)),"A",IF(NOT(ISBLANK('A-RACHNATMAK'!J354)),"B",IF(NOT(ISBLANK('A-RACHNATMAK'!J353)),"C","")))</f>
        <v/>
      </c>
      <c r="J329" s="622" t="str">
        <f>IF(NOT(ISBLANK('A-RACHNATMAK'!K355)),"A",IF(NOT(ISBLANK('A-RACHNATMAK'!K354)),"B",IF(NOT(ISBLANK('A-RACHNATMAK'!K353)),"C","")))</f>
        <v/>
      </c>
      <c r="K329" s="622" t="str">
        <f>IF(NOT(ISBLANK('A-RACHNATMAK'!L355)),"A",IF(NOT(ISBLANK('A-RACHNATMAK'!L354)),"B",IF(NOT(ISBLANK('A-RACHNATMAK'!L353)),"C","")))</f>
        <v/>
      </c>
      <c r="L329" s="622" t="str">
        <f>IF(NOT(ISBLANK('A-RACHNATMAK'!M355)),"A",IF(NOT(ISBLANK('A-RACHNATMAK'!M354)),"B",IF(NOT(ISBLANK('A-RACHNATMAK'!M353)),"C","")))</f>
        <v/>
      </c>
      <c r="M329" s="622" t="str">
        <f>IF(NOT(ISBLANK('A-RACHNATMAK'!N355)),"A",IF(NOT(ISBLANK('A-RACHNATMAK'!N354)),"B",IF(NOT(ISBLANK('A-RACHNATMAK'!N353)),"C","")))</f>
        <v/>
      </c>
      <c r="N329" s="622" t="str">
        <f>IF(NOT(ISBLANK('A-RACHNATMAK'!O355)),"A",IF(NOT(ISBLANK('A-RACHNATMAK'!O354)),"B",IF(NOT(ISBLANK('A-RACHNATMAK'!O353)),"C","")))</f>
        <v/>
      </c>
      <c r="O329" s="622" t="str">
        <f>IF(NOT(ISBLANK('A-RACHNATMAK'!P355)),"A",IF(NOT(ISBLANK('A-RACHNATMAK'!P354)),"B",IF(NOT(ISBLANK('A-RACHNATMAK'!P353)),"C","")))</f>
        <v/>
      </c>
      <c r="P329" s="622" t="str">
        <f>IF(NOT(ISBLANK('A-RACHNATMAK'!Q355)),"A",IF(NOT(ISBLANK('A-RACHNATMAK'!Q354)),"B",IF(NOT(ISBLANK('A-RACHNATMAK'!Q353)),"C","")))</f>
        <v/>
      </c>
      <c r="Q329" s="622" t="str">
        <f>IF(NOT(ISBLANK('A-RACHNATMAK'!R355)),"A",IF(NOT(ISBLANK('A-RACHNATMAK'!R354)),"B",IF(NOT(ISBLANK('A-RACHNATMAK'!R353)),"C","")))</f>
        <v/>
      </c>
      <c r="R329" s="622" t="str">
        <f>IF(NOT(ISBLANK('A-RACHNATMAK'!S355)),"A",IF(NOT(ISBLANK('A-RACHNATMAK'!S354)),"B",IF(NOT(ISBLANK('A-RACHNATMAK'!S353)),"C","")))</f>
        <v/>
      </c>
      <c r="S329" s="622" t="str">
        <f>IF(NOT(ISBLANK('A-RACHNATMAK'!T355)),"A",IF(NOT(ISBLANK('A-RACHNATMAK'!T354)),"B",IF(NOT(ISBLANK('A-RACHNATMAK'!T353)),"C","")))</f>
        <v/>
      </c>
      <c r="T329" s="622" t="str">
        <f>IF(NOT(ISBLANK('A-RACHNATMAK'!U355)),"A",IF(NOT(ISBLANK('A-RACHNATMAK'!U354)),"B",IF(NOT(ISBLANK('A-RACHNATMAK'!U353)),"C","")))</f>
        <v/>
      </c>
      <c r="U329" s="622" t="str">
        <f>IF(NOT(ISBLANK('A-RACHNATMAK'!V355)),"A",IF(NOT(ISBLANK('A-RACHNATMAK'!V354)),"B",IF(NOT(ISBLANK('A-RACHNATMAK'!V353)),"C","")))</f>
        <v/>
      </c>
      <c r="V329" s="622">
        <f t="shared" ref="V329" si="618">COUNTIF(B329:U329,"A")</f>
        <v>0</v>
      </c>
      <c r="W329" s="622">
        <f t="shared" ref="W329" si="619">COUNTIF(B329:U329,"B")</f>
        <v>0</v>
      </c>
      <c r="X329" s="622">
        <f t="shared" ref="X329" si="620">COUNTIF(B329:U329,"C")</f>
        <v>0</v>
      </c>
      <c r="Y329" s="330"/>
      <c r="Z329" s="623">
        <v>3</v>
      </c>
      <c r="AA329" s="622" t="str">
        <f>IF(NOT(ISBLANK('A-RACHNATMAK'!AD355)),"A",IF(NOT(ISBLANK('A-RACHNATMAK'!AD354)),"B",IF(NOT(ISBLANK('A-RACHNATMAK'!AD353)),"C","")))</f>
        <v/>
      </c>
      <c r="AB329" s="622" t="str">
        <f>IF(NOT(ISBLANK('A-RACHNATMAK'!AE355)),"A",IF(NOT(ISBLANK('A-RACHNATMAK'!AE354)),"B",IF(NOT(ISBLANK('A-RACHNATMAK'!AE353)),"C","")))</f>
        <v/>
      </c>
      <c r="AC329" s="622" t="str">
        <f>IF(NOT(ISBLANK('A-RACHNATMAK'!AF355)),"A",IF(NOT(ISBLANK('A-RACHNATMAK'!AF354)),"B",IF(NOT(ISBLANK('A-RACHNATMAK'!AF353)),"C","")))</f>
        <v/>
      </c>
      <c r="AD329" s="622" t="str">
        <f>IF(NOT(ISBLANK('A-RACHNATMAK'!AG355)),"A",IF(NOT(ISBLANK('A-RACHNATMAK'!AG354)),"B",IF(NOT(ISBLANK('A-RACHNATMAK'!AG353)),"C","")))</f>
        <v/>
      </c>
      <c r="AE329" s="622" t="str">
        <f>IF(NOT(ISBLANK('A-RACHNATMAK'!AH355)),"A",IF(NOT(ISBLANK('A-RACHNATMAK'!AH354)),"B",IF(NOT(ISBLANK('A-RACHNATMAK'!AH353)),"C","")))</f>
        <v/>
      </c>
      <c r="AF329" s="622" t="str">
        <f>IF(NOT(ISBLANK('A-RACHNATMAK'!AI355)),"A",IF(NOT(ISBLANK('A-RACHNATMAK'!AI354)),"B",IF(NOT(ISBLANK('A-RACHNATMAK'!AI353)),"C","")))</f>
        <v/>
      </c>
      <c r="AG329" s="622" t="str">
        <f>IF(NOT(ISBLANK('A-RACHNATMAK'!AJ355)),"A",IF(NOT(ISBLANK('A-RACHNATMAK'!AJ354)),"B",IF(NOT(ISBLANK('A-RACHNATMAK'!AJ353)),"C","")))</f>
        <v/>
      </c>
      <c r="AH329" s="622" t="str">
        <f>IF(NOT(ISBLANK('A-RACHNATMAK'!AK355)),"A",IF(NOT(ISBLANK('A-RACHNATMAK'!AK354)),"B",IF(NOT(ISBLANK('A-RACHNATMAK'!AK353)),"C","")))</f>
        <v/>
      </c>
      <c r="AI329" s="622" t="str">
        <f>IF(NOT(ISBLANK('A-RACHNATMAK'!AL355)),"A",IF(NOT(ISBLANK('A-RACHNATMAK'!AL354)),"B",IF(NOT(ISBLANK('A-RACHNATMAK'!AL353)),"C","")))</f>
        <v/>
      </c>
      <c r="AJ329" s="622" t="str">
        <f>IF(NOT(ISBLANK('A-RACHNATMAK'!AM355)),"A",IF(NOT(ISBLANK('A-RACHNATMAK'!AM354)),"B",IF(NOT(ISBLANK('A-RACHNATMAK'!AM353)),"C","")))</f>
        <v/>
      </c>
      <c r="AK329" s="622" t="str">
        <f>IF(NOT(ISBLANK('A-RACHNATMAK'!AN355)),"A",IF(NOT(ISBLANK('A-RACHNATMAK'!AN354)),"B",IF(NOT(ISBLANK('A-RACHNATMAK'!AN353)),"C","")))</f>
        <v/>
      </c>
      <c r="AL329" s="622" t="str">
        <f>IF(NOT(ISBLANK('A-RACHNATMAK'!AO355)),"A",IF(NOT(ISBLANK('A-RACHNATMAK'!AO354)),"B",IF(NOT(ISBLANK('A-RACHNATMAK'!AO353)),"C","")))</f>
        <v/>
      </c>
      <c r="AM329" s="622" t="str">
        <f>IF(NOT(ISBLANK('A-RACHNATMAK'!AP355)),"A",IF(NOT(ISBLANK('A-RACHNATMAK'!AP354)),"B",IF(NOT(ISBLANK('A-RACHNATMAK'!AP353)),"C","")))</f>
        <v/>
      </c>
      <c r="AN329" s="622" t="str">
        <f>IF(NOT(ISBLANK('A-RACHNATMAK'!AQ355)),"A",IF(NOT(ISBLANK('A-RACHNATMAK'!AQ354)),"B",IF(NOT(ISBLANK('A-RACHNATMAK'!AQ353)),"C","")))</f>
        <v/>
      </c>
      <c r="AO329" s="622" t="str">
        <f>IF(NOT(ISBLANK('A-RACHNATMAK'!AR355)),"A",IF(NOT(ISBLANK('A-RACHNATMAK'!AR354)),"B",IF(NOT(ISBLANK('A-RACHNATMAK'!AR353)),"C","")))</f>
        <v/>
      </c>
      <c r="AP329" s="622" t="str">
        <f>IF(NOT(ISBLANK('A-RACHNATMAK'!AS355)),"A",IF(NOT(ISBLANK('A-RACHNATMAK'!AS354)),"B",IF(NOT(ISBLANK('A-RACHNATMAK'!AS353)),"C","")))</f>
        <v/>
      </c>
      <c r="AQ329" s="622" t="str">
        <f>IF(NOT(ISBLANK('A-RACHNATMAK'!AT355)),"A",IF(NOT(ISBLANK('A-RACHNATMAK'!AT354)),"B",IF(NOT(ISBLANK('A-RACHNATMAK'!AT353)),"C","")))</f>
        <v/>
      </c>
      <c r="AR329" s="622" t="str">
        <f>IF(NOT(ISBLANK('A-RACHNATMAK'!AU355)),"A",IF(NOT(ISBLANK('A-RACHNATMAK'!AU354)),"B",IF(NOT(ISBLANK('A-RACHNATMAK'!AU353)),"C","")))</f>
        <v/>
      </c>
      <c r="AS329" s="622" t="str">
        <f>IF(NOT(ISBLANK('A-RACHNATMAK'!AV355)),"A",IF(NOT(ISBLANK('A-RACHNATMAK'!AV354)),"B",IF(NOT(ISBLANK('A-RACHNATMAK'!AV353)),"C","")))</f>
        <v/>
      </c>
      <c r="AT329" s="622" t="str">
        <f>IF(NOT(ISBLANK('A-RACHNATMAK'!AW355)),"A",IF(NOT(ISBLANK('A-RACHNATMAK'!AW354)),"B",IF(NOT(ISBLANK('A-RACHNATMAK'!AW353)),"C","")))</f>
        <v/>
      </c>
      <c r="AU329" s="622">
        <f t="shared" ref="AU329" si="621">COUNTIF(AA329:AT329,"A")</f>
        <v>0</v>
      </c>
      <c r="AV329" s="622">
        <f t="shared" ref="AV329" si="622">COUNTIF(AA329:AT329,"B")</f>
        <v>0</v>
      </c>
      <c r="AW329" s="622">
        <f t="shared" ref="AW329" si="623">COUNTIF(AA329:AT329,"C")</f>
        <v>0</v>
      </c>
    </row>
    <row r="330" spans="1:49" ht="7.5" customHeight="1">
      <c r="A330" s="623"/>
      <c r="B330" s="622"/>
      <c r="C330" s="622"/>
      <c r="D330" s="622"/>
      <c r="E330" s="622"/>
      <c r="F330" s="622"/>
      <c r="G330" s="622"/>
      <c r="H330" s="622"/>
      <c r="I330" s="622"/>
      <c r="J330" s="622"/>
      <c r="K330" s="622"/>
      <c r="L330" s="622"/>
      <c r="M330" s="622"/>
      <c r="N330" s="622"/>
      <c r="O330" s="622"/>
      <c r="P330" s="622"/>
      <c r="Q330" s="622"/>
      <c r="R330" s="622"/>
      <c r="S330" s="622"/>
      <c r="T330" s="622"/>
      <c r="U330" s="622"/>
      <c r="V330" s="622"/>
      <c r="W330" s="622"/>
      <c r="X330" s="622"/>
      <c r="Y330" s="330"/>
      <c r="Z330" s="623"/>
      <c r="AA330" s="622"/>
      <c r="AB330" s="622"/>
      <c r="AC330" s="622"/>
      <c r="AD330" s="622"/>
      <c r="AE330" s="622"/>
      <c r="AF330" s="622"/>
      <c r="AG330" s="622"/>
      <c r="AH330" s="622"/>
      <c r="AI330" s="622"/>
      <c r="AJ330" s="622"/>
      <c r="AK330" s="622"/>
      <c r="AL330" s="622"/>
      <c r="AM330" s="622"/>
      <c r="AN330" s="622"/>
      <c r="AO330" s="622"/>
      <c r="AP330" s="622"/>
      <c r="AQ330" s="622"/>
      <c r="AR330" s="622"/>
      <c r="AS330" s="622"/>
      <c r="AT330" s="622"/>
      <c r="AU330" s="622"/>
      <c r="AV330" s="622"/>
      <c r="AW330" s="622"/>
    </row>
    <row r="331" spans="1:49" ht="7.5" customHeight="1">
      <c r="A331" s="623"/>
      <c r="B331" s="622"/>
      <c r="C331" s="622"/>
      <c r="D331" s="622"/>
      <c r="E331" s="622"/>
      <c r="F331" s="622"/>
      <c r="G331" s="622"/>
      <c r="H331" s="622"/>
      <c r="I331" s="622"/>
      <c r="J331" s="622"/>
      <c r="K331" s="622"/>
      <c r="L331" s="622"/>
      <c r="M331" s="622"/>
      <c r="N331" s="622"/>
      <c r="O331" s="622"/>
      <c r="P331" s="622"/>
      <c r="Q331" s="622"/>
      <c r="R331" s="622"/>
      <c r="S331" s="622"/>
      <c r="T331" s="622"/>
      <c r="U331" s="622"/>
      <c r="V331" s="622"/>
      <c r="W331" s="622"/>
      <c r="X331" s="622"/>
      <c r="Y331" s="330"/>
      <c r="Z331" s="623"/>
      <c r="AA331" s="622"/>
      <c r="AB331" s="622"/>
      <c r="AC331" s="622"/>
      <c r="AD331" s="622"/>
      <c r="AE331" s="622"/>
      <c r="AF331" s="622"/>
      <c r="AG331" s="622"/>
      <c r="AH331" s="622"/>
      <c r="AI331" s="622"/>
      <c r="AJ331" s="622"/>
      <c r="AK331" s="622"/>
      <c r="AL331" s="622"/>
      <c r="AM331" s="622"/>
      <c r="AN331" s="622"/>
      <c r="AO331" s="622"/>
      <c r="AP331" s="622"/>
      <c r="AQ331" s="622"/>
      <c r="AR331" s="622"/>
      <c r="AS331" s="622"/>
      <c r="AT331" s="622"/>
      <c r="AU331" s="622"/>
      <c r="AV331" s="622"/>
      <c r="AW331" s="622"/>
    </row>
    <row r="332" spans="1:49" ht="7.5" customHeight="1">
      <c r="A332" s="623">
        <v>4</v>
      </c>
      <c r="B332" s="622" t="str">
        <f>IF(NOT(ISBLANK('A-RACHNATMAK'!C358)),"A",IF(NOT(ISBLANK('A-RACHNATMAK'!C357)),"B",IF(NOT(ISBLANK('A-RACHNATMAK'!C356)),"C","")))</f>
        <v/>
      </c>
      <c r="C332" s="622" t="str">
        <f>IF(NOT(ISBLANK('A-RACHNATMAK'!D358)),"A",IF(NOT(ISBLANK('A-RACHNATMAK'!D357)),"B",IF(NOT(ISBLANK('A-RACHNATMAK'!D356)),"C","")))</f>
        <v/>
      </c>
      <c r="D332" s="622" t="str">
        <f>IF(NOT(ISBLANK('A-RACHNATMAK'!E358)),"A",IF(NOT(ISBLANK('A-RACHNATMAK'!E357)),"B",IF(NOT(ISBLANK('A-RACHNATMAK'!E356)),"C","")))</f>
        <v/>
      </c>
      <c r="E332" s="622" t="str">
        <f>IF(NOT(ISBLANK('A-RACHNATMAK'!F358)),"A",IF(NOT(ISBLANK('A-RACHNATMAK'!F357)),"B",IF(NOT(ISBLANK('A-RACHNATMAK'!F356)),"C","")))</f>
        <v/>
      </c>
      <c r="F332" s="622" t="str">
        <f>IF(NOT(ISBLANK('A-RACHNATMAK'!G358)),"A",IF(NOT(ISBLANK('A-RACHNATMAK'!G357)),"B",IF(NOT(ISBLANK('A-RACHNATMAK'!G356)),"C","")))</f>
        <v/>
      </c>
      <c r="G332" s="622" t="str">
        <f>IF(NOT(ISBLANK('A-RACHNATMAK'!H358)),"A",IF(NOT(ISBLANK('A-RACHNATMAK'!H357)),"B",IF(NOT(ISBLANK('A-RACHNATMAK'!H356)),"C","")))</f>
        <v/>
      </c>
      <c r="H332" s="622" t="str">
        <f>IF(NOT(ISBLANK('A-RACHNATMAK'!I358)),"A",IF(NOT(ISBLANK('A-RACHNATMAK'!I357)),"B",IF(NOT(ISBLANK('A-RACHNATMAK'!I356)),"C","")))</f>
        <v/>
      </c>
      <c r="I332" s="622" t="str">
        <f>IF(NOT(ISBLANK('A-RACHNATMAK'!J358)),"A",IF(NOT(ISBLANK('A-RACHNATMAK'!J357)),"B",IF(NOT(ISBLANK('A-RACHNATMAK'!J356)),"C","")))</f>
        <v/>
      </c>
      <c r="J332" s="622" t="str">
        <f>IF(NOT(ISBLANK('A-RACHNATMAK'!K358)),"A",IF(NOT(ISBLANK('A-RACHNATMAK'!K357)),"B",IF(NOT(ISBLANK('A-RACHNATMAK'!K356)),"C","")))</f>
        <v/>
      </c>
      <c r="K332" s="622" t="str">
        <f>IF(NOT(ISBLANK('A-RACHNATMAK'!L358)),"A",IF(NOT(ISBLANK('A-RACHNATMAK'!L357)),"B",IF(NOT(ISBLANK('A-RACHNATMAK'!L356)),"C","")))</f>
        <v/>
      </c>
      <c r="L332" s="622" t="str">
        <f>IF(NOT(ISBLANK('A-RACHNATMAK'!M358)),"A",IF(NOT(ISBLANK('A-RACHNATMAK'!M357)),"B",IF(NOT(ISBLANK('A-RACHNATMAK'!M356)),"C","")))</f>
        <v/>
      </c>
      <c r="M332" s="622" t="str">
        <f>IF(NOT(ISBLANK('A-RACHNATMAK'!N358)),"A",IF(NOT(ISBLANK('A-RACHNATMAK'!N357)),"B",IF(NOT(ISBLANK('A-RACHNATMAK'!N356)),"C","")))</f>
        <v/>
      </c>
      <c r="N332" s="622" t="str">
        <f>IF(NOT(ISBLANK('A-RACHNATMAK'!O358)),"A",IF(NOT(ISBLANK('A-RACHNATMAK'!O357)),"B",IF(NOT(ISBLANK('A-RACHNATMAK'!O356)),"C","")))</f>
        <v/>
      </c>
      <c r="O332" s="622" t="str">
        <f>IF(NOT(ISBLANK('A-RACHNATMAK'!P358)),"A",IF(NOT(ISBLANK('A-RACHNATMAK'!P357)),"B",IF(NOT(ISBLANK('A-RACHNATMAK'!P356)),"C","")))</f>
        <v/>
      </c>
      <c r="P332" s="622" t="str">
        <f>IF(NOT(ISBLANK('A-RACHNATMAK'!Q358)),"A",IF(NOT(ISBLANK('A-RACHNATMAK'!Q357)),"B",IF(NOT(ISBLANK('A-RACHNATMAK'!Q356)),"C","")))</f>
        <v/>
      </c>
      <c r="Q332" s="622" t="str">
        <f>IF(NOT(ISBLANK('A-RACHNATMAK'!R358)),"A",IF(NOT(ISBLANK('A-RACHNATMAK'!R357)),"B",IF(NOT(ISBLANK('A-RACHNATMAK'!R356)),"C","")))</f>
        <v/>
      </c>
      <c r="R332" s="622" t="str">
        <f>IF(NOT(ISBLANK('A-RACHNATMAK'!S358)),"A",IF(NOT(ISBLANK('A-RACHNATMAK'!S357)),"B",IF(NOT(ISBLANK('A-RACHNATMAK'!S356)),"C","")))</f>
        <v/>
      </c>
      <c r="S332" s="622" t="str">
        <f>IF(NOT(ISBLANK('A-RACHNATMAK'!T358)),"A",IF(NOT(ISBLANK('A-RACHNATMAK'!T357)),"B",IF(NOT(ISBLANK('A-RACHNATMAK'!T356)),"C","")))</f>
        <v/>
      </c>
      <c r="T332" s="622" t="str">
        <f>IF(NOT(ISBLANK('A-RACHNATMAK'!U358)),"A",IF(NOT(ISBLANK('A-RACHNATMAK'!U357)),"B",IF(NOT(ISBLANK('A-RACHNATMAK'!U356)),"C","")))</f>
        <v/>
      </c>
      <c r="U332" s="622" t="str">
        <f>IF(NOT(ISBLANK('A-RACHNATMAK'!V358)),"A",IF(NOT(ISBLANK('A-RACHNATMAK'!V357)),"B",IF(NOT(ISBLANK('A-RACHNATMAK'!V356)),"C","")))</f>
        <v/>
      </c>
      <c r="V332" s="622">
        <f t="shared" ref="V332" si="624">COUNTIF(B332:U332,"A")</f>
        <v>0</v>
      </c>
      <c r="W332" s="622">
        <f t="shared" ref="W332" si="625">COUNTIF(B332:U332,"B")</f>
        <v>0</v>
      </c>
      <c r="X332" s="622">
        <f t="shared" ref="X332" si="626">COUNTIF(B332:U332,"C")</f>
        <v>0</v>
      </c>
      <c r="Y332" s="330"/>
      <c r="Z332" s="623">
        <v>4</v>
      </c>
      <c r="AA332" s="622" t="str">
        <f>IF(NOT(ISBLANK('A-RACHNATMAK'!AD358)),"A",IF(NOT(ISBLANK('A-RACHNATMAK'!AD357)),"B",IF(NOT(ISBLANK('A-RACHNATMAK'!AD356)),"C","")))</f>
        <v/>
      </c>
      <c r="AB332" s="622" t="str">
        <f>IF(NOT(ISBLANK('A-RACHNATMAK'!AE358)),"A",IF(NOT(ISBLANK('A-RACHNATMAK'!AE357)),"B",IF(NOT(ISBLANK('A-RACHNATMAK'!AE356)),"C","")))</f>
        <v/>
      </c>
      <c r="AC332" s="622" t="str">
        <f>IF(NOT(ISBLANK('A-RACHNATMAK'!AF358)),"A",IF(NOT(ISBLANK('A-RACHNATMAK'!AF357)),"B",IF(NOT(ISBLANK('A-RACHNATMAK'!AF356)),"C","")))</f>
        <v/>
      </c>
      <c r="AD332" s="622" t="str">
        <f>IF(NOT(ISBLANK('A-RACHNATMAK'!AG358)),"A",IF(NOT(ISBLANK('A-RACHNATMAK'!AG357)),"B",IF(NOT(ISBLANK('A-RACHNATMAK'!AG356)),"C","")))</f>
        <v/>
      </c>
      <c r="AE332" s="622" t="str">
        <f>IF(NOT(ISBLANK('A-RACHNATMAK'!AH358)),"A",IF(NOT(ISBLANK('A-RACHNATMAK'!AH357)),"B",IF(NOT(ISBLANK('A-RACHNATMAK'!AH356)),"C","")))</f>
        <v/>
      </c>
      <c r="AF332" s="622" t="str">
        <f>IF(NOT(ISBLANK('A-RACHNATMAK'!AI358)),"A",IF(NOT(ISBLANK('A-RACHNATMAK'!AI357)),"B",IF(NOT(ISBLANK('A-RACHNATMAK'!AI356)),"C","")))</f>
        <v/>
      </c>
      <c r="AG332" s="622" t="str">
        <f>IF(NOT(ISBLANK('A-RACHNATMAK'!AJ358)),"A",IF(NOT(ISBLANK('A-RACHNATMAK'!AJ357)),"B",IF(NOT(ISBLANK('A-RACHNATMAK'!AJ356)),"C","")))</f>
        <v/>
      </c>
      <c r="AH332" s="622" t="str">
        <f>IF(NOT(ISBLANK('A-RACHNATMAK'!AK358)),"A",IF(NOT(ISBLANK('A-RACHNATMAK'!AK357)),"B",IF(NOT(ISBLANK('A-RACHNATMAK'!AK356)),"C","")))</f>
        <v/>
      </c>
      <c r="AI332" s="622" t="str">
        <f>IF(NOT(ISBLANK('A-RACHNATMAK'!AL358)),"A",IF(NOT(ISBLANK('A-RACHNATMAK'!AL357)),"B",IF(NOT(ISBLANK('A-RACHNATMAK'!AL356)),"C","")))</f>
        <v/>
      </c>
      <c r="AJ332" s="622" t="str">
        <f>IF(NOT(ISBLANK('A-RACHNATMAK'!AM358)),"A",IF(NOT(ISBLANK('A-RACHNATMAK'!AM357)),"B",IF(NOT(ISBLANK('A-RACHNATMAK'!AM356)),"C","")))</f>
        <v/>
      </c>
      <c r="AK332" s="622" t="str">
        <f>IF(NOT(ISBLANK('A-RACHNATMAK'!AN358)),"A",IF(NOT(ISBLANK('A-RACHNATMAK'!AN357)),"B",IF(NOT(ISBLANK('A-RACHNATMAK'!AN356)),"C","")))</f>
        <v/>
      </c>
      <c r="AL332" s="622" t="str">
        <f>IF(NOT(ISBLANK('A-RACHNATMAK'!AO358)),"A",IF(NOT(ISBLANK('A-RACHNATMAK'!AO357)),"B",IF(NOT(ISBLANK('A-RACHNATMAK'!AO356)),"C","")))</f>
        <v/>
      </c>
      <c r="AM332" s="622" t="str">
        <f>IF(NOT(ISBLANK('A-RACHNATMAK'!AP358)),"A",IF(NOT(ISBLANK('A-RACHNATMAK'!AP357)),"B",IF(NOT(ISBLANK('A-RACHNATMAK'!AP356)),"C","")))</f>
        <v/>
      </c>
      <c r="AN332" s="622" t="str">
        <f>IF(NOT(ISBLANK('A-RACHNATMAK'!AQ358)),"A",IF(NOT(ISBLANK('A-RACHNATMAK'!AQ357)),"B",IF(NOT(ISBLANK('A-RACHNATMAK'!AQ356)),"C","")))</f>
        <v/>
      </c>
      <c r="AO332" s="622" t="str">
        <f>IF(NOT(ISBLANK('A-RACHNATMAK'!AR358)),"A",IF(NOT(ISBLANK('A-RACHNATMAK'!AR357)),"B",IF(NOT(ISBLANK('A-RACHNATMAK'!AR356)),"C","")))</f>
        <v/>
      </c>
      <c r="AP332" s="622" t="str">
        <f>IF(NOT(ISBLANK('A-RACHNATMAK'!AS358)),"A",IF(NOT(ISBLANK('A-RACHNATMAK'!AS357)),"B",IF(NOT(ISBLANK('A-RACHNATMAK'!AS356)),"C","")))</f>
        <v/>
      </c>
      <c r="AQ332" s="622" t="str">
        <f>IF(NOT(ISBLANK('A-RACHNATMAK'!AT358)),"A",IF(NOT(ISBLANK('A-RACHNATMAK'!AT357)),"B",IF(NOT(ISBLANK('A-RACHNATMAK'!AT356)),"C","")))</f>
        <v/>
      </c>
      <c r="AR332" s="622" t="str">
        <f>IF(NOT(ISBLANK('A-RACHNATMAK'!AU358)),"A",IF(NOT(ISBLANK('A-RACHNATMAK'!AU357)),"B",IF(NOT(ISBLANK('A-RACHNATMAK'!AU356)),"C","")))</f>
        <v/>
      </c>
      <c r="AS332" s="622" t="str">
        <f>IF(NOT(ISBLANK('A-RACHNATMAK'!AV358)),"A",IF(NOT(ISBLANK('A-RACHNATMAK'!AV357)),"B",IF(NOT(ISBLANK('A-RACHNATMAK'!AV356)),"C","")))</f>
        <v/>
      </c>
      <c r="AT332" s="622" t="str">
        <f>IF(NOT(ISBLANK('A-RACHNATMAK'!AW358)),"A",IF(NOT(ISBLANK('A-RACHNATMAK'!AW357)),"B",IF(NOT(ISBLANK('A-RACHNATMAK'!AW356)),"C","")))</f>
        <v/>
      </c>
      <c r="AU332" s="622">
        <f t="shared" ref="AU332" si="627">COUNTIF(AA332:AT332,"A")</f>
        <v>0</v>
      </c>
      <c r="AV332" s="622">
        <f t="shared" ref="AV332" si="628">COUNTIF(AA332:AT332,"B")</f>
        <v>0</v>
      </c>
      <c r="AW332" s="622">
        <f t="shared" ref="AW332" si="629">COUNTIF(AA332:AT332,"C")</f>
        <v>0</v>
      </c>
    </row>
    <row r="333" spans="1:49" ht="7.5" customHeight="1">
      <c r="A333" s="623"/>
      <c r="B333" s="622"/>
      <c r="C333" s="622"/>
      <c r="D333" s="622"/>
      <c r="E333" s="622"/>
      <c r="F333" s="622"/>
      <c r="G333" s="622"/>
      <c r="H333" s="622"/>
      <c r="I333" s="622"/>
      <c r="J333" s="622"/>
      <c r="K333" s="622"/>
      <c r="L333" s="622"/>
      <c r="M333" s="622"/>
      <c r="N333" s="622"/>
      <c r="O333" s="622"/>
      <c r="P333" s="622"/>
      <c r="Q333" s="622"/>
      <c r="R333" s="622"/>
      <c r="S333" s="622"/>
      <c r="T333" s="622"/>
      <c r="U333" s="622"/>
      <c r="V333" s="622"/>
      <c r="W333" s="622"/>
      <c r="X333" s="622"/>
      <c r="Y333" s="330"/>
      <c r="Z333" s="623"/>
      <c r="AA333" s="622"/>
      <c r="AB333" s="622"/>
      <c r="AC333" s="622"/>
      <c r="AD333" s="622"/>
      <c r="AE333" s="622"/>
      <c r="AF333" s="622"/>
      <c r="AG333" s="622"/>
      <c r="AH333" s="622"/>
      <c r="AI333" s="622"/>
      <c r="AJ333" s="622"/>
      <c r="AK333" s="622"/>
      <c r="AL333" s="622"/>
      <c r="AM333" s="622"/>
      <c r="AN333" s="622"/>
      <c r="AO333" s="622"/>
      <c r="AP333" s="622"/>
      <c r="AQ333" s="622"/>
      <c r="AR333" s="622"/>
      <c r="AS333" s="622"/>
      <c r="AT333" s="622"/>
      <c r="AU333" s="622"/>
      <c r="AV333" s="622"/>
      <c r="AW333" s="622"/>
    </row>
    <row r="334" spans="1:49" ht="7.5" customHeight="1">
      <c r="A334" s="623"/>
      <c r="B334" s="622"/>
      <c r="C334" s="622"/>
      <c r="D334" s="622"/>
      <c r="E334" s="622"/>
      <c r="F334" s="622"/>
      <c r="G334" s="622"/>
      <c r="H334" s="622"/>
      <c r="I334" s="622"/>
      <c r="J334" s="622"/>
      <c r="K334" s="622"/>
      <c r="L334" s="622"/>
      <c r="M334" s="622"/>
      <c r="N334" s="622"/>
      <c r="O334" s="622"/>
      <c r="P334" s="622"/>
      <c r="Q334" s="622"/>
      <c r="R334" s="622"/>
      <c r="S334" s="622"/>
      <c r="T334" s="622"/>
      <c r="U334" s="622"/>
      <c r="V334" s="622"/>
      <c r="W334" s="622"/>
      <c r="X334" s="622"/>
      <c r="Y334" s="330"/>
      <c r="Z334" s="623"/>
      <c r="AA334" s="622"/>
      <c r="AB334" s="622"/>
      <c r="AC334" s="622"/>
      <c r="AD334" s="622"/>
      <c r="AE334" s="622"/>
      <c r="AF334" s="622"/>
      <c r="AG334" s="622"/>
      <c r="AH334" s="622"/>
      <c r="AI334" s="622"/>
      <c r="AJ334" s="622"/>
      <c r="AK334" s="622"/>
      <c r="AL334" s="622"/>
      <c r="AM334" s="622"/>
      <c r="AN334" s="622"/>
      <c r="AO334" s="622"/>
      <c r="AP334" s="622"/>
      <c r="AQ334" s="622"/>
      <c r="AR334" s="622"/>
      <c r="AS334" s="622"/>
      <c r="AT334" s="622"/>
      <c r="AU334" s="622"/>
      <c r="AV334" s="622"/>
      <c r="AW334" s="622"/>
    </row>
    <row r="335" spans="1:49" ht="7.5" customHeight="1">
      <c r="A335" s="623">
        <v>5</v>
      </c>
      <c r="B335" s="622" t="str">
        <f>IF(NOT(ISBLANK('A-RACHNATMAK'!C361)),"A",IF(NOT(ISBLANK('A-RACHNATMAK'!C360)),"B",IF(NOT(ISBLANK('A-RACHNATMAK'!C359)),"C","")))</f>
        <v/>
      </c>
      <c r="C335" s="622" t="str">
        <f>IF(NOT(ISBLANK('A-RACHNATMAK'!D361)),"A",IF(NOT(ISBLANK('A-RACHNATMAK'!D360)),"B",IF(NOT(ISBLANK('A-RACHNATMAK'!D359)),"C","")))</f>
        <v/>
      </c>
      <c r="D335" s="622" t="str">
        <f>IF(NOT(ISBLANK('A-RACHNATMAK'!E361)),"A",IF(NOT(ISBLANK('A-RACHNATMAK'!E360)),"B",IF(NOT(ISBLANK('A-RACHNATMAK'!E359)),"C","")))</f>
        <v/>
      </c>
      <c r="E335" s="622" t="str">
        <f>IF(NOT(ISBLANK('A-RACHNATMAK'!F361)),"A",IF(NOT(ISBLANK('A-RACHNATMAK'!F360)),"B",IF(NOT(ISBLANK('A-RACHNATMAK'!F359)),"C","")))</f>
        <v/>
      </c>
      <c r="F335" s="622" t="str">
        <f>IF(NOT(ISBLANK('A-RACHNATMAK'!G361)),"A",IF(NOT(ISBLANK('A-RACHNATMAK'!G360)),"B",IF(NOT(ISBLANK('A-RACHNATMAK'!G359)),"C","")))</f>
        <v/>
      </c>
      <c r="G335" s="622" t="str">
        <f>IF(NOT(ISBLANK('A-RACHNATMAK'!H361)),"A",IF(NOT(ISBLANK('A-RACHNATMAK'!H360)),"B",IF(NOT(ISBLANK('A-RACHNATMAK'!H359)),"C","")))</f>
        <v/>
      </c>
      <c r="H335" s="622" t="str">
        <f>IF(NOT(ISBLANK('A-RACHNATMAK'!I361)),"A",IF(NOT(ISBLANK('A-RACHNATMAK'!I360)),"B",IF(NOT(ISBLANK('A-RACHNATMAK'!I359)),"C","")))</f>
        <v/>
      </c>
      <c r="I335" s="622" t="str">
        <f>IF(NOT(ISBLANK('A-RACHNATMAK'!J361)),"A",IF(NOT(ISBLANK('A-RACHNATMAK'!J360)),"B",IF(NOT(ISBLANK('A-RACHNATMAK'!J359)),"C","")))</f>
        <v/>
      </c>
      <c r="J335" s="622" t="str">
        <f>IF(NOT(ISBLANK('A-RACHNATMAK'!K361)),"A",IF(NOT(ISBLANK('A-RACHNATMAK'!K360)),"B",IF(NOT(ISBLANK('A-RACHNATMAK'!K359)),"C","")))</f>
        <v/>
      </c>
      <c r="K335" s="622" t="str">
        <f>IF(NOT(ISBLANK('A-RACHNATMAK'!L361)),"A",IF(NOT(ISBLANK('A-RACHNATMAK'!L360)),"B",IF(NOT(ISBLANK('A-RACHNATMAK'!L359)),"C","")))</f>
        <v/>
      </c>
      <c r="L335" s="622" t="str">
        <f>IF(NOT(ISBLANK('A-RACHNATMAK'!M361)),"A",IF(NOT(ISBLANK('A-RACHNATMAK'!M360)),"B",IF(NOT(ISBLANK('A-RACHNATMAK'!M359)),"C","")))</f>
        <v/>
      </c>
      <c r="M335" s="622" t="str">
        <f>IF(NOT(ISBLANK('A-RACHNATMAK'!N361)),"A",IF(NOT(ISBLANK('A-RACHNATMAK'!N360)),"B",IF(NOT(ISBLANK('A-RACHNATMAK'!N359)),"C","")))</f>
        <v/>
      </c>
      <c r="N335" s="622" t="str">
        <f>IF(NOT(ISBLANK('A-RACHNATMAK'!O361)),"A",IF(NOT(ISBLANK('A-RACHNATMAK'!O360)),"B",IF(NOT(ISBLANK('A-RACHNATMAK'!O359)),"C","")))</f>
        <v/>
      </c>
      <c r="O335" s="622" t="str">
        <f>IF(NOT(ISBLANK('A-RACHNATMAK'!P361)),"A",IF(NOT(ISBLANK('A-RACHNATMAK'!P360)),"B",IF(NOT(ISBLANK('A-RACHNATMAK'!P359)),"C","")))</f>
        <v/>
      </c>
      <c r="P335" s="622" t="str">
        <f>IF(NOT(ISBLANK('A-RACHNATMAK'!Q361)),"A",IF(NOT(ISBLANK('A-RACHNATMAK'!Q360)),"B",IF(NOT(ISBLANK('A-RACHNATMAK'!Q359)),"C","")))</f>
        <v/>
      </c>
      <c r="Q335" s="622" t="str">
        <f>IF(NOT(ISBLANK('A-RACHNATMAK'!R361)),"A",IF(NOT(ISBLANK('A-RACHNATMAK'!R360)),"B",IF(NOT(ISBLANK('A-RACHNATMAK'!R359)),"C","")))</f>
        <v/>
      </c>
      <c r="R335" s="622" t="str">
        <f>IF(NOT(ISBLANK('A-RACHNATMAK'!S361)),"A",IF(NOT(ISBLANK('A-RACHNATMAK'!S360)),"B",IF(NOT(ISBLANK('A-RACHNATMAK'!S359)),"C","")))</f>
        <v/>
      </c>
      <c r="S335" s="622" t="str">
        <f>IF(NOT(ISBLANK('A-RACHNATMAK'!T361)),"A",IF(NOT(ISBLANK('A-RACHNATMAK'!T360)),"B",IF(NOT(ISBLANK('A-RACHNATMAK'!T359)),"C","")))</f>
        <v/>
      </c>
      <c r="T335" s="622" t="str">
        <f>IF(NOT(ISBLANK('A-RACHNATMAK'!U361)),"A",IF(NOT(ISBLANK('A-RACHNATMAK'!U360)),"B",IF(NOT(ISBLANK('A-RACHNATMAK'!U359)),"C","")))</f>
        <v/>
      </c>
      <c r="U335" s="622" t="str">
        <f>IF(NOT(ISBLANK('A-RACHNATMAK'!V361)),"A",IF(NOT(ISBLANK('A-RACHNATMAK'!V360)),"B",IF(NOT(ISBLANK('A-RACHNATMAK'!V359)),"C","")))</f>
        <v/>
      </c>
      <c r="V335" s="622">
        <f t="shared" ref="V335" si="630">COUNTIF(B335:U335,"A")</f>
        <v>0</v>
      </c>
      <c r="W335" s="622">
        <f t="shared" ref="W335" si="631">COUNTIF(B335:U335,"B")</f>
        <v>0</v>
      </c>
      <c r="X335" s="622">
        <f t="shared" ref="X335" si="632">COUNTIF(B335:U335,"C")</f>
        <v>0</v>
      </c>
      <c r="Y335" s="330"/>
      <c r="Z335" s="623">
        <v>5</v>
      </c>
      <c r="AA335" s="622" t="str">
        <f>IF(NOT(ISBLANK('A-RACHNATMAK'!AD361)),"A",IF(NOT(ISBLANK('A-RACHNATMAK'!AD360)),"B",IF(NOT(ISBLANK('A-RACHNATMAK'!AD359)),"C","")))</f>
        <v/>
      </c>
      <c r="AB335" s="622" t="str">
        <f>IF(NOT(ISBLANK('A-RACHNATMAK'!AE361)),"A",IF(NOT(ISBLANK('A-RACHNATMAK'!AE360)),"B",IF(NOT(ISBLANK('A-RACHNATMAK'!AE359)),"C","")))</f>
        <v/>
      </c>
      <c r="AC335" s="622" t="str">
        <f>IF(NOT(ISBLANK('A-RACHNATMAK'!AF361)),"A",IF(NOT(ISBLANK('A-RACHNATMAK'!AF360)),"B",IF(NOT(ISBLANK('A-RACHNATMAK'!AF359)),"C","")))</f>
        <v/>
      </c>
      <c r="AD335" s="622" t="str">
        <f>IF(NOT(ISBLANK('A-RACHNATMAK'!AG361)),"A",IF(NOT(ISBLANK('A-RACHNATMAK'!AG360)),"B",IF(NOT(ISBLANK('A-RACHNATMAK'!AG359)),"C","")))</f>
        <v/>
      </c>
      <c r="AE335" s="622" t="str">
        <f>IF(NOT(ISBLANK('A-RACHNATMAK'!AH361)),"A",IF(NOT(ISBLANK('A-RACHNATMAK'!AH360)),"B",IF(NOT(ISBLANK('A-RACHNATMAK'!AH359)),"C","")))</f>
        <v/>
      </c>
      <c r="AF335" s="622" t="str">
        <f>IF(NOT(ISBLANK('A-RACHNATMAK'!AI361)),"A",IF(NOT(ISBLANK('A-RACHNATMAK'!AI360)),"B",IF(NOT(ISBLANK('A-RACHNATMAK'!AI359)),"C","")))</f>
        <v/>
      </c>
      <c r="AG335" s="622" t="str">
        <f>IF(NOT(ISBLANK('A-RACHNATMAK'!AJ361)),"A",IF(NOT(ISBLANK('A-RACHNATMAK'!AJ360)),"B",IF(NOT(ISBLANK('A-RACHNATMAK'!AJ359)),"C","")))</f>
        <v/>
      </c>
      <c r="AH335" s="622" t="str">
        <f>IF(NOT(ISBLANK('A-RACHNATMAK'!AK361)),"A",IF(NOT(ISBLANK('A-RACHNATMAK'!AK360)),"B",IF(NOT(ISBLANK('A-RACHNATMAK'!AK359)),"C","")))</f>
        <v/>
      </c>
      <c r="AI335" s="622" t="str">
        <f>IF(NOT(ISBLANK('A-RACHNATMAK'!AL361)),"A",IF(NOT(ISBLANK('A-RACHNATMAK'!AL360)),"B",IF(NOT(ISBLANK('A-RACHNATMAK'!AL359)),"C","")))</f>
        <v/>
      </c>
      <c r="AJ335" s="622" t="str">
        <f>IF(NOT(ISBLANK('A-RACHNATMAK'!AM361)),"A",IF(NOT(ISBLANK('A-RACHNATMAK'!AM360)),"B",IF(NOT(ISBLANK('A-RACHNATMAK'!AM359)),"C","")))</f>
        <v/>
      </c>
      <c r="AK335" s="622" t="str">
        <f>IF(NOT(ISBLANK('A-RACHNATMAK'!AN361)),"A",IF(NOT(ISBLANK('A-RACHNATMAK'!AN360)),"B",IF(NOT(ISBLANK('A-RACHNATMAK'!AN359)),"C","")))</f>
        <v/>
      </c>
      <c r="AL335" s="622" t="str">
        <f>IF(NOT(ISBLANK('A-RACHNATMAK'!AO361)),"A",IF(NOT(ISBLANK('A-RACHNATMAK'!AO360)),"B",IF(NOT(ISBLANK('A-RACHNATMAK'!AO359)),"C","")))</f>
        <v/>
      </c>
      <c r="AM335" s="622" t="str">
        <f>IF(NOT(ISBLANK('A-RACHNATMAK'!AP361)),"A",IF(NOT(ISBLANK('A-RACHNATMAK'!AP360)),"B",IF(NOT(ISBLANK('A-RACHNATMAK'!AP359)),"C","")))</f>
        <v/>
      </c>
      <c r="AN335" s="622" t="str">
        <f>IF(NOT(ISBLANK('A-RACHNATMAK'!AQ361)),"A",IF(NOT(ISBLANK('A-RACHNATMAK'!AQ360)),"B",IF(NOT(ISBLANK('A-RACHNATMAK'!AQ359)),"C","")))</f>
        <v/>
      </c>
      <c r="AO335" s="622" t="str">
        <f>IF(NOT(ISBLANK('A-RACHNATMAK'!AR361)),"A",IF(NOT(ISBLANK('A-RACHNATMAK'!AR360)),"B",IF(NOT(ISBLANK('A-RACHNATMAK'!AR359)),"C","")))</f>
        <v/>
      </c>
      <c r="AP335" s="622" t="str">
        <f>IF(NOT(ISBLANK('A-RACHNATMAK'!AS361)),"A",IF(NOT(ISBLANK('A-RACHNATMAK'!AS360)),"B",IF(NOT(ISBLANK('A-RACHNATMAK'!AS359)),"C","")))</f>
        <v/>
      </c>
      <c r="AQ335" s="622" t="str">
        <f>IF(NOT(ISBLANK('A-RACHNATMAK'!AT361)),"A",IF(NOT(ISBLANK('A-RACHNATMAK'!AT360)),"B",IF(NOT(ISBLANK('A-RACHNATMAK'!AT359)),"C","")))</f>
        <v/>
      </c>
      <c r="AR335" s="622" t="str">
        <f>IF(NOT(ISBLANK('A-RACHNATMAK'!AU361)),"A",IF(NOT(ISBLANK('A-RACHNATMAK'!AU360)),"B",IF(NOT(ISBLANK('A-RACHNATMAK'!AU359)),"C","")))</f>
        <v/>
      </c>
      <c r="AS335" s="622" t="str">
        <f>IF(NOT(ISBLANK('A-RACHNATMAK'!AV361)),"A",IF(NOT(ISBLANK('A-RACHNATMAK'!AV360)),"B",IF(NOT(ISBLANK('A-RACHNATMAK'!AV359)),"C","")))</f>
        <v/>
      </c>
      <c r="AT335" s="622" t="str">
        <f>IF(NOT(ISBLANK('A-RACHNATMAK'!AW361)),"A",IF(NOT(ISBLANK('A-RACHNATMAK'!AW360)),"B",IF(NOT(ISBLANK('A-RACHNATMAK'!AW359)),"C","")))</f>
        <v/>
      </c>
      <c r="AU335" s="622">
        <f t="shared" ref="AU335" si="633">COUNTIF(AA335:AT335,"A")</f>
        <v>0</v>
      </c>
      <c r="AV335" s="622">
        <f t="shared" ref="AV335" si="634">COUNTIF(AA335:AT335,"B")</f>
        <v>0</v>
      </c>
      <c r="AW335" s="622">
        <f t="shared" ref="AW335" si="635">COUNTIF(AA335:AT335,"C")</f>
        <v>0</v>
      </c>
    </row>
    <row r="336" spans="1:49" ht="7.5" customHeight="1">
      <c r="A336" s="623"/>
      <c r="B336" s="622"/>
      <c r="C336" s="622"/>
      <c r="D336" s="622"/>
      <c r="E336" s="622"/>
      <c r="F336" s="622"/>
      <c r="G336" s="622"/>
      <c r="H336" s="622"/>
      <c r="I336" s="622"/>
      <c r="J336" s="622"/>
      <c r="K336" s="622"/>
      <c r="L336" s="622"/>
      <c r="M336" s="622"/>
      <c r="N336" s="622"/>
      <c r="O336" s="622"/>
      <c r="P336" s="622"/>
      <c r="Q336" s="622"/>
      <c r="R336" s="622"/>
      <c r="S336" s="622"/>
      <c r="T336" s="622"/>
      <c r="U336" s="622"/>
      <c r="V336" s="622"/>
      <c r="W336" s="622"/>
      <c r="X336" s="622"/>
      <c r="Y336" s="330"/>
      <c r="Z336" s="623"/>
      <c r="AA336" s="622"/>
      <c r="AB336" s="622"/>
      <c r="AC336" s="622"/>
      <c r="AD336" s="622"/>
      <c r="AE336" s="622"/>
      <c r="AF336" s="622"/>
      <c r="AG336" s="622"/>
      <c r="AH336" s="622"/>
      <c r="AI336" s="622"/>
      <c r="AJ336" s="622"/>
      <c r="AK336" s="622"/>
      <c r="AL336" s="622"/>
      <c r="AM336" s="622"/>
      <c r="AN336" s="622"/>
      <c r="AO336" s="622"/>
      <c r="AP336" s="622"/>
      <c r="AQ336" s="622"/>
      <c r="AR336" s="622"/>
      <c r="AS336" s="622"/>
      <c r="AT336" s="622"/>
      <c r="AU336" s="622"/>
      <c r="AV336" s="622"/>
      <c r="AW336" s="622"/>
    </row>
    <row r="337" spans="1:49" ht="7.5" customHeight="1">
      <c r="A337" s="623"/>
      <c r="B337" s="622"/>
      <c r="C337" s="622"/>
      <c r="D337" s="622"/>
      <c r="E337" s="622"/>
      <c r="F337" s="622"/>
      <c r="G337" s="622"/>
      <c r="H337" s="622"/>
      <c r="I337" s="622"/>
      <c r="J337" s="622"/>
      <c r="K337" s="622"/>
      <c r="L337" s="622"/>
      <c r="M337" s="622"/>
      <c r="N337" s="622"/>
      <c r="O337" s="622"/>
      <c r="P337" s="622"/>
      <c r="Q337" s="622"/>
      <c r="R337" s="622"/>
      <c r="S337" s="622"/>
      <c r="T337" s="622"/>
      <c r="U337" s="622"/>
      <c r="V337" s="622"/>
      <c r="W337" s="622"/>
      <c r="X337" s="622"/>
      <c r="Y337" s="330"/>
      <c r="Z337" s="623"/>
      <c r="AA337" s="622"/>
      <c r="AB337" s="622"/>
      <c r="AC337" s="622"/>
      <c r="AD337" s="622"/>
      <c r="AE337" s="622"/>
      <c r="AF337" s="622"/>
      <c r="AG337" s="622"/>
      <c r="AH337" s="622"/>
      <c r="AI337" s="622"/>
      <c r="AJ337" s="622"/>
      <c r="AK337" s="622"/>
      <c r="AL337" s="622"/>
      <c r="AM337" s="622"/>
      <c r="AN337" s="622"/>
      <c r="AO337" s="622"/>
      <c r="AP337" s="622"/>
      <c r="AQ337" s="622"/>
      <c r="AR337" s="622"/>
      <c r="AS337" s="622"/>
      <c r="AT337" s="622"/>
      <c r="AU337" s="622"/>
      <c r="AV337" s="622"/>
      <c r="AW337" s="622"/>
    </row>
    <row r="338" spans="1:49" ht="7.5" customHeight="1">
      <c r="A338" s="623">
        <v>6</v>
      </c>
      <c r="B338" s="622" t="str">
        <f>IF(NOT(ISBLANK('A-RACHNATMAK'!C364)),"A",IF(NOT(ISBLANK('A-RACHNATMAK'!C363)),"B",IF(NOT(ISBLANK('A-RACHNATMAK'!C362)),"C","")))</f>
        <v/>
      </c>
      <c r="C338" s="622" t="str">
        <f>IF(NOT(ISBLANK('A-RACHNATMAK'!D364)),"A",IF(NOT(ISBLANK('A-RACHNATMAK'!D363)),"B",IF(NOT(ISBLANK('A-RACHNATMAK'!D362)),"C","")))</f>
        <v/>
      </c>
      <c r="D338" s="622" t="str">
        <f>IF(NOT(ISBLANK('A-RACHNATMAK'!E364)),"A",IF(NOT(ISBLANK('A-RACHNATMAK'!E363)),"B",IF(NOT(ISBLANK('A-RACHNATMAK'!E362)),"C","")))</f>
        <v/>
      </c>
      <c r="E338" s="622" t="str">
        <f>IF(NOT(ISBLANK('A-RACHNATMAK'!F364)),"A",IF(NOT(ISBLANK('A-RACHNATMAK'!F363)),"B",IF(NOT(ISBLANK('A-RACHNATMAK'!F362)),"C","")))</f>
        <v/>
      </c>
      <c r="F338" s="622" t="str">
        <f>IF(NOT(ISBLANK('A-RACHNATMAK'!G364)),"A",IF(NOT(ISBLANK('A-RACHNATMAK'!G363)),"B",IF(NOT(ISBLANK('A-RACHNATMAK'!G362)),"C","")))</f>
        <v/>
      </c>
      <c r="G338" s="622" t="str">
        <f>IF(NOT(ISBLANK('A-RACHNATMAK'!H364)),"A",IF(NOT(ISBLANK('A-RACHNATMAK'!H363)),"B",IF(NOT(ISBLANK('A-RACHNATMAK'!H362)),"C","")))</f>
        <v/>
      </c>
      <c r="H338" s="622" t="str">
        <f>IF(NOT(ISBLANK('A-RACHNATMAK'!I364)),"A",IF(NOT(ISBLANK('A-RACHNATMAK'!I363)),"B",IF(NOT(ISBLANK('A-RACHNATMAK'!I362)),"C","")))</f>
        <v/>
      </c>
      <c r="I338" s="622" t="str">
        <f>IF(NOT(ISBLANK('A-RACHNATMAK'!J364)),"A",IF(NOT(ISBLANK('A-RACHNATMAK'!J363)),"B",IF(NOT(ISBLANK('A-RACHNATMAK'!J362)),"C","")))</f>
        <v/>
      </c>
      <c r="J338" s="622" t="str">
        <f>IF(NOT(ISBLANK('A-RACHNATMAK'!K364)),"A",IF(NOT(ISBLANK('A-RACHNATMAK'!K363)),"B",IF(NOT(ISBLANK('A-RACHNATMAK'!K362)),"C","")))</f>
        <v/>
      </c>
      <c r="K338" s="622" t="str">
        <f>IF(NOT(ISBLANK('A-RACHNATMAK'!L364)),"A",IF(NOT(ISBLANK('A-RACHNATMAK'!L363)),"B",IF(NOT(ISBLANK('A-RACHNATMAK'!L362)),"C","")))</f>
        <v/>
      </c>
      <c r="L338" s="622" t="str">
        <f>IF(NOT(ISBLANK('A-RACHNATMAK'!M364)),"A",IF(NOT(ISBLANK('A-RACHNATMAK'!M363)),"B",IF(NOT(ISBLANK('A-RACHNATMAK'!M362)),"C","")))</f>
        <v/>
      </c>
      <c r="M338" s="622" t="str">
        <f>IF(NOT(ISBLANK('A-RACHNATMAK'!N364)),"A",IF(NOT(ISBLANK('A-RACHNATMAK'!N363)),"B",IF(NOT(ISBLANK('A-RACHNATMAK'!N362)),"C","")))</f>
        <v/>
      </c>
      <c r="N338" s="622" t="str">
        <f>IF(NOT(ISBLANK('A-RACHNATMAK'!O364)),"A",IF(NOT(ISBLANK('A-RACHNATMAK'!O363)),"B",IF(NOT(ISBLANK('A-RACHNATMAK'!O362)),"C","")))</f>
        <v/>
      </c>
      <c r="O338" s="622" t="str">
        <f>IF(NOT(ISBLANK('A-RACHNATMAK'!P364)),"A",IF(NOT(ISBLANK('A-RACHNATMAK'!P363)),"B",IF(NOT(ISBLANK('A-RACHNATMAK'!P362)),"C","")))</f>
        <v/>
      </c>
      <c r="P338" s="622" t="str">
        <f>IF(NOT(ISBLANK('A-RACHNATMAK'!Q364)),"A",IF(NOT(ISBLANK('A-RACHNATMAK'!Q363)),"B",IF(NOT(ISBLANK('A-RACHNATMAK'!Q362)),"C","")))</f>
        <v/>
      </c>
      <c r="Q338" s="622" t="str">
        <f>IF(NOT(ISBLANK('A-RACHNATMAK'!R364)),"A",IF(NOT(ISBLANK('A-RACHNATMAK'!R363)),"B",IF(NOT(ISBLANK('A-RACHNATMAK'!R362)),"C","")))</f>
        <v/>
      </c>
      <c r="R338" s="622" t="str">
        <f>IF(NOT(ISBLANK('A-RACHNATMAK'!S364)),"A",IF(NOT(ISBLANK('A-RACHNATMAK'!S363)),"B",IF(NOT(ISBLANK('A-RACHNATMAK'!S362)),"C","")))</f>
        <v/>
      </c>
      <c r="S338" s="622" t="str">
        <f>IF(NOT(ISBLANK('A-RACHNATMAK'!T364)),"A",IF(NOT(ISBLANK('A-RACHNATMAK'!T363)),"B",IF(NOT(ISBLANK('A-RACHNATMAK'!T362)),"C","")))</f>
        <v/>
      </c>
      <c r="T338" s="622" t="str">
        <f>IF(NOT(ISBLANK('A-RACHNATMAK'!U364)),"A",IF(NOT(ISBLANK('A-RACHNATMAK'!U363)),"B",IF(NOT(ISBLANK('A-RACHNATMAK'!U362)),"C","")))</f>
        <v/>
      </c>
      <c r="U338" s="622" t="str">
        <f>IF(NOT(ISBLANK('A-RACHNATMAK'!V364)),"A",IF(NOT(ISBLANK('A-RACHNATMAK'!V363)),"B",IF(NOT(ISBLANK('A-RACHNATMAK'!V362)),"C","")))</f>
        <v/>
      </c>
      <c r="V338" s="622">
        <f t="shared" ref="V338" si="636">COUNTIF(B338:U338,"A")</f>
        <v>0</v>
      </c>
      <c r="W338" s="622">
        <f t="shared" ref="W338" si="637">COUNTIF(B338:U338,"B")</f>
        <v>0</v>
      </c>
      <c r="X338" s="622">
        <f t="shared" ref="X338" si="638">COUNTIF(B338:U338,"C")</f>
        <v>0</v>
      </c>
      <c r="Y338" s="330"/>
      <c r="Z338" s="623">
        <v>6</v>
      </c>
      <c r="AA338" s="622" t="str">
        <f>IF(NOT(ISBLANK('A-RACHNATMAK'!AD364)),"A",IF(NOT(ISBLANK('A-RACHNATMAK'!AD363)),"B",IF(NOT(ISBLANK('A-RACHNATMAK'!AD362)),"C","")))</f>
        <v/>
      </c>
      <c r="AB338" s="622" t="str">
        <f>IF(NOT(ISBLANK('A-RACHNATMAK'!AE364)),"A",IF(NOT(ISBLANK('A-RACHNATMAK'!AE363)),"B",IF(NOT(ISBLANK('A-RACHNATMAK'!AE362)),"C","")))</f>
        <v/>
      </c>
      <c r="AC338" s="622" t="str">
        <f>IF(NOT(ISBLANK('A-RACHNATMAK'!AF364)),"A",IF(NOT(ISBLANK('A-RACHNATMAK'!AF363)),"B",IF(NOT(ISBLANK('A-RACHNATMAK'!AF362)),"C","")))</f>
        <v/>
      </c>
      <c r="AD338" s="622" t="str">
        <f>IF(NOT(ISBLANK('A-RACHNATMAK'!AG364)),"A",IF(NOT(ISBLANK('A-RACHNATMAK'!AG363)),"B",IF(NOT(ISBLANK('A-RACHNATMAK'!AG362)),"C","")))</f>
        <v/>
      </c>
      <c r="AE338" s="622" t="str">
        <f>IF(NOT(ISBLANK('A-RACHNATMAK'!AH364)),"A",IF(NOT(ISBLANK('A-RACHNATMAK'!AH363)),"B",IF(NOT(ISBLANK('A-RACHNATMAK'!AH362)),"C","")))</f>
        <v/>
      </c>
      <c r="AF338" s="622" t="str">
        <f>IF(NOT(ISBLANK('A-RACHNATMAK'!AI364)),"A",IF(NOT(ISBLANK('A-RACHNATMAK'!AI363)),"B",IF(NOT(ISBLANK('A-RACHNATMAK'!AI362)),"C","")))</f>
        <v/>
      </c>
      <c r="AG338" s="622" t="str">
        <f>IF(NOT(ISBLANK('A-RACHNATMAK'!AJ364)),"A",IF(NOT(ISBLANK('A-RACHNATMAK'!AJ363)),"B",IF(NOT(ISBLANK('A-RACHNATMAK'!AJ362)),"C","")))</f>
        <v/>
      </c>
      <c r="AH338" s="622" t="str">
        <f>IF(NOT(ISBLANK('A-RACHNATMAK'!AK364)),"A",IF(NOT(ISBLANK('A-RACHNATMAK'!AK363)),"B",IF(NOT(ISBLANK('A-RACHNATMAK'!AK362)),"C","")))</f>
        <v/>
      </c>
      <c r="AI338" s="622" t="str">
        <f>IF(NOT(ISBLANK('A-RACHNATMAK'!AL364)),"A",IF(NOT(ISBLANK('A-RACHNATMAK'!AL363)),"B",IF(NOT(ISBLANK('A-RACHNATMAK'!AL362)),"C","")))</f>
        <v/>
      </c>
      <c r="AJ338" s="622" t="str">
        <f>IF(NOT(ISBLANK('A-RACHNATMAK'!AM364)),"A",IF(NOT(ISBLANK('A-RACHNATMAK'!AM363)),"B",IF(NOT(ISBLANK('A-RACHNATMAK'!AM362)),"C","")))</f>
        <v/>
      </c>
      <c r="AK338" s="622" t="str">
        <f>IF(NOT(ISBLANK('A-RACHNATMAK'!AN364)),"A",IF(NOT(ISBLANK('A-RACHNATMAK'!AN363)),"B",IF(NOT(ISBLANK('A-RACHNATMAK'!AN362)),"C","")))</f>
        <v/>
      </c>
      <c r="AL338" s="622" t="str">
        <f>IF(NOT(ISBLANK('A-RACHNATMAK'!AO364)),"A",IF(NOT(ISBLANK('A-RACHNATMAK'!AO363)),"B",IF(NOT(ISBLANK('A-RACHNATMAK'!AO362)),"C","")))</f>
        <v/>
      </c>
      <c r="AM338" s="622" t="str">
        <f>IF(NOT(ISBLANK('A-RACHNATMAK'!AP364)),"A",IF(NOT(ISBLANK('A-RACHNATMAK'!AP363)),"B",IF(NOT(ISBLANK('A-RACHNATMAK'!AP362)),"C","")))</f>
        <v/>
      </c>
      <c r="AN338" s="622" t="str">
        <f>IF(NOT(ISBLANK('A-RACHNATMAK'!AQ364)),"A",IF(NOT(ISBLANK('A-RACHNATMAK'!AQ363)),"B",IF(NOT(ISBLANK('A-RACHNATMAK'!AQ362)),"C","")))</f>
        <v/>
      </c>
      <c r="AO338" s="622" t="str">
        <f>IF(NOT(ISBLANK('A-RACHNATMAK'!AR364)),"A",IF(NOT(ISBLANK('A-RACHNATMAK'!AR363)),"B",IF(NOT(ISBLANK('A-RACHNATMAK'!AR362)),"C","")))</f>
        <v/>
      </c>
      <c r="AP338" s="622" t="str">
        <f>IF(NOT(ISBLANK('A-RACHNATMAK'!AS364)),"A",IF(NOT(ISBLANK('A-RACHNATMAK'!AS363)),"B",IF(NOT(ISBLANK('A-RACHNATMAK'!AS362)),"C","")))</f>
        <v/>
      </c>
      <c r="AQ338" s="622" t="str">
        <f>IF(NOT(ISBLANK('A-RACHNATMAK'!AT364)),"A",IF(NOT(ISBLANK('A-RACHNATMAK'!AT363)),"B",IF(NOT(ISBLANK('A-RACHNATMAK'!AT362)),"C","")))</f>
        <v/>
      </c>
      <c r="AR338" s="622" t="str">
        <f>IF(NOT(ISBLANK('A-RACHNATMAK'!AU364)),"A",IF(NOT(ISBLANK('A-RACHNATMAK'!AU363)),"B",IF(NOT(ISBLANK('A-RACHNATMAK'!AU362)),"C","")))</f>
        <v/>
      </c>
      <c r="AS338" s="622" t="str">
        <f>IF(NOT(ISBLANK('A-RACHNATMAK'!AV364)),"A",IF(NOT(ISBLANK('A-RACHNATMAK'!AV363)),"B",IF(NOT(ISBLANK('A-RACHNATMAK'!AV362)),"C","")))</f>
        <v/>
      </c>
      <c r="AT338" s="622" t="str">
        <f>IF(NOT(ISBLANK('A-RACHNATMAK'!AW364)),"A",IF(NOT(ISBLANK('A-RACHNATMAK'!AW363)),"B",IF(NOT(ISBLANK('A-RACHNATMAK'!AW362)),"C","")))</f>
        <v/>
      </c>
      <c r="AU338" s="622">
        <f t="shared" ref="AU338" si="639">COUNTIF(AA338:AT338,"A")</f>
        <v>0</v>
      </c>
      <c r="AV338" s="622">
        <f t="shared" ref="AV338" si="640">COUNTIF(AA338:AT338,"B")</f>
        <v>0</v>
      </c>
      <c r="AW338" s="622">
        <f t="shared" ref="AW338" si="641">COUNTIF(AA338:AT338,"C")</f>
        <v>0</v>
      </c>
    </row>
    <row r="339" spans="1:49" ht="7.5" customHeight="1">
      <c r="A339" s="623"/>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330"/>
      <c r="Z339" s="623"/>
      <c r="AA339" s="622"/>
      <c r="AB339" s="622"/>
      <c r="AC339" s="622"/>
      <c r="AD339" s="622"/>
      <c r="AE339" s="622"/>
      <c r="AF339" s="622"/>
      <c r="AG339" s="622"/>
      <c r="AH339" s="622"/>
      <c r="AI339" s="622"/>
      <c r="AJ339" s="622"/>
      <c r="AK339" s="622"/>
      <c r="AL339" s="622"/>
      <c r="AM339" s="622"/>
      <c r="AN339" s="622"/>
      <c r="AO339" s="622"/>
      <c r="AP339" s="622"/>
      <c r="AQ339" s="622"/>
      <c r="AR339" s="622"/>
      <c r="AS339" s="622"/>
      <c r="AT339" s="622"/>
      <c r="AU339" s="622"/>
      <c r="AV339" s="622"/>
      <c r="AW339" s="622"/>
    </row>
    <row r="340" spans="1:49" ht="7.5" customHeight="1">
      <c r="A340" s="623"/>
      <c r="B340" s="622"/>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330"/>
      <c r="Z340" s="623"/>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row>
    <row r="341" spans="1:49" ht="7.5" customHeight="1">
      <c r="A341" s="623">
        <v>7</v>
      </c>
      <c r="B341" s="622" t="str">
        <f>IF(NOT(ISBLANK('A-RACHNATMAK'!C367)),"A",IF(NOT(ISBLANK('A-RACHNATMAK'!C366)),"B",IF(NOT(ISBLANK('A-RACHNATMAK'!C365)),"C","")))</f>
        <v/>
      </c>
      <c r="C341" s="622" t="str">
        <f>IF(NOT(ISBLANK('A-RACHNATMAK'!D367)),"A",IF(NOT(ISBLANK('A-RACHNATMAK'!D366)),"B",IF(NOT(ISBLANK('A-RACHNATMAK'!D365)),"C","")))</f>
        <v/>
      </c>
      <c r="D341" s="622" t="str">
        <f>IF(NOT(ISBLANK('A-RACHNATMAK'!E367)),"A",IF(NOT(ISBLANK('A-RACHNATMAK'!E366)),"B",IF(NOT(ISBLANK('A-RACHNATMAK'!E365)),"C","")))</f>
        <v/>
      </c>
      <c r="E341" s="622" t="str">
        <f>IF(NOT(ISBLANK('A-RACHNATMAK'!F367)),"A",IF(NOT(ISBLANK('A-RACHNATMAK'!F366)),"B",IF(NOT(ISBLANK('A-RACHNATMAK'!F365)),"C","")))</f>
        <v/>
      </c>
      <c r="F341" s="622" t="str">
        <f>IF(NOT(ISBLANK('A-RACHNATMAK'!G367)),"A",IF(NOT(ISBLANK('A-RACHNATMAK'!G366)),"B",IF(NOT(ISBLANK('A-RACHNATMAK'!G365)),"C","")))</f>
        <v/>
      </c>
      <c r="G341" s="622" t="str">
        <f>IF(NOT(ISBLANK('A-RACHNATMAK'!H367)),"A",IF(NOT(ISBLANK('A-RACHNATMAK'!H366)),"B",IF(NOT(ISBLANK('A-RACHNATMAK'!H365)),"C","")))</f>
        <v/>
      </c>
      <c r="H341" s="622" t="str">
        <f>IF(NOT(ISBLANK('A-RACHNATMAK'!I367)),"A",IF(NOT(ISBLANK('A-RACHNATMAK'!I366)),"B",IF(NOT(ISBLANK('A-RACHNATMAK'!I365)),"C","")))</f>
        <v/>
      </c>
      <c r="I341" s="622" t="str">
        <f>IF(NOT(ISBLANK('A-RACHNATMAK'!J367)),"A",IF(NOT(ISBLANK('A-RACHNATMAK'!J366)),"B",IF(NOT(ISBLANK('A-RACHNATMAK'!J365)),"C","")))</f>
        <v/>
      </c>
      <c r="J341" s="622" t="str">
        <f>IF(NOT(ISBLANK('A-RACHNATMAK'!K367)),"A",IF(NOT(ISBLANK('A-RACHNATMAK'!K366)),"B",IF(NOT(ISBLANK('A-RACHNATMAK'!K365)),"C","")))</f>
        <v/>
      </c>
      <c r="K341" s="622" t="str">
        <f>IF(NOT(ISBLANK('A-RACHNATMAK'!L367)),"A",IF(NOT(ISBLANK('A-RACHNATMAK'!L366)),"B",IF(NOT(ISBLANK('A-RACHNATMAK'!L365)),"C","")))</f>
        <v/>
      </c>
      <c r="L341" s="622" t="str">
        <f>IF(NOT(ISBLANK('A-RACHNATMAK'!M367)),"A",IF(NOT(ISBLANK('A-RACHNATMAK'!M366)),"B",IF(NOT(ISBLANK('A-RACHNATMAK'!M365)),"C","")))</f>
        <v/>
      </c>
      <c r="M341" s="622" t="str">
        <f>IF(NOT(ISBLANK('A-RACHNATMAK'!N367)),"A",IF(NOT(ISBLANK('A-RACHNATMAK'!N366)),"B",IF(NOT(ISBLANK('A-RACHNATMAK'!N365)),"C","")))</f>
        <v/>
      </c>
      <c r="N341" s="622" t="str">
        <f>IF(NOT(ISBLANK('A-RACHNATMAK'!O367)),"A",IF(NOT(ISBLANK('A-RACHNATMAK'!O366)),"B",IF(NOT(ISBLANK('A-RACHNATMAK'!O365)),"C","")))</f>
        <v/>
      </c>
      <c r="O341" s="622" t="str">
        <f>IF(NOT(ISBLANK('A-RACHNATMAK'!P367)),"A",IF(NOT(ISBLANK('A-RACHNATMAK'!P366)),"B",IF(NOT(ISBLANK('A-RACHNATMAK'!P365)),"C","")))</f>
        <v/>
      </c>
      <c r="P341" s="622" t="str">
        <f>IF(NOT(ISBLANK('A-RACHNATMAK'!Q367)),"A",IF(NOT(ISBLANK('A-RACHNATMAK'!Q366)),"B",IF(NOT(ISBLANK('A-RACHNATMAK'!Q365)),"C","")))</f>
        <v/>
      </c>
      <c r="Q341" s="622" t="str">
        <f>IF(NOT(ISBLANK('A-RACHNATMAK'!R367)),"A",IF(NOT(ISBLANK('A-RACHNATMAK'!R366)),"B",IF(NOT(ISBLANK('A-RACHNATMAK'!R365)),"C","")))</f>
        <v/>
      </c>
      <c r="R341" s="622" t="str">
        <f>IF(NOT(ISBLANK('A-RACHNATMAK'!S367)),"A",IF(NOT(ISBLANK('A-RACHNATMAK'!S366)),"B",IF(NOT(ISBLANK('A-RACHNATMAK'!S365)),"C","")))</f>
        <v/>
      </c>
      <c r="S341" s="622" t="str">
        <f>IF(NOT(ISBLANK('A-RACHNATMAK'!T367)),"A",IF(NOT(ISBLANK('A-RACHNATMAK'!T366)),"B",IF(NOT(ISBLANK('A-RACHNATMAK'!T365)),"C","")))</f>
        <v/>
      </c>
      <c r="T341" s="622" t="str">
        <f>IF(NOT(ISBLANK('A-RACHNATMAK'!U367)),"A",IF(NOT(ISBLANK('A-RACHNATMAK'!U366)),"B",IF(NOT(ISBLANK('A-RACHNATMAK'!U365)),"C","")))</f>
        <v/>
      </c>
      <c r="U341" s="622" t="str">
        <f>IF(NOT(ISBLANK('A-RACHNATMAK'!V367)),"A",IF(NOT(ISBLANK('A-RACHNATMAK'!V366)),"B",IF(NOT(ISBLANK('A-RACHNATMAK'!V365)),"C","")))</f>
        <v/>
      </c>
      <c r="V341" s="622">
        <f t="shared" ref="V341" si="642">COUNTIF(B341:U341,"A")</f>
        <v>0</v>
      </c>
      <c r="W341" s="622">
        <f t="shared" ref="W341" si="643">COUNTIF(B341:U341,"B")</f>
        <v>0</v>
      </c>
      <c r="X341" s="622">
        <f t="shared" ref="X341" si="644">COUNTIF(B341:U341,"C")</f>
        <v>0</v>
      </c>
      <c r="Y341" s="330"/>
      <c r="Z341" s="623">
        <v>7</v>
      </c>
      <c r="AA341" s="622" t="str">
        <f>IF(NOT(ISBLANK('A-RACHNATMAK'!AD367)),"A",IF(NOT(ISBLANK('A-RACHNATMAK'!AD366)),"B",IF(NOT(ISBLANK('A-RACHNATMAK'!AD365)),"C","")))</f>
        <v/>
      </c>
      <c r="AB341" s="622" t="str">
        <f>IF(NOT(ISBLANK('A-RACHNATMAK'!AE367)),"A",IF(NOT(ISBLANK('A-RACHNATMAK'!AE366)),"B",IF(NOT(ISBLANK('A-RACHNATMAK'!AE365)),"C","")))</f>
        <v/>
      </c>
      <c r="AC341" s="622" t="str">
        <f>IF(NOT(ISBLANK('A-RACHNATMAK'!AF367)),"A",IF(NOT(ISBLANK('A-RACHNATMAK'!AF366)),"B",IF(NOT(ISBLANK('A-RACHNATMAK'!AF365)),"C","")))</f>
        <v/>
      </c>
      <c r="AD341" s="622" t="str">
        <f>IF(NOT(ISBLANK('A-RACHNATMAK'!AG367)),"A",IF(NOT(ISBLANK('A-RACHNATMAK'!AG366)),"B",IF(NOT(ISBLANK('A-RACHNATMAK'!AG365)),"C","")))</f>
        <v/>
      </c>
      <c r="AE341" s="622" t="str">
        <f>IF(NOT(ISBLANK('A-RACHNATMAK'!AH367)),"A",IF(NOT(ISBLANK('A-RACHNATMAK'!AH366)),"B",IF(NOT(ISBLANK('A-RACHNATMAK'!AH365)),"C","")))</f>
        <v/>
      </c>
      <c r="AF341" s="622" t="str">
        <f>IF(NOT(ISBLANK('A-RACHNATMAK'!AI367)),"A",IF(NOT(ISBLANK('A-RACHNATMAK'!AI366)),"B",IF(NOT(ISBLANK('A-RACHNATMAK'!AI365)),"C","")))</f>
        <v/>
      </c>
      <c r="AG341" s="622" t="str">
        <f>IF(NOT(ISBLANK('A-RACHNATMAK'!AJ367)),"A",IF(NOT(ISBLANK('A-RACHNATMAK'!AJ366)),"B",IF(NOT(ISBLANK('A-RACHNATMAK'!AJ365)),"C","")))</f>
        <v/>
      </c>
      <c r="AH341" s="622" t="str">
        <f>IF(NOT(ISBLANK('A-RACHNATMAK'!AK367)),"A",IF(NOT(ISBLANK('A-RACHNATMAK'!AK366)),"B",IF(NOT(ISBLANK('A-RACHNATMAK'!AK365)),"C","")))</f>
        <v/>
      </c>
      <c r="AI341" s="622" t="str">
        <f>IF(NOT(ISBLANK('A-RACHNATMAK'!AL367)),"A",IF(NOT(ISBLANK('A-RACHNATMAK'!AL366)),"B",IF(NOT(ISBLANK('A-RACHNATMAK'!AL365)),"C","")))</f>
        <v/>
      </c>
      <c r="AJ341" s="622" t="str">
        <f>IF(NOT(ISBLANK('A-RACHNATMAK'!AM367)),"A",IF(NOT(ISBLANK('A-RACHNATMAK'!AM366)),"B",IF(NOT(ISBLANK('A-RACHNATMAK'!AM365)),"C","")))</f>
        <v/>
      </c>
      <c r="AK341" s="622" t="str">
        <f>IF(NOT(ISBLANK('A-RACHNATMAK'!AN367)),"A",IF(NOT(ISBLANK('A-RACHNATMAK'!AN366)),"B",IF(NOT(ISBLANK('A-RACHNATMAK'!AN365)),"C","")))</f>
        <v/>
      </c>
      <c r="AL341" s="622" t="str">
        <f>IF(NOT(ISBLANK('A-RACHNATMAK'!AO367)),"A",IF(NOT(ISBLANK('A-RACHNATMAK'!AO366)),"B",IF(NOT(ISBLANK('A-RACHNATMAK'!AO365)),"C","")))</f>
        <v/>
      </c>
      <c r="AM341" s="622" t="str">
        <f>IF(NOT(ISBLANK('A-RACHNATMAK'!AP367)),"A",IF(NOT(ISBLANK('A-RACHNATMAK'!AP366)),"B",IF(NOT(ISBLANK('A-RACHNATMAK'!AP365)),"C","")))</f>
        <v/>
      </c>
      <c r="AN341" s="622" t="str">
        <f>IF(NOT(ISBLANK('A-RACHNATMAK'!AQ367)),"A",IF(NOT(ISBLANK('A-RACHNATMAK'!AQ366)),"B",IF(NOT(ISBLANK('A-RACHNATMAK'!AQ365)),"C","")))</f>
        <v/>
      </c>
      <c r="AO341" s="622" t="str">
        <f>IF(NOT(ISBLANK('A-RACHNATMAK'!AR367)),"A",IF(NOT(ISBLANK('A-RACHNATMAK'!AR366)),"B",IF(NOT(ISBLANK('A-RACHNATMAK'!AR365)),"C","")))</f>
        <v/>
      </c>
      <c r="AP341" s="622" t="str">
        <f>IF(NOT(ISBLANK('A-RACHNATMAK'!AS367)),"A",IF(NOT(ISBLANK('A-RACHNATMAK'!AS366)),"B",IF(NOT(ISBLANK('A-RACHNATMAK'!AS365)),"C","")))</f>
        <v/>
      </c>
      <c r="AQ341" s="622" t="str">
        <f>IF(NOT(ISBLANK('A-RACHNATMAK'!AT367)),"A",IF(NOT(ISBLANK('A-RACHNATMAK'!AT366)),"B",IF(NOT(ISBLANK('A-RACHNATMAK'!AT365)),"C","")))</f>
        <v/>
      </c>
      <c r="AR341" s="622" t="str">
        <f>IF(NOT(ISBLANK('A-RACHNATMAK'!AU367)),"A",IF(NOT(ISBLANK('A-RACHNATMAK'!AU366)),"B",IF(NOT(ISBLANK('A-RACHNATMAK'!AU365)),"C","")))</f>
        <v/>
      </c>
      <c r="AS341" s="622" t="str">
        <f>IF(NOT(ISBLANK('A-RACHNATMAK'!AV367)),"A",IF(NOT(ISBLANK('A-RACHNATMAK'!AV366)),"B",IF(NOT(ISBLANK('A-RACHNATMAK'!AV365)),"C","")))</f>
        <v/>
      </c>
      <c r="AT341" s="622" t="str">
        <f>IF(NOT(ISBLANK('A-RACHNATMAK'!AW367)),"A",IF(NOT(ISBLANK('A-RACHNATMAK'!AW366)),"B",IF(NOT(ISBLANK('A-RACHNATMAK'!AW365)),"C","")))</f>
        <v/>
      </c>
      <c r="AU341" s="622">
        <f t="shared" ref="AU341" si="645">COUNTIF(AA341:AT341,"A")</f>
        <v>0</v>
      </c>
      <c r="AV341" s="622">
        <f t="shared" ref="AV341" si="646">COUNTIF(AA341:AT341,"B")</f>
        <v>0</v>
      </c>
      <c r="AW341" s="622">
        <f t="shared" ref="AW341" si="647">COUNTIF(AA341:AT341,"C")</f>
        <v>0</v>
      </c>
    </row>
    <row r="342" spans="1:49" ht="7.5" customHeight="1">
      <c r="A342" s="623"/>
      <c r="B342" s="622"/>
      <c r="C342" s="622"/>
      <c r="D342" s="622"/>
      <c r="E342" s="622"/>
      <c r="F342" s="622"/>
      <c r="G342" s="622"/>
      <c r="H342" s="622"/>
      <c r="I342" s="622"/>
      <c r="J342" s="622"/>
      <c r="K342" s="622"/>
      <c r="L342" s="622"/>
      <c r="M342" s="622"/>
      <c r="N342" s="622"/>
      <c r="O342" s="622"/>
      <c r="P342" s="622"/>
      <c r="Q342" s="622"/>
      <c r="R342" s="622"/>
      <c r="S342" s="622"/>
      <c r="T342" s="622"/>
      <c r="U342" s="622"/>
      <c r="V342" s="622"/>
      <c r="W342" s="622"/>
      <c r="X342" s="622"/>
      <c r="Y342" s="330"/>
      <c r="Z342" s="623"/>
      <c r="AA342" s="622"/>
      <c r="AB342" s="622"/>
      <c r="AC342" s="622"/>
      <c r="AD342" s="622"/>
      <c r="AE342" s="622"/>
      <c r="AF342" s="622"/>
      <c r="AG342" s="622"/>
      <c r="AH342" s="622"/>
      <c r="AI342" s="622"/>
      <c r="AJ342" s="622"/>
      <c r="AK342" s="622"/>
      <c r="AL342" s="622"/>
      <c r="AM342" s="622"/>
      <c r="AN342" s="622"/>
      <c r="AO342" s="622"/>
      <c r="AP342" s="622"/>
      <c r="AQ342" s="622"/>
      <c r="AR342" s="622"/>
      <c r="AS342" s="622"/>
      <c r="AT342" s="622"/>
      <c r="AU342" s="622"/>
      <c r="AV342" s="622"/>
      <c r="AW342" s="622"/>
    </row>
    <row r="343" spans="1:49" ht="7.5" customHeight="1">
      <c r="A343" s="623"/>
      <c r="B343" s="622"/>
      <c r="C343" s="622"/>
      <c r="D343" s="622"/>
      <c r="E343" s="622"/>
      <c r="F343" s="622"/>
      <c r="G343" s="622"/>
      <c r="H343" s="622"/>
      <c r="I343" s="622"/>
      <c r="J343" s="622"/>
      <c r="K343" s="622"/>
      <c r="L343" s="622"/>
      <c r="M343" s="622"/>
      <c r="N343" s="622"/>
      <c r="O343" s="622"/>
      <c r="P343" s="622"/>
      <c r="Q343" s="622"/>
      <c r="R343" s="622"/>
      <c r="S343" s="622"/>
      <c r="T343" s="622"/>
      <c r="U343" s="622"/>
      <c r="V343" s="622"/>
      <c r="W343" s="622"/>
      <c r="X343" s="622"/>
      <c r="Y343" s="330"/>
      <c r="Z343" s="623"/>
      <c r="AA343" s="622"/>
      <c r="AB343" s="622"/>
      <c r="AC343" s="622"/>
      <c r="AD343" s="622"/>
      <c r="AE343" s="622"/>
      <c r="AF343" s="622"/>
      <c r="AG343" s="622"/>
      <c r="AH343" s="622"/>
      <c r="AI343" s="622"/>
      <c r="AJ343" s="622"/>
      <c r="AK343" s="622"/>
      <c r="AL343" s="622"/>
      <c r="AM343" s="622"/>
      <c r="AN343" s="622"/>
      <c r="AO343" s="622"/>
      <c r="AP343" s="622"/>
      <c r="AQ343" s="622"/>
      <c r="AR343" s="622"/>
      <c r="AS343" s="622"/>
      <c r="AT343" s="622"/>
      <c r="AU343" s="622"/>
      <c r="AV343" s="622"/>
      <c r="AW343" s="622"/>
    </row>
    <row r="344" spans="1:49" ht="7.5" customHeight="1">
      <c r="A344" s="623">
        <v>8</v>
      </c>
      <c r="B344" s="622" t="str">
        <f>IF(NOT(ISBLANK('A-RACHNATMAK'!C370)),"A",IF(NOT(ISBLANK('A-RACHNATMAK'!C369)),"B",IF(NOT(ISBLANK('A-RACHNATMAK'!C368)),"C","")))</f>
        <v/>
      </c>
      <c r="C344" s="622" t="str">
        <f>IF(NOT(ISBLANK('A-RACHNATMAK'!D370)),"A",IF(NOT(ISBLANK('A-RACHNATMAK'!D369)),"B",IF(NOT(ISBLANK('A-RACHNATMAK'!D368)),"C","")))</f>
        <v/>
      </c>
      <c r="D344" s="622" t="str">
        <f>IF(NOT(ISBLANK('A-RACHNATMAK'!E370)),"A",IF(NOT(ISBLANK('A-RACHNATMAK'!E369)),"B",IF(NOT(ISBLANK('A-RACHNATMAK'!E368)),"C","")))</f>
        <v/>
      </c>
      <c r="E344" s="622" t="str">
        <f>IF(NOT(ISBLANK('A-RACHNATMAK'!F370)),"A",IF(NOT(ISBLANK('A-RACHNATMAK'!F369)),"B",IF(NOT(ISBLANK('A-RACHNATMAK'!F368)),"C","")))</f>
        <v/>
      </c>
      <c r="F344" s="622" t="str">
        <f>IF(NOT(ISBLANK('A-RACHNATMAK'!G370)),"A",IF(NOT(ISBLANK('A-RACHNATMAK'!G369)),"B",IF(NOT(ISBLANK('A-RACHNATMAK'!G368)),"C","")))</f>
        <v/>
      </c>
      <c r="G344" s="622" t="str">
        <f>IF(NOT(ISBLANK('A-RACHNATMAK'!H370)),"A",IF(NOT(ISBLANK('A-RACHNATMAK'!H369)),"B",IF(NOT(ISBLANK('A-RACHNATMAK'!H368)),"C","")))</f>
        <v/>
      </c>
      <c r="H344" s="622" t="str">
        <f>IF(NOT(ISBLANK('A-RACHNATMAK'!I370)),"A",IF(NOT(ISBLANK('A-RACHNATMAK'!I369)),"B",IF(NOT(ISBLANK('A-RACHNATMAK'!I368)),"C","")))</f>
        <v/>
      </c>
      <c r="I344" s="622" t="str">
        <f>IF(NOT(ISBLANK('A-RACHNATMAK'!J370)),"A",IF(NOT(ISBLANK('A-RACHNATMAK'!J369)),"B",IF(NOT(ISBLANK('A-RACHNATMAK'!J368)),"C","")))</f>
        <v/>
      </c>
      <c r="J344" s="622" t="str">
        <f>IF(NOT(ISBLANK('A-RACHNATMAK'!K370)),"A",IF(NOT(ISBLANK('A-RACHNATMAK'!K369)),"B",IF(NOT(ISBLANK('A-RACHNATMAK'!K368)),"C","")))</f>
        <v/>
      </c>
      <c r="K344" s="622" t="str">
        <f>IF(NOT(ISBLANK('A-RACHNATMAK'!L370)),"A",IF(NOT(ISBLANK('A-RACHNATMAK'!L369)),"B",IF(NOT(ISBLANK('A-RACHNATMAK'!L368)),"C","")))</f>
        <v/>
      </c>
      <c r="L344" s="622" t="str">
        <f>IF(NOT(ISBLANK('A-RACHNATMAK'!M370)),"A",IF(NOT(ISBLANK('A-RACHNATMAK'!M369)),"B",IF(NOT(ISBLANK('A-RACHNATMAK'!M368)),"C","")))</f>
        <v/>
      </c>
      <c r="M344" s="622" t="str">
        <f>IF(NOT(ISBLANK('A-RACHNATMAK'!N370)),"A",IF(NOT(ISBLANK('A-RACHNATMAK'!N369)),"B",IF(NOT(ISBLANK('A-RACHNATMAK'!N368)),"C","")))</f>
        <v/>
      </c>
      <c r="N344" s="622" t="str">
        <f>IF(NOT(ISBLANK('A-RACHNATMAK'!O370)),"A",IF(NOT(ISBLANK('A-RACHNATMAK'!O369)),"B",IF(NOT(ISBLANK('A-RACHNATMAK'!O368)),"C","")))</f>
        <v/>
      </c>
      <c r="O344" s="622" t="str">
        <f>IF(NOT(ISBLANK('A-RACHNATMAK'!P370)),"A",IF(NOT(ISBLANK('A-RACHNATMAK'!P369)),"B",IF(NOT(ISBLANK('A-RACHNATMAK'!P368)),"C","")))</f>
        <v/>
      </c>
      <c r="P344" s="622" t="str">
        <f>IF(NOT(ISBLANK('A-RACHNATMAK'!Q370)),"A",IF(NOT(ISBLANK('A-RACHNATMAK'!Q369)),"B",IF(NOT(ISBLANK('A-RACHNATMAK'!Q368)),"C","")))</f>
        <v/>
      </c>
      <c r="Q344" s="622" t="str">
        <f>IF(NOT(ISBLANK('A-RACHNATMAK'!R370)),"A",IF(NOT(ISBLANK('A-RACHNATMAK'!R369)),"B",IF(NOT(ISBLANK('A-RACHNATMAK'!R368)),"C","")))</f>
        <v/>
      </c>
      <c r="R344" s="622" t="str">
        <f>IF(NOT(ISBLANK('A-RACHNATMAK'!S370)),"A",IF(NOT(ISBLANK('A-RACHNATMAK'!S369)),"B",IF(NOT(ISBLANK('A-RACHNATMAK'!S368)),"C","")))</f>
        <v/>
      </c>
      <c r="S344" s="622" t="str">
        <f>IF(NOT(ISBLANK('A-RACHNATMAK'!T370)),"A",IF(NOT(ISBLANK('A-RACHNATMAK'!T369)),"B",IF(NOT(ISBLANK('A-RACHNATMAK'!T368)),"C","")))</f>
        <v/>
      </c>
      <c r="T344" s="622" t="str">
        <f>IF(NOT(ISBLANK('A-RACHNATMAK'!U370)),"A",IF(NOT(ISBLANK('A-RACHNATMAK'!U369)),"B",IF(NOT(ISBLANK('A-RACHNATMAK'!U368)),"C","")))</f>
        <v/>
      </c>
      <c r="U344" s="622" t="str">
        <f>IF(NOT(ISBLANK('A-RACHNATMAK'!V370)),"A",IF(NOT(ISBLANK('A-RACHNATMAK'!V369)),"B",IF(NOT(ISBLANK('A-RACHNATMAK'!V368)),"C","")))</f>
        <v/>
      </c>
      <c r="V344" s="622">
        <f t="shared" ref="V344" si="648">COUNTIF(B344:U344,"A")</f>
        <v>0</v>
      </c>
      <c r="W344" s="622">
        <f t="shared" ref="W344" si="649">COUNTIF(B344:U344,"B")</f>
        <v>0</v>
      </c>
      <c r="X344" s="622">
        <f t="shared" ref="X344" si="650">COUNTIF(B344:U344,"C")</f>
        <v>0</v>
      </c>
      <c r="Y344" s="330"/>
      <c r="Z344" s="623">
        <v>8</v>
      </c>
      <c r="AA344" s="622" t="str">
        <f>IF(NOT(ISBLANK('A-RACHNATMAK'!AD370)),"A",IF(NOT(ISBLANK('A-RACHNATMAK'!AD369)),"B",IF(NOT(ISBLANK('A-RACHNATMAK'!AD368)),"C","")))</f>
        <v/>
      </c>
      <c r="AB344" s="622" t="str">
        <f>IF(NOT(ISBLANK('A-RACHNATMAK'!AE370)),"A",IF(NOT(ISBLANK('A-RACHNATMAK'!AE369)),"B",IF(NOT(ISBLANK('A-RACHNATMAK'!AE368)),"C","")))</f>
        <v/>
      </c>
      <c r="AC344" s="622" t="str">
        <f>IF(NOT(ISBLANK('A-RACHNATMAK'!AF370)),"A",IF(NOT(ISBLANK('A-RACHNATMAK'!AF369)),"B",IF(NOT(ISBLANK('A-RACHNATMAK'!AF368)),"C","")))</f>
        <v/>
      </c>
      <c r="AD344" s="622" t="str">
        <f>IF(NOT(ISBLANK('A-RACHNATMAK'!AG370)),"A",IF(NOT(ISBLANK('A-RACHNATMAK'!AG369)),"B",IF(NOT(ISBLANK('A-RACHNATMAK'!AG368)),"C","")))</f>
        <v/>
      </c>
      <c r="AE344" s="622" t="str">
        <f>IF(NOT(ISBLANK('A-RACHNATMAK'!AH370)),"A",IF(NOT(ISBLANK('A-RACHNATMAK'!AH369)),"B",IF(NOT(ISBLANK('A-RACHNATMAK'!AH368)),"C","")))</f>
        <v/>
      </c>
      <c r="AF344" s="622" t="str">
        <f>IF(NOT(ISBLANK('A-RACHNATMAK'!AI370)),"A",IF(NOT(ISBLANK('A-RACHNATMAK'!AI369)),"B",IF(NOT(ISBLANK('A-RACHNATMAK'!AI368)),"C","")))</f>
        <v/>
      </c>
      <c r="AG344" s="622" t="str">
        <f>IF(NOT(ISBLANK('A-RACHNATMAK'!AJ370)),"A",IF(NOT(ISBLANK('A-RACHNATMAK'!AJ369)),"B",IF(NOT(ISBLANK('A-RACHNATMAK'!AJ368)),"C","")))</f>
        <v/>
      </c>
      <c r="AH344" s="622" t="str">
        <f>IF(NOT(ISBLANK('A-RACHNATMAK'!AK370)),"A",IF(NOT(ISBLANK('A-RACHNATMAK'!AK369)),"B",IF(NOT(ISBLANK('A-RACHNATMAK'!AK368)),"C","")))</f>
        <v/>
      </c>
      <c r="AI344" s="622" t="str">
        <f>IF(NOT(ISBLANK('A-RACHNATMAK'!AL370)),"A",IF(NOT(ISBLANK('A-RACHNATMAK'!AL369)),"B",IF(NOT(ISBLANK('A-RACHNATMAK'!AL368)),"C","")))</f>
        <v/>
      </c>
      <c r="AJ344" s="622" t="str">
        <f>IF(NOT(ISBLANK('A-RACHNATMAK'!AM370)),"A",IF(NOT(ISBLANK('A-RACHNATMAK'!AM369)),"B",IF(NOT(ISBLANK('A-RACHNATMAK'!AM368)),"C","")))</f>
        <v/>
      </c>
      <c r="AK344" s="622" t="str">
        <f>IF(NOT(ISBLANK('A-RACHNATMAK'!AN370)),"A",IF(NOT(ISBLANK('A-RACHNATMAK'!AN369)),"B",IF(NOT(ISBLANK('A-RACHNATMAK'!AN368)),"C","")))</f>
        <v/>
      </c>
      <c r="AL344" s="622" t="str">
        <f>IF(NOT(ISBLANK('A-RACHNATMAK'!AO370)),"A",IF(NOT(ISBLANK('A-RACHNATMAK'!AO369)),"B",IF(NOT(ISBLANK('A-RACHNATMAK'!AO368)),"C","")))</f>
        <v/>
      </c>
      <c r="AM344" s="622" t="str">
        <f>IF(NOT(ISBLANK('A-RACHNATMAK'!AP370)),"A",IF(NOT(ISBLANK('A-RACHNATMAK'!AP369)),"B",IF(NOT(ISBLANK('A-RACHNATMAK'!AP368)),"C","")))</f>
        <v/>
      </c>
      <c r="AN344" s="622" t="str">
        <f>IF(NOT(ISBLANK('A-RACHNATMAK'!AQ370)),"A",IF(NOT(ISBLANK('A-RACHNATMAK'!AQ369)),"B",IF(NOT(ISBLANK('A-RACHNATMAK'!AQ368)),"C","")))</f>
        <v/>
      </c>
      <c r="AO344" s="622" t="str">
        <f>IF(NOT(ISBLANK('A-RACHNATMAK'!AR370)),"A",IF(NOT(ISBLANK('A-RACHNATMAK'!AR369)),"B",IF(NOT(ISBLANK('A-RACHNATMAK'!AR368)),"C","")))</f>
        <v/>
      </c>
      <c r="AP344" s="622" t="str">
        <f>IF(NOT(ISBLANK('A-RACHNATMAK'!AS370)),"A",IF(NOT(ISBLANK('A-RACHNATMAK'!AS369)),"B",IF(NOT(ISBLANK('A-RACHNATMAK'!AS368)),"C","")))</f>
        <v/>
      </c>
      <c r="AQ344" s="622" t="str">
        <f>IF(NOT(ISBLANK('A-RACHNATMAK'!AT370)),"A",IF(NOT(ISBLANK('A-RACHNATMAK'!AT369)),"B",IF(NOT(ISBLANK('A-RACHNATMAK'!AT368)),"C","")))</f>
        <v/>
      </c>
      <c r="AR344" s="622" t="str">
        <f>IF(NOT(ISBLANK('A-RACHNATMAK'!AU370)),"A",IF(NOT(ISBLANK('A-RACHNATMAK'!AU369)),"B",IF(NOT(ISBLANK('A-RACHNATMAK'!AU368)),"C","")))</f>
        <v/>
      </c>
      <c r="AS344" s="622" t="str">
        <f>IF(NOT(ISBLANK('A-RACHNATMAK'!AV370)),"A",IF(NOT(ISBLANK('A-RACHNATMAK'!AV369)),"B",IF(NOT(ISBLANK('A-RACHNATMAK'!AV368)),"C","")))</f>
        <v/>
      </c>
      <c r="AT344" s="622" t="str">
        <f>IF(NOT(ISBLANK('A-RACHNATMAK'!AW370)),"A",IF(NOT(ISBLANK('A-RACHNATMAK'!AW369)),"B",IF(NOT(ISBLANK('A-RACHNATMAK'!AW368)),"C","")))</f>
        <v/>
      </c>
      <c r="AU344" s="622">
        <f t="shared" ref="AU344" si="651">COUNTIF(AA344:AT344,"A")</f>
        <v>0</v>
      </c>
      <c r="AV344" s="622">
        <f t="shared" ref="AV344" si="652">COUNTIF(AA344:AT344,"B")</f>
        <v>0</v>
      </c>
      <c r="AW344" s="622">
        <f t="shared" ref="AW344" si="653">COUNTIF(AA344:AT344,"C")</f>
        <v>0</v>
      </c>
    </row>
    <row r="345" spans="1:49" ht="7.5" customHeight="1">
      <c r="A345" s="623"/>
      <c r="B345" s="622"/>
      <c r="C345" s="622"/>
      <c r="D345" s="622"/>
      <c r="E345" s="622"/>
      <c r="F345" s="622"/>
      <c r="G345" s="622"/>
      <c r="H345" s="622"/>
      <c r="I345" s="622"/>
      <c r="J345" s="622"/>
      <c r="K345" s="622"/>
      <c r="L345" s="622"/>
      <c r="M345" s="622"/>
      <c r="N345" s="622"/>
      <c r="O345" s="622"/>
      <c r="P345" s="622"/>
      <c r="Q345" s="622"/>
      <c r="R345" s="622"/>
      <c r="S345" s="622"/>
      <c r="T345" s="622"/>
      <c r="U345" s="622"/>
      <c r="V345" s="622"/>
      <c r="W345" s="622"/>
      <c r="X345" s="622"/>
      <c r="Y345" s="330"/>
      <c r="Z345" s="623"/>
      <c r="AA345" s="622"/>
      <c r="AB345" s="622"/>
      <c r="AC345" s="622"/>
      <c r="AD345" s="622"/>
      <c r="AE345" s="622"/>
      <c r="AF345" s="622"/>
      <c r="AG345" s="622"/>
      <c r="AH345" s="622"/>
      <c r="AI345" s="622"/>
      <c r="AJ345" s="622"/>
      <c r="AK345" s="622"/>
      <c r="AL345" s="622"/>
      <c r="AM345" s="622"/>
      <c r="AN345" s="622"/>
      <c r="AO345" s="622"/>
      <c r="AP345" s="622"/>
      <c r="AQ345" s="622"/>
      <c r="AR345" s="622"/>
      <c r="AS345" s="622"/>
      <c r="AT345" s="622"/>
      <c r="AU345" s="622"/>
      <c r="AV345" s="622"/>
      <c r="AW345" s="622"/>
    </row>
    <row r="346" spans="1:49" ht="7.5" customHeight="1">
      <c r="A346" s="623"/>
      <c r="B346" s="622"/>
      <c r="C346" s="622"/>
      <c r="D346" s="622"/>
      <c r="E346" s="622"/>
      <c r="F346" s="622"/>
      <c r="G346" s="622"/>
      <c r="H346" s="622"/>
      <c r="I346" s="622"/>
      <c r="J346" s="622"/>
      <c r="K346" s="622"/>
      <c r="L346" s="622"/>
      <c r="M346" s="622"/>
      <c r="N346" s="622"/>
      <c r="O346" s="622"/>
      <c r="P346" s="622"/>
      <c r="Q346" s="622"/>
      <c r="R346" s="622"/>
      <c r="S346" s="622"/>
      <c r="T346" s="622"/>
      <c r="U346" s="622"/>
      <c r="V346" s="622"/>
      <c r="W346" s="622"/>
      <c r="X346" s="622"/>
      <c r="Y346" s="330"/>
      <c r="Z346" s="623"/>
      <c r="AA346" s="622"/>
      <c r="AB346" s="622"/>
      <c r="AC346" s="622"/>
      <c r="AD346" s="622"/>
      <c r="AE346" s="622"/>
      <c r="AF346" s="622"/>
      <c r="AG346" s="622"/>
      <c r="AH346" s="622"/>
      <c r="AI346" s="622"/>
      <c r="AJ346" s="622"/>
      <c r="AK346" s="622"/>
      <c r="AL346" s="622"/>
      <c r="AM346" s="622"/>
      <c r="AN346" s="622"/>
      <c r="AO346" s="622"/>
      <c r="AP346" s="622"/>
      <c r="AQ346" s="622"/>
      <c r="AR346" s="622"/>
      <c r="AS346" s="622"/>
      <c r="AT346" s="622"/>
      <c r="AU346" s="622"/>
      <c r="AV346" s="622"/>
      <c r="AW346" s="622"/>
    </row>
    <row r="347" spans="1:49" ht="7.5" customHeight="1">
      <c r="A347" s="623">
        <v>9</v>
      </c>
      <c r="B347" s="622" t="str">
        <f>IF(NOT(ISBLANK('A-RACHNATMAK'!C373)),"A",IF(NOT(ISBLANK('A-RACHNATMAK'!C372)),"B",IF(NOT(ISBLANK('A-RACHNATMAK'!C371)),"C","")))</f>
        <v/>
      </c>
      <c r="C347" s="622" t="str">
        <f>IF(NOT(ISBLANK('A-RACHNATMAK'!D373)),"A",IF(NOT(ISBLANK('A-RACHNATMAK'!D372)),"B",IF(NOT(ISBLANK('A-RACHNATMAK'!D371)),"C","")))</f>
        <v/>
      </c>
      <c r="D347" s="622" t="str">
        <f>IF(NOT(ISBLANK('A-RACHNATMAK'!E373)),"A",IF(NOT(ISBLANK('A-RACHNATMAK'!E372)),"B",IF(NOT(ISBLANK('A-RACHNATMAK'!E371)),"C","")))</f>
        <v/>
      </c>
      <c r="E347" s="622" t="str">
        <f>IF(NOT(ISBLANK('A-RACHNATMAK'!F373)),"A",IF(NOT(ISBLANK('A-RACHNATMAK'!F372)),"B",IF(NOT(ISBLANK('A-RACHNATMAK'!F371)),"C","")))</f>
        <v/>
      </c>
      <c r="F347" s="622" t="str">
        <f>IF(NOT(ISBLANK('A-RACHNATMAK'!G373)),"A",IF(NOT(ISBLANK('A-RACHNATMAK'!G372)),"B",IF(NOT(ISBLANK('A-RACHNATMAK'!G371)),"C","")))</f>
        <v/>
      </c>
      <c r="G347" s="622" t="str">
        <f>IF(NOT(ISBLANK('A-RACHNATMAK'!H373)),"A",IF(NOT(ISBLANK('A-RACHNATMAK'!H372)),"B",IF(NOT(ISBLANK('A-RACHNATMAK'!H371)),"C","")))</f>
        <v/>
      </c>
      <c r="H347" s="622" t="str">
        <f>IF(NOT(ISBLANK('A-RACHNATMAK'!I373)),"A",IF(NOT(ISBLANK('A-RACHNATMAK'!I372)),"B",IF(NOT(ISBLANK('A-RACHNATMAK'!I371)),"C","")))</f>
        <v/>
      </c>
      <c r="I347" s="622" t="str">
        <f>IF(NOT(ISBLANK('A-RACHNATMAK'!J373)),"A",IF(NOT(ISBLANK('A-RACHNATMAK'!J372)),"B",IF(NOT(ISBLANK('A-RACHNATMAK'!J371)),"C","")))</f>
        <v/>
      </c>
      <c r="J347" s="622" t="str">
        <f>IF(NOT(ISBLANK('A-RACHNATMAK'!K373)),"A",IF(NOT(ISBLANK('A-RACHNATMAK'!K372)),"B",IF(NOT(ISBLANK('A-RACHNATMAK'!K371)),"C","")))</f>
        <v/>
      </c>
      <c r="K347" s="622" t="str">
        <f>IF(NOT(ISBLANK('A-RACHNATMAK'!L373)),"A",IF(NOT(ISBLANK('A-RACHNATMAK'!L372)),"B",IF(NOT(ISBLANK('A-RACHNATMAK'!L371)),"C","")))</f>
        <v/>
      </c>
      <c r="L347" s="622" t="str">
        <f>IF(NOT(ISBLANK('A-RACHNATMAK'!M373)),"A",IF(NOT(ISBLANK('A-RACHNATMAK'!M372)),"B",IF(NOT(ISBLANK('A-RACHNATMAK'!M371)),"C","")))</f>
        <v/>
      </c>
      <c r="M347" s="622" t="str">
        <f>IF(NOT(ISBLANK('A-RACHNATMAK'!N373)),"A",IF(NOT(ISBLANK('A-RACHNATMAK'!N372)),"B",IF(NOT(ISBLANK('A-RACHNATMAK'!N371)),"C","")))</f>
        <v/>
      </c>
      <c r="N347" s="622" t="str">
        <f>IF(NOT(ISBLANK('A-RACHNATMAK'!O373)),"A",IF(NOT(ISBLANK('A-RACHNATMAK'!O372)),"B",IF(NOT(ISBLANK('A-RACHNATMAK'!O371)),"C","")))</f>
        <v/>
      </c>
      <c r="O347" s="622" t="str">
        <f>IF(NOT(ISBLANK('A-RACHNATMAK'!P373)),"A",IF(NOT(ISBLANK('A-RACHNATMAK'!P372)),"B",IF(NOT(ISBLANK('A-RACHNATMAK'!P371)),"C","")))</f>
        <v/>
      </c>
      <c r="P347" s="622" t="str">
        <f>IF(NOT(ISBLANK('A-RACHNATMAK'!Q373)),"A",IF(NOT(ISBLANK('A-RACHNATMAK'!Q372)),"B",IF(NOT(ISBLANK('A-RACHNATMAK'!Q371)),"C","")))</f>
        <v/>
      </c>
      <c r="Q347" s="622" t="str">
        <f>IF(NOT(ISBLANK('A-RACHNATMAK'!R373)),"A",IF(NOT(ISBLANK('A-RACHNATMAK'!R372)),"B",IF(NOT(ISBLANK('A-RACHNATMAK'!R371)),"C","")))</f>
        <v/>
      </c>
      <c r="R347" s="622" t="str">
        <f>IF(NOT(ISBLANK('A-RACHNATMAK'!S373)),"A",IF(NOT(ISBLANK('A-RACHNATMAK'!S372)),"B",IF(NOT(ISBLANK('A-RACHNATMAK'!S371)),"C","")))</f>
        <v/>
      </c>
      <c r="S347" s="622" t="str">
        <f>IF(NOT(ISBLANK('A-RACHNATMAK'!T373)),"A",IF(NOT(ISBLANK('A-RACHNATMAK'!T372)),"B",IF(NOT(ISBLANK('A-RACHNATMAK'!T371)),"C","")))</f>
        <v/>
      </c>
      <c r="T347" s="622" t="str">
        <f>IF(NOT(ISBLANK('A-RACHNATMAK'!U373)),"A",IF(NOT(ISBLANK('A-RACHNATMAK'!U372)),"B",IF(NOT(ISBLANK('A-RACHNATMAK'!U371)),"C","")))</f>
        <v/>
      </c>
      <c r="U347" s="622" t="str">
        <f>IF(NOT(ISBLANK('A-RACHNATMAK'!V373)),"A",IF(NOT(ISBLANK('A-RACHNATMAK'!V372)),"B",IF(NOT(ISBLANK('A-RACHNATMAK'!V371)),"C","")))</f>
        <v/>
      </c>
      <c r="V347" s="622">
        <f t="shared" ref="V347" si="654">COUNTIF(B347:U347,"A")</f>
        <v>0</v>
      </c>
      <c r="W347" s="622">
        <f t="shared" ref="W347" si="655">COUNTIF(B347:U347,"B")</f>
        <v>0</v>
      </c>
      <c r="X347" s="622">
        <f t="shared" ref="X347" si="656">COUNTIF(B347:U347,"C")</f>
        <v>0</v>
      </c>
      <c r="Y347" s="330"/>
      <c r="Z347" s="623">
        <v>9</v>
      </c>
      <c r="AA347" s="622" t="str">
        <f>IF(NOT(ISBLANK('A-RACHNATMAK'!AD373)),"A",IF(NOT(ISBLANK('A-RACHNATMAK'!AD372)),"B",IF(NOT(ISBLANK('A-RACHNATMAK'!AD371)),"C","")))</f>
        <v/>
      </c>
      <c r="AB347" s="622" t="str">
        <f>IF(NOT(ISBLANK('A-RACHNATMAK'!AE373)),"A",IF(NOT(ISBLANK('A-RACHNATMAK'!AE372)),"B",IF(NOT(ISBLANK('A-RACHNATMAK'!AE371)),"C","")))</f>
        <v/>
      </c>
      <c r="AC347" s="622" t="str">
        <f>IF(NOT(ISBLANK('A-RACHNATMAK'!AF373)),"A",IF(NOT(ISBLANK('A-RACHNATMAK'!AF372)),"B",IF(NOT(ISBLANK('A-RACHNATMAK'!AF371)),"C","")))</f>
        <v/>
      </c>
      <c r="AD347" s="622" t="str">
        <f>IF(NOT(ISBLANK('A-RACHNATMAK'!AG373)),"A",IF(NOT(ISBLANK('A-RACHNATMAK'!AG372)),"B",IF(NOT(ISBLANK('A-RACHNATMAK'!AG371)),"C","")))</f>
        <v/>
      </c>
      <c r="AE347" s="622" t="str">
        <f>IF(NOT(ISBLANK('A-RACHNATMAK'!AH373)),"A",IF(NOT(ISBLANK('A-RACHNATMAK'!AH372)),"B",IF(NOT(ISBLANK('A-RACHNATMAK'!AH371)),"C","")))</f>
        <v/>
      </c>
      <c r="AF347" s="622" t="str">
        <f>IF(NOT(ISBLANK('A-RACHNATMAK'!AI373)),"A",IF(NOT(ISBLANK('A-RACHNATMAK'!AI372)),"B",IF(NOT(ISBLANK('A-RACHNATMAK'!AI371)),"C","")))</f>
        <v/>
      </c>
      <c r="AG347" s="622" t="str">
        <f>IF(NOT(ISBLANK('A-RACHNATMAK'!AJ373)),"A",IF(NOT(ISBLANK('A-RACHNATMAK'!AJ372)),"B",IF(NOT(ISBLANK('A-RACHNATMAK'!AJ371)),"C","")))</f>
        <v/>
      </c>
      <c r="AH347" s="622" t="str">
        <f>IF(NOT(ISBLANK('A-RACHNATMAK'!AK373)),"A",IF(NOT(ISBLANK('A-RACHNATMAK'!AK372)),"B",IF(NOT(ISBLANK('A-RACHNATMAK'!AK371)),"C","")))</f>
        <v/>
      </c>
      <c r="AI347" s="622" t="str">
        <f>IF(NOT(ISBLANK('A-RACHNATMAK'!AL373)),"A",IF(NOT(ISBLANK('A-RACHNATMAK'!AL372)),"B",IF(NOT(ISBLANK('A-RACHNATMAK'!AL371)),"C","")))</f>
        <v/>
      </c>
      <c r="AJ347" s="622" t="str">
        <f>IF(NOT(ISBLANK('A-RACHNATMAK'!AM373)),"A",IF(NOT(ISBLANK('A-RACHNATMAK'!AM372)),"B",IF(NOT(ISBLANK('A-RACHNATMAK'!AM371)),"C","")))</f>
        <v/>
      </c>
      <c r="AK347" s="622" t="str">
        <f>IF(NOT(ISBLANK('A-RACHNATMAK'!AN373)),"A",IF(NOT(ISBLANK('A-RACHNATMAK'!AN372)),"B",IF(NOT(ISBLANK('A-RACHNATMAK'!AN371)),"C","")))</f>
        <v/>
      </c>
      <c r="AL347" s="622" t="str">
        <f>IF(NOT(ISBLANK('A-RACHNATMAK'!AO373)),"A",IF(NOT(ISBLANK('A-RACHNATMAK'!AO372)),"B",IF(NOT(ISBLANK('A-RACHNATMAK'!AO371)),"C","")))</f>
        <v/>
      </c>
      <c r="AM347" s="622" t="str">
        <f>IF(NOT(ISBLANK('A-RACHNATMAK'!AP373)),"A",IF(NOT(ISBLANK('A-RACHNATMAK'!AP372)),"B",IF(NOT(ISBLANK('A-RACHNATMAK'!AP371)),"C","")))</f>
        <v/>
      </c>
      <c r="AN347" s="622" t="str">
        <f>IF(NOT(ISBLANK('A-RACHNATMAK'!AQ373)),"A",IF(NOT(ISBLANK('A-RACHNATMAK'!AQ372)),"B",IF(NOT(ISBLANK('A-RACHNATMAK'!AQ371)),"C","")))</f>
        <v/>
      </c>
      <c r="AO347" s="622" t="str">
        <f>IF(NOT(ISBLANK('A-RACHNATMAK'!AR373)),"A",IF(NOT(ISBLANK('A-RACHNATMAK'!AR372)),"B",IF(NOT(ISBLANK('A-RACHNATMAK'!AR371)),"C","")))</f>
        <v/>
      </c>
      <c r="AP347" s="622" t="str">
        <f>IF(NOT(ISBLANK('A-RACHNATMAK'!AS373)),"A",IF(NOT(ISBLANK('A-RACHNATMAK'!AS372)),"B",IF(NOT(ISBLANK('A-RACHNATMAK'!AS371)),"C","")))</f>
        <v/>
      </c>
      <c r="AQ347" s="622" t="str">
        <f>IF(NOT(ISBLANK('A-RACHNATMAK'!AT373)),"A",IF(NOT(ISBLANK('A-RACHNATMAK'!AT372)),"B",IF(NOT(ISBLANK('A-RACHNATMAK'!AT371)),"C","")))</f>
        <v/>
      </c>
      <c r="AR347" s="622" t="str">
        <f>IF(NOT(ISBLANK('A-RACHNATMAK'!AU373)),"A",IF(NOT(ISBLANK('A-RACHNATMAK'!AU372)),"B",IF(NOT(ISBLANK('A-RACHNATMAK'!AU371)),"C","")))</f>
        <v/>
      </c>
      <c r="AS347" s="622" t="str">
        <f>IF(NOT(ISBLANK('A-RACHNATMAK'!AV373)),"A",IF(NOT(ISBLANK('A-RACHNATMAK'!AV372)),"B",IF(NOT(ISBLANK('A-RACHNATMAK'!AV371)),"C","")))</f>
        <v/>
      </c>
      <c r="AT347" s="622" t="str">
        <f>IF(NOT(ISBLANK('A-RACHNATMAK'!AW373)),"A",IF(NOT(ISBLANK('A-RACHNATMAK'!AW372)),"B",IF(NOT(ISBLANK('A-RACHNATMAK'!AW371)),"C","")))</f>
        <v/>
      </c>
      <c r="AU347" s="622">
        <f t="shared" ref="AU347" si="657">COUNTIF(AA347:AT347,"A")</f>
        <v>0</v>
      </c>
      <c r="AV347" s="622">
        <f t="shared" ref="AV347" si="658">COUNTIF(AA347:AT347,"B")</f>
        <v>0</v>
      </c>
      <c r="AW347" s="622">
        <f t="shared" ref="AW347" si="659">COUNTIF(AA347:AT347,"C")</f>
        <v>0</v>
      </c>
    </row>
    <row r="348" spans="1:49" ht="7.5" customHeight="1">
      <c r="A348" s="623"/>
      <c r="B348" s="622"/>
      <c r="C348" s="622"/>
      <c r="D348" s="622"/>
      <c r="E348" s="622"/>
      <c r="F348" s="622"/>
      <c r="G348" s="622"/>
      <c r="H348" s="622"/>
      <c r="I348" s="622"/>
      <c r="J348" s="622"/>
      <c r="K348" s="622"/>
      <c r="L348" s="622"/>
      <c r="M348" s="622"/>
      <c r="N348" s="622"/>
      <c r="O348" s="622"/>
      <c r="P348" s="622"/>
      <c r="Q348" s="622"/>
      <c r="R348" s="622"/>
      <c r="S348" s="622"/>
      <c r="T348" s="622"/>
      <c r="U348" s="622"/>
      <c r="V348" s="622"/>
      <c r="W348" s="622"/>
      <c r="X348" s="622"/>
      <c r="Y348" s="330"/>
      <c r="Z348" s="623"/>
      <c r="AA348" s="622"/>
      <c r="AB348" s="622"/>
      <c r="AC348" s="622"/>
      <c r="AD348" s="622"/>
      <c r="AE348" s="622"/>
      <c r="AF348" s="622"/>
      <c r="AG348" s="622"/>
      <c r="AH348" s="622"/>
      <c r="AI348" s="622"/>
      <c r="AJ348" s="622"/>
      <c r="AK348" s="622"/>
      <c r="AL348" s="622"/>
      <c r="AM348" s="622"/>
      <c r="AN348" s="622"/>
      <c r="AO348" s="622"/>
      <c r="AP348" s="622"/>
      <c r="AQ348" s="622"/>
      <c r="AR348" s="622"/>
      <c r="AS348" s="622"/>
      <c r="AT348" s="622"/>
      <c r="AU348" s="622"/>
      <c r="AV348" s="622"/>
      <c r="AW348" s="622"/>
    </row>
    <row r="349" spans="1:49" ht="7.5" customHeight="1">
      <c r="A349" s="623"/>
      <c r="B349" s="622"/>
      <c r="C349" s="622"/>
      <c r="D349" s="622"/>
      <c r="E349" s="622"/>
      <c r="F349" s="622"/>
      <c r="G349" s="622"/>
      <c r="H349" s="622"/>
      <c r="I349" s="622"/>
      <c r="J349" s="622"/>
      <c r="K349" s="622"/>
      <c r="L349" s="622"/>
      <c r="M349" s="622"/>
      <c r="N349" s="622"/>
      <c r="O349" s="622"/>
      <c r="P349" s="622"/>
      <c r="Q349" s="622"/>
      <c r="R349" s="622"/>
      <c r="S349" s="622"/>
      <c r="T349" s="622"/>
      <c r="U349" s="622"/>
      <c r="V349" s="622"/>
      <c r="W349" s="622"/>
      <c r="X349" s="622"/>
      <c r="Y349" s="330"/>
      <c r="Z349" s="623"/>
      <c r="AA349" s="622"/>
      <c r="AB349" s="622"/>
      <c r="AC349" s="622"/>
      <c r="AD349" s="622"/>
      <c r="AE349" s="622"/>
      <c r="AF349" s="622"/>
      <c r="AG349" s="622"/>
      <c r="AH349" s="622"/>
      <c r="AI349" s="622"/>
      <c r="AJ349" s="622"/>
      <c r="AK349" s="622"/>
      <c r="AL349" s="622"/>
      <c r="AM349" s="622"/>
      <c r="AN349" s="622"/>
      <c r="AO349" s="622"/>
      <c r="AP349" s="622"/>
      <c r="AQ349" s="622"/>
      <c r="AR349" s="622"/>
      <c r="AS349" s="622"/>
      <c r="AT349" s="622"/>
      <c r="AU349" s="622"/>
      <c r="AV349" s="622"/>
      <c r="AW349" s="622"/>
    </row>
    <row r="350" spans="1:49" ht="7.5" customHeight="1">
      <c r="A350" s="623">
        <v>10</v>
      </c>
      <c r="B350" s="622" t="str">
        <f>IF(NOT(ISBLANK('A-RACHNATMAK'!C376)),"A",IF(NOT(ISBLANK('A-RACHNATMAK'!C375)),"B",IF(NOT(ISBLANK('A-RACHNATMAK'!C374)),"C","")))</f>
        <v/>
      </c>
      <c r="C350" s="622" t="str">
        <f>IF(NOT(ISBLANK('A-RACHNATMAK'!D376)),"A",IF(NOT(ISBLANK('A-RACHNATMAK'!D375)),"B",IF(NOT(ISBLANK('A-RACHNATMAK'!D374)),"C","")))</f>
        <v/>
      </c>
      <c r="D350" s="622" t="str">
        <f>IF(NOT(ISBLANK('A-RACHNATMAK'!E376)),"A",IF(NOT(ISBLANK('A-RACHNATMAK'!E375)),"B",IF(NOT(ISBLANK('A-RACHNATMAK'!E374)),"C","")))</f>
        <v/>
      </c>
      <c r="E350" s="622" t="str">
        <f>IF(NOT(ISBLANK('A-RACHNATMAK'!F376)),"A",IF(NOT(ISBLANK('A-RACHNATMAK'!F375)),"B",IF(NOT(ISBLANK('A-RACHNATMAK'!F374)),"C","")))</f>
        <v/>
      </c>
      <c r="F350" s="622" t="str">
        <f>IF(NOT(ISBLANK('A-RACHNATMAK'!G376)),"A",IF(NOT(ISBLANK('A-RACHNATMAK'!G375)),"B",IF(NOT(ISBLANK('A-RACHNATMAK'!G374)),"C","")))</f>
        <v/>
      </c>
      <c r="G350" s="622" t="str">
        <f>IF(NOT(ISBLANK('A-RACHNATMAK'!H376)),"A",IF(NOT(ISBLANK('A-RACHNATMAK'!H375)),"B",IF(NOT(ISBLANK('A-RACHNATMAK'!H374)),"C","")))</f>
        <v/>
      </c>
      <c r="H350" s="622" t="str">
        <f>IF(NOT(ISBLANK('A-RACHNATMAK'!I376)),"A",IF(NOT(ISBLANK('A-RACHNATMAK'!I375)),"B",IF(NOT(ISBLANK('A-RACHNATMAK'!I374)),"C","")))</f>
        <v/>
      </c>
      <c r="I350" s="622" t="str">
        <f>IF(NOT(ISBLANK('A-RACHNATMAK'!J376)),"A",IF(NOT(ISBLANK('A-RACHNATMAK'!J375)),"B",IF(NOT(ISBLANK('A-RACHNATMAK'!J374)),"C","")))</f>
        <v/>
      </c>
      <c r="J350" s="622" t="str">
        <f>IF(NOT(ISBLANK('A-RACHNATMAK'!K376)),"A",IF(NOT(ISBLANK('A-RACHNATMAK'!K375)),"B",IF(NOT(ISBLANK('A-RACHNATMAK'!K374)),"C","")))</f>
        <v/>
      </c>
      <c r="K350" s="622" t="str">
        <f>IF(NOT(ISBLANK('A-RACHNATMAK'!L376)),"A",IF(NOT(ISBLANK('A-RACHNATMAK'!L375)),"B",IF(NOT(ISBLANK('A-RACHNATMAK'!L374)),"C","")))</f>
        <v/>
      </c>
      <c r="L350" s="622" t="str">
        <f>IF(NOT(ISBLANK('A-RACHNATMAK'!M376)),"A",IF(NOT(ISBLANK('A-RACHNATMAK'!M375)),"B",IF(NOT(ISBLANK('A-RACHNATMAK'!M374)),"C","")))</f>
        <v/>
      </c>
      <c r="M350" s="622" t="str">
        <f>IF(NOT(ISBLANK('A-RACHNATMAK'!N376)),"A",IF(NOT(ISBLANK('A-RACHNATMAK'!N375)),"B",IF(NOT(ISBLANK('A-RACHNATMAK'!N374)),"C","")))</f>
        <v/>
      </c>
      <c r="N350" s="622" t="str">
        <f>IF(NOT(ISBLANK('A-RACHNATMAK'!O376)),"A",IF(NOT(ISBLANK('A-RACHNATMAK'!O375)),"B",IF(NOT(ISBLANK('A-RACHNATMAK'!O374)),"C","")))</f>
        <v/>
      </c>
      <c r="O350" s="622" t="str">
        <f>IF(NOT(ISBLANK('A-RACHNATMAK'!P376)),"A",IF(NOT(ISBLANK('A-RACHNATMAK'!P375)),"B",IF(NOT(ISBLANK('A-RACHNATMAK'!P374)),"C","")))</f>
        <v/>
      </c>
      <c r="P350" s="622" t="str">
        <f>IF(NOT(ISBLANK('A-RACHNATMAK'!Q376)),"A",IF(NOT(ISBLANK('A-RACHNATMAK'!Q375)),"B",IF(NOT(ISBLANK('A-RACHNATMAK'!Q374)),"C","")))</f>
        <v/>
      </c>
      <c r="Q350" s="622" t="str">
        <f>IF(NOT(ISBLANK('A-RACHNATMAK'!R376)),"A",IF(NOT(ISBLANK('A-RACHNATMAK'!R375)),"B",IF(NOT(ISBLANK('A-RACHNATMAK'!R374)),"C","")))</f>
        <v/>
      </c>
      <c r="R350" s="622" t="str">
        <f>IF(NOT(ISBLANK('A-RACHNATMAK'!S376)),"A",IF(NOT(ISBLANK('A-RACHNATMAK'!S375)),"B",IF(NOT(ISBLANK('A-RACHNATMAK'!S374)),"C","")))</f>
        <v/>
      </c>
      <c r="S350" s="622" t="str">
        <f>IF(NOT(ISBLANK('A-RACHNATMAK'!T376)),"A",IF(NOT(ISBLANK('A-RACHNATMAK'!T375)),"B",IF(NOT(ISBLANK('A-RACHNATMAK'!T374)),"C","")))</f>
        <v/>
      </c>
      <c r="T350" s="622" t="str">
        <f>IF(NOT(ISBLANK('A-RACHNATMAK'!U376)),"A",IF(NOT(ISBLANK('A-RACHNATMAK'!U375)),"B",IF(NOT(ISBLANK('A-RACHNATMAK'!U374)),"C","")))</f>
        <v/>
      </c>
      <c r="U350" s="622" t="str">
        <f>IF(NOT(ISBLANK('A-RACHNATMAK'!V376)),"A",IF(NOT(ISBLANK('A-RACHNATMAK'!V375)),"B",IF(NOT(ISBLANK('A-RACHNATMAK'!V374)),"C","")))</f>
        <v/>
      </c>
      <c r="V350" s="622">
        <f t="shared" ref="V350" si="660">COUNTIF(B350:U350,"A")</f>
        <v>0</v>
      </c>
      <c r="W350" s="622">
        <f t="shared" ref="W350" si="661">COUNTIF(B350:U350,"B")</f>
        <v>0</v>
      </c>
      <c r="X350" s="622">
        <f t="shared" ref="X350" si="662">COUNTIF(B350:U350,"C")</f>
        <v>0</v>
      </c>
      <c r="Y350" s="330"/>
      <c r="Z350" s="623">
        <v>10</v>
      </c>
      <c r="AA350" s="622" t="str">
        <f>IF(NOT(ISBLANK('A-RACHNATMAK'!AD376)),"A",IF(NOT(ISBLANK('A-RACHNATMAK'!AD375)),"B",IF(NOT(ISBLANK('A-RACHNATMAK'!AD374)),"C","")))</f>
        <v/>
      </c>
      <c r="AB350" s="622" t="str">
        <f>IF(NOT(ISBLANK('A-RACHNATMAK'!AE376)),"A",IF(NOT(ISBLANK('A-RACHNATMAK'!AE375)),"B",IF(NOT(ISBLANK('A-RACHNATMAK'!AE374)),"C","")))</f>
        <v/>
      </c>
      <c r="AC350" s="622" t="str">
        <f>IF(NOT(ISBLANK('A-RACHNATMAK'!AF376)),"A",IF(NOT(ISBLANK('A-RACHNATMAK'!AF375)),"B",IF(NOT(ISBLANK('A-RACHNATMAK'!AF374)),"C","")))</f>
        <v/>
      </c>
      <c r="AD350" s="622" t="str">
        <f>IF(NOT(ISBLANK('A-RACHNATMAK'!AG376)),"A",IF(NOT(ISBLANK('A-RACHNATMAK'!AG375)),"B",IF(NOT(ISBLANK('A-RACHNATMAK'!AG374)),"C","")))</f>
        <v/>
      </c>
      <c r="AE350" s="622" t="str">
        <f>IF(NOT(ISBLANK('A-RACHNATMAK'!AH376)),"A",IF(NOT(ISBLANK('A-RACHNATMAK'!AH375)),"B",IF(NOT(ISBLANK('A-RACHNATMAK'!AH374)),"C","")))</f>
        <v/>
      </c>
      <c r="AF350" s="622" t="str">
        <f>IF(NOT(ISBLANK('A-RACHNATMAK'!AI376)),"A",IF(NOT(ISBLANK('A-RACHNATMAK'!AI375)),"B",IF(NOT(ISBLANK('A-RACHNATMAK'!AI374)),"C","")))</f>
        <v/>
      </c>
      <c r="AG350" s="622" t="str">
        <f>IF(NOT(ISBLANK('A-RACHNATMAK'!AJ376)),"A",IF(NOT(ISBLANK('A-RACHNATMAK'!AJ375)),"B",IF(NOT(ISBLANK('A-RACHNATMAK'!AJ374)),"C","")))</f>
        <v/>
      </c>
      <c r="AH350" s="622" t="str">
        <f>IF(NOT(ISBLANK('A-RACHNATMAK'!AK376)),"A",IF(NOT(ISBLANK('A-RACHNATMAK'!AK375)),"B",IF(NOT(ISBLANK('A-RACHNATMAK'!AK374)),"C","")))</f>
        <v/>
      </c>
      <c r="AI350" s="622" t="str">
        <f>IF(NOT(ISBLANK('A-RACHNATMAK'!AL376)),"A",IF(NOT(ISBLANK('A-RACHNATMAK'!AL375)),"B",IF(NOT(ISBLANK('A-RACHNATMAK'!AL374)),"C","")))</f>
        <v/>
      </c>
      <c r="AJ350" s="622" t="str">
        <f>IF(NOT(ISBLANK('A-RACHNATMAK'!AM376)),"A",IF(NOT(ISBLANK('A-RACHNATMAK'!AM375)),"B",IF(NOT(ISBLANK('A-RACHNATMAK'!AM374)),"C","")))</f>
        <v/>
      </c>
      <c r="AK350" s="622" t="str">
        <f>IF(NOT(ISBLANK('A-RACHNATMAK'!AN376)),"A",IF(NOT(ISBLANK('A-RACHNATMAK'!AN375)),"B",IF(NOT(ISBLANK('A-RACHNATMAK'!AN374)),"C","")))</f>
        <v/>
      </c>
      <c r="AL350" s="622" t="str">
        <f>IF(NOT(ISBLANK('A-RACHNATMAK'!AO376)),"A",IF(NOT(ISBLANK('A-RACHNATMAK'!AO375)),"B",IF(NOT(ISBLANK('A-RACHNATMAK'!AO374)),"C","")))</f>
        <v/>
      </c>
      <c r="AM350" s="622" t="str">
        <f>IF(NOT(ISBLANK('A-RACHNATMAK'!AP376)),"A",IF(NOT(ISBLANK('A-RACHNATMAK'!AP375)),"B",IF(NOT(ISBLANK('A-RACHNATMAK'!AP374)),"C","")))</f>
        <v/>
      </c>
      <c r="AN350" s="622" t="str">
        <f>IF(NOT(ISBLANK('A-RACHNATMAK'!AQ376)),"A",IF(NOT(ISBLANK('A-RACHNATMAK'!AQ375)),"B",IF(NOT(ISBLANK('A-RACHNATMAK'!AQ374)),"C","")))</f>
        <v/>
      </c>
      <c r="AO350" s="622" t="str">
        <f>IF(NOT(ISBLANK('A-RACHNATMAK'!AR376)),"A",IF(NOT(ISBLANK('A-RACHNATMAK'!AR375)),"B",IF(NOT(ISBLANK('A-RACHNATMAK'!AR374)),"C","")))</f>
        <v/>
      </c>
      <c r="AP350" s="622" t="str">
        <f>IF(NOT(ISBLANK('A-RACHNATMAK'!AS376)),"A",IF(NOT(ISBLANK('A-RACHNATMAK'!AS375)),"B",IF(NOT(ISBLANK('A-RACHNATMAK'!AS374)),"C","")))</f>
        <v/>
      </c>
      <c r="AQ350" s="622" t="str">
        <f>IF(NOT(ISBLANK('A-RACHNATMAK'!AT376)),"A",IF(NOT(ISBLANK('A-RACHNATMAK'!AT375)),"B",IF(NOT(ISBLANK('A-RACHNATMAK'!AT374)),"C","")))</f>
        <v/>
      </c>
      <c r="AR350" s="622" t="str">
        <f>IF(NOT(ISBLANK('A-RACHNATMAK'!AU376)),"A",IF(NOT(ISBLANK('A-RACHNATMAK'!AU375)),"B",IF(NOT(ISBLANK('A-RACHNATMAK'!AU374)),"C","")))</f>
        <v/>
      </c>
      <c r="AS350" s="622" t="str">
        <f>IF(NOT(ISBLANK('A-RACHNATMAK'!AV376)),"A",IF(NOT(ISBLANK('A-RACHNATMAK'!AV375)),"B",IF(NOT(ISBLANK('A-RACHNATMAK'!AV374)),"C","")))</f>
        <v/>
      </c>
      <c r="AT350" s="622" t="str">
        <f>IF(NOT(ISBLANK('A-RACHNATMAK'!AW376)),"A",IF(NOT(ISBLANK('A-RACHNATMAK'!AW375)),"B",IF(NOT(ISBLANK('A-RACHNATMAK'!AW374)),"C","")))</f>
        <v/>
      </c>
      <c r="AU350" s="622">
        <f t="shared" ref="AU350" si="663">COUNTIF(AA350:AT350,"A")</f>
        <v>0</v>
      </c>
      <c r="AV350" s="622">
        <f t="shared" ref="AV350" si="664">COUNTIF(AA350:AT350,"B")</f>
        <v>0</v>
      </c>
      <c r="AW350" s="622">
        <f t="shared" ref="AW350" si="665">COUNTIF(AA350:AT350,"C")</f>
        <v>0</v>
      </c>
    </row>
    <row r="351" spans="1:49" ht="7.5" customHeight="1">
      <c r="A351" s="623"/>
      <c r="B351" s="622"/>
      <c r="C351" s="622"/>
      <c r="D351" s="622"/>
      <c r="E351" s="622"/>
      <c r="F351" s="622"/>
      <c r="G351" s="622"/>
      <c r="H351" s="622"/>
      <c r="I351" s="622"/>
      <c r="J351" s="622"/>
      <c r="K351" s="622"/>
      <c r="L351" s="622"/>
      <c r="M351" s="622"/>
      <c r="N351" s="622"/>
      <c r="O351" s="622"/>
      <c r="P351" s="622"/>
      <c r="Q351" s="622"/>
      <c r="R351" s="622"/>
      <c r="S351" s="622"/>
      <c r="T351" s="622"/>
      <c r="U351" s="622"/>
      <c r="V351" s="622"/>
      <c r="W351" s="622"/>
      <c r="X351" s="622"/>
      <c r="Y351" s="330"/>
      <c r="Z351" s="623"/>
      <c r="AA351" s="622"/>
      <c r="AB351" s="622"/>
      <c r="AC351" s="622"/>
      <c r="AD351" s="622"/>
      <c r="AE351" s="622"/>
      <c r="AF351" s="622"/>
      <c r="AG351" s="622"/>
      <c r="AH351" s="622"/>
      <c r="AI351" s="622"/>
      <c r="AJ351" s="622"/>
      <c r="AK351" s="622"/>
      <c r="AL351" s="622"/>
      <c r="AM351" s="622"/>
      <c r="AN351" s="622"/>
      <c r="AO351" s="622"/>
      <c r="AP351" s="622"/>
      <c r="AQ351" s="622"/>
      <c r="AR351" s="622"/>
      <c r="AS351" s="622"/>
      <c r="AT351" s="622"/>
      <c r="AU351" s="622"/>
      <c r="AV351" s="622"/>
      <c r="AW351" s="622"/>
    </row>
    <row r="352" spans="1:49" ht="7.5" customHeight="1">
      <c r="A352" s="623"/>
      <c r="B352" s="622"/>
      <c r="C352" s="622"/>
      <c r="D352" s="622"/>
      <c r="E352" s="622"/>
      <c r="F352" s="622"/>
      <c r="G352" s="622"/>
      <c r="H352" s="622"/>
      <c r="I352" s="622"/>
      <c r="J352" s="622"/>
      <c r="K352" s="622"/>
      <c r="L352" s="622"/>
      <c r="M352" s="622"/>
      <c r="N352" s="622"/>
      <c r="O352" s="622"/>
      <c r="P352" s="622"/>
      <c r="Q352" s="622"/>
      <c r="R352" s="622"/>
      <c r="S352" s="622"/>
      <c r="T352" s="622"/>
      <c r="U352" s="622"/>
      <c r="V352" s="622"/>
      <c r="W352" s="622"/>
      <c r="X352" s="622"/>
      <c r="Y352" s="330"/>
      <c r="Z352" s="623"/>
      <c r="AA352" s="622"/>
      <c r="AB352" s="622"/>
      <c r="AC352" s="622"/>
      <c r="AD352" s="622"/>
      <c r="AE352" s="622"/>
      <c r="AF352" s="622"/>
      <c r="AG352" s="622"/>
      <c r="AH352" s="622"/>
      <c r="AI352" s="622"/>
      <c r="AJ352" s="622"/>
      <c r="AK352" s="622"/>
      <c r="AL352" s="622"/>
      <c r="AM352" s="622"/>
      <c r="AN352" s="622"/>
      <c r="AO352" s="622"/>
      <c r="AP352" s="622"/>
      <c r="AQ352" s="622"/>
      <c r="AR352" s="622"/>
      <c r="AS352" s="622"/>
      <c r="AT352" s="622"/>
      <c r="AU352" s="622"/>
      <c r="AV352" s="622"/>
      <c r="AW352" s="622"/>
    </row>
    <row r="353" spans="1:49" ht="7.5" customHeight="1">
      <c r="A353" s="623">
        <v>11</v>
      </c>
      <c r="B353" s="622" t="str">
        <f>IF(NOT(ISBLANK('A-RACHNATMAK'!C379)),"A",IF(NOT(ISBLANK('A-RACHNATMAK'!C378)),"B",IF(NOT(ISBLANK('A-RACHNATMAK'!C377)),"C","")))</f>
        <v/>
      </c>
      <c r="C353" s="622" t="str">
        <f>IF(NOT(ISBLANK('A-RACHNATMAK'!D379)),"A",IF(NOT(ISBLANK('A-RACHNATMAK'!D378)),"B",IF(NOT(ISBLANK('A-RACHNATMAK'!D377)),"C","")))</f>
        <v/>
      </c>
      <c r="D353" s="622" t="str">
        <f>IF(NOT(ISBLANK('A-RACHNATMAK'!E379)),"A",IF(NOT(ISBLANK('A-RACHNATMAK'!E378)),"B",IF(NOT(ISBLANK('A-RACHNATMAK'!E377)),"C","")))</f>
        <v/>
      </c>
      <c r="E353" s="622" t="str">
        <f>IF(NOT(ISBLANK('A-RACHNATMAK'!F379)),"A",IF(NOT(ISBLANK('A-RACHNATMAK'!F378)),"B",IF(NOT(ISBLANK('A-RACHNATMAK'!F377)),"C","")))</f>
        <v/>
      </c>
      <c r="F353" s="622" t="str">
        <f>IF(NOT(ISBLANK('A-RACHNATMAK'!G379)),"A",IF(NOT(ISBLANK('A-RACHNATMAK'!G378)),"B",IF(NOT(ISBLANK('A-RACHNATMAK'!G377)),"C","")))</f>
        <v/>
      </c>
      <c r="G353" s="622" t="str">
        <f>IF(NOT(ISBLANK('A-RACHNATMAK'!H379)),"A",IF(NOT(ISBLANK('A-RACHNATMAK'!H378)),"B",IF(NOT(ISBLANK('A-RACHNATMAK'!H377)),"C","")))</f>
        <v/>
      </c>
      <c r="H353" s="622" t="str">
        <f>IF(NOT(ISBLANK('A-RACHNATMAK'!I379)),"A",IF(NOT(ISBLANK('A-RACHNATMAK'!I378)),"B",IF(NOT(ISBLANK('A-RACHNATMAK'!I377)),"C","")))</f>
        <v/>
      </c>
      <c r="I353" s="622" t="str">
        <f>IF(NOT(ISBLANK('A-RACHNATMAK'!J379)),"A",IF(NOT(ISBLANK('A-RACHNATMAK'!J378)),"B",IF(NOT(ISBLANK('A-RACHNATMAK'!J377)),"C","")))</f>
        <v/>
      </c>
      <c r="J353" s="622" t="str">
        <f>IF(NOT(ISBLANK('A-RACHNATMAK'!K379)),"A",IF(NOT(ISBLANK('A-RACHNATMAK'!K378)),"B",IF(NOT(ISBLANK('A-RACHNATMAK'!K377)),"C","")))</f>
        <v/>
      </c>
      <c r="K353" s="622" t="str">
        <f>IF(NOT(ISBLANK('A-RACHNATMAK'!L379)),"A",IF(NOT(ISBLANK('A-RACHNATMAK'!L378)),"B",IF(NOT(ISBLANK('A-RACHNATMAK'!L377)),"C","")))</f>
        <v/>
      </c>
      <c r="L353" s="622" t="str">
        <f>IF(NOT(ISBLANK('A-RACHNATMAK'!M379)),"A",IF(NOT(ISBLANK('A-RACHNATMAK'!M378)),"B",IF(NOT(ISBLANK('A-RACHNATMAK'!M377)),"C","")))</f>
        <v/>
      </c>
      <c r="M353" s="622" t="str">
        <f>IF(NOT(ISBLANK('A-RACHNATMAK'!N379)),"A",IF(NOT(ISBLANK('A-RACHNATMAK'!N378)),"B",IF(NOT(ISBLANK('A-RACHNATMAK'!N377)),"C","")))</f>
        <v/>
      </c>
      <c r="N353" s="622" t="str">
        <f>IF(NOT(ISBLANK('A-RACHNATMAK'!O379)),"A",IF(NOT(ISBLANK('A-RACHNATMAK'!O378)),"B",IF(NOT(ISBLANK('A-RACHNATMAK'!O377)),"C","")))</f>
        <v/>
      </c>
      <c r="O353" s="622" t="str">
        <f>IF(NOT(ISBLANK('A-RACHNATMAK'!P379)),"A",IF(NOT(ISBLANK('A-RACHNATMAK'!P378)),"B",IF(NOT(ISBLANK('A-RACHNATMAK'!P377)),"C","")))</f>
        <v/>
      </c>
      <c r="P353" s="622" t="str">
        <f>IF(NOT(ISBLANK('A-RACHNATMAK'!Q379)),"A",IF(NOT(ISBLANK('A-RACHNATMAK'!Q378)),"B",IF(NOT(ISBLANK('A-RACHNATMAK'!Q377)),"C","")))</f>
        <v/>
      </c>
      <c r="Q353" s="622" t="str">
        <f>IF(NOT(ISBLANK('A-RACHNATMAK'!R379)),"A",IF(NOT(ISBLANK('A-RACHNATMAK'!R378)),"B",IF(NOT(ISBLANK('A-RACHNATMAK'!R377)),"C","")))</f>
        <v/>
      </c>
      <c r="R353" s="622" t="str">
        <f>IF(NOT(ISBLANK('A-RACHNATMAK'!S379)),"A",IF(NOT(ISBLANK('A-RACHNATMAK'!S378)),"B",IF(NOT(ISBLANK('A-RACHNATMAK'!S377)),"C","")))</f>
        <v/>
      </c>
      <c r="S353" s="622" t="str">
        <f>IF(NOT(ISBLANK('A-RACHNATMAK'!T379)),"A",IF(NOT(ISBLANK('A-RACHNATMAK'!T378)),"B",IF(NOT(ISBLANK('A-RACHNATMAK'!T377)),"C","")))</f>
        <v/>
      </c>
      <c r="T353" s="622" t="str">
        <f>IF(NOT(ISBLANK('A-RACHNATMAK'!U379)),"A",IF(NOT(ISBLANK('A-RACHNATMAK'!U378)),"B",IF(NOT(ISBLANK('A-RACHNATMAK'!U377)),"C","")))</f>
        <v/>
      </c>
      <c r="U353" s="622" t="str">
        <f>IF(NOT(ISBLANK('A-RACHNATMAK'!V379)),"A",IF(NOT(ISBLANK('A-RACHNATMAK'!V378)),"B",IF(NOT(ISBLANK('A-RACHNATMAK'!V377)),"C","")))</f>
        <v/>
      </c>
      <c r="V353" s="622">
        <f t="shared" ref="V353" si="666">COUNTIF(B353:U353,"A")</f>
        <v>0</v>
      </c>
      <c r="W353" s="622">
        <f t="shared" ref="W353" si="667">COUNTIF(B353:U353,"B")</f>
        <v>0</v>
      </c>
      <c r="X353" s="622">
        <f t="shared" ref="X353" si="668">COUNTIF(B353:U353,"C")</f>
        <v>0</v>
      </c>
      <c r="Y353" s="330"/>
      <c r="Z353" s="623">
        <v>11</v>
      </c>
      <c r="AA353" s="622" t="str">
        <f>IF(NOT(ISBLANK('A-RACHNATMAK'!AD379)),"A",IF(NOT(ISBLANK('A-RACHNATMAK'!AD378)),"B",IF(NOT(ISBLANK('A-RACHNATMAK'!AD377)),"C","")))</f>
        <v/>
      </c>
      <c r="AB353" s="622" t="str">
        <f>IF(NOT(ISBLANK('A-RACHNATMAK'!AE379)),"A",IF(NOT(ISBLANK('A-RACHNATMAK'!AE378)),"B",IF(NOT(ISBLANK('A-RACHNATMAK'!AE377)),"C","")))</f>
        <v/>
      </c>
      <c r="AC353" s="622" t="str">
        <f>IF(NOT(ISBLANK('A-RACHNATMAK'!AF379)),"A",IF(NOT(ISBLANK('A-RACHNATMAK'!AF378)),"B",IF(NOT(ISBLANK('A-RACHNATMAK'!AF377)),"C","")))</f>
        <v/>
      </c>
      <c r="AD353" s="622" t="str">
        <f>IF(NOT(ISBLANK('A-RACHNATMAK'!AG379)),"A",IF(NOT(ISBLANK('A-RACHNATMAK'!AG378)),"B",IF(NOT(ISBLANK('A-RACHNATMAK'!AG377)),"C","")))</f>
        <v/>
      </c>
      <c r="AE353" s="622" t="str">
        <f>IF(NOT(ISBLANK('A-RACHNATMAK'!AH379)),"A",IF(NOT(ISBLANK('A-RACHNATMAK'!AH378)),"B",IF(NOT(ISBLANK('A-RACHNATMAK'!AH377)),"C","")))</f>
        <v/>
      </c>
      <c r="AF353" s="622" t="str">
        <f>IF(NOT(ISBLANK('A-RACHNATMAK'!AI379)),"A",IF(NOT(ISBLANK('A-RACHNATMAK'!AI378)),"B",IF(NOT(ISBLANK('A-RACHNATMAK'!AI377)),"C","")))</f>
        <v/>
      </c>
      <c r="AG353" s="622" t="str">
        <f>IF(NOT(ISBLANK('A-RACHNATMAK'!AJ379)),"A",IF(NOT(ISBLANK('A-RACHNATMAK'!AJ378)),"B",IF(NOT(ISBLANK('A-RACHNATMAK'!AJ377)),"C","")))</f>
        <v/>
      </c>
      <c r="AH353" s="622" t="str">
        <f>IF(NOT(ISBLANK('A-RACHNATMAK'!AK379)),"A",IF(NOT(ISBLANK('A-RACHNATMAK'!AK378)),"B",IF(NOT(ISBLANK('A-RACHNATMAK'!AK377)),"C","")))</f>
        <v/>
      </c>
      <c r="AI353" s="622" t="str">
        <f>IF(NOT(ISBLANK('A-RACHNATMAK'!AL379)),"A",IF(NOT(ISBLANK('A-RACHNATMAK'!AL378)),"B",IF(NOT(ISBLANK('A-RACHNATMAK'!AL377)),"C","")))</f>
        <v/>
      </c>
      <c r="AJ353" s="622" t="str">
        <f>IF(NOT(ISBLANK('A-RACHNATMAK'!AM379)),"A",IF(NOT(ISBLANK('A-RACHNATMAK'!AM378)),"B",IF(NOT(ISBLANK('A-RACHNATMAK'!AM377)),"C","")))</f>
        <v/>
      </c>
      <c r="AK353" s="622" t="str">
        <f>IF(NOT(ISBLANK('A-RACHNATMAK'!AN379)),"A",IF(NOT(ISBLANK('A-RACHNATMAK'!AN378)),"B",IF(NOT(ISBLANK('A-RACHNATMAK'!AN377)),"C","")))</f>
        <v/>
      </c>
      <c r="AL353" s="622" t="str">
        <f>IF(NOT(ISBLANK('A-RACHNATMAK'!AO379)),"A",IF(NOT(ISBLANK('A-RACHNATMAK'!AO378)),"B",IF(NOT(ISBLANK('A-RACHNATMAK'!AO377)),"C","")))</f>
        <v/>
      </c>
      <c r="AM353" s="622" t="str">
        <f>IF(NOT(ISBLANK('A-RACHNATMAK'!AP379)),"A",IF(NOT(ISBLANK('A-RACHNATMAK'!AP378)),"B",IF(NOT(ISBLANK('A-RACHNATMAK'!AP377)),"C","")))</f>
        <v/>
      </c>
      <c r="AN353" s="622" t="str">
        <f>IF(NOT(ISBLANK('A-RACHNATMAK'!AQ379)),"A",IF(NOT(ISBLANK('A-RACHNATMAK'!AQ378)),"B",IF(NOT(ISBLANK('A-RACHNATMAK'!AQ377)),"C","")))</f>
        <v/>
      </c>
      <c r="AO353" s="622" t="str">
        <f>IF(NOT(ISBLANK('A-RACHNATMAK'!AR379)),"A",IF(NOT(ISBLANK('A-RACHNATMAK'!AR378)),"B",IF(NOT(ISBLANK('A-RACHNATMAK'!AR377)),"C","")))</f>
        <v/>
      </c>
      <c r="AP353" s="622" t="str">
        <f>IF(NOT(ISBLANK('A-RACHNATMAK'!AS379)),"A",IF(NOT(ISBLANK('A-RACHNATMAK'!AS378)),"B",IF(NOT(ISBLANK('A-RACHNATMAK'!AS377)),"C","")))</f>
        <v/>
      </c>
      <c r="AQ353" s="622" t="str">
        <f>IF(NOT(ISBLANK('A-RACHNATMAK'!AT379)),"A",IF(NOT(ISBLANK('A-RACHNATMAK'!AT378)),"B",IF(NOT(ISBLANK('A-RACHNATMAK'!AT377)),"C","")))</f>
        <v/>
      </c>
      <c r="AR353" s="622" t="str">
        <f>IF(NOT(ISBLANK('A-RACHNATMAK'!AU379)),"A",IF(NOT(ISBLANK('A-RACHNATMAK'!AU378)),"B",IF(NOT(ISBLANK('A-RACHNATMAK'!AU377)),"C","")))</f>
        <v/>
      </c>
      <c r="AS353" s="622" t="str">
        <f>IF(NOT(ISBLANK('A-RACHNATMAK'!AV379)),"A",IF(NOT(ISBLANK('A-RACHNATMAK'!AV378)),"B",IF(NOT(ISBLANK('A-RACHNATMAK'!AV377)),"C","")))</f>
        <v/>
      </c>
      <c r="AT353" s="622" t="str">
        <f>IF(NOT(ISBLANK('A-RACHNATMAK'!AW379)),"A",IF(NOT(ISBLANK('A-RACHNATMAK'!AW378)),"B",IF(NOT(ISBLANK('A-RACHNATMAK'!AW377)),"C","")))</f>
        <v/>
      </c>
      <c r="AU353" s="622">
        <f t="shared" ref="AU353" si="669">COUNTIF(AA353:AT353,"A")</f>
        <v>0</v>
      </c>
      <c r="AV353" s="622">
        <f t="shared" ref="AV353" si="670">COUNTIF(AA353:AT353,"B")</f>
        <v>0</v>
      </c>
      <c r="AW353" s="622">
        <f t="shared" ref="AW353" si="671">COUNTIF(AA353:AT353,"C")</f>
        <v>0</v>
      </c>
    </row>
    <row r="354" spans="1:49" ht="7.5" customHeight="1">
      <c r="A354" s="623"/>
      <c r="B354" s="622"/>
      <c r="C354" s="622"/>
      <c r="D354" s="622"/>
      <c r="E354" s="622"/>
      <c r="F354" s="622"/>
      <c r="G354" s="622"/>
      <c r="H354" s="622"/>
      <c r="I354" s="622"/>
      <c r="J354" s="622"/>
      <c r="K354" s="622"/>
      <c r="L354" s="622"/>
      <c r="M354" s="622"/>
      <c r="N354" s="622"/>
      <c r="O354" s="622"/>
      <c r="P354" s="622"/>
      <c r="Q354" s="622"/>
      <c r="R354" s="622"/>
      <c r="S354" s="622"/>
      <c r="T354" s="622"/>
      <c r="U354" s="622"/>
      <c r="V354" s="622"/>
      <c r="W354" s="622"/>
      <c r="X354" s="622"/>
      <c r="Y354" s="330"/>
      <c r="Z354" s="623"/>
      <c r="AA354" s="622"/>
      <c r="AB354" s="622"/>
      <c r="AC354" s="622"/>
      <c r="AD354" s="622"/>
      <c r="AE354" s="622"/>
      <c r="AF354" s="622"/>
      <c r="AG354" s="622"/>
      <c r="AH354" s="622"/>
      <c r="AI354" s="622"/>
      <c r="AJ354" s="622"/>
      <c r="AK354" s="622"/>
      <c r="AL354" s="622"/>
      <c r="AM354" s="622"/>
      <c r="AN354" s="622"/>
      <c r="AO354" s="622"/>
      <c r="AP354" s="622"/>
      <c r="AQ354" s="622"/>
      <c r="AR354" s="622"/>
      <c r="AS354" s="622"/>
      <c r="AT354" s="622"/>
      <c r="AU354" s="622"/>
      <c r="AV354" s="622"/>
      <c r="AW354" s="622"/>
    </row>
    <row r="355" spans="1:49" ht="7.5" customHeight="1">
      <c r="A355" s="623"/>
      <c r="B355" s="622"/>
      <c r="C355" s="622"/>
      <c r="D355" s="622"/>
      <c r="E355" s="622"/>
      <c r="F355" s="622"/>
      <c r="G355" s="622"/>
      <c r="H355" s="622"/>
      <c r="I355" s="622"/>
      <c r="J355" s="622"/>
      <c r="K355" s="622"/>
      <c r="L355" s="622"/>
      <c r="M355" s="622"/>
      <c r="N355" s="622"/>
      <c r="O355" s="622"/>
      <c r="P355" s="622"/>
      <c r="Q355" s="622"/>
      <c r="R355" s="622"/>
      <c r="S355" s="622"/>
      <c r="T355" s="622"/>
      <c r="U355" s="622"/>
      <c r="V355" s="622"/>
      <c r="W355" s="622"/>
      <c r="X355" s="622"/>
      <c r="Y355" s="330"/>
      <c r="Z355" s="623"/>
      <c r="AA355" s="622"/>
      <c r="AB355" s="622"/>
      <c r="AC355" s="622"/>
      <c r="AD355" s="622"/>
      <c r="AE355" s="622"/>
      <c r="AF355" s="622"/>
      <c r="AG355" s="622"/>
      <c r="AH355" s="622"/>
      <c r="AI355" s="622"/>
      <c r="AJ355" s="622"/>
      <c r="AK355" s="622"/>
      <c r="AL355" s="622"/>
      <c r="AM355" s="622"/>
      <c r="AN355" s="622"/>
      <c r="AO355" s="622"/>
      <c r="AP355" s="622"/>
      <c r="AQ355" s="622"/>
      <c r="AR355" s="622"/>
      <c r="AS355" s="622"/>
      <c r="AT355" s="622"/>
      <c r="AU355" s="622"/>
      <c r="AV355" s="622"/>
      <c r="AW355" s="622"/>
    </row>
    <row r="356" spans="1:49" ht="7.5" customHeight="1">
      <c r="A356" s="623">
        <v>12</v>
      </c>
      <c r="B356" s="622" t="str">
        <f>IF(NOT(ISBLANK('A-RACHNATMAK'!C382)),"A",IF(NOT(ISBLANK('A-RACHNATMAK'!C381)),"B",IF(NOT(ISBLANK('A-RACHNATMAK'!C380)),"C","")))</f>
        <v/>
      </c>
      <c r="C356" s="622" t="str">
        <f>IF(NOT(ISBLANK('A-RACHNATMAK'!D382)),"A",IF(NOT(ISBLANK('A-RACHNATMAK'!D381)),"B",IF(NOT(ISBLANK('A-RACHNATMAK'!D380)),"C","")))</f>
        <v/>
      </c>
      <c r="D356" s="622" t="str">
        <f>IF(NOT(ISBLANK('A-RACHNATMAK'!E382)),"A",IF(NOT(ISBLANK('A-RACHNATMAK'!E381)),"B",IF(NOT(ISBLANK('A-RACHNATMAK'!E380)),"C","")))</f>
        <v/>
      </c>
      <c r="E356" s="622" t="str">
        <f>IF(NOT(ISBLANK('A-RACHNATMAK'!F382)),"A",IF(NOT(ISBLANK('A-RACHNATMAK'!F381)),"B",IF(NOT(ISBLANK('A-RACHNATMAK'!F380)),"C","")))</f>
        <v/>
      </c>
      <c r="F356" s="622" t="str">
        <f>IF(NOT(ISBLANK('A-RACHNATMAK'!G382)),"A",IF(NOT(ISBLANK('A-RACHNATMAK'!G381)),"B",IF(NOT(ISBLANK('A-RACHNATMAK'!G380)),"C","")))</f>
        <v/>
      </c>
      <c r="G356" s="622" t="str">
        <f>IF(NOT(ISBLANK('A-RACHNATMAK'!H382)),"A",IF(NOT(ISBLANK('A-RACHNATMAK'!H381)),"B",IF(NOT(ISBLANK('A-RACHNATMAK'!H380)),"C","")))</f>
        <v/>
      </c>
      <c r="H356" s="622" t="str">
        <f>IF(NOT(ISBLANK('A-RACHNATMAK'!I382)),"A",IF(NOT(ISBLANK('A-RACHNATMAK'!I381)),"B",IF(NOT(ISBLANK('A-RACHNATMAK'!I380)),"C","")))</f>
        <v/>
      </c>
      <c r="I356" s="622" t="str">
        <f>IF(NOT(ISBLANK('A-RACHNATMAK'!J382)),"A",IF(NOT(ISBLANK('A-RACHNATMAK'!J381)),"B",IF(NOT(ISBLANK('A-RACHNATMAK'!J380)),"C","")))</f>
        <v/>
      </c>
      <c r="J356" s="622" t="str">
        <f>IF(NOT(ISBLANK('A-RACHNATMAK'!K382)),"A",IF(NOT(ISBLANK('A-RACHNATMAK'!K381)),"B",IF(NOT(ISBLANK('A-RACHNATMAK'!K380)),"C","")))</f>
        <v/>
      </c>
      <c r="K356" s="622" t="str">
        <f>IF(NOT(ISBLANK('A-RACHNATMAK'!L382)),"A",IF(NOT(ISBLANK('A-RACHNATMAK'!L381)),"B",IF(NOT(ISBLANK('A-RACHNATMAK'!L380)),"C","")))</f>
        <v/>
      </c>
      <c r="L356" s="622" t="str">
        <f>IF(NOT(ISBLANK('A-RACHNATMAK'!M382)),"A",IF(NOT(ISBLANK('A-RACHNATMAK'!M381)),"B",IF(NOT(ISBLANK('A-RACHNATMAK'!M380)),"C","")))</f>
        <v/>
      </c>
      <c r="M356" s="622" t="str">
        <f>IF(NOT(ISBLANK('A-RACHNATMAK'!N382)),"A",IF(NOT(ISBLANK('A-RACHNATMAK'!N381)),"B",IF(NOT(ISBLANK('A-RACHNATMAK'!N380)),"C","")))</f>
        <v/>
      </c>
      <c r="N356" s="622" t="str">
        <f>IF(NOT(ISBLANK('A-RACHNATMAK'!O382)),"A",IF(NOT(ISBLANK('A-RACHNATMAK'!O381)),"B",IF(NOT(ISBLANK('A-RACHNATMAK'!O380)),"C","")))</f>
        <v/>
      </c>
      <c r="O356" s="622" t="str">
        <f>IF(NOT(ISBLANK('A-RACHNATMAK'!P382)),"A",IF(NOT(ISBLANK('A-RACHNATMAK'!P381)),"B",IF(NOT(ISBLANK('A-RACHNATMAK'!P380)),"C","")))</f>
        <v/>
      </c>
      <c r="P356" s="622" t="str">
        <f>IF(NOT(ISBLANK('A-RACHNATMAK'!Q382)),"A",IF(NOT(ISBLANK('A-RACHNATMAK'!Q381)),"B",IF(NOT(ISBLANK('A-RACHNATMAK'!Q380)),"C","")))</f>
        <v/>
      </c>
      <c r="Q356" s="622" t="str">
        <f>IF(NOT(ISBLANK('A-RACHNATMAK'!R382)),"A",IF(NOT(ISBLANK('A-RACHNATMAK'!R381)),"B",IF(NOT(ISBLANK('A-RACHNATMAK'!R380)),"C","")))</f>
        <v/>
      </c>
      <c r="R356" s="622" t="str">
        <f>IF(NOT(ISBLANK('A-RACHNATMAK'!S382)),"A",IF(NOT(ISBLANK('A-RACHNATMAK'!S381)),"B",IF(NOT(ISBLANK('A-RACHNATMAK'!S380)),"C","")))</f>
        <v/>
      </c>
      <c r="S356" s="622" t="str">
        <f>IF(NOT(ISBLANK('A-RACHNATMAK'!T382)),"A",IF(NOT(ISBLANK('A-RACHNATMAK'!T381)),"B",IF(NOT(ISBLANK('A-RACHNATMAK'!T380)),"C","")))</f>
        <v/>
      </c>
      <c r="T356" s="622" t="str">
        <f>IF(NOT(ISBLANK('A-RACHNATMAK'!U382)),"A",IF(NOT(ISBLANK('A-RACHNATMAK'!U381)),"B",IF(NOT(ISBLANK('A-RACHNATMAK'!U380)),"C","")))</f>
        <v/>
      </c>
      <c r="U356" s="622" t="str">
        <f>IF(NOT(ISBLANK('A-RACHNATMAK'!V382)),"A",IF(NOT(ISBLANK('A-RACHNATMAK'!V381)),"B",IF(NOT(ISBLANK('A-RACHNATMAK'!V380)),"C","")))</f>
        <v/>
      </c>
      <c r="V356" s="622">
        <f t="shared" ref="V356" si="672">COUNTIF(B356:U356,"A")</f>
        <v>0</v>
      </c>
      <c r="W356" s="622">
        <f t="shared" ref="W356" si="673">COUNTIF(B356:U356,"B")</f>
        <v>0</v>
      </c>
      <c r="X356" s="622">
        <f t="shared" ref="X356" si="674">COUNTIF(B356:U356,"C")</f>
        <v>0</v>
      </c>
      <c r="Y356" s="330"/>
      <c r="Z356" s="623">
        <v>12</v>
      </c>
      <c r="AA356" s="622" t="str">
        <f>IF(NOT(ISBLANK('A-RACHNATMAK'!AD382)),"A",IF(NOT(ISBLANK('A-RACHNATMAK'!AD381)),"B",IF(NOT(ISBLANK('A-RACHNATMAK'!AD380)),"C","")))</f>
        <v/>
      </c>
      <c r="AB356" s="622" t="str">
        <f>IF(NOT(ISBLANK('A-RACHNATMAK'!AE382)),"A",IF(NOT(ISBLANK('A-RACHNATMAK'!AE381)),"B",IF(NOT(ISBLANK('A-RACHNATMAK'!AE380)),"C","")))</f>
        <v/>
      </c>
      <c r="AC356" s="622" t="str">
        <f>IF(NOT(ISBLANK('A-RACHNATMAK'!AF382)),"A",IF(NOT(ISBLANK('A-RACHNATMAK'!AF381)),"B",IF(NOT(ISBLANK('A-RACHNATMAK'!AF380)),"C","")))</f>
        <v/>
      </c>
      <c r="AD356" s="622" t="str">
        <f>IF(NOT(ISBLANK('A-RACHNATMAK'!AG382)),"A",IF(NOT(ISBLANK('A-RACHNATMAK'!AG381)),"B",IF(NOT(ISBLANK('A-RACHNATMAK'!AG380)),"C","")))</f>
        <v/>
      </c>
      <c r="AE356" s="622" t="str">
        <f>IF(NOT(ISBLANK('A-RACHNATMAK'!AH382)),"A",IF(NOT(ISBLANK('A-RACHNATMAK'!AH381)),"B",IF(NOT(ISBLANK('A-RACHNATMAK'!AH380)),"C","")))</f>
        <v/>
      </c>
      <c r="AF356" s="622" t="str">
        <f>IF(NOT(ISBLANK('A-RACHNATMAK'!AI382)),"A",IF(NOT(ISBLANK('A-RACHNATMAK'!AI381)),"B",IF(NOT(ISBLANK('A-RACHNATMAK'!AI380)),"C","")))</f>
        <v/>
      </c>
      <c r="AG356" s="622" t="str">
        <f>IF(NOT(ISBLANK('A-RACHNATMAK'!AJ382)),"A",IF(NOT(ISBLANK('A-RACHNATMAK'!AJ381)),"B",IF(NOT(ISBLANK('A-RACHNATMAK'!AJ380)),"C","")))</f>
        <v/>
      </c>
      <c r="AH356" s="622" t="str">
        <f>IF(NOT(ISBLANK('A-RACHNATMAK'!AK382)),"A",IF(NOT(ISBLANK('A-RACHNATMAK'!AK381)),"B",IF(NOT(ISBLANK('A-RACHNATMAK'!AK380)),"C","")))</f>
        <v/>
      </c>
      <c r="AI356" s="622" t="str">
        <f>IF(NOT(ISBLANK('A-RACHNATMAK'!AL382)),"A",IF(NOT(ISBLANK('A-RACHNATMAK'!AL381)),"B",IF(NOT(ISBLANK('A-RACHNATMAK'!AL380)),"C","")))</f>
        <v/>
      </c>
      <c r="AJ356" s="622" t="str">
        <f>IF(NOT(ISBLANK('A-RACHNATMAK'!AM382)),"A",IF(NOT(ISBLANK('A-RACHNATMAK'!AM381)),"B",IF(NOT(ISBLANK('A-RACHNATMAK'!AM380)),"C","")))</f>
        <v/>
      </c>
      <c r="AK356" s="622" t="str">
        <f>IF(NOT(ISBLANK('A-RACHNATMAK'!AN382)),"A",IF(NOT(ISBLANK('A-RACHNATMAK'!AN381)),"B",IF(NOT(ISBLANK('A-RACHNATMAK'!AN380)),"C","")))</f>
        <v/>
      </c>
      <c r="AL356" s="622" t="str">
        <f>IF(NOT(ISBLANK('A-RACHNATMAK'!AO382)),"A",IF(NOT(ISBLANK('A-RACHNATMAK'!AO381)),"B",IF(NOT(ISBLANK('A-RACHNATMAK'!AO380)),"C","")))</f>
        <v/>
      </c>
      <c r="AM356" s="622" t="str">
        <f>IF(NOT(ISBLANK('A-RACHNATMAK'!AP382)),"A",IF(NOT(ISBLANK('A-RACHNATMAK'!AP381)),"B",IF(NOT(ISBLANK('A-RACHNATMAK'!AP380)),"C","")))</f>
        <v/>
      </c>
      <c r="AN356" s="622" t="str">
        <f>IF(NOT(ISBLANK('A-RACHNATMAK'!AQ382)),"A",IF(NOT(ISBLANK('A-RACHNATMAK'!AQ381)),"B",IF(NOT(ISBLANK('A-RACHNATMAK'!AQ380)),"C","")))</f>
        <v/>
      </c>
      <c r="AO356" s="622" t="str">
        <f>IF(NOT(ISBLANK('A-RACHNATMAK'!AR382)),"A",IF(NOT(ISBLANK('A-RACHNATMAK'!AR381)),"B",IF(NOT(ISBLANK('A-RACHNATMAK'!AR380)),"C","")))</f>
        <v/>
      </c>
      <c r="AP356" s="622" t="str">
        <f>IF(NOT(ISBLANK('A-RACHNATMAK'!AS382)),"A",IF(NOT(ISBLANK('A-RACHNATMAK'!AS381)),"B",IF(NOT(ISBLANK('A-RACHNATMAK'!AS380)),"C","")))</f>
        <v/>
      </c>
      <c r="AQ356" s="622" t="str">
        <f>IF(NOT(ISBLANK('A-RACHNATMAK'!AT382)),"A",IF(NOT(ISBLANK('A-RACHNATMAK'!AT381)),"B",IF(NOT(ISBLANK('A-RACHNATMAK'!AT380)),"C","")))</f>
        <v/>
      </c>
      <c r="AR356" s="622" t="str">
        <f>IF(NOT(ISBLANK('A-RACHNATMAK'!AU382)),"A",IF(NOT(ISBLANK('A-RACHNATMAK'!AU381)),"B",IF(NOT(ISBLANK('A-RACHNATMAK'!AU380)),"C","")))</f>
        <v/>
      </c>
      <c r="AS356" s="622" t="str">
        <f>IF(NOT(ISBLANK('A-RACHNATMAK'!AV382)),"A",IF(NOT(ISBLANK('A-RACHNATMAK'!AV381)),"B",IF(NOT(ISBLANK('A-RACHNATMAK'!AV380)),"C","")))</f>
        <v/>
      </c>
      <c r="AT356" s="622" t="str">
        <f>IF(NOT(ISBLANK('A-RACHNATMAK'!AW382)),"A",IF(NOT(ISBLANK('A-RACHNATMAK'!AW381)),"B",IF(NOT(ISBLANK('A-RACHNATMAK'!AW380)),"C","")))</f>
        <v/>
      </c>
      <c r="AU356" s="622">
        <f t="shared" ref="AU356" si="675">COUNTIF(AA356:AT356,"A")</f>
        <v>0</v>
      </c>
      <c r="AV356" s="622">
        <f t="shared" ref="AV356" si="676">COUNTIF(AA356:AT356,"B")</f>
        <v>0</v>
      </c>
      <c r="AW356" s="622">
        <f t="shared" ref="AW356" si="677">COUNTIF(AA356:AT356,"C")</f>
        <v>0</v>
      </c>
    </row>
    <row r="357" spans="1:49" ht="7.5" customHeight="1">
      <c r="A357" s="623"/>
      <c r="B357" s="622"/>
      <c r="C357" s="622"/>
      <c r="D357" s="622"/>
      <c r="E357" s="622"/>
      <c r="F357" s="622"/>
      <c r="G357" s="622"/>
      <c r="H357" s="622"/>
      <c r="I357" s="622"/>
      <c r="J357" s="622"/>
      <c r="K357" s="622"/>
      <c r="L357" s="622"/>
      <c r="M357" s="622"/>
      <c r="N357" s="622"/>
      <c r="O357" s="622"/>
      <c r="P357" s="622"/>
      <c r="Q357" s="622"/>
      <c r="R357" s="622"/>
      <c r="S357" s="622"/>
      <c r="T357" s="622"/>
      <c r="U357" s="622"/>
      <c r="V357" s="622"/>
      <c r="W357" s="622"/>
      <c r="X357" s="622"/>
      <c r="Y357" s="330"/>
      <c r="Z357" s="623"/>
      <c r="AA357" s="622"/>
      <c r="AB357" s="622"/>
      <c r="AC357" s="622"/>
      <c r="AD357" s="622"/>
      <c r="AE357" s="622"/>
      <c r="AF357" s="622"/>
      <c r="AG357" s="622"/>
      <c r="AH357" s="622"/>
      <c r="AI357" s="622"/>
      <c r="AJ357" s="622"/>
      <c r="AK357" s="622"/>
      <c r="AL357" s="622"/>
      <c r="AM357" s="622"/>
      <c r="AN357" s="622"/>
      <c r="AO357" s="622"/>
      <c r="AP357" s="622"/>
      <c r="AQ357" s="622"/>
      <c r="AR357" s="622"/>
      <c r="AS357" s="622"/>
      <c r="AT357" s="622"/>
      <c r="AU357" s="622"/>
      <c r="AV357" s="622"/>
      <c r="AW357" s="622"/>
    </row>
    <row r="358" spans="1:49" ht="7.5" customHeight="1">
      <c r="A358" s="623"/>
      <c r="B358" s="622"/>
      <c r="C358" s="622"/>
      <c r="D358" s="622"/>
      <c r="E358" s="622"/>
      <c r="F358" s="622"/>
      <c r="G358" s="622"/>
      <c r="H358" s="622"/>
      <c r="I358" s="622"/>
      <c r="J358" s="622"/>
      <c r="K358" s="622"/>
      <c r="L358" s="622"/>
      <c r="M358" s="622"/>
      <c r="N358" s="622"/>
      <c r="O358" s="622"/>
      <c r="P358" s="622"/>
      <c r="Q358" s="622"/>
      <c r="R358" s="622"/>
      <c r="S358" s="622"/>
      <c r="T358" s="622"/>
      <c r="U358" s="622"/>
      <c r="V358" s="622"/>
      <c r="W358" s="622"/>
      <c r="X358" s="622"/>
      <c r="Y358" s="330"/>
      <c r="Z358" s="623"/>
      <c r="AA358" s="622"/>
      <c r="AB358" s="622"/>
      <c r="AC358" s="622"/>
      <c r="AD358" s="622"/>
      <c r="AE358" s="622"/>
      <c r="AF358" s="622"/>
      <c r="AG358" s="622"/>
      <c r="AH358" s="622"/>
      <c r="AI358" s="622"/>
      <c r="AJ358" s="622"/>
      <c r="AK358" s="622"/>
      <c r="AL358" s="622"/>
      <c r="AM358" s="622"/>
      <c r="AN358" s="622"/>
      <c r="AO358" s="622"/>
      <c r="AP358" s="622"/>
      <c r="AQ358" s="622"/>
      <c r="AR358" s="622"/>
      <c r="AS358" s="622"/>
      <c r="AT358" s="622"/>
      <c r="AU358" s="622"/>
      <c r="AV358" s="622"/>
      <c r="AW358" s="622"/>
    </row>
    <row r="359" spans="1:49" ht="7.5" customHeight="1">
      <c r="A359" s="623">
        <v>13</v>
      </c>
      <c r="B359" s="622" t="str">
        <f>IF(NOT(ISBLANK('A-RACHNATMAK'!C385)),"A",IF(NOT(ISBLANK('A-RACHNATMAK'!C384)),"B",IF(NOT(ISBLANK('A-RACHNATMAK'!C383)),"C","")))</f>
        <v/>
      </c>
      <c r="C359" s="622" t="str">
        <f>IF(NOT(ISBLANK('A-RACHNATMAK'!D385)),"A",IF(NOT(ISBLANK('A-RACHNATMAK'!D384)),"B",IF(NOT(ISBLANK('A-RACHNATMAK'!D383)),"C","")))</f>
        <v/>
      </c>
      <c r="D359" s="622" t="str">
        <f>IF(NOT(ISBLANK('A-RACHNATMAK'!E385)),"A",IF(NOT(ISBLANK('A-RACHNATMAK'!E384)),"B",IF(NOT(ISBLANK('A-RACHNATMAK'!E383)),"C","")))</f>
        <v/>
      </c>
      <c r="E359" s="622" t="str">
        <f>IF(NOT(ISBLANK('A-RACHNATMAK'!F385)),"A",IF(NOT(ISBLANK('A-RACHNATMAK'!F384)),"B",IF(NOT(ISBLANK('A-RACHNATMAK'!F383)),"C","")))</f>
        <v/>
      </c>
      <c r="F359" s="622" t="str">
        <f>IF(NOT(ISBLANK('A-RACHNATMAK'!G385)),"A",IF(NOT(ISBLANK('A-RACHNATMAK'!G384)),"B",IF(NOT(ISBLANK('A-RACHNATMAK'!G383)),"C","")))</f>
        <v/>
      </c>
      <c r="G359" s="622" t="str">
        <f>IF(NOT(ISBLANK('A-RACHNATMAK'!H385)),"A",IF(NOT(ISBLANK('A-RACHNATMAK'!H384)),"B",IF(NOT(ISBLANK('A-RACHNATMAK'!H383)),"C","")))</f>
        <v/>
      </c>
      <c r="H359" s="622" t="str">
        <f>IF(NOT(ISBLANK('A-RACHNATMAK'!I385)),"A",IF(NOT(ISBLANK('A-RACHNATMAK'!I384)),"B",IF(NOT(ISBLANK('A-RACHNATMAK'!I383)),"C","")))</f>
        <v/>
      </c>
      <c r="I359" s="622" t="str">
        <f>IF(NOT(ISBLANK('A-RACHNATMAK'!J385)),"A",IF(NOT(ISBLANK('A-RACHNATMAK'!J384)),"B",IF(NOT(ISBLANK('A-RACHNATMAK'!J383)),"C","")))</f>
        <v/>
      </c>
      <c r="J359" s="622" t="str">
        <f>IF(NOT(ISBLANK('A-RACHNATMAK'!K385)),"A",IF(NOT(ISBLANK('A-RACHNATMAK'!K384)),"B",IF(NOT(ISBLANK('A-RACHNATMAK'!K383)),"C","")))</f>
        <v/>
      </c>
      <c r="K359" s="622" t="str">
        <f>IF(NOT(ISBLANK('A-RACHNATMAK'!L385)),"A",IF(NOT(ISBLANK('A-RACHNATMAK'!L384)),"B",IF(NOT(ISBLANK('A-RACHNATMAK'!L383)),"C","")))</f>
        <v/>
      </c>
      <c r="L359" s="622" t="str">
        <f>IF(NOT(ISBLANK('A-RACHNATMAK'!M385)),"A",IF(NOT(ISBLANK('A-RACHNATMAK'!M384)),"B",IF(NOT(ISBLANK('A-RACHNATMAK'!M383)),"C","")))</f>
        <v/>
      </c>
      <c r="M359" s="622" t="str">
        <f>IF(NOT(ISBLANK('A-RACHNATMAK'!N385)),"A",IF(NOT(ISBLANK('A-RACHNATMAK'!N384)),"B",IF(NOT(ISBLANK('A-RACHNATMAK'!N383)),"C","")))</f>
        <v/>
      </c>
      <c r="N359" s="622" t="str">
        <f>IF(NOT(ISBLANK('A-RACHNATMAK'!O385)),"A",IF(NOT(ISBLANK('A-RACHNATMAK'!O384)),"B",IF(NOT(ISBLANK('A-RACHNATMAK'!O383)),"C","")))</f>
        <v/>
      </c>
      <c r="O359" s="622" t="str">
        <f>IF(NOT(ISBLANK('A-RACHNATMAK'!P385)),"A",IF(NOT(ISBLANK('A-RACHNATMAK'!P384)),"B",IF(NOT(ISBLANK('A-RACHNATMAK'!P383)),"C","")))</f>
        <v/>
      </c>
      <c r="P359" s="622" t="str">
        <f>IF(NOT(ISBLANK('A-RACHNATMAK'!Q385)),"A",IF(NOT(ISBLANK('A-RACHNATMAK'!Q384)),"B",IF(NOT(ISBLANK('A-RACHNATMAK'!Q383)),"C","")))</f>
        <v/>
      </c>
      <c r="Q359" s="622" t="str">
        <f>IF(NOT(ISBLANK('A-RACHNATMAK'!R385)),"A",IF(NOT(ISBLANK('A-RACHNATMAK'!R384)),"B",IF(NOT(ISBLANK('A-RACHNATMAK'!R383)),"C","")))</f>
        <v/>
      </c>
      <c r="R359" s="622" t="str">
        <f>IF(NOT(ISBLANK('A-RACHNATMAK'!S385)),"A",IF(NOT(ISBLANK('A-RACHNATMAK'!S384)),"B",IF(NOT(ISBLANK('A-RACHNATMAK'!S383)),"C","")))</f>
        <v/>
      </c>
      <c r="S359" s="622" t="str">
        <f>IF(NOT(ISBLANK('A-RACHNATMAK'!T385)),"A",IF(NOT(ISBLANK('A-RACHNATMAK'!T384)),"B",IF(NOT(ISBLANK('A-RACHNATMAK'!T383)),"C","")))</f>
        <v/>
      </c>
      <c r="T359" s="622" t="str">
        <f>IF(NOT(ISBLANK('A-RACHNATMAK'!U385)),"A",IF(NOT(ISBLANK('A-RACHNATMAK'!U384)),"B",IF(NOT(ISBLANK('A-RACHNATMAK'!U383)),"C","")))</f>
        <v/>
      </c>
      <c r="U359" s="622" t="str">
        <f>IF(NOT(ISBLANK('A-RACHNATMAK'!V385)),"A",IF(NOT(ISBLANK('A-RACHNATMAK'!V384)),"B",IF(NOT(ISBLANK('A-RACHNATMAK'!V383)),"C","")))</f>
        <v/>
      </c>
      <c r="V359" s="622">
        <f t="shared" ref="V359" si="678">COUNTIF(B359:U359,"A")</f>
        <v>0</v>
      </c>
      <c r="W359" s="622">
        <f t="shared" ref="W359" si="679">COUNTIF(B359:U359,"B")</f>
        <v>0</v>
      </c>
      <c r="X359" s="622">
        <f t="shared" ref="X359" si="680">COUNTIF(B359:U359,"C")</f>
        <v>0</v>
      </c>
      <c r="Y359" s="330"/>
      <c r="Z359" s="623">
        <v>13</v>
      </c>
      <c r="AA359" s="622" t="str">
        <f>IF(NOT(ISBLANK('A-RACHNATMAK'!AD385)),"A",IF(NOT(ISBLANK('A-RACHNATMAK'!AD384)),"B",IF(NOT(ISBLANK('A-RACHNATMAK'!AD383)),"C","")))</f>
        <v/>
      </c>
      <c r="AB359" s="622" t="str">
        <f>IF(NOT(ISBLANK('A-RACHNATMAK'!AE385)),"A",IF(NOT(ISBLANK('A-RACHNATMAK'!AE384)),"B",IF(NOT(ISBLANK('A-RACHNATMAK'!AE383)),"C","")))</f>
        <v/>
      </c>
      <c r="AC359" s="622" t="str">
        <f>IF(NOT(ISBLANK('A-RACHNATMAK'!AF385)),"A",IF(NOT(ISBLANK('A-RACHNATMAK'!AF384)),"B",IF(NOT(ISBLANK('A-RACHNATMAK'!AF383)),"C","")))</f>
        <v/>
      </c>
      <c r="AD359" s="622" t="str">
        <f>IF(NOT(ISBLANK('A-RACHNATMAK'!AG385)),"A",IF(NOT(ISBLANK('A-RACHNATMAK'!AG384)),"B",IF(NOT(ISBLANK('A-RACHNATMAK'!AG383)),"C","")))</f>
        <v/>
      </c>
      <c r="AE359" s="622" t="str">
        <f>IF(NOT(ISBLANK('A-RACHNATMAK'!AH385)),"A",IF(NOT(ISBLANK('A-RACHNATMAK'!AH384)),"B",IF(NOT(ISBLANK('A-RACHNATMAK'!AH383)),"C","")))</f>
        <v/>
      </c>
      <c r="AF359" s="622" t="str">
        <f>IF(NOT(ISBLANK('A-RACHNATMAK'!AI385)),"A",IF(NOT(ISBLANK('A-RACHNATMAK'!AI384)),"B",IF(NOT(ISBLANK('A-RACHNATMAK'!AI383)),"C","")))</f>
        <v/>
      </c>
      <c r="AG359" s="622" t="str">
        <f>IF(NOT(ISBLANK('A-RACHNATMAK'!AJ385)),"A",IF(NOT(ISBLANK('A-RACHNATMAK'!AJ384)),"B",IF(NOT(ISBLANK('A-RACHNATMAK'!AJ383)),"C","")))</f>
        <v/>
      </c>
      <c r="AH359" s="622" t="str">
        <f>IF(NOT(ISBLANK('A-RACHNATMAK'!AK385)),"A",IF(NOT(ISBLANK('A-RACHNATMAK'!AK384)),"B",IF(NOT(ISBLANK('A-RACHNATMAK'!AK383)),"C","")))</f>
        <v/>
      </c>
      <c r="AI359" s="622" t="str">
        <f>IF(NOT(ISBLANK('A-RACHNATMAK'!AL385)),"A",IF(NOT(ISBLANK('A-RACHNATMAK'!AL384)),"B",IF(NOT(ISBLANK('A-RACHNATMAK'!AL383)),"C","")))</f>
        <v/>
      </c>
      <c r="AJ359" s="622" t="str">
        <f>IF(NOT(ISBLANK('A-RACHNATMAK'!AM385)),"A",IF(NOT(ISBLANK('A-RACHNATMAK'!AM384)),"B",IF(NOT(ISBLANK('A-RACHNATMAK'!AM383)),"C","")))</f>
        <v/>
      </c>
      <c r="AK359" s="622" t="str">
        <f>IF(NOT(ISBLANK('A-RACHNATMAK'!AN385)),"A",IF(NOT(ISBLANK('A-RACHNATMAK'!AN384)),"B",IF(NOT(ISBLANK('A-RACHNATMAK'!AN383)),"C","")))</f>
        <v/>
      </c>
      <c r="AL359" s="622" t="str">
        <f>IF(NOT(ISBLANK('A-RACHNATMAK'!AO385)),"A",IF(NOT(ISBLANK('A-RACHNATMAK'!AO384)),"B",IF(NOT(ISBLANK('A-RACHNATMAK'!AO383)),"C","")))</f>
        <v/>
      </c>
      <c r="AM359" s="622" t="str">
        <f>IF(NOT(ISBLANK('A-RACHNATMAK'!AP385)),"A",IF(NOT(ISBLANK('A-RACHNATMAK'!AP384)),"B",IF(NOT(ISBLANK('A-RACHNATMAK'!AP383)),"C","")))</f>
        <v/>
      </c>
      <c r="AN359" s="622" t="str">
        <f>IF(NOT(ISBLANK('A-RACHNATMAK'!AQ385)),"A",IF(NOT(ISBLANK('A-RACHNATMAK'!AQ384)),"B",IF(NOT(ISBLANK('A-RACHNATMAK'!AQ383)),"C","")))</f>
        <v/>
      </c>
      <c r="AO359" s="622" t="str">
        <f>IF(NOT(ISBLANK('A-RACHNATMAK'!AR385)),"A",IF(NOT(ISBLANK('A-RACHNATMAK'!AR384)),"B",IF(NOT(ISBLANK('A-RACHNATMAK'!AR383)),"C","")))</f>
        <v/>
      </c>
      <c r="AP359" s="622" t="str">
        <f>IF(NOT(ISBLANK('A-RACHNATMAK'!AS385)),"A",IF(NOT(ISBLANK('A-RACHNATMAK'!AS384)),"B",IF(NOT(ISBLANK('A-RACHNATMAK'!AS383)),"C","")))</f>
        <v/>
      </c>
      <c r="AQ359" s="622" t="str">
        <f>IF(NOT(ISBLANK('A-RACHNATMAK'!AT385)),"A",IF(NOT(ISBLANK('A-RACHNATMAK'!AT384)),"B",IF(NOT(ISBLANK('A-RACHNATMAK'!AT383)),"C","")))</f>
        <v/>
      </c>
      <c r="AR359" s="622" t="str">
        <f>IF(NOT(ISBLANK('A-RACHNATMAK'!AU385)),"A",IF(NOT(ISBLANK('A-RACHNATMAK'!AU384)),"B",IF(NOT(ISBLANK('A-RACHNATMAK'!AU383)),"C","")))</f>
        <v/>
      </c>
      <c r="AS359" s="622" t="str">
        <f>IF(NOT(ISBLANK('A-RACHNATMAK'!AV385)),"A",IF(NOT(ISBLANK('A-RACHNATMAK'!AV384)),"B",IF(NOT(ISBLANK('A-RACHNATMAK'!AV383)),"C","")))</f>
        <v/>
      </c>
      <c r="AT359" s="622" t="str">
        <f>IF(NOT(ISBLANK('A-RACHNATMAK'!AW385)),"A",IF(NOT(ISBLANK('A-RACHNATMAK'!AW384)),"B",IF(NOT(ISBLANK('A-RACHNATMAK'!AW383)),"C","")))</f>
        <v/>
      </c>
      <c r="AU359" s="622">
        <f t="shared" ref="AU359" si="681">COUNTIF(AA359:AT359,"A")</f>
        <v>0</v>
      </c>
      <c r="AV359" s="622">
        <f t="shared" ref="AV359" si="682">COUNTIF(AA359:AT359,"B")</f>
        <v>0</v>
      </c>
      <c r="AW359" s="622">
        <f t="shared" ref="AW359" si="683">COUNTIF(AA359:AT359,"C")</f>
        <v>0</v>
      </c>
    </row>
    <row r="360" spans="1:49" ht="7.5" customHeight="1">
      <c r="A360" s="623"/>
      <c r="B360" s="622"/>
      <c r="C360" s="622"/>
      <c r="D360" s="622"/>
      <c r="E360" s="622"/>
      <c r="F360" s="622"/>
      <c r="G360" s="622"/>
      <c r="H360" s="622"/>
      <c r="I360" s="622"/>
      <c r="J360" s="622"/>
      <c r="K360" s="622"/>
      <c r="L360" s="622"/>
      <c r="M360" s="622"/>
      <c r="N360" s="622"/>
      <c r="O360" s="622"/>
      <c r="P360" s="622"/>
      <c r="Q360" s="622"/>
      <c r="R360" s="622"/>
      <c r="S360" s="622"/>
      <c r="T360" s="622"/>
      <c r="U360" s="622"/>
      <c r="V360" s="622"/>
      <c r="W360" s="622"/>
      <c r="X360" s="622"/>
      <c r="Y360" s="330"/>
      <c r="Z360" s="623"/>
      <c r="AA360" s="622"/>
      <c r="AB360" s="622"/>
      <c r="AC360" s="622"/>
      <c r="AD360" s="622"/>
      <c r="AE360" s="622"/>
      <c r="AF360" s="622"/>
      <c r="AG360" s="622"/>
      <c r="AH360" s="622"/>
      <c r="AI360" s="622"/>
      <c r="AJ360" s="622"/>
      <c r="AK360" s="622"/>
      <c r="AL360" s="622"/>
      <c r="AM360" s="622"/>
      <c r="AN360" s="622"/>
      <c r="AO360" s="622"/>
      <c r="AP360" s="622"/>
      <c r="AQ360" s="622"/>
      <c r="AR360" s="622"/>
      <c r="AS360" s="622"/>
      <c r="AT360" s="622"/>
      <c r="AU360" s="622"/>
      <c r="AV360" s="622"/>
      <c r="AW360" s="622"/>
    </row>
    <row r="361" spans="1:49" ht="7.5" customHeight="1">
      <c r="A361" s="623"/>
      <c r="B361" s="622"/>
      <c r="C361" s="622"/>
      <c r="D361" s="622"/>
      <c r="E361" s="622"/>
      <c r="F361" s="622"/>
      <c r="G361" s="622"/>
      <c r="H361" s="622"/>
      <c r="I361" s="622"/>
      <c r="J361" s="622"/>
      <c r="K361" s="622"/>
      <c r="L361" s="622"/>
      <c r="M361" s="622"/>
      <c r="N361" s="622"/>
      <c r="O361" s="622"/>
      <c r="P361" s="622"/>
      <c r="Q361" s="622"/>
      <c r="R361" s="622"/>
      <c r="S361" s="622"/>
      <c r="T361" s="622"/>
      <c r="U361" s="622"/>
      <c r="V361" s="622"/>
      <c r="W361" s="622"/>
      <c r="X361" s="622"/>
      <c r="Y361" s="330"/>
      <c r="Z361" s="623"/>
      <c r="AA361" s="622"/>
      <c r="AB361" s="622"/>
      <c r="AC361" s="622"/>
      <c r="AD361" s="622"/>
      <c r="AE361" s="622"/>
      <c r="AF361" s="622"/>
      <c r="AG361" s="622"/>
      <c r="AH361" s="622"/>
      <c r="AI361" s="622"/>
      <c r="AJ361" s="622"/>
      <c r="AK361" s="622"/>
      <c r="AL361" s="622"/>
      <c r="AM361" s="622"/>
      <c r="AN361" s="622"/>
      <c r="AO361" s="622"/>
      <c r="AP361" s="622"/>
      <c r="AQ361" s="622"/>
      <c r="AR361" s="622"/>
      <c r="AS361" s="622"/>
      <c r="AT361" s="622"/>
      <c r="AU361" s="622"/>
      <c r="AV361" s="622"/>
      <c r="AW361" s="622"/>
    </row>
    <row r="362" spans="1:49" ht="7.5" customHeight="1">
      <c r="A362" s="623">
        <v>14</v>
      </c>
      <c r="B362" s="622" t="str">
        <f>IF(NOT(ISBLANK('A-RACHNATMAK'!C388)),"A",IF(NOT(ISBLANK('A-RACHNATMAK'!C387)),"B",IF(NOT(ISBLANK('A-RACHNATMAK'!C386)),"C","")))</f>
        <v/>
      </c>
      <c r="C362" s="622" t="str">
        <f>IF(NOT(ISBLANK('A-RACHNATMAK'!D388)),"A",IF(NOT(ISBLANK('A-RACHNATMAK'!D387)),"B",IF(NOT(ISBLANK('A-RACHNATMAK'!D386)),"C","")))</f>
        <v/>
      </c>
      <c r="D362" s="622" t="str">
        <f>IF(NOT(ISBLANK('A-RACHNATMAK'!E388)),"A",IF(NOT(ISBLANK('A-RACHNATMAK'!E387)),"B",IF(NOT(ISBLANK('A-RACHNATMAK'!E386)),"C","")))</f>
        <v/>
      </c>
      <c r="E362" s="622" t="str">
        <f>IF(NOT(ISBLANK('A-RACHNATMAK'!F388)),"A",IF(NOT(ISBLANK('A-RACHNATMAK'!F387)),"B",IF(NOT(ISBLANK('A-RACHNATMAK'!F386)),"C","")))</f>
        <v/>
      </c>
      <c r="F362" s="622" t="str">
        <f>IF(NOT(ISBLANK('A-RACHNATMAK'!G388)),"A",IF(NOT(ISBLANK('A-RACHNATMAK'!G387)),"B",IF(NOT(ISBLANK('A-RACHNATMAK'!G386)),"C","")))</f>
        <v/>
      </c>
      <c r="G362" s="622" t="str">
        <f>IF(NOT(ISBLANK('A-RACHNATMAK'!H388)),"A",IF(NOT(ISBLANK('A-RACHNATMAK'!H387)),"B",IF(NOT(ISBLANK('A-RACHNATMAK'!H386)),"C","")))</f>
        <v/>
      </c>
      <c r="H362" s="622" t="str">
        <f>IF(NOT(ISBLANK('A-RACHNATMAK'!I388)),"A",IF(NOT(ISBLANK('A-RACHNATMAK'!I387)),"B",IF(NOT(ISBLANK('A-RACHNATMAK'!I386)),"C","")))</f>
        <v/>
      </c>
      <c r="I362" s="622" t="str">
        <f>IF(NOT(ISBLANK('A-RACHNATMAK'!J388)),"A",IF(NOT(ISBLANK('A-RACHNATMAK'!J387)),"B",IF(NOT(ISBLANK('A-RACHNATMAK'!J386)),"C","")))</f>
        <v/>
      </c>
      <c r="J362" s="622" t="str">
        <f>IF(NOT(ISBLANK('A-RACHNATMAK'!K388)),"A",IF(NOT(ISBLANK('A-RACHNATMAK'!K387)),"B",IF(NOT(ISBLANK('A-RACHNATMAK'!K386)),"C","")))</f>
        <v/>
      </c>
      <c r="K362" s="622" t="str">
        <f>IF(NOT(ISBLANK('A-RACHNATMAK'!L388)),"A",IF(NOT(ISBLANK('A-RACHNATMAK'!L387)),"B",IF(NOT(ISBLANK('A-RACHNATMAK'!L386)),"C","")))</f>
        <v/>
      </c>
      <c r="L362" s="622" t="str">
        <f>IF(NOT(ISBLANK('A-RACHNATMAK'!M388)),"A",IF(NOT(ISBLANK('A-RACHNATMAK'!M387)),"B",IF(NOT(ISBLANK('A-RACHNATMAK'!M386)),"C","")))</f>
        <v/>
      </c>
      <c r="M362" s="622" t="str">
        <f>IF(NOT(ISBLANK('A-RACHNATMAK'!N388)),"A",IF(NOT(ISBLANK('A-RACHNATMAK'!N387)),"B",IF(NOT(ISBLANK('A-RACHNATMAK'!N386)),"C","")))</f>
        <v/>
      </c>
      <c r="N362" s="622" t="str">
        <f>IF(NOT(ISBLANK('A-RACHNATMAK'!O388)),"A",IF(NOT(ISBLANK('A-RACHNATMAK'!O387)),"B",IF(NOT(ISBLANK('A-RACHNATMAK'!O386)),"C","")))</f>
        <v/>
      </c>
      <c r="O362" s="622" t="str">
        <f>IF(NOT(ISBLANK('A-RACHNATMAK'!P388)),"A",IF(NOT(ISBLANK('A-RACHNATMAK'!P387)),"B",IF(NOT(ISBLANK('A-RACHNATMAK'!P386)),"C","")))</f>
        <v/>
      </c>
      <c r="P362" s="622" t="str">
        <f>IF(NOT(ISBLANK('A-RACHNATMAK'!Q388)),"A",IF(NOT(ISBLANK('A-RACHNATMAK'!Q387)),"B",IF(NOT(ISBLANK('A-RACHNATMAK'!Q386)),"C","")))</f>
        <v/>
      </c>
      <c r="Q362" s="622" t="str">
        <f>IF(NOT(ISBLANK('A-RACHNATMAK'!R388)),"A",IF(NOT(ISBLANK('A-RACHNATMAK'!R387)),"B",IF(NOT(ISBLANK('A-RACHNATMAK'!R386)),"C","")))</f>
        <v/>
      </c>
      <c r="R362" s="622" t="str">
        <f>IF(NOT(ISBLANK('A-RACHNATMAK'!S388)),"A",IF(NOT(ISBLANK('A-RACHNATMAK'!S387)),"B",IF(NOT(ISBLANK('A-RACHNATMAK'!S386)),"C","")))</f>
        <v/>
      </c>
      <c r="S362" s="622" t="str">
        <f>IF(NOT(ISBLANK('A-RACHNATMAK'!T388)),"A",IF(NOT(ISBLANK('A-RACHNATMAK'!T387)),"B",IF(NOT(ISBLANK('A-RACHNATMAK'!T386)),"C","")))</f>
        <v/>
      </c>
      <c r="T362" s="622" t="str">
        <f>IF(NOT(ISBLANK('A-RACHNATMAK'!U388)),"A",IF(NOT(ISBLANK('A-RACHNATMAK'!U387)),"B",IF(NOT(ISBLANK('A-RACHNATMAK'!U386)),"C","")))</f>
        <v/>
      </c>
      <c r="U362" s="622" t="str">
        <f>IF(NOT(ISBLANK('A-RACHNATMAK'!V388)),"A",IF(NOT(ISBLANK('A-RACHNATMAK'!V387)),"B",IF(NOT(ISBLANK('A-RACHNATMAK'!V386)),"C","")))</f>
        <v/>
      </c>
      <c r="V362" s="622">
        <f t="shared" ref="V362" si="684">COUNTIF(B362:U362,"A")</f>
        <v>0</v>
      </c>
      <c r="W362" s="622">
        <f t="shared" ref="W362" si="685">COUNTIF(B362:U362,"B")</f>
        <v>0</v>
      </c>
      <c r="X362" s="622">
        <f t="shared" ref="X362" si="686">COUNTIF(B362:U362,"C")</f>
        <v>0</v>
      </c>
      <c r="Y362" s="330"/>
      <c r="Z362" s="623">
        <v>14</v>
      </c>
      <c r="AA362" s="622" t="str">
        <f>IF(NOT(ISBLANK('A-RACHNATMAK'!AD388)),"A",IF(NOT(ISBLANK('A-RACHNATMAK'!AD387)),"B",IF(NOT(ISBLANK('A-RACHNATMAK'!AD386)),"C","")))</f>
        <v/>
      </c>
      <c r="AB362" s="622" t="str">
        <f>IF(NOT(ISBLANK('A-RACHNATMAK'!AE388)),"A",IF(NOT(ISBLANK('A-RACHNATMAK'!AE387)),"B",IF(NOT(ISBLANK('A-RACHNATMAK'!AE386)),"C","")))</f>
        <v/>
      </c>
      <c r="AC362" s="622" t="str">
        <f>IF(NOT(ISBLANK('A-RACHNATMAK'!AF388)),"A",IF(NOT(ISBLANK('A-RACHNATMAK'!AF387)),"B",IF(NOT(ISBLANK('A-RACHNATMAK'!AF386)),"C","")))</f>
        <v/>
      </c>
      <c r="AD362" s="622" t="str">
        <f>IF(NOT(ISBLANK('A-RACHNATMAK'!AG388)),"A",IF(NOT(ISBLANK('A-RACHNATMAK'!AG387)),"B",IF(NOT(ISBLANK('A-RACHNATMAK'!AG386)),"C","")))</f>
        <v/>
      </c>
      <c r="AE362" s="622" t="str">
        <f>IF(NOT(ISBLANK('A-RACHNATMAK'!AH388)),"A",IF(NOT(ISBLANK('A-RACHNATMAK'!AH387)),"B",IF(NOT(ISBLANK('A-RACHNATMAK'!AH386)),"C","")))</f>
        <v/>
      </c>
      <c r="AF362" s="622" t="str">
        <f>IF(NOT(ISBLANK('A-RACHNATMAK'!AI388)),"A",IF(NOT(ISBLANK('A-RACHNATMAK'!AI387)),"B",IF(NOT(ISBLANK('A-RACHNATMAK'!AI386)),"C","")))</f>
        <v/>
      </c>
      <c r="AG362" s="622" t="str">
        <f>IF(NOT(ISBLANK('A-RACHNATMAK'!AJ388)),"A",IF(NOT(ISBLANK('A-RACHNATMAK'!AJ387)),"B",IF(NOT(ISBLANK('A-RACHNATMAK'!AJ386)),"C","")))</f>
        <v/>
      </c>
      <c r="AH362" s="622" t="str">
        <f>IF(NOT(ISBLANK('A-RACHNATMAK'!AK388)),"A",IF(NOT(ISBLANK('A-RACHNATMAK'!AK387)),"B",IF(NOT(ISBLANK('A-RACHNATMAK'!AK386)),"C","")))</f>
        <v/>
      </c>
      <c r="AI362" s="622" t="str">
        <f>IF(NOT(ISBLANK('A-RACHNATMAK'!AL388)),"A",IF(NOT(ISBLANK('A-RACHNATMAK'!AL387)),"B",IF(NOT(ISBLANK('A-RACHNATMAK'!AL386)),"C","")))</f>
        <v/>
      </c>
      <c r="AJ362" s="622" t="str">
        <f>IF(NOT(ISBLANK('A-RACHNATMAK'!AM388)),"A",IF(NOT(ISBLANK('A-RACHNATMAK'!AM387)),"B",IF(NOT(ISBLANK('A-RACHNATMAK'!AM386)),"C","")))</f>
        <v/>
      </c>
      <c r="AK362" s="622" t="str">
        <f>IF(NOT(ISBLANK('A-RACHNATMAK'!AN388)),"A",IF(NOT(ISBLANK('A-RACHNATMAK'!AN387)),"B",IF(NOT(ISBLANK('A-RACHNATMAK'!AN386)),"C","")))</f>
        <v/>
      </c>
      <c r="AL362" s="622" t="str">
        <f>IF(NOT(ISBLANK('A-RACHNATMAK'!AO388)),"A",IF(NOT(ISBLANK('A-RACHNATMAK'!AO387)),"B",IF(NOT(ISBLANK('A-RACHNATMAK'!AO386)),"C","")))</f>
        <v/>
      </c>
      <c r="AM362" s="622" t="str">
        <f>IF(NOT(ISBLANK('A-RACHNATMAK'!AP388)),"A",IF(NOT(ISBLANK('A-RACHNATMAK'!AP387)),"B",IF(NOT(ISBLANK('A-RACHNATMAK'!AP386)),"C","")))</f>
        <v/>
      </c>
      <c r="AN362" s="622" t="str">
        <f>IF(NOT(ISBLANK('A-RACHNATMAK'!AQ388)),"A",IF(NOT(ISBLANK('A-RACHNATMAK'!AQ387)),"B",IF(NOT(ISBLANK('A-RACHNATMAK'!AQ386)),"C","")))</f>
        <v/>
      </c>
      <c r="AO362" s="622" t="str">
        <f>IF(NOT(ISBLANK('A-RACHNATMAK'!AR388)),"A",IF(NOT(ISBLANK('A-RACHNATMAK'!AR387)),"B",IF(NOT(ISBLANK('A-RACHNATMAK'!AR386)),"C","")))</f>
        <v/>
      </c>
      <c r="AP362" s="622" t="str">
        <f>IF(NOT(ISBLANK('A-RACHNATMAK'!AS388)),"A",IF(NOT(ISBLANK('A-RACHNATMAK'!AS387)),"B",IF(NOT(ISBLANK('A-RACHNATMAK'!AS386)),"C","")))</f>
        <v/>
      </c>
      <c r="AQ362" s="622" t="str">
        <f>IF(NOT(ISBLANK('A-RACHNATMAK'!AT388)),"A",IF(NOT(ISBLANK('A-RACHNATMAK'!AT387)),"B",IF(NOT(ISBLANK('A-RACHNATMAK'!AT386)),"C","")))</f>
        <v/>
      </c>
      <c r="AR362" s="622" t="str">
        <f>IF(NOT(ISBLANK('A-RACHNATMAK'!AU388)),"A",IF(NOT(ISBLANK('A-RACHNATMAK'!AU387)),"B",IF(NOT(ISBLANK('A-RACHNATMAK'!AU386)),"C","")))</f>
        <v/>
      </c>
      <c r="AS362" s="622" t="str">
        <f>IF(NOT(ISBLANK('A-RACHNATMAK'!AV388)),"A",IF(NOT(ISBLANK('A-RACHNATMAK'!AV387)),"B",IF(NOT(ISBLANK('A-RACHNATMAK'!AV386)),"C","")))</f>
        <v/>
      </c>
      <c r="AT362" s="622" t="str">
        <f>IF(NOT(ISBLANK('A-RACHNATMAK'!AW388)),"A",IF(NOT(ISBLANK('A-RACHNATMAK'!AW387)),"B",IF(NOT(ISBLANK('A-RACHNATMAK'!AW386)),"C","")))</f>
        <v/>
      </c>
      <c r="AU362" s="622">
        <f t="shared" ref="AU362" si="687">COUNTIF(AA362:AT362,"A")</f>
        <v>0</v>
      </c>
      <c r="AV362" s="622">
        <f t="shared" ref="AV362" si="688">COUNTIF(AA362:AT362,"B")</f>
        <v>0</v>
      </c>
      <c r="AW362" s="622">
        <f t="shared" ref="AW362" si="689">COUNTIF(AA362:AT362,"C")</f>
        <v>0</v>
      </c>
    </row>
    <row r="363" spans="1:49" ht="7.5" customHeight="1">
      <c r="A363" s="623"/>
      <c r="B363" s="622"/>
      <c r="C363" s="622"/>
      <c r="D363" s="622"/>
      <c r="E363" s="622"/>
      <c r="F363" s="622"/>
      <c r="G363" s="622"/>
      <c r="H363" s="622"/>
      <c r="I363" s="622"/>
      <c r="J363" s="622"/>
      <c r="K363" s="622"/>
      <c r="L363" s="622"/>
      <c r="M363" s="622"/>
      <c r="N363" s="622"/>
      <c r="O363" s="622"/>
      <c r="P363" s="622"/>
      <c r="Q363" s="622"/>
      <c r="R363" s="622"/>
      <c r="S363" s="622"/>
      <c r="T363" s="622"/>
      <c r="U363" s="622"/>
      <c r="V363" s="622"/>
      <c r="W363" s="622"/>
      <c r="X363" s="622"/>
      <c r="Y363" s="330"/>
      <c r="Z363" s="623"/>
      <c r="AA363" s="622"/>
      <c r="AB363" s="622"/>
      <c r="AC363" s="622"/>
      <c r="AD363" s="622"/>
      <c r="AE363" s="622"/>
      <c r="AF363" s="622"/>
      <c r="AG363" s="622"/>
      <c r="AH363" s="622"/>
      <c r="AI363" s="622"/>
      <c r="AJ363" s="622"/>
      <c r="AK363" s="622"/>
      <c r="AL363" s="622"/>
      <c r="AM363" s="622"/>
      <c r="AN363" s="622"/>
      <c r="AO363" s="622"/>
      <c r="AP363" s="622"/>
      <c r="AQ363" s="622"/>
      <c r="AR363" s="622"/>
      <c r="AS363" s="622"/>
      <c r="AT363" s="622"/>
      <c r="AU363" s="622"/>
      <c r="AV363" s="622"/>
      <c r="AW363" s="622"/>
    </row>
    <row r="364" spans="1:49" ht="7.5" customHeight="1">
      <c r="A364" s="623"/>
      <c r="B364" s="622"/>
      <c r="C364" s="622"/>
      <c r="D364" s="622"/>
      <c r="E364" s="622"/>
      <c r="F364" s="622"/>
      <c r="G364" s="622"/>
      <c r="H364" s="622"/>
      <c r="I364" s="622"/>
      <c r="J364" s="622"/>
      <c r="K364" s="622"/>
      <c r="L364" s="622"/>
      <c r="M364" s="622"/>
      <c r="N364" s="622"/>
      <c r="O364" s="622"/>
      <c r="P364" s="622"/>
      <c r="Q364" s="622"/>
      <c r="R364" s="622"/>
      <c r="S364" s="622"/>
      <c r="T364" s="622"/>
      <c r="U364" s="622"/>
      <c r="V364" s="622"/>
      <c r="W364" s="622"/>
      <c r="X364" s="622"/>
      <c r="Y364" s="330"/>
      <c r="Z364" s="623"/>
      <c r="AA364" s="622"/>
      <c r="AB364" s="622"/>
      <c r="AC364" s="622"/>
      <c r="AD364" s="622"/>
      <c r="AE364" s="622"/>
      <c r="AF364" s="622"/>
      <c r="AG364" s="622"/>
      <c r="AH364" s="622"/>
      <c r="AI364" s="622"/>
      <c r="AJ364" s="622"/>
      <c r="AK364" s="622"/>
      <c r="AL364" s="622"/>
      <c r="AM364" s="622"/>
      <c r="AN364" s="622"/>
      <c r="AO364" s="622"/>
      <c r="AP364" s="622"/>
      <c r="AQ364" s="622"/>
      <c r="AR364" s="622"/>
      <c r="AS364" s="622"/>
      <c r="AT364" s="622"/>
      <c r="AU364" s="622"/>
      <c r="AV364" s="622"/>
      <c r="AW364" s="622"/>
    </row>
    <row r="365" spans="1:49" ht="7.5" customHeight="1">
      <c r="A365" s="623">
        <v>15</v>
      </c>
      <c r="B365" s="622" t="str">
        <f>IF(NOT(ISBLANK('A-RACHNATMAK'!C391)),"A",IF(NOT(ISBLANK('A-RACHNATMAK'!C390)),"B",IF(NOT(ISBLANK('A-RACHNATMAK'!C389)),"C","")))</f>
        <v/>
      </c>
      <c r="C365" s="622" t="str">
        <f>IF(NOT(ISBLANK('A-RACHNATMAK'!D391)),"A",IF(NOT(ISBLANK('A-RACHNATMAK'!D390)),"B",IF(NOT(ISBLANK('A-RACHNATMAK'!D389)),"C","")))</f>
        <v/>
      </c>
      <c r="D365" s="622" t="str">
        <f>IF(NOT(ISBLANK('A-RACHNATMAK'!E391)),"A",IF(NOT(ISBLANK('A-RACHNATMAK'!E390)),"B",IF(NOT(ISBLANK('A-RACHNATMAK'!E389)),"C","")))</f>
        <v/>
      </c>
      <c r="E365" s="622" t="str">
        <f>IF(NOT(ISBLANK('A-RACHNATMAK'!F391)),"A",IF(NOT(ISBLANK('A-RACHNATMAK'!F390)),"B",IF(NOT(ISBLANK('A-RACHNATMAK'!F389)),"C","")))</f>
        <v/>
      </c>
      <c r="F365" s="622" t="str">
        <f>IF(NOT(ISBLANK('A-RACHNATMAK'!G391)),"A",IF(NOT(ISBLANK('A-RACHNATMAK'!G390)),"B",IF(NOT(ISBLANK('A-RACHNATMAK'!G389)),"C","")))</f>
        <v/>
      </c>
      <c r="G365" s="622" t="str">
        <f>IF(NOT(ISBLANK('A-RACHNATMAK'!H391)),"A",IF(NOT(ISBLANK('A-RACHNATMAK'!H390)),"B",IF(NOT(ISBLANK('A-RACHNATMAK'!H389)),"C","")))</f>
        <v/>
      </c>
      <c r="H365" s="622" t="str">
        <f>IF(NOT(ISBLANK('A-RACHNATMAK'!I391)),"A",IF(NOT(ISBLANK('A-RACHNATMAK'!I390)),"B",IF(NOT(ISBLANK('A-RACHNATMAK'!I389)),"C","")))</f>
        <v/>
      </c>
      <c r="I365" s="622" t="str">
        <f>IF(NOT(ISBLANK('A-RACHNATMAK'!J391)),"A",IF(NOT(ISBLANK('A-RACHNATMAK'!J390)),"B",IF(NOT(ISBLANK('A-RACHNATMAK'!J389)),"C","")))</f>
        <v/>
      </c>
      <c r="J365" s="622" t="str">
        <f>IF(NOT(ISBLANK('A-RACHNATMAK'!K391)),"A",IF(NOT(ISBLANK('A-RACHNATMAK'!K390)),"B",IF(NOT(ISBLANK('A-RACHNATMAK'!K389)),"C","")))</f>
        <v/>
      </c>
      <c r="K365" s="622" t="str">
        <f>IF(NOT(ISBLANK('A-RACHNATMAK'!L391)),"A",IF(NOT(ISBLANK('A-RACHNATMAK'!L390)),"B",IF(NOT(ISBLANK('A-RACHNATMAK'!L389)),"C","")))</f>
        <v/>
      </c>
      <c r="L365" s="622" t="str">
        <f>IF(NOT(ISBLANK('A-RACHNATMAK'!M391)),"A",IF(NOT(ISBLANK('A-RACHNATMAK'!M390)),"B",IF(NOT(ISBLANK('A-RACHNATMAK'!M389)),"C","")))</f>
        <v/>
      </c>
      <c r="M365" s="622" t="str">
        <f>IF(NOT(ISBLANK('A-RACHNATMAK'!N391)),"A",IF(NOT(ISBLANK('A-RACHNATMAK'!N390)),"B",IF(NOT(ISBLANK('A-RACHNATMAK'!N389)),"C","")))</f>
        <v/>
      </c>
      <c r="N365" s="622" t="str">
        <f>IF(NOT(ISBLANK('A-RACHNATMAK'!O391)),"A",IF(NOT(ISBLANK('A-RACHNATMAK'!O390)),"B",IF(NOT(ISBLANK('A-RACHNATMAK'!O389)),"C","")))</f>
        <v/>
      </c>
      <c r="O365" s="622" t="str">
        <f>IF(NOT(ISBLANK('A-RACHNATMAK'!P391)),"A",IF(NOT(ISBLANK('A-RACHNATMAK'!P390)),"B",IF(NOT(ISBLANK('A-RACHNATMAK'!P389)),"C","")))</f>
        <v/>
      </c>
      <c r="P365" s="622" t="str">
        <f>IF(NOT(ISBLANK('A-RACHNATMAK'!Q391)),"A",IF(NOT(ISBLANK('A-RACHNATMAK'!Q390)),"B",IF(NOT(ISBLANK('A-RACHNATMAK'!Q389)),"C","")))</f>
        <v/>
      </c>
      <c r="Q365" s="622" t="str">
        <f>IF(NOT(ISBLANK('A-RACHNATMAK'!R391)),"A",IF(NOT(ISBLANK('A-RACHNATMAK'!R390)),"B",IF(NOT(ISBLANK('A-RACHNATMAK'!R389)),"C","")))</f>
        <v/>
      </c>
      <c r="R365" s="622" t="str">
        <f>IF(NOT(ISBLANK('A-RACHNATMAK'!S391)),"A",IF(NOT(ISBLANK('A-RACHNATMAK'!S390)),"B",IF(NOT(ISBLANK('A-RACHNATMAK'!S389)),"C","")))</f>
        <v/>
      </c>
      <c r="S365" s="622" t="str">
        <f>IF(NOT(ISBLANK('A-RACHNATMAK'!T391)),"A",IF(NOT(ISBLANK('A-RACHNATMAK'!T390)),"B",IF(NOT(ISBLANK('A-RACHNATMAK'!T389)),"C","")))</f>
        <v/>
      </c>
      <c r="T365" s="622" t="str">
        <f>IF(NOT(ISBLANK('A-RACHNATMAK'!U391)),"A",IF(NOT(ISBLANK('A-RACHNATMAK'!U390)),"B",IF(NOT(ISBLANK('A-RACHNATMAK'!U389)),"C","")))</f>
        <v/>
      </c>
      <c r="U365" s="622" t="str">
        <f>IF(NOT(ISBLANK('A-RACHNATMAK'!V391)),"A",IF(NOT(ISBLANK('A-RACHNATMAK'!V390)),"B",IF(NOT(ISBLANK('A-RACHNATMAK'!V389)),"C","")))</f>
        <v/>
      </c>
      <c r="V365" s="622">
        <f t="shared" ref="V365" si="690">COUNTIF(B365:U365,"A")</f>
        <v>0</v>
      </c>
      <c r="W365" s="622">
        <f t="shared" ref="W365" si="691">COUNTIF(B365:U365,"B")</f>
        <v>0</v>
      </c>
      <c r="X365" s="622">
        <f t="shared" ref="X365" si="692">COUNTIF(B365:U365,"C")</f>
        <v>0</v>
      </c>
      <c r="Y365" s="330"/>
      <c r="Z365" s="623">
        <v>15</v>
      </c>
      <c r="AA365" s="622" t="str">
        <f>IF(NOT(ISBLANK('A-RACHNATMAK'!AD391)),"A",IF(NOT(ISBLANK('A-RACHNATMAK'!AD390)),"B",IF(NOT(ISBLANK('A-RACHNATMAK'!AD389)),"C","")))</f>
        <v/>
      </c>
      <c r="AB365" s="622" t="str">
        <f>IF(NOT(ISBLANK('A-RACHNATMAK'!AE391)),"A",IF(NOT(ISBLANK('A-RACHNATMAK'!AE390)),"B",IF(NOT(ISBLANK('A-RACHNATMAK'!AE389)),"C","")))</f>
        <v/>
      </c>
      <c r="AC365" s="622" t="str">
        <f>IF(NOT(ISBLANK('A-RACHNATMAK'!AF391)),"A",IF(NOT(ISBLANK('A-RACHNATMAK'!AF390)),"B",IF(NOT(ISBLANK('A-RACHNATMAK'!AF389)),"C","")))</f>
        <v/>
      </c>
      <c r="AD365" s="622" t="str">
        <f>IF(NOT(ISBLANK('A-RACHNATMAK'!AG391)),"A",IF(NOT(ISBLANK('A-RACHNATMAK'!AG390)),"B",IF(NOT(ISBLANK('A-RACHNATMAK'!AG389)),"C","")))</f>
        <v/>
      </c>
      <c r="AE365" s="622" t="str">
        <f>IF(NOT(ISBLANK('A-RACHNATMAK'!AH391)),"A",IF(NOT(ISBLANK('A-RACHNATMAK'!AH390)),"B",IF(NOT(ISBLANK('A-RACHNATMAK'!AH389)),"C","")))</f>
        <v/>
      </c>
      <c r="AF365" s="622" t="str">
        <f>IF(NOT(ISBLANK('A-RACHNATMAK'!AI391)),"A",IF(NOT(ISBLANK('A-RACHNATMAK'!AI390)),"B",IF(NOT(ISBLANK('A-RACHNATMAK'!AI389)),"C","")))</f>
        <v/>
      </c>
      <c r="AG365" s="622" t="str">
        <f>IF(NOT(ISBLANK('A-RACHNATMAK'!AJ391)),"A",IF(NOT(ISBLANK('A-RACHNATMAK'!AJ390)),"B",IF(NOT(ISBLANK('A-RACHNATMAK'!AJ389)),"C","")))</f>
        <v/>
      </c>
      <c r="AH365" s="622" t="str">
        <f>IF(NOT(ISBLANK('A-RACHNATMAK'!AK391)),"A",IF(NOT(ISBLANK('A-RACHNATMAK'!AK390)),"B",IF(NOT(ISBLANK('A-RACHNATMAK'!AK389)),"C","")))</f>
        <v/>
      </c>
      <c r="AI365" s="622" t="str">
        <f>IF(NOT(ISBLANK('A-RACHNATMAK'!AL391)),"A",IF(NOT(ISBLANK('A-RACHNATMAK'!AL390)),"B",IF(NOT(ISBLANK('A-RACHNATMAK'!AL389)),"C","")))</f>
        <v/>
      </c>
      <c r="AJ365" s="622" t="str">
        <f>IF(NOT(ISBLANK('A-RACHNATMAK'!AM391)),"A",IF(NOT(ISBLANK('A-RACHNATMAK'!AM390)),"B",IF(NOT(ISBLANK('A-RACHNATMAK'!AM389)),"C","")))</f>
        <v/>
      </c>
      <c r="AK365" s="622" t="str">
        <f>IF(NOT(ISBLANK('A-RACHNATMAK'!AN391)),"A",IF(NOT(ISBLANK('A-RACHNATMAK'!AN390)),"B",IF(NOT(ISBLANK('A-RACHNATMAK'!AN389)),"C","")))</f>
        <v/>
      </c>
      <c r="AL365" s="622" t="str">
        <f>IF(NOT(ISBLANK('A-RACHNATMAK'!AO391)),"A",IF(NOT(ISBLANK('A-RACHNATMAK'!AO390)),"B",IF(NOT(ISBLANK('A-RACHNATMAK'!AO389)),"C","")))</f>
        <v/>
      </c>
      <c r="AM365" s="622" t="str">
        <f>IF(NOT(ISBLANK('A-RACHNATMAK'!AP391)),"A",IF(NOT(ISBLANK('A-RACHNATMAK'!AP390)),"B",IF(NOT(ISBLANK('A-RACHNATMAK'!AP389)),"C","")))</f>
        <v/>
      </c>
      <c r="AN365" s="622" t="str">
        <f>IF(NOT(ISBLANK('A-RACHNATMAK'!AQ391)),"A",IF(NOT(ISBLANK('A-RACHNATMAK'!AQ390)),"B",IF(NOT(ISBLANK('A-RACHNATMAK'!AQ389)),"C","")))</f>
        <v/>
      </c>
      <c r="AO365" s="622" t="str">
        <f>IF(NOT(ISBLANK('A-RACHNATMAK'!AR391)),"A",IF(NOT(ISBLANK('A-RACHNATMAK'!AR390)),"B",IF(NOT(ISBLANK('A-RACHNATMAK'!AR389)),"C","")))</f>
        <v/>
      </c>
      <c r="AP365" s="622" t="str">
        <f>IF(NOT(ISBLANK('A-RACHNATMAK'!AS391)),"A",IF(NOT(ISBLANK('A-RACHNATMAK'!AS390)),"B",IF(NOT(ISBLANK('A-RACHNATMAK'!AS389)),"C","")))</f>
        <v/>
      </c>
      <c r="AQ365" s="622" t="str">
        <f>IF(NOT(ISBLANK('A-RACHNATMAK'!AT391)),"A",IF(NOT(ISBLANK('A-RACHNATMAK'!AT390)),"B",IF(NOT(ISBLANK('A-RACHNATMAK'!AT389)),"C","")))</f>
        <v/>
      </c>
      <c r="AR365" s="622" t="str">
        <f>IF(NOT(ISBLANK('A-RACHNATMAK'!AU391)),"A",IF(NOT(ISBLANK('A-RACHNATMAK'!AU390)),"B",IF(NOT(ISBLANK('A-RACHNATMAK'!AU389)),"C","")))</f>
        <v/>
      </c>
      <c r="AS365" s="622" t="str">
        <f>IF(NOT(ISBLANK('A-RACHNATMAK'!AV391)),"A",IF(NOT(ISBLANK('A-RACHNATMAK'!AV390)),"B",IF(NOT(ISBLANK('A-RACHNATMAK'!AV389)),"C","")))</f>
        <v/>
      </c>
      <c r="AT365" s="622" t="str">
        <f>IF(NOT(ISBLANK('A-RACHNATMAK'!AW391)),"A",IF(NOT(ISBLANK('A-RACHNATMAK'!AW390)),"B",IF(NOT(ISBLANK('A-RACHNATMAK'!AW389)),"C","")))</f>
        <v/>
      </c>
      <c r="AU365" s="622">
        <f t="shared" ref="AU365" si="693">COUNTIF(AA365:AT365,"A")</f>
        <v>0</v>
      </c>
      <c r="AV365" s="622">
        <f t="shared" ref="AV365" si="694">COUNTIF(AA365:AT365,"B")</f>
        <v>0</v>
      </c>
      <c r="AW365" s="622">
        <f t="shared" ref="AW365" si="695">COUNTIF(AA365:AT365,"C")</f>
        <v>0</v>
      </c>
    </row>
    <row r="366" spans="1:49" ht="7.5" customHeight="1">
      <c r="A366" s="623"/>
      <c r="B366" s="622"/>
      <c r="C366" s="622"/>
      <c r="D366" s="622"/>
      <c r="E366" s="622"/>
      <c r="F366" s="622"/>
      <c r="G366" s="622"/>
      <c r="H366" s="622"/>
      <c r="I366" s="622"/>
      <c r="J366" s="622"/>
      <c r="K366" s="622"/>
      <c r="L366" s="622"/>
      <c r="M366" s="622"/>
      <c r="N366" s="622"/>
      <c r="O366" s="622"/>
      <c r="P366" s="622"/>
      <c r="Q366" s="622"/>
      <c r="R366" s="622"/>
      <c r="S366" s="622"/>
      <c r="T366" s="622"/>
      <c r="U366" s="622"/>
      <c r="V366" s="622"/>
      <c r="W366" s="622"/>
      <c r="X366" s="622"/>
      <c r="Y366" s="330"/>
      <c r="Z366" s="623"/>
      <c r="AA366" s="622"/>
      <c r="AB366" s="622"/>
      <c r="AC366" s="622"/>
      <c r="AD366" s="622"/>
      <c r="AE366" s="622"/>
      <c r="AF366" s="622"/>
      <c r="AG366" s="622"/>
      <c r="AH366" s="622"/>
      <c r="AI366" s="622"/>
      <c r="AJ366" s="622"/>
      <c r="AK366" s="622"/>
      <c r="AL366" s="622"/>
      <c r="AM366" s="622"/>
      <c r="AN366" s="622"/>
      <c r="AO366" s="622"/>
      <c r="AP366" s="622"/>
      <c r="AQ366" s="622"/>
      <c r="AR366" s="622"/>
      <c r="AS366" s="622"/>
      <c r="AT366" s="622"/>
      <c r="AU366" s="622"/>
      <c r="AV366" s="622"/>
      <c r="AW366" s="622"/>
    </row>
    <row r="367" spans="1:49" ht="7.5" customHeight="1">
      <c r="A367" s="623"/>
      <c r="B367" s="622"/>
      <c r="C367" s="622"/>
      <c r="D367" s="622"/>
      <c r="E367" s="622"/>
      <c r="F367" s="622"/>
      <c r="G367" s="622"/>
      <c r="H367" s="622"/>
      <c r="I367" s="622"/>
      <c r="J367" s="622"/>
      <c r="K367" s="622"/>
      <c r="L367" s="622"/>
      <c r="M367" s="622"/>
      <c r="N367" s="622"/>
      <c r="O367" s="622"/>
      <c r="P367" s="622"/>
      <c r="Q367" s="622"/>
      <c r="R367" s="622"/>
      <c r="S367" s="622"/>
      <c r="T367" s="622"/>
      <c r="U367" s="622"/>
      <c r="V367" s="622"/>
      <c r="W367" s="622"/>
      <c r="X367" s="622"/>
      <c r="Y367" s="330"/>
      <c r="Z367" s="623"/>
      <c r="AA367" s="622"/>
      <c r="AB367" s="622"/>
      <c r="AC367" s="622"/>
      <c r="AD367" s="622"/>
      <c r="AE367" s="622"/>
      <c r="AF367" s="622"/>
      <c r="AG367" s="622"/>
      <c r="AH367" s="622"/>
      <c r="AI367" s="622"/>
      <c r="AJ367" s="622"/>
      <c r="AK367" s="622"/>
      <c r="AL367" s="622"/>
      <c r="AM367" s="622"/>
      <c r="AN367" s="622"/>
      <c r="AO367" s="622"/>
      <c r="AP367" s="622"/>
      <c r="AQ367" s="622"/>
      <c r="AR367" s="622"/>
      <c r="AS367" s="622"/>
      <c r="AT367" s="622"/>
      <c r="AU367" s="622"/>
      <c r="AV367" s="622"/>
      <c r="AW367" s="622"/>
    </row>
    <row r="368" spans="1:49" ht="7.5" customHeight="1">
      <c r="A368" s="623">
        <v>16</v>
      </c>
      <c r="B368" s="622" t="str">
        <f>IF(NOT(ISBLANK('A-RACHNATMAK'!C394)),"A",IF(NOT(ISBLANK('A-RACHNATMAK'!C393)),"B",IF(NOT(ISBLANK('A-RACHNATMAK'!C392)),"C","")))</f>
        <v/>
      </c>
      <c r="C368" s="622" t="str">
        <f>IF(NOT(ISBLANK('A-RACHNATMAK'!D394)),"A",IF(NOT(ISBLANK('A-RACHNATMAK'!D393)),"B",IF(NOT(ISBLANK('A-RACHNATMAK'!D392)),"C","")))</f>
        <v/>
      </c>
      <c r="D368" s="622" t="str">
        <f>IF(NOT(ISBLANK('A-RACHNATMAK'!E394)),"A",IF(NOT(ISBLANK('A-RACHNATMAK'!E393)),"B",IF(NOT(ISBLANK('A-RACHNATMAK'!E392)),"C","")))</f>
        <v/>
      </c>
      <c r="E368" s="622" t="str">
        <f>IF(NOT(ISBLANK('A-RACHNATMAK'!F394)),"A",IF(NOT(ISBLANK('A-RACHNATMAK'!F393)),"B",IF(NOT(ISBLANK('A-RACHNATMAK'!F392)),"C","")))</f>
        <v/>
      </c>
      <c r="F368" s="622" t="str">
        <f>IF(NOT(ISBLANK('A-RACHNATMAK'!G394)),"A",IF(NOT(ISBLANK('A-RACHNATMAK'!G393)),"B",IF(NOT(ISBLANK('A-RACHNATMAK'!G392)),"C","")))</f>
        <v/>
      </c>
      <c r="G368" s="622" t="str">
        <f>IF(NOT(ISBLANK('A-RACHNATMAK'!H394)),"A",IF(NOT(ISBLANK('A-RACHNATMAK'!H393)),"B",IF(NOT(ISBLANK('A-RACHNATMAK'!H392)),"C","")))</f>
        <v/>
      </c>
      <c r="H368" s="622" t="str">
        <f>IF(NOT(ISBLANK('A-RACHNATMAK'!I394)),"A",IF(NOT(ISBLANK('A-RACHNATMAK'!I393)),"B",IF(NOT(ISBLANK('A-RACHNATMAK'!I392)),"C","")))</f>
        <v/>
      </c>
      <c r="I368" s="622" t="str">
        <f>IF(NOT(ISBLANK('A-RACHNATMAK'!J394)),"A",IF(NOT(ISBLANK('A-RACHNATMAK'!J393)),"B",IF(NOT(ISBLANK('A-RACHNATMAK'!J392)),"C","")))</f>
        <v/>
      </c>
      <c r="J368" s="622" t="str">
        <f>IF(NOT(ISBLANK('A-RACHNATMAK'!K394)),"A",IF(NOT(ISBLANK('A-RACHNATMAK'!K393)),"B",IF(NOT(ISBLANK('A-RACHNATMAK'!K392)),"C","")))</f>
        <v/>
      </c>
      <c r="K368" s="622" t="str">
        <f>IF(NOT(ISBLANK('A-RACHNATMAK'!L394)),"A",IF(NOT(ISBLANK('A-RACHNATMAK'!L393)),"B",IF(NOT(ISBLANK('A-RACHNATMAK'!L392)),"C","")))</f>
        <v/>
      </c>
      <c r="L368" s="622" t="str">
        <f>IF(NOT(ISBLANK('A-RACHNATMAK'!M394)),"A",IF(NOT(ISBLANK('A-RACHNATMAK'!M393)),"B",IF(NOT(ISBLANK('A-RACHNATMAK'!M392)),"C","")))</f>
        <v/>
      </c>
      <c r="M368" s="622" t="str">
        <f>IF(NOT(ISBLANK('A-RACHNATMAK'!N394)),"A",IF(NOT(ISBLANK('A-RACHNATMAK'!N393)),"B",IF(NOT(ISBLANK('A-RACHNATMAK'!N392)),"C","")))</f>
        <v/>
      </c>
      <c r="N368" s="622" t="str">
        <f>IF(NOT(ISBLANK('A-RACHNATMAK'!O394)),"A",IF(NOT(ISBLANK('A-RACHNATMAK'!O393)),"B",IF(NOT(ISBLANK('A-RACHNATMAK'!O392)),"C","")))</f>
        <v/>
      </c>
      <c r="O368" s="622" t="str">
        <f>IF(NOT(ISBLANK('A-RACHNATMAK'!P394)),"A",IF(NOT(ISBLANK('A-RACHNATMAK'!P393)),"B",IF(NOT(ISBLANK('A-RACHNATMAK'!P392)),"C","")))</f>
        <v/>
      </c>
      <c r="P368" s="622" t="str">
        <f>IF(NOT(ISBLANK('A-RACHNATMAK'!Q394)),"A",IF(NOT(ISBLANK('A-RACHNATMAK'!Q393)),"B",IF(NOT(ISBLANK('A-RACHNATMAK'!Q392)),"C","")))</f>
        <v/>
      </c>
      <c r="Q368" s="622" t="str">
        <f>IF(NOT(ISBLANK('A-RACHNATMAK'!R394)),"A",IF(NOT(ISBLANK('A-RACHNATMAK'!R393)),"B",IF(NOT(ISBLANK('A-RACHNATMAK'!R392)),"C","")))</f>
        <v/>
      </c>
      <c r="R368" s="622" t="str">
        <f>IF(NOT(ISBLANK('A-RACHNATMAK'!S394)),"A",IF(NOT(ISBLANK('A-RACHNATMAK'!S393)),"B",IF(NOT(ISBLANK('A-RACHNATMAK'!S392)),"C","")))</f>
        <v/>
      </c>
      <c r="S368" s="622" t="str">
        <f>IF(NOT(ISBLANK('A-RACHNATMAK'!T394)),"A",IF(NOT(ISBLANK('A-RACHNATMAK'!T393)),"B",IF(NOT(ISBLANK('A-RACHNATMAK'!T392)),"C","")))</f>
        <v/>
      </c>
      <c r="T368" s="622" t="str">
        <f>IF(NOT(ISBLANK('A-RACHNATMAK'!U394)),"A",IF(NOT(ISBLANK('A-RACHNATMAK'!U393)),"B",IF(NOT(ISBLANK('A-RACHNATMAK'!U392)),"C","")))</f>
        <v/>
      </c>
      <c r="U368" s="622" t="str">
        <f>IF(NOT(ISBLANK('A-RACHNATMAK'!V394)),"A",IF(NOT(ISBLANK('A-RACHNATMAK'!V393)),"B",IF(NOT(ISBLANK('A-RACHNATMAK'!V392)),"C","")))</f>
        <v/>
      </c>
      <c r="V368" s="622">
        <f t="shared" ref="V368" si="696">COUNTIF(B368:U368,"A")</f>
        <v>0</v>
      </c>
      <c r="W368" s="622">
        <f t="shared" ref="W368" si="697">COUNTIF(B368:U368,"B")</f>
        <v>0</v>
      </c>
      <c r="X368" s="622">
        <f t="shared" ref="X368" si="698">COUNTIF(B368:U368,"C")</f>
        <v>0</v>
      </c>
      <c r="Y368" s="330"/>
      <c r="Z368" s="623">
        <v>16</v>
      </c>
      <c r="AA368" s="622" t="str">
        <f>IF(NOT(ISBLANK('A-RACHNATMAK'!AD394)),"A",IF(NOT(ISBLANK('A-RACHNATMAK'!AD393)),"B",IF(NOT(ISBLANK('A-RACHNATMAK'!AD392)),"C","")))</f>
        <v/>
      </c>
      <c r="AB368" s="622" t="str">
        <f>IF(NOT(ISBLANK('A-RACHNATMAK'!AE394)),"A",IF(NOT(ISBLANK('A-RACHNATMAK'!AE393)),"B",IF(NOT(ISBLANK('A-RACHNATMAK'!AE392)),"C","")))</f>
        <v/>
      </c>
      <c r="AC368" s="622" t="str">
        <f>IF(NOT(ISBLANK('A-RACHNATMAK'!AF394)),"A",IF(NOT(ISBLANK('A-RACHNATMAK'!AF393)),"B",IF(NOT(ISBLANK('A-RACHNATMAK'!AF392)),"C","")))</f>
        <v/>
      </c>
      <c r="AD368" s="622" t="str">
        <f>IF(NOT(ISBLANK('A-RACHNATMAK'!AG394)),"A",IF(NOT(ISBLANK('A-RACHNATMAK'!AG393)),"B",IF(NOT(ISBLANK('A-RACHNATMAK'!AG392)),"C","")))</f>
        <v/>
      </c>
      <c r="AE368" s="622" t="str">
        <f>IF(NOT(ISBLANK('A-RACHNATMAK'!AH394)),"A",IF(NOT(ISBLANK('A-RACHNATMAK'!AH393)),"B",IF(NOT(ISBLANK('A-RACHNATMAK'!AH392)),"C","")))</f>
        <v/>
      </c>
      <c r="AF368" s="622" t="str">
        <f>IF(NOT(ISBLANK('A-RACHNATMAK'!AI394)),"A",IF(NOT(ISBLANK('A-RACHNATMAK'!AI393)),"B",IF(NOT(ISBLANK('A-RACHNATMAK'!AI392)),"C","")))</f>
        <v/>
      </c>
      <c r="AG368" s="622" t="str">
        <f>IF(NOT(ISBLANK('A-RACHNATMAK'!AJ394)),"A",IF(NOT(ISBLANK('A-RACHNATMAK'!AJ393)),"B",IF(NOT(ISBLANK('A-RACHNATMAK'!AJ392)),"C","")))</f>
        <v/>
      </c>
      <c r="AH368" s="622" t="str">
        <f>IF(NOT(ISBLANK('A-RACHNATMAK'!AK394)),"A",IF(NOT(ISBLANK('A-RACHNATMAK'!AK393)),"B",IF(NOT(ISBLANK('A-RACHNATMAK'!AK392)),"C","")))</f>
        <v/>
      </c>
      <c r="AI368" s="622" t="str">
        <f>IF(NOT(ISBLANK('A-RACHNATMAK'!AL394)),"A",IF(NOT(ISBLANK('A-RACHNATMAK'!AL393)),"B",IF(NOT(ISBLANK('A-RACHNATMAK'!AL392)),"C","")))</f>
        <v/>
      </c>
      <c r="AJ368" s="622" t="str">
        <f>IF(NOT(ISBLANK('A-RACHNATMAK'!AM394)),"A",IF(NOT(ISBLANK('A-RACHNATMAK'!AM393)),"B",IF(NOT(ISBLANK('A-RACHNATMAK'!AM392)),"C","")))</f>
        <v/>
      </c>
      <c r="AK368" s="622" t="str">
        <f>IF(NOT(ISBLANK('A-RACHNATMAK'!AN394)),"A",IF(NOT(ISBLANK('A-RACHNATMAK'!AN393)),"B",IF(NOT(ISBLANK('A-RACHNATMAK'!AN392)),"C","")))</f>
        <v/>
      </c>
      <c r="AL368" s="622" t="str">
        <f>IF(NOT(ISBLANK('A-RACHNATMAK'!AO394)),"A",IF(NOT(ISBLANK('A-RACHNATMAK'!AO393)),"B",IF(NOT(ISBLANK('A-RACHNATMAK'!AO392)),"C","")))</f>
        <v/>
      </c>
      <c r="AM368" s="622" t="str">
        <f>IF(NOT(ISBLANK('A-RACHNATMAK'!AP394)),"A",IF(NOT(ISBLANK('A-RACHNATMAK'!AP393)),"B",IF(NOT(ISBLANK('A-RACHNATMAK'!AP392)),"C","")))</f>
        <v/>
      </c>
      <c r="AN368" s="622" t="str">
        <f>IF(NOT(ISBLANK('A-RACHNATMAK'!AQ394)),"A",IF(NOT(ISBLANK('A-RACHNATMAK'!AQ393)),"B",IF(NOT(ISBLANK('A-RACHNATMAK'!AQ392)),"C","")))</f>
        <v/>
      </c>
      <c r="AO368" s="622" t="str">
        <f>IF(NOT(ISBLANK('A-RACHNATMAK'!AR394)),"A",IF(NOT(ISBLANK('A-RACHNATMAK'!AR393)),"B",IF(NOT(ISBLANK('A-RACHNATMAK'!AR392)),"C","")))</f>
        <v/>
      </c>
      <c r="AP368" s="622" t="str">
        <f>IF(NOT(ISBLANK('A-RACHNATMAK'!AS394)),"A",IF(NOT(ISBLANK('A-RACHNATMAK'!AS393)),"B",IF(NOT(ISBLANK('A-RACHNATMAK'!AS392)),"C","")))</f>
        <v/>
      </c>
      <c r="AQ368" s="622" t="str">
        <f>IF(NOT(ISBLANK('A-RACHNATMAK'!AT394)),"A",IF(NOT(ISBLANK('A-RACHNATMAK'!AT393)),"B",IF(NOT(ISBLANK('A-RACHNATMAK'!AT392)),"C","")))</f>
        <v/>
      </c>
      <c r="AR368" s="622" t="str">
        <f>IF(NOT(ISBLANK('A-RACHNATMAK'!AU394)),"A",IF(NOT(ISBLANK('A-RACHNATMAK'!AU393)),"B",IF(NOT(ISBLANK('A-RACHNATMAK'!AU392)),"C","")))</f>
        <v/>
      </c>
      <c r="AS368" s="622" t="str">
        <f>IF(NOT(ISBLANK('A-RACHNATMAK'!AV394)),"A",IF(NOT(ISBLANK('A-RACHNATMAK'!AV393)),"B",IF(NOT(ISBLANK('A-RACHNATMAK'!AV392)),"C","")))</f>
        <v/>
      </c>
      <c r="AT368" s="622" t="str">
        <f>IF(NOT(ISBLANK('A-RACHNATMAK'!AW394)),"A",IF(NOT(ISBLANK('A-RACHNATMAK'!AW393)),"B",IF(NOT(ISBLANK('A-RACHNATMAK'!AW392)),"C","")))</f>
        <v/>
      </c>
      <c r="AU368" s="622">
        <f t="shared" ref="AU368" si="699">COUNTIF(AA368:AT368,"A")</f>
        <v>0</v>
      </c>
      <c r="AV368" s="622">
        <f t="shared" ref="AV368" si="700">COUNTIF(AA368:AT368,"B")</f>
        <v>0</v>
      </c>
      <c r="AW368" s="622">
        <f t="shared" ref="AW368" si="701">COUNTIF(AA368:AT368,"C")</f>
        <v>0</v>
      </c>
    </row>
    <row r="369" spans="1:49" ht="7.5" customHeight="1">
      <c r="A369" s="623"/>
      <c r="B369" s="622"/>
      <c r="C369" s="622"/>
      <c r="D369" s="622"/>
      <c r="E369" s="622"/>
      <c r="F369" s="622"/>
      <c r="G369" s="622"/>
      <c r="H369" s="622"/>
      <c r="I369" s="622"/>
      <c r="J369" s="622"/>
      <c r="K369" s="622"/>
      <c r="L369" s="622"/>
      <c r="M369" s="622"/>
      <c r="N369" s="622"/>
      <c r="O369" s="622"/>
      <c r="P369" s="622"/>
      <c r="Q369" s="622"/>
      <c r="R369" s="622"/>
      <c r="S369" s="622"/>
      <c r="T369" s="622"/>
      <c r="U369" s="622"/>
      <c r="V369" s="622"/>
      <c r="W369" s="622"/>
      <c r="X369" s="622"/>
      <c r="Y369" s="330"/>
      <c r="Z369" s="623"/>
      <c r="AA369" s="622"/>
      <c r="AB369" s="622"/>
      <c r="AC369" s="622"/>
      <c r="AD369" s="622"/>
      <c r="AE369" s="622"/>
      <c r="AF369" s="622"/>
      <c r="AG369" s="622"/>
      <c r="AH369" s="622"/>
      <c r="AI369" s="622"/>
      <c r="AJ369" s="622"/>
      <c r="AK369" s="622"/>
      <c r="AL369" s="622"/>
      <c r="AM369" s="622"/>
      <c r="AN369" s="622"/>
      <c r="AO369" s="622"/>
      <c r="AP369" s="622"/>
      <c r="AQ369" s="622"/>
      <c r="AR369" s="622"/>
      <c r="AS369" s="622"/>
      <c r="AT369" s="622"/>
      <c r="AU369" s="622"/>
      <c r="AV369" s="622"/>
      <c r="AW369" s="622"/>
    </row>
    <row r="370" spans="1:49" ht="7.5" customHeight="1">
      <c r="A370" s="623"/>
      <c r="B370" s="622"/>
      <c r="C370" s="622"/>
      <c r="D370" s="622"/>
      <c r="E370" s="622"/>
      <c r="F370" s="622"/>
      <c r="G370" s="622"/>
      <c r="H370" s="622"/>
      <c r="I370" s="622"/>
      <c r="J370" s="622"/>
      <c r="K370" s="622"/>
      <c r="L370" s="622"/>
      <c r="M370" s="622"/>
      <c r="N370" s="622"/>
      <c r="O370" s="622"/>
      <c r="P370" s="622"/>
      <c r="Q370" s="622"/>
      <c r="R370" s="622"/>
      <c r="S370" s="622"/>
      <c r="T370" s="622"/>
      <c r="U370" s="622"/>
      <c r="V370" s="622"/>
      <c r="W370" s="622"/>
      <c r="X370" s="622"/>
      <c r="Y370" s="330"/>
      <c r="Z370" s="623"/>
      <c r="AA370" s="622"/>
      <c r="AB370" s="622"/>
      <c r="AC370" s="622"/>
      <c r="AD370" s="622"/>
      <c r="AE370" s="622"/>
      <c r="AF370" s="622"/>
      <c r="AG370" s="622"/>
      <c r="AH370" s="622"/>
      <c r="AI370" s="622"/>
      <c r="AJ370" s="622"/>
      <c r="AK370" s="622"/>
      <c r="AL370" s="622"/>
      <c r="AM370" s="622"/>
      <c r="AN370" s="622"/>
      <c r="AO370" s="622"/>
      <c r="AP370" s="622"/>
      <c r="AQ370" s="622"/>
      <c r="AR370" s="622"/>
      <c r="AS370" s="622"/>
      <c r="AT370" s="622"/>
      <c r="AU370" s="622"/>
      <c r="AV370" s="622"/>
      <c r="AW370" s="622"/>
    </row>
    <row r="371" spans="1:49" ht="7.5" customHeight="1">
      <c r="A371" s="623">
        <v>17</v>
      </c>
      <c r="B371" s="622" t="str">
        <f>IF(NOT(ISBLANK('A-RACHNATMAK'!C397)),"A",IF(NOT(ISBLANK('A-RACHNATMAK'!C396)),"B",IF(NOT(ISBLANK('A-RACHNATMAK'!C395)),"C","")))</f>
        <v/>
      </c>
      <c r="C371" s="622" t="str">
        <f>IF(NOT(ISBLANK('A-RACHNATMAK'!D397)),"A",IF(NOT(ISBLANK('A-RACHNATMAK'!D396)),"B",IF(NOT(ISBLANK('A-RACHNATMAK'!D395)),"C","")))</f>
        <v/>
      </c>
      <c r="D371" s="622" t="str">
        <f>IF(NOT(ISBLANK('A-RACHNATMAK'!E397)),"A",IF(NOT(ISBLANK('A-RACHNATMAK'!E396)),"B",IF(NOT(ISBLANK('A-RACHNATMAK'!E395)),"C","")))</f>
        <v/>
      </c>
      <c r="E371" s="622" t="str">
        <f>IF(NOT(ISBLANK('A-RACHNATMAK'!F397)),"A",IF(NOT(ISBLANK('A-RACHNATMAK'!F396)),"B",IF(NOT(ISBLANK('A-RACHNATMAK'!F395)),"C","")))</f>
        <v/>
      </c>
      <c r="F371" s="622" t="str">
        <f>IF(NOT(ISBLANK('A-RACHNATMAK'!G397)),"A",IF(NOT(ISBLANK('A-RACHNATMAK'!G396)),"B",IF(NOT(ISBLANK('A-RACHNATMAK'!G395)),"C","")))</f>
        <v/>
      </c>
      <c r="G371" s="622" t="str">
        <f>IF(NOT(ISBLANK('A-RACHNATMAK'!H397)),"A",IF(NOT(ISBLANK('A-RACHNATMAK'!H396)),"B",IF(NOT(ISBLANK('A-RACHNATMAK'!H395)),"C","")))</f>
        <v/>
      </c>
      <c r="H371" s="622" t="str">
        <f>IF(NOT(ISBLANK('A-RACHNATMAK'!I397)),"A",IF(NOT(ISBLANK('A-RACHNATMAK'!I396)),"B",IF(NOT(ISBLANK('A-RACHNATMAK'!I395)),"C","")))</f>
        <v/>
      </c>
      <c r="I371" s="622" t="str">
        <f>IF(NOT(ISBLANK('A-RACHNATMAK'!J397)),"A",IF(NOT(ISBLANK('A-RACHNATMAK'!J396)),"B",IF(NOT(ISBLANK('A-RACHNATMAK'!J395)),"C","")))</f>
        <v/>
      </c>
      <c r="J371" s="622" t="str">
        <f>IF(NOT(ISBLANK('A-RACHNATMAK'!K397)),"A",IF(NOT(ISBLANK('A-RACHNATMAK'!K396)),"B",IF(NOT(ISBLANK('A-RACHNATMAK'!K395)),"C","")))</f>
        <v/>
      </c>
      <c r="K371" s="622" t="str">
        <f>IF(NOT(ISBLANK('A-RACHNATMAK'!L397)),"A",IF(NOT(ISBLANK('A-RACHNATMAK'!L396)),"B",IF(NOT(ISBLANK('A-RACHNATMAK'!L395)),"C","")))</f>
        <v/>
      </c>
      <c r="L371" s="622" t="str">
        <f>IF(NOT(ISBLANK('A-RACHNATMAK'!M397)),"A",IF(NOT(ISBLANK('A-RACHNATMAK'!M396)),"B",IF(NOT(ISBLANK('A-RACHNATMAK'!M395)),"C","")))</f>
        <v/>
      </c>
      <c r="M371" s="622" t="str">
        <f>IF(NOT(ISBLANK('A-RACHNATMAK'!N397)),"A",IF(NOT(ISBLANK('A-RACHNATMAK'!N396)),"B",IF(NOT(ISBLANK('A-RACHNATMAK'!N395)),"C","")))</f>
        <v/>
      </c>
      <c r="N371" s="622" t="str">
        <f>IF(NOT(ISBLANK('A-RACHNATMAK'!O397)),"A",IF(NOT(ISBLANK('A-RACHNATMAK'!O396)),"B",IF(NOT(ISBLANK('A-RACHNATMAK'!O395)),"C","")))</f>
        <v/>
      </c>
      <c r="O371" s="622" t="str">
        <f>IF(NOT(ISBLANK('A-RACHNATMAK'!P397)),"A",IF(NOT(ISBLANK('A-RACHNATMAK'!P396)),"B",IF(NOT(ISBLANK('A-RACHNATMAK'!P395)),"C","")))</f>
        <v/>
      </c>
      <c r="P371" s="622" t="str">
        <f>IF(NOT(ISBLANK('A-RACHNATMAK'!Q397)),"A",IF(NOT(ISBLANK('A-RACHNATMAK'!Q396)),"B",IF(NOT(ISBLANK('A-RACHNATMAK'!Q395)),"C","")))</f>
        <v/>
      </c>
      <c r="Q371" s="622" t="str">
        <f>IF(NOT(ISBLANK('A-RACHNATMAK'!R397)),"A",IF(NOT(ISBLANK('A-RACHNATMAK'!R396)),"B",IF(NOT(ISBLANK('A-RACHNATMAK'!R395)),"C","")))</f>
        <v/>
      </c>
      <c r="R371" s="622" t="str">
        <f>IF(NOT(ISBLANK('A-RACHNATMAK'!S397)),"A",IF(NOT(ISBLANK('A-RACHNATMAK'!S396)),"B",IF(NOT(ISBLANK('A-RACHNATMAK'!S395)),"C","")))</f>
        <v/>
      </c>
      <c r="S371" s="622" t="str">
        <f>IF(NOT(ISBLANK('A-RACHNATMAK'!T397)),"A",IF(NOT(ISBLANK('A-RACHNATMAK'!T396)),"B",IF(NOT(ISBLANK('A-RACHNATMAK'!T395)),"C","")))</f>
        <v/>
      </c>
      <c r="T371" s="622" t="str">
        <f>IF(NOT(ISBLANK('A-RACHNATMAK'!U397)),"A",IF(NOT(ISBLANK('A-RACHNATMAK'!U396)),"B",IF(NOT(ISBLANK('A-RACHNATMAK'!U395)),"C","")))</f>
        <v/>
      </c>
      <c r="U371" s="622" t="str">
        <f>IF(NOT(ISBLANK('A-RACHNATMAK'!V397)),"A",IF(NOT(ISBLANK('A-RACHNATMAK'!V396)),"B",IF(NOT(ISBLANK('A-RACHNATMAK'!V395)),"C","")))</f>
        <v/>
      </c>
      <c r="V371" s="622">
        <f t="shared" ref="V371" si="702">COUNTIF(B371:U371,"A")</f>
        <v>0</v>
      </c>
      <c r="W371" s="622">
        <f t="shared" ref="W371" si="703">COUNTIF(B371:U371,"B")</f>
        <v>0</v>
      </c>
      <c r="X371" s="622">
        <f t="shared" ref="X371" si="704">COUNTIF(B371:U371,"C")</f>
        <v>0</v>
      </c>
      <c r="Y371" s="330"/>
      <c r="Z371" s="623">
        <v>17</v>
      </c>
      <c r="AA371" s="622" t="str">
        <f>IF(NOT(ISBLANK('A-RACHNATMAK'!AD397)),"A",IF(NOT(ISBLANK('A-RACHNATMAK'!AD396)),"B",IF(NOT(ISBLANK('A-RACHNATMAK'!AD395)),"C","")))</f>
        <v/>
      </c>
      <c r="AB371" s="622" t="str">
        <f>IF(NOT(ISBLANK('A-RACHNATMAK'!AE397)),"A",IF(NOT(ISBLANK('A-RACHNATMAK'!AE396)),"B",IF(NOT(ISBLANK('A-RACHNATMAK'!AE395)),"C","")))</f>
        <v/>
      </c>
      <c r="AC371" s="622" t="str">
        <f>IF(NOT(ISBLANK('A-RACHNATMAK'!AF397)),"A",IF(NOT(ISBLANK('A-RACHNATMAK'!AF396)),"B",IF(NOT(ISBLANK('A-RACHNATMAK'!AF395)),"C","")))</f>
        <v/>
      </c>
      <c r="AD371" s="622" t="str">
        <f>IF(NOT(ISBLANK('A-RACHNATMAK'!AG397)),"A",IF(NOT(ISBLANK('A-RACHNATMAK'!AG396)),"B",IF(NOT(ISBLANK('A-RACHNATMAK'!AG395)),"C","")))</f>
        <v/>
      </c>
      <c r="AE371" s="622" t="str">
        <f>IF(NOT(ISBLANK('A-RACHNATMAK'!AH397)),"A",IF(NOT(ISBLANK('A-RACHNATMAK'!AH396)),"B",IF(NOT(ISBLANK('A-RACHNATMAK'!AH395)),"C","")))</f>
        <v/>
      </c>
      <c r="AF371" s="622" t="str">
        <f>IF(NOT(ISBLANK('A-RACHNATMAK'!AI397)),"A",IF(NOT(ISBLANK('A-RACHNATMAK'!AI396)),"B",IF(NOT(ISBLANK('A-RACHNATMAK'!AI395)),"C","")))</f>
        <v/>
      </c>
      <c r="AG371" s="622" t="str">
        <f>IF(NOT(ISBLANK('A-RACHNATMAK'!AJ397)),"A",IF(NOT(ISBLANK('A-RACHNATMAK'!AJ396)),"B",IF(NOT(ISBLANK('A-RACHNATMAK'!AJ395)),"C","")))</f>
        <v/>
      </c>
      <c r="AH371" s="622" t="str">
        <f>IF(NOT(ISBLANK('A-RACHNATMAK'!AK397)),"A",IF(NOT(ISBLANK('A-RACHNATMAK'!AK396)),"B",IF(NOT(ISBLANK('A-RACHNATMAK'!AK395)),"C","")))</f>
        <v/>
      </c>
      <c r="AI371" s="622" t="str">
        <f>IF(NOT(ISBLANK('A-RACHNATMAK'!AL397)),"A",IF(NOT(ISBLANK('A-RACHNATMAK'!AL396)),"B",IF(NOT(ISBLANK('A-RACHNATMAK'!AL395)),"C","")))</f>
        <v/>
      </c>
      <c r="AJ371" s="622" t="str">
        <f>IF(NOT(ISBLANK('A-RACHNATMAK'!AM397)),"A",IF(NOT(ISBLANK('A-RACHNATMAK'!AM396)),"B",IF(NOT(ISBLANK('A-RACHNATMAK'!AM395)),"C","")))</f>
        <v/>
      </c>
      <c r="AK371" s="622" t="str">
        <f>IF(NOT(ISBLANK('A-RACHNATMAK'!AN397)),"A",IF(NOT(ISBLANK('A-RACHNATMAK'!AN396)),"B",IF(NOT(ISBLANK('A-RACHNATMAK'!AN395)),"C","")))</f>
        <v/>
      </c>
      <c r="AL371" s="622" t="str">
        <f>IF(NOT(ISBLANK('A-RACHNATMAK'!AO397)),"A",IF(NOT(ISBLANK('A-RACHNATMAK'!AO396)),"B",IF(NOT(ISBLANK('A-RACHNATMAK'!AO395)),"C","")))</f>
        <v/>
      </c>
      <c r="AM371" s="622" t="str">
        <f>IF(NOT(ISBLANK('A-RACHNATMAK'!AP397)),"A",IF(NOT(ISBLANK('A-RACHNATMAK'!AP396)),"B",IF(NOT(ISBLANK('A-RACHNATMAK'!AP395)),"C","")))</f>
        <v/>
      </c>
      <c r="AN371" s="622" t="str">
        <f>IF(NOT(ISBLANK('A-RACHNATMAK'!AQ397)),"A",IF(NOT(ISBLANK('A-RACHNATMAK'!AQ396)),"B",IF(NOT(ISBLANK('A-RACHNATMAK'!AQ395)),"C","")))</f>
        <v/>
      </c>
      <c r="AO371" s="622" t="str">
        <f>IF(NOT(ISBLANK('A-RACHNATMAK'!AR397)),"A",IF(NOT(ISBLANK('A-RACHNATMAK'!AR396)),"B",IF(NOT(ISBLANK('A-RACHNATMAK'!AR395)),"C","")))</f>
        <v/>
      </c>
      <c r="AP371" s="622" t="str">
        <f>IF(NOT(ISBLANK('A-RACHNATMAK'!AS397)),"A",IF(NOT(ISBLANK('A-RACHNATMAK'!AS396)),"B",IF(NOT(ISBLANK('A-RACHNATMAK'!AS395)),"C","")))</f>
        <v/>
      </c>
      <c r="AQ371" s="622" t="str">
        <f>IF(NOT(ISBLANK('A-RACHNATMAK'!AT397)),"A",IF(NOT(ISBLANK('A-RACHNATMAK'!AT396)),"B",IF(NOT(ISBLANK('A-RACHNATMAK'!AT395)),"C","")))</f>
        <v/>
      </c>
      <c r="AR371" s="622" t="str">
        <f>IF(NOT(ISBLANK('A-RACHNATMAK'!AU397)),"A",IF(NOT(ISBLANK('A-RACHNATMAK'!AU396)),"B",IF(NOT(ISBLANK('A-RACHNATMAK'!AU395)),"C","")))</f>
        <v/>
      </c>
      <c r="AS371" s="622" t="str">
        <f>IF(NOT(ISBLANK('A-RACHNATMAK'!AV397)),"A",IF(NOT(ISBLANK('A-RACHNATMAK'!AV396)),"B",IF(NOT(ISBLANK('A-RACHNATMAK'!AV395)),"C","")))</f>
        <v/>
      </c>
      <c r="AT371" s="622" t="str">
        <f>IF(NOT(ISBLANK('A-RACHNATMAK'!AW397)),"A",IF(NOT(ISBLANK('A-RACHNATMAK'!AW396)),"B",IF(NOT(ISBLANK('A-RACHNATMAK'!AW395)),"C","")))</f>
        <v/>
      </c>
      <c r="AU371" s="622">
        <f t="shared" ref="AU371" si="705">COUNTIF(AA371:AT371,"A")</f>
        <v>0</v>
      </c>
      <c r="AV371" s="622">
        <f t="shared" ref="AV371" si="706">COUNTIF(AA371:AT371,"B")</f>
        <v>0</v>
      </c>
      <c r="AW371" s="622">
        <f t="shared" ref="AW371" si="707">COUNTIF(AA371:AT371,"C")</f>
        <v>0</v>
      </c>
    </row>
    <row r="372" spans="1:49" ht="7.5" customHeight="1">
      <c r="A372" s="623"/>
      <c r="B372" s="622"/>
      <c r="C372" s="622"/>
      <c r="D372" s="622"/>
      <c r="E372" s="622"/>
      <c r="F372" s="622"/>
      <c r="G372" s="622"/>
      <c r="H372" s="622"/>
      <c r="I372" s="622"/>
      <c r="J372" s="622"/>
      <c r="K372" s="622"/>
      <c r="L372" s="622"/>
      <c r="M372" s="622"/>
      <c r="N372" s="622"/>
      <c r="O372" s="622"/>
      <c r="P372" s="622"/>
      <c r="Q372" s="622"/>
      <c r="R372" s="622"/>
      <c r="S372" s="622"/>
      <c r="T372" s="622"/>
      <c r="U372" s="622"/>
      <c r="V372" s="622"/>
      <c r="W372" s="622"/>
      <c r="X372" s="622"/>
      <c r="Y372" s="330"/>
      <c r="Z372" s="623"/>
      <c r="AA372" s="622"/>
      <c r="AB372" s="622"/>
      <c r="AC372" s="622"/>
      <c r="AD372" s="622"/>
      <c r="AE372" s="622"/>
      <c r="AF372" s="622"/>
      <c r="AG372" s="622"/>
      <c r="AH372" s="622"/>
      <c r="AI372" s="622"/>
      <c r="AJ372" s="622"/>
      <c r="AK372" s="622"/>
      <c r="AL372" s="622"/>
      <c r="AM372" s="622"/>
      <c r="AN372" s="622"/>
      <c r="AO372" s="622"/>
      <c r="AP372" s="622"/>
      <c r="AQ372" s="622"/>
      <c r="AR372" s="622"/>
      <c r="AS372" s="622"/>
      <c r="AT372" s="622"/>
      <c r="AU372" s="622"/>
      <c r="AV372" s="622"/>
      <c r="AW372" s="622"/>
    </row>
    <row r="373" spans="1:49" ht="7.5" customHeight="1">
      <c r="A373" s="623"/>
      <c r="B373" s="622"/>
      <c r="C373" s="622"/>
      <c r="D373" s="622"/>
      <c r="E373" s="622"/>
      <c r="F373" s="622"/>
      <c r="G373" s="622"/>
      <c r="H373" s="622"/>
      <c r="I373" s="622"/>
      <c r="J373" s="622"/>
      <c r="K373" s="622"/>
      <c r="L373" s="622"/>
      <c r="M373" s="622"/>
      <c r="N373" s="622"/>
      <c r="O373" s="622"/>
      <c r="P373" s="622"/>
      <c r="Q373" s="622"/>
      <c r="R373" s="622"/>
      <c r="S373" s="622"/>
      <c r="T373" s="622"/>
      <c r="U373" s="622"/>
      <c r="V373" s="622"/>
      <c r="W373" s="622"/>
      <c r="X373" s="622"/>
      <c r="Y373" s="330"/>
      <c r="Z373" s="623"/>
      <c r="AA373" s="622"/>
      <c r="AB373" s="622"/>
      <c r="AC373" s="622"/>
      <c r="AD373" s="622"/>
      <c r="AE373" s="622"/>
      <c r="AF373" s="622"/>
      <c r="AG373" s="622"/>
      <c r="AH373" s="622"/>
      <c r="AI373" s="622"/>
      <c r="AJ373" s="622"/>
      <c r="AK373" s="622"/>
      <c r="AL373" s="622"/>
      <c r="AM373" s="622"/>
      <c r="AN373" s="622"/>
      <c r="AO373" s="622"/>
      <c r="AP373" s="622"/>
      <c r="AQ373" s="622"/>
      <c r="AR373" s="622"/>
      <c r="AS373" s="622"/>
      <c r="AT373" s="622"/>
      <c r="AU373" s="622"/>
      <c r="AV373" s="622"/>
      <c r="AW373" s="622"/>
    </row>
    <row r="374" spans="1:49" ht="7.5" customHeight="1">
      <c r="A374" s="623">
        <v>18</v>
      </c>
      <c r="B374" s="622" t="str">
        <f>IF(NOT(ISBLANK('A-RACHNATMAK'!C400)),"A",IF(NOT(ISBLANK('A-RACHNATMAK'!C399)),"B",IF(NOT(ISBLANK('A-RACHNATMAK'!C398)),"C","")))</f>
        <v/>
      </c>
      <c r="C374" s="622" t="str">
        <f>IF(NOT(ISBLANK('A-RACHNATMAK'!D400)),"A",IF(NOT(ISBLANK('A-RACHNATMAK'!D399)),"B",IF(NOT(ISBLANK('A-RACHNATMAK'!D398)),"C","")))</f>
        <v/>
      </c>
      <c r="D374" s="622" t="str">
        <f>IF(NOT(ISBLANK('A-RACHNATMAK'!E400)),"A",IF(NOT(ISBLANK('A-RACHNATMAK'!E399)),"B",IF(NOT(ISBLANK('A-RACHNATMAK'!E398)),"C","")))</f>
        <v/>
      </c>
      <c r="E374" s="622" t="str">
        <f>IF(NOT(ISBLANK('A-RACHNATMAK'!F400)),"A",IF(NOT(ISBLANK('A-RACHNATMAK'!F399)),"B",IF(NOT(ISBLANK('A-RACHNATMAK'!F398)),"C","")))</f>
        <v/>
      </c>
      <c r="F374" s="622" t="str">
        <f>IF(NOT(ISBLANK('A-RACHNATMAK'!G400)),"A",IF(NOT(ISBLANK('A-RACHNATMAK'!G399)),"B",IF(NOT(ISBLANK('A-RACHNATMAK'!G398)),"C","")))</f>
        <v/>
      </c>
      <c r="G374" s="622" t="str">
        <f>IF(NOT(ISBLANK('A-RACHNATMAK'!H400)),"A",IF(NOT(ISBLANK('A-RACHNATMAK'!H399)),"B",IF(NOT(ISBLANK('A-RACHNATMAK'!H398)),"C","")))</f>
        <v/>
      </c>
      <c r="H374" s="622" t="str">
        <f>IF(NOT(ISBLANK('A-RACHNATMAK'!I400)),"A",IF(NOT(ISBLANK('A-RACHNATMAK'!I399)),"B",IF(NOT(ISBLANK('A-RACHNATMAK'!I398)),"C","")))</f>
        <v/>
      </c>
      <c r="I374" s="622" t="str">
        <f>IF(NOT(ISBLANK('A-RACHNATMAK'!J400)),"A",IF(NOT(ISBLANK('A-RACHNATMAK'!J399)),"B",IF(NOT(ISBLANK('A-RACHNATMAK'!J398)),"C","")))</f>
        <v/>
      </c>
      <c r="J374" s="622" t="str">
        <f>IF(NOT(ISBLANK('A-RACHNATMAK'!K400)),"A",IF(NOT(ISBLANK('A-RACHNATMAK'!K399)),"B",IF(NOT(ISBLANK('A-RACHNATMAK'!K398)),"C","")))</f>
        <v/>
      </c>
      <c r="K374" s="622" t="str">
        <f>IF(NOT(ISBLANK('A-RACHNATMAK'!L400)),"A",IF(NOT(ISBLANK('A-RACHNATMAK'!L399)),"B",IF(NOT(ISBLANK('A-RACHNATMAK'!L398)),"C","")))</f>
        <v/>
      </c>
      <c r="L374" s="622" t="str">
        <f>IF(NOT(ISBLANK('A-RACHNATMAK'!M400)),"A",IF(NOT(ISBLANK('A-RACHNATMAK'!M399)),"B",IF(NOT(ISBLANK('A-RACHNATMAK'!M398)),"C","")))</f>
        <v/>
      </c>
      <c r="M374" s="622" t="str">
        <f>IF(NOT(ISBLANK('A-RACHNATMAK'!N400)),"A",IF(NOT(ISBLANK('A-RACHNATMAK'!N399)),"B",IF(NOT(ISBLANK('A-RACHNATMAK'!N398)),"C","")))</f>
        <v/>
      </c>
      <c r="N374" s="622" t="str">
        <f>IF(NOT(ISBLANK('A-RACHNATMAK'!O400)),"A",IF(NOT(ISBLANK('A-RACHNATMAK'!O399)),"B",IF(NOT(ISBLANK('A-RACHNATMAK'!O398)),"C","")))</f>
        <v/>
      </c>
      <c r="O374" s="622" t="str">
        <f>IF(NOT(ISBLANK('A-RACHNATMAK'!P400)),"A",IF(NOT(ISBLANK('A-RACHNATMAK'!P399)),"B",IF(NOT(ISBLANK('A-RACHNATMAK'!P398)),"C","")))</f>
        <v/>
      </c>
      <c r="P374" s="622" t="str">
        <f>IF(NOT(ISBLANK('A-RACHNATMAK'!Q400)),"A",IF(NOT(ISBLANK('A-RACHNATMAK'!Q399)),"B",IF(NOT(ISBLANK('A-RACHNATMAK'!Q398)),"C","")))</f>
        <v/>
      </c>
      <c r="Q374" s="622" t="str">
        <f>IF(NOT(ISBLANK('A-RACHNATMAK'!R400)),"A",IF(NOT(ISBLANK('A-RACHNATMAK'!R399)),"B",IF(NOT(ISBLANK('A-RACHNATMAK'!R398)),"C","")))</f>
        <v/>
      </c>
      <c r="R374" s="622" t="str">
        <f>IF(NOT(ISBLANK('A-RACHNATMAK'!S400)),"A",IF(NOT(ISBLANK('A-RACHNATMAK'!S399)),"B",IF(NOT(ISBLANK('A-RACHNATMAK'!S398)),"C","")))</f>
        <v/>
      </c>
      <c r="S374" s="622" t="str">
        <f>IF(NOT(ISBLANK('A-RACHNATMAK'!T400)),"A",IF(NOT(ISBLANK('A-RACHNATMAK'!T399)),"B",IF(NOT(ISBLANK('A-RACHNATMAK'!T398)),"C","")))</f>
        <v/>
      </c>
      <c r="T374" s="622" t="str">
        <f>IF(NOT(ISBLANK('A-RACHNATMAK'!U400)),"A",IF(NOT(ISBLANK('A-RACHNATMAK'!U399)),"B",IF(NOT(ISBLANK('A-RACHNATMAK'!U398)),"C","")))</f>
        <v/>
      </c>
      <c r="U374" s="622" t="str">
        <f>IF(NOT(ISBLANK('A-RACHNATMAK'!V400)),"A",IF(NOT(ISBLANK('A-RACHNATMAK'!V399)),"B",IF(NOT(ISBLANK('A-RACHNATMAK'!V398)),"C","")))</f>
        <v/>
      </c>
      <c r="V374" s="622">
        <f t="shared" ref="V374" si="708">COUNTIF(B374:U374,"A")</f>
        <v>0</v>
      </c>
      <c r="W374" s="622">
        <f t="shared" ref="W374" si="709">COUNTIF(B374:U374,"B")</f>
        <v>0</v>
      </c>
      <c r="X374" s="622">
        <f t="shared" ref="X374" si="710">COUNTIF(B374:U374,"C")</f>
        <v>0</v>
      </c>
      <c r="Y374" s="330"/>
      <c r="Z374" s="623">
        <v>18</v>
      </c>
      <c r="AA374" s="622" t="str">
        <f>IF(NOT(ISBLANK('A-RACHNATMAK'!AD400)),"A",IF(NOT(ISBLANK('A-RACHNATMAK'!AD399)),"B",IF(NOT(ISBLANK('A-RACHNATMAK'!AD398)),"C","")))</f>
        <v/>
      </c>
      <c r="AB374" s="622" t="str">
        <f>IF(NOT(ISBLANK('A-RACHNATMAK'!AE400)),"A",IF(NOT(ISBLANK('A-RACHNATMAK'!AE399)),"B",IF(NOT(ISBLANK('A-RACHNATMAK'!AE398)),"C","")))</f>
        <v/>
      </c>
      <c r="AC374" s="622" t="str">
        <f>IF(NOT(ISBLANK('A-RACHNATMAK'!AF400)),"A",IF(NOT(ISBLANK('A-RACHNATMAK'!AF399)),"B",IF(NOT(ISBLANK('A-RACHNATMAK'!AF398)),"C","")))</f>
        <v/>
      </c>
      <c r="AD374" s="622" t="str">
        <f>IF(NOT(ISBLANK('A-RACHNATMAK'!AG400)),"A",IF(NOT(ISBLANK('A-RACHNATMAK'!AG399)),"B",IF(NOT(ISBLANK('A-RACHNATMAK'!AG398)),"C","")))</f>
        <v/>
      </c>
      <c r="AE374" s="622" t="str">
        <f>IF(NOT(ISBLANK('A-RACHNATMAK'!AH400)),"A",IF(NOT(ISBLANK('A-RACHNATMAK'!AH399)),"B",IF(NOT(ISBLANK('A-RACHNATMAK'!AH398)),"C","")))</f>
        <v/>
      </c>
      <c r="AF374" s="622" t="str">
        <f>IF(NOT(ISBLANK('A-RACHNATMAK'!AI400)),"A",IF(NOT(ISBLANK('A-RACHNATMAK'!AI399)),"B",IF(NOT(ISBLANK('A-RACHNATMAK'!AI398)),"C","")))</f>
        <v/>
      </c>
      <c r="AG374" s="622" t="str">
        <f>IF(NOT(ISBLANK('A-RACHNATMAK'!AJ400)),"A",IF(NOT(ISBLANK('A-RACHNATMAK'!AJ399)),"B",IF(NOT(ISBLANK('A-RACHNATMAK'!AJ398)),"C","")))</f>
        <v/>
      </c>
      <c r="AH374" s="622" t="str">
        <f>IF(NOT(ISBLANK('A-RACHNATMAK'!AK400)),"A",IF(NOT(ISBLANK('A-RACHNATMAK'!AK399)),"B",IF(NOT(ISBLANK('A-RACHNATMAK'!AK398)),"C","")))</f>
        <v/>
      </c>
      <c r="AI374" s="622" t="str">
        <f>IF(NOT(ISBLANK('A-RACHNATMAK'!AL400)),"A",IF(NOT(ISBLANK('A-RACHNATMAK'!AL399)),"B",IF(NOT(ISBLANK('A-RACHNATMAK'!AL398)),"C","")))</f>
        <v/>
      </c>
      <c r="AJ374" s="622" t="str">
        <f>IF(NOT(ISBLANK('A-RACHNATMAK'!AM400)),"A",IF(NOT(ISBLANK('A-RACHNATMAK'!AM399)),"B",IF(NOT(ISBLANK('A-RACHNATMAK'!AM398)),"C","")))</f>
        <v/>
      </c>
      <c r="AK374" s="622" t="str">
        <f>IF(NOT(ISBLANK('A-RACHNATMAK'!AN400)),"A",IF(NOT(ISBLANK('A-RACHNATMAK'!AN399)),"B",IF(NOT(ISBLANK('A-RACHNATMAK'!AN398)),"C","")))</f>
        <v/>
      </c>
      <c r="AL374" s="622" t="str">
        <f>IF(NOT(ISBLANK('A-RACHNATMAK'!AO400)),"A",IF(NOT(ISBLANK('A-RACHNATMAK'!AO399)),"B",IF(NOT(ISBLANK('A-RACHNATMAK'!AO398)),"C","")))</f>
        <v/>
      </c>
      <c r="AM374" s="622" t="str">
        <f>IF(NOT(ISBLANK('A-RACHNATMAK'!AP400)),"A",IF(NOT(ISBLANK('A-RACHNATMAK'!AP399)),"B",IF(NOT(ISBLANK('A-RACHNATMAK'!AP398)),"C","")))</f>
        <v/>
      </c>
      <c r="AN374" s="622" t="str">
        <f>IF(NOT(ISBLANK('A-RACHNATMAK'!AQ400)),"A",IF(NOT(ISBLANK('A-RACHNATMAK'!AQ399)),"B",IF(NOT(ISBLANK('A-RACHNATMAK'!AQ398)),"C","")))</f>
        <v/>
      </c>
      <c r="AO374" s="622" t="str">
        <f>IF(NOT(ISBLANK('A-RACHNATMAK'!AR400)),"A",IF(NOT(ISBLANK('A-RACHNATMAK'!AR399)),"B",IF(NOT(ISBLANK('A-RACHNATMAK'!AR398)),"C","")))</f>
        <v/>
      </c>
      <c r="AP374" s="622" t="str">
        <f>IF(NOT(ISBLANK('A-RACHNATMAK'!AS400)),"A",IF(NOT(ISBLANK('A-RACHNATMAK'!AS399)),"B",IF(NOT(ISBLANK('A-RACHNATMAK'!AS398)),"C","")))</f>
        <v/>
      </c>
      <c r="AQ374" s="622" t="str">
        <f>IF(NOT(ISBLANK('A-RACHNATMAK'!AT400)),"A",IF(NOT(ISBLANK('A-RACHNATMAK'!AT399)),"B",IF(NOT(ISBLANK('A-RACHNATMAK'!AT398)),"C","")))</f>
        <v/>
      </c>
      <c r="AR374" s="622" t="str">
        <f>IF(NOT(ISBLANK('A-RACHNATMAK'!AU400)),"A",IF(NOT(ISBLANK('A-RACHNATMAK'!AU399)),"B",IF(NOT(ISBLANK('A-RACHNATMAK'!AU398)),"C","")))</f>
        <v/>
      </c>
      <c r="AS374" s="622" t="str">
        <f>IF(NOT(ISBLANK('A-RACHNATMAK'!AV400)),"A",IF(NOT(ISBLANK('A-RACHNATMAK'!AV399)),"B",IF(NOT(ISBLANK('A-RACHNATMAK'!AV398)),"C","")))</f>
        <v/>
      </c>
      <c r="AT374" s="622" t="str">
        <f>IF(NOT(ISBLANK('A-RACHNATMAK'!AW400)),"A",IF(NOT(ISBLANK('A-RACHNATMAK'!AW399)),"B",IF(NOT(ISBLANK('A-RACHNATMAK'!AW398)),"C","")))</f>
        <v/>
      </c>
      <c r="AU374" s="622">
        <f t="shared" ref="AU374" si="711">COUNTIF(AA374:AT374,"A")</f>
        <v>0</v>
      </c>
      <c r="AV374" s="622">
        <f t="shared" ref="AV374" si="712">COUNTIF(AA374:AT374,"B")</f>
        <v>0</v>
      </c>
      <c r="AW374" s="622">
        <f t="shared" ref="AW374" si="713">COUNTIF(AA374:AT374,"C")</f>
        <v>0</v>
      </c>
    </row>
    <row r="375" spans="1:49" ht="7.5" customHeight="1">
      <c r="A375" s="623"/>
      <c r="B375" s="622"/>
      <c r="C375" s="622"/>
      <c r="D375" s="622"/>
      <c r="E375" s="622"/>
      <c r="F375" s="622"/>
      <c r="G375" s="622"/>
      <c r="H375" s="622"/>
      <c r="I375" s="622"/>
      <c r="J375" s="622"/>
      <c r="K375" s="622"/>
      <c r="L375" s="622"/>
      <c r="M375" s="622"/>
      <c r="N375" s="622"/>
      <c r="O375" s="622"/>
      <c r="P375" s="622"/>
      <c r="Q375" s="622"/>
      <c r="R375" s="622"/>
      <c r="S375" s="622"/>
      <c r="T375" s="622"/>
      <c r="U375" s="622"/>
      <c r="V375" s="622"/>
      <c r="W375" s="622"/>
      <c r="X375" s="622"/>
      <c r="Y375" s="330"/>
      <c r="Z375" s="623"/>
      <c r="AA375" s="622"/>
      <c r="AB375" s="622"/>
      <c r="AC375" s="622"/>
      <c r="AD375" s="622"/>
      <c r="AE375" s="622"/>
      <c r="AF375" s="622"/>
      <c r="AG375" s="622"/>
      <c r="AH375" s="622"/>
      <c r="AI375" s="622"/>
      <c r="AJ375" s="622"/>
      <c r="AK375" s="622"/>
      <c r="AL375" s="622"/>
      <c r="AM375" s="622"/>
      <c r="AN375" s="622"/>
      <c r="AO375" s="622"/>
      <c r="AP375" s="622"/>
      <c r="AQ375" s="622"/>
      <c r="AR375" s="622"/>
      <c r="AS375" s="622"/>
      <c r="AT375" s="622"/>
      <c r="AU375" s="622"/>
      <c r="AV375" s="622"/>
      <c r="AW375" s="622"/>
    </row>
    <row r="376" spans="1:49" ht="7.5" customHeight="1">
      <c r="A376" s="623"/>
      <c r="B376" s="622"/>
      <c r="C376" s="622"/>
      <c r="D376" s="622"/>
      <c r="E376" s="622"/>
      <c r="F376" s="622"/>
      <c r="G376" s="622"/>
      <c r="H376" s="622"/>
      <c r="I376" s="622"/>
      <c r="J376" s="622"/>
      <c r="K376" s="622"/>
      <c r="L376" s="622"/>
      <c r="M376" s="622"/>
      <c r="N376" s="622"/>
      <c r="O376" s="622"/>
      <c r="P376" s="622"/>
      <c r="Q376" s="622"/>
      <c r="R376" s="622"/>
      <c r="S376" s="622"/>
      <c r="T376" s="622"/>
      <c r="U376" s="622"/>
      <c r="V376" s="622"/>
      <c r="W376" s="622"/>
      <c r="X376" s="622"/>
      <c r="Y376" s="330"/>
      <c r="Z376" s="623"/>
      <c r="AA376" s="622"/>
      <c r="AB376" s="622"/>
      <c r="AC376" s="622"/>
      <c r="AD376" s="622"/>
      <c r="AE376" s="622"/>
      <c r="AF376" s="622"/>
      <c r="AG376" s="622"/>
      <c r="AH376" s="622"/>
      <c r="AI376" s="622"/>
      <c r="AJ376" s="622"/>
      <c r="AK376" s="622"/>
      <c r="AL376" s="622"/>
      <c r="AM376" s="622"/>
      <c r="AN376" s="622"/>
      <c r="AO376" s="622"/>
      <c r="AP376" s="622"/>
      <c r="AQ376" s="622"/>
      <c r="AR376" s="622"/>
      <c r="AS376" s="622"/>
      <c r="AT376" s="622"/>
      <c r="AU376" s="622"/>
      <c r="AV376" s="622"/>
      <c r="AW376" s="622"/>
    </row>
    <row r="377" spans="1:49" ht="7.5" customHeight="1">
      <c r="A377" s="623">
        <v>19</v>
      </c>
      <c r="B377" s="622" t="str">
        <f>IF(NOT(ISBLANK('A-RACHNATMAK'!C403)),"A",IF(NOT(ISBLANK('A-RACHNATMAK'!C402)),"B",IF(NOT(ISBLANK('A-RACHNATMAK'!C401)),"C","")))</f>
        <v/>
      </c>
      <c r="C377" s="622" t="str">
        <f>IF(NOT(ISBLANK('A-RACHNATMAK'!D403)),"A",IF(NOT(ISBLANK('A-RACHNATMAK'!D402)),"B",IF(NOT(ISBLANK('A-RACHNATMAK'!D401)),"C","")))</f>
        <v/>
      </c>
      <c r="D377" s="622" t="str">
        <f>IF(NOT(ISBLANK('A-RACHNATMAK'!E403)),"A",IF(NOT(ISBLANK('A-RACHNATMAK'!E402)),"B",IF(NOT(ISBLANK('A-RACHNATMAK'!E401)),"C","")))</f>
        <v/>
      </c>
      <c r="E377" s="622" t="str">
        <f>IF(NOT(ISBLANK('A-RACHNATMAK'!F403)),"A",IF(NOT(ISBLANK('A-RACHNATMAK'!F402)),"B",IF(NOT(ISBLANK('A-RACHNATMAK'!F401)),"C","")))</f>
        <v/>
      </c>
      <c r="F377" s="622" t="str">
        <f>IF(NOT(ISBLANK('A-RACHNATMAK'!G403)),"A",IF(NOT(ISBLANK('A-RACHNATMAK'!G402)),"B",IF(NOT(ISBLANK('A-RACHNATMAK'!G401)),"C","")))</f>
        <v/>
      </c>
      <c r="G377" s="622" t="str">
        <f>IF(NOT(ISBLANK('A-RACHNATMAK'!H403)),"A",IF(NOT(ISBLANK('A-RACHNATMAK'!H402)),"B",IF(NOT(ISBLANK('A-RACHNATMAK'!H401)),"C","")))</f>
        <v/>
      </c>
      <c r="H377" s="622" t="str">
        <f>IF(NOT(ISBLANK('A-RACHNATMAK'!I403)),"A",IF(NOT(ISBLANK('A-RACHNATMAK'!I402)),"B",IF(NOT(ISBLANK('A-RACHNATMAK'!I401)),"C","")))</f>
        <v/>
      </c>
      <c r="I377" s="622" t="str">
        <f>IF(NOT(ISBLANK('A-RACHNATMAK'!J403)),"A",IF(NOT(ISBLANK('A-RACHNATMAK'!J402)),"B",IF(NOT(ISBLANK('A-RACHNATMAK'!J401)),"C","")))</f>
        <v/>
      </c>
      <c r="J377" s="622" t="str">
        <f>IF(NOT(ISBLANK('A-RACHNATMAK'!K403)),"A",IF(NOT(ISBLANK('A-RACHNATMAK'!K402)),"B",IF(NOT(ISBLANK('A-RACHNATMAK'!K401)),"C","")))</f>
        <v/>
      </c>
      <c r="K377" s="622" t="str">
        <f>IF(NOT(ISBLANK('A-RACHNATMAK'!L403)),"A",IF(NOT(ISBLANK('A-RACHNATMAK'!L402)),"B",IF(NOT(ISBLANK('A-RACHNATMAK'!L401)),"C","")))</f>
        <v/>
      </c>
      <c r="L377" s="622" t="str">
        <f>IF(NOT(ISBLANK('A-RACHNATMAK'!M403)),"A",IF(NOT(ISBLANK('A-RACHNATMAK'!M402)),"B",IF(NOT(ISBLANK('A-RACHNATMAK'!M401)),"C","")))</f>
        <v/>
      </c>
      <c r="M377" s="622" t="str">
        <f>IF(NOT(ISBLANK('A-RACHNATMAK'!N403)),"A",IF(NOT(ISBLANK('A-RACHNATMAK'!N402)),"B",IF(NOT(ISBLANK('A-RACHNATMAK'!N401)),"C","")))</f>
        <v/>
      </c>
      <c r="N377" s="622" t="str">
        <f>IF(NOT(ISBLANK('A-RACHNATMAK'!O403)),"A",IF(NOT(ISBLANK('A-RACHNATMAK'!O402)),"B",IF(NOT(ISBLANK('A-RACHNATMAK'!O401)),"C","")))</f>
        <v/>
      </c>
      <c r="O377" s="622" t="str">
        <f>IF(NOT(ISBLANK('A-RACHNATMAK'!P403)),"A",IF(NOT(ISBLANK('A-RACHNATMAK'!P402)),"B",IF(NOT(ISBLANK('A-RACHNATMAK'!P401)),"C","")))</f>
        <v/>
      </c>
      <c r="P377" s="622" t="str">
        <f>IF(NOT(ISBLANK('A-RACHNATMAK'!Q403)),"A",IF(NOT(ISBLANK('A-RACHNATMAK'!Q402)),"B",IF(NOT(ISBLANK('A-RACHNATMAK'!Q401)),"C","")))</f>
        <v/>
      </c>
      <c r="Q377" s="622" t="str">
        <f>IF(NOT(ISBLANK('A-RACHNATMAK'!R403)),"A",IF(NOT(ISBLANK('A-RACHNATMAK'!R402)),"B",IF(NOT(ISBLANK('A-RACHNATMAK'!R401)),"C","")))</f>
        <v/>
      </c>
      <c r="R377" s="622" t="str">
        <f>IF(NOT(ISBLANK('A-RACHNATMAK'!S403)),"A",IF(NOT(ISBLANK('A-RACHNATMAK'!S402)),"B",IF(NOT(ISBLANK('A-RACHNATMAK'!S401)),"C","")))</f>
        <v/>
      </c>
      <c r="S377" s="622" t="str">
        <f>IF(NOT(ISBLANK('A-RACHNATMAK'!T403)),"A",IF(NOT(ISBLANK('A-RACHNATMAK'!T402)),"B",IF(NOT(ISBLANK('A-RACHNATMAK'!T401)),"C","")))</f>
        <v/>
      </c>
      <c r="T377" s="622" t="str">
        <f>IF(NOT(ISBLANK('A-RACHNATMAK'!U403)),"A",IF(NOT(ISBLANK('A-RACHNATMAK'!U402)),"B",IF(NOT(ISBLANK('A-RACHNATMAK'!U401)),"C","")))</f>
        <v/>
      </c>
      <c r="U377" s="622" t="str">
        <f>IF(NOT(ISBLANK('A-RACHNATMAK'!V403)),"A",IF(NOT(ISBLANK('A-RACHNATMAK'!V402)),"B",IF(NOT(ISBLANK('A-RACHNATMAK'!V401)),"C","")))</f>
        <v/>
      </c>
      <c r="V377" s="622">
        <f t="shared" ref="V377" si="714">COUNTIF(B377:U377,"A")</f>
        <v>0</v>
      </c>
      <c r="W377" s="622">
        <f t="shared" ref="W377" si="715">COUNTIF(B377:U377,"B")</f>
        <v>0</v>
      </c>
      <c r="X377" s="622">
        <f t="shared" ref="X377" si="716">COUNTIF(B377:U377,"C")</f>
        <v>0</v>
      </c>
      <c r="Y377" s="330"/>
      <c r="Z377" s="623">
        <v>19</v>
      </c>
      <c r="AA377" s="622" t="str">
        <f>IF(NOT(ISBLANK('A-RACHNATMAK'!AD403)),"A",IF(NOT(ISBLANK('A-RACHNATMAK'!AD402)),"B",IF(NOT(ISBLANK('A-RACHNATMAK'!AD401)),"C","")))</f>
        <v/>
      </c>
      <c r="AB377" s="622" t="str">
        <f>IF(NOT(ISBLANK('A-RACHNATMAK'!AE403)),"A",IF(NOT(ISBLANK('A-RACHNATMAK'!AE402)),"B",IF(NOT(ISBLANK('A-RACHNATMAK'!AE401)),"C","")))</f>
        <v/>
      </c>
      <c r="AC377" s="622" t="str">
        <f>IF(NOT(ISBLANK('A-RACHNATMAK'!AF403)),"A",IF(NOT(ISBLANK('A-RACHNATMAK'!AF402)),"B",IF(NOT(ISBLANK('A-RACHNATMAK'!AF401)),"C","")))</f>
        <v/>
      </c>
      <c r="AD377" s="622" t="str">
        <f>IF(NOT(ISBLANK('A-RACHNATMAK'!AG403)),"A",IF(NOT(ISBLANK('A-RACHNATMAK'!AG402)),"B",IF(NOT(ISBLANK('A-RACHNATMAK'!AG401)),"C","")))</f>
        <v/>
      </c>
      <c r="AE377" s="622" t="str">
        <f>IF(NOT(ISBLANK('A-RACHNATMAK'!AH403)),"A",IF(NOT(ISBLANK('A-RACHNATMAK'!AH402)),"B",IF(NOT(ISBLANK('A-RACHNATMAK'!AH401)),"C","")))</f>
        <v/>
      </c>
      <c r="AF377" s="622" t="str">
        <f>IF(NOT(ISBLANK('A-RACHNATMAK'!AI403)),"A",IF(NOT(ISBLANK('A-RACHNATMAK'!AI402)),"B",IF(NOT(ISBLANK('A-RACHNATMAK'!AI401)),"C","")))</f>
        <v/>
      </c>
      <c r="AG377" s="622" t="str">
        <f>IF(NOT(ISBLANK('A-RACHNATMAK'!AJ403)),"A",IF(NOT(ISBLANK('A-RACHNATMAK'!AJ402)),"B",IF(NOT(ISBLANK('A-RACHNATMAK'!AJ401)),"C","")))</f>
        <v/>
      </c>
      <c r="AH377" s="622" t="str">
        <f>IF(NOT(ISBLANK('A-RACHNATMAK'!AK403)),"A",IF(NOT(ISBLANK('A-RACHNATMAK'!AK402)),"B",IF(NOT(ISBLANK('A-RACHNATMAK'!AK401)),"C","")))</f>
        <v/>
      </c>
      <c r="AI377" s="622" t="str">
        <f>IF(NOT(ISBLANK('A-RACHNATMAK'!AL403)),"A",IF(NOT(ISBLANK('A-RACHNATMAK'!AL402)),"B",IF(NOT(ISBLANK('A-RACHNATMAK'!AL401)),"C","")))</f>
        <v/>
      </c>
      <c r="AJ377" s="622" t="str">
        <f>IF(NOT(ISBLANK('A-RACHNATMAK'!AM403)),"A",IF(NOT(ISBLANK('A-RACHNATMAK'!AM402)),"B",IF(NOT(ISBLANK('A-RACHNATMAK'!AM401)),"C","")))</f>
        <v/>
      </c>
      <c r="AK377" s="622" t="str">
        <f>IF(NOT(ISBLANK('A-RACHNATMAK'!AN403)),"A",IF(NOT(ISBLANK('A-RACHNATMAK'!AN402)),"B",IF(NOT(ISBLANK('A-RACHNATMAK'!AN401)),"C","")))</f>
        <v/>
      </c>
      <c r="AL377" s="622" t="str">
        <f>IF(NOT(ISBLANK('A-RACHNATMAK'!AO403)),"A",IF(NOT(ISBLANK('A-RACHNATMAK'!AO402)),"B",IF(NOT(ISBLANK('A-RACHNATMAK'!AO401)),"C","")))</f>
        <v/>
      </c>
      <c r="AM377" s="622" t="str">
        <f>IF(NOT(ISBLANK('A-RACHNATMAK'!AP403)),"A",IF(NOT(ISBLANK('A-RACHNATMAK'!AP402)),"B",IF(NOT(ISBLANK('A-RACHNATMAK'!AP401)),"C","")))</f>
        <v/>
      </c>
      <c r="AN377" s="622" t="str">
        <f>IF(NOT(ISBLANK('A-RACHNATMAK'!AQ403)),"A",IF(NOT(ISBLANK('A-RACHNATMAK'!AQ402)),"B",IF(NOT(ISBLANK('A-RACHNATMAK'!AQ401)),"C","")))</f>
        <v/>
      </c>
      <c r="AO377" s="622" t="str">
        <f>IF(NOT(ISBLANK('A-RACHNATMAK'!AR403)),"A",IF(NOT(ISBLANK('A-RACHNATMAK'!AR402)),"B",IF(NOT(ISBLANK('A-RACHNATMAK'!AR401)),"C","")))</f>
        <v/>
      </c>
      <c r="AP377" s="622" t="str">
        <f>IF(NOT(ISBLANK('A-RACHNATMAK'!AS403)),"A",IF(NOT(ISBLANK('A-RACHNATMAK'!AS402)),"B",IF(NOT(ISBLANK('A-RACHNATMAK'!AS401)),"C","")))</f>
        <v/>
      </c>
      <c r="AQ377" s="622" t="str">
        <f>IF(NOT(ISBLANK('A-RACHNATMAK'!AT403)),"A",IF(NOT(ISBLANK('A-RACHNATMAK'!AT402)),"B",IF(NOT(ISBLANK('A-RACHNATMAK'!AT401)),"C","")))</f>
        <v/>
      </c>
      <c r="AR377" s="622" t="str">
        <f>IF(NOT(ISBLANK('A-RACHNATMAK'!AU403)),"A",IF(NOT(ISBLANK('A-RACHNATMAK'!AU402)),"B",IF(NOT(ISBLANK('A-RACHNATMAK'!AU401)),"C","")))</f>
        <v/>
      </c>
      <c r="AS377" s="622" t="str">
        <f>IF(NOT(ISBLANK('A-RACHNATMAK'!AV403)),"A",IF(NOT(ISBLANK('A-RACHNATMAK'!AV402)),"B",IF(NOT(ISBLANK('A-RACHNATMAK'!AV401)),"C","")))</f>
        <v/>
      </c>
      <c r="AT377" s="622" t="str">
        <f>IF(NOT(ISBLANK('A-RACHNATMAK'!AW403)),"A",IF(NOT(ISBLANK('A-RACHNATMAK'!AW402)),"B",IF(NOT(ISBLANK('A-RACHNATMAK'!AW401)),"C","")))</f>
        <v/>
      </c>
      <c r="AU377" s="622">
        <f t="shared" ref="AU377" si="717">COUNTIF(AA377:AT377,"A")</f>
        <v>0</v>
      </c>
      <c r="AV377" s="622">
        <f t="shared" ref="AV377" si="718">COUNTIF(AA377:AT377,"B")</f>
        <v>0</v>
      </c>
      <c r="AW377" s="622">
        <f t="shared" ref="AW377" si="719">COUNTIF(AA377:AT377,"C")</f>
        <v>0</v>
      </c>
    </row>
    <row r="378" spans="1:49" ht="7.5" customHeight="1">
      <c r="A378" s="623"/>
      <c r="B378" s="622"/>
      <c r="C378" s="622"/>
      <c r="D378" s="622"/>
      <c r="E378" s="622"/>
      <c r="F378" s="622"/>
      <c r="G378" s="622"/>
      <c r="H378" s="622"/>
      <c r="I378" s="622"/>
      <c r="J378" s="622"/>
      <c r="K378" s="622"/>
      <c r="L378" s="622"/>
      <c r="M378" s="622"/>
      <c r="N378" s="622"/>
      <c r="O378" s="622"/>
      <c r="P378" s="622"/>
      <c r="Q378" s="622"/>
      <c r="R378" s="622"/>
      <c r="S378" s="622"/>
      <c r="T378" s="622"/>
      <c r="U378" s="622"/>
      <c r="V378" s="622"/>
      <c r="W378" s="622"/>
      <c r="X378" s="622"/>
      <c r="Y378" s="330"/>
      <c r="Z378" s="623"/>
      <c r="AA378" s="622"/>
      <c r="AB378" s="622"/>
      <c r="AC378" s="622"/>
      <c r="AD378" s="622"/>
      <c r="AE378" s="622"/>
      <c r="AF378" s="622"/>
      <c r="AG378" s="622"/>
      <c r="AH378" s="622"/>
      <c r="AI378" s="622"/>
      <c r="AJ378" s="622"/>
      <c r="AK378" s="622"/>
      <c r="AL378" s="622"/>
      <c r="AM378" s="622"/>
      <c r="AN378" s="622"/>
      <c r="AO378" s="622"/>
      <c r="AP378" s="622"/>
      <c r="AQ378" s="622"/>
      <c r="AR378" s="622"/>
      <c r="AS378" s="622"/>
      <c r="AT378" s="622"/>
      <c r="AU378" s="622"/>
      <c r="AV378" s="622"/>
      <c r="AW378" s="622"/>
    </row>
    <row r="379" spans="1:49" ht="7.5" customHeight="1">
      <c r="A379" s="623"/>
      <c r="B379" s="622"/>
      <c r="C379" s="622"/>
      <c r="D379" s="622"/>
      <c r="E379" s="622"/>
      <c r="F379" s="622"/>
      <c r="G379" s="622"/>
      <c r="H379" s="622"/>
      <c r="I379" s="622"/>
      <c r="J379" s="622"/>
      <c r="K379" s="622"/>
      <c r="L379" s="622"/>
      <c r="M379" s="622"/>
      <c r="N379" s="622"/>
      <c r="O379" s="622"/>
      <c r="P379" s="622"/>
      <c r="Q379" s="622"/>
      <c r="R379" s="622"/>
      <c r="S379" s="622"/>
      <c r="T379" s="622"/>
      <c r="U379" s="622"/>
      <c r="V379" s="622"/>
      <c r="W379" s="622"/>
      <c r="X379" s="622"/>
      <c r="Y379" s="330"/>
      <c r="Z379" s="623"/>
      <c r="AA379" s="622"/>
      <c r="AB379" s="622"/>
      <c r="AC379" s="622"/>
      <c r="AD379" s="622"/>
      <c r="AE379" s="622"/>
      <c r="AF379" s="622"/>
      <c r="AG379" s="622"/>
      <c r="AH379" s="622"/>
      <c r="AI379" s="622"/>
      <c r="AJ379" s="622"/>
      <c r="AK379" s="622"/>
      <c r="AL379" s="622"/>
      <c r="AM379" s="622"/>
      <c r="AN379" s="622"/>
      <c r="AO379" s="622"/>
      <c r="AP379" s="622"/>
      <c r="AQ379" s="622"/>
      <c r="AR379" s="622"/>
      <c r="AS379" s="622"/>
      <c r="AT379" s="622"/>
      <c r="AU379" s="622"/>
      <c r="AV379" s="622"/>
      <c r="AW379" s="622"/>
    </row>
    <row r="380" spans="1:49" ht="7.5" customHeight="1">
      <c r="A380" s="623">
        <v>20</v>
      </c>
      <c r="B380" s="622" t="str">
        <f>IF(NOT(ISBLANK('A-RACHNATMAK'!C406)),"A",IF(NOT(ISBLANK('A-RACHNATMAK'!C405)),"B",IF(NOT(ISBLANK('A-RACHNATMAK'!C404)),"C","")))</f>
        <v/>
      </c>
      <c r="C380" s="622" t="str">
        <f>IF(NOT(ISBLANK('A-RACHNATMAK'!D406)),"A",IF(NOT(ISBLANK('A-RACHNATMAK'!D405)),"B",IF(NOT(ISBLANK('A-RACHNATMAK'!D404)),"C","")))</f>
        <v/>
      </c>
      <c r="D380" s="622" t="str">
        <f>IF(NOT(ISBLANK('A-RACHNATMAK'!E406)),"A",IF(NOT(ISBLANK('A-RACHNATMAK'!E405)),"B",IF(NOT(ISBLANK('A-RACHNATMAK'!E404)),"C","")))</f>
        <v/>
      </c>
      <c r="E380" s="622" t="str">
        <f>IF(NOT(ISBLANK('A-RACHNATMAK'!F406)),"A",IF(NOT(ISBLANK('A-RACHNATMAK'!F405)),"B",IF(NOT(ISBLANK('A-RACHNATMAK'!F404)),"C","")))</f>
        <v/>
      </c>
      <c r="F380" s="622" t="str">
        <f>IF(NOT(ISBLANK('A-RACHNATMAK'!G406)),"A",IF(NOT(ISBLANK('A-RACHNATMAK'!G405)),"B",IF(NOT(ISBLANK('A-RACHNATMAK'!G404)),"C","")))</f>
        <v/>
      </c>
      <c r="G380" s="622" t="str">
        <f>IF(NOT(ISBLANK('A-RACHNATMAK'!H406)),"A",IF(NOT(ISBLANK('A-RACHNATMAK'!H405)),"B",IF(NOT(ISBLANK('A-RACHNATMAK'!H404)),"C","")))</f>
        <v/>
      </c>
      <c r="H380" s="622" t="str">
        <f>IF(NOT(ISBLANK('A-RACHNATMAK'!I406)),"A",IF(NOT(ISBLANK('A-RACHNATMAK'!I405)),"B",IF(NOT(ISBLANK('A-RACHNATMAK'!I404)),"C","")))</f>
        <v/>
      </c>
      <c r="I380" s="622" t="str">
        <f>IF(NOT(ISBLANK('A-RACHNATMAK'!J406)),"A",IF(NOT(ISBLANK('A-RACHNATMAK'!J405)),"B",IF(NOT(ISBLANK('A-RACHNATMAK'!J404)),"C","")))</f>
        <v/>
      </c>
      <c r="J380" s="622" t="str">
        <f>IF(NOT(ISBLANK('A-RACHNATMAK'!K406)),"A",IF(NOT(ISBLANK('A-RACHNATMAK'!K405)),"B",IF(NOT(ISBLANK('A-RACHNATMAK'!K404)),"C","")))</f>
        <v/>
      </c>
      <c r="K380" s="622" t="str">
        <f>IF(NOT(ISBLANK('A-RACHNATMAK'!L406)),"A",IF(NOT(ISBLANK('A-RACHNATMAK'!L405)),"B",IF(NOT(ISBLANK('A-RACHNATMAK'!L404)),"C","")))</f>
        <v/>
      </c>
      <c r="L380" s="622" t="str">
        <f>IF(NOT(ISBLANK('A-RACHNATMAK'!M406)),"A",IF(NOT(ISBLANK('A-RACHNATMAK'!M405)),"B",IF(NOT(ISBLANK('A-RACHNATMAK'!M404)),"C","")))</f>
        <v/>
      </c>
      <c r="M380" s="622" t="str">
        <f>IF(NOT(ISBLANK('A-RACHNATMAK'!N406)),"A",IF(NOT(ISBLANK('A-RACHNATMAK'!N405)),"B",IF(NOT(ISBLANK('A-RACHNATMAK'!N404)),"C","")))</f>
        <v/>
      </c>
      <c r="N380" s="622" t="str">
        <f>IF(NOT(ISBLANK('A-RACHNATMAK'!O406)),"A",IF(NOT(ISBLANK('A-RACHNATMAK'!O405)),"B",IF(NOT(ISBLANK('A-RACHNATMAK'!O404)),"C","")))</f>
        <v/>
      </c>
      <c r="O380" s="622" t="str">
        <f>IF(NOT(ISBLANK('A-RACHNATMAK'!P406)),"A",IF(NOT(ISBLANK('A-RACHNATMAK'!P405)),"B",IF(NOT(ISBLANK('A-RACHNATMAK'!P404)),"C","")))</f>
        <v/>
      </c>
      <c r="P380" s="622" t="str">
        <f>IF(NOT(ISBLANK('A-RACHNATMAK'!Q406)),"A",IF(NOT(ISBLANK('A-RACHNATMAK'!Q405)),"B",IF(NOT(ISBLANK('A-RACHNATMAK'!Q404)),"C","")))</f>
        <v/>
      </c>
      <c r="Q380" s="622" t="str">
        <f>IF(NOT(ISBLANK('A-RACHNATMAK'!R406)),"A",IF(NOT(ISBLANK('A-RACHNATMAK'!R405)),"B",IF(NOT(ISBLANK('A-RACHNATMAK'!R404)),"C","")))</f>
        <v/>
      </c>
      <c r="R380" s="622" t="str">
        <f>IF(NOT(ISBLANK('A-RACHNATMAK'!S406)),"A",IF(NOT(ISBLANK('A-RACHNATMAK'!S405)),"B",IF(NOT(ISBLANK('A-RACHNATMAK'!S404)),"C","")))</f>
        <v/>
      </c>
      <c r="S380" s="622" t="str">
        <f>IF(NOT(ISBLANK('A-RACHNATMAK'!T406)),"A",IF(NOT(ISBLANK('A-RACHNATMAK'!T405)),"B",IF(NOT(ISBLANK('A-RACHNATMAK'!T404)),"C","")))</f>
        <v/>
      </c>
      <c r="T380" s="622" t="str">
        <f>IF(NOT(ISBLANK('A-RACHNATMAK'!U406)),"A",IF(NOT(ISBLANK('A-RACHNATMAK'!U405)),"B",IF(NOT(ISBLANK('A-RACHNATMAK'!U404)),"C","")))</f>
        <v/>
      </c>
      <c r="U380" s="622" t="str">
        <f>IF(NOT(ISBLANK('A-RACHNATMAK'!V406)),"A",IF(NOT(ISBLANK('A-RACHNATMAK'!V405)),"B",IF(NOT(ISBLANK('A-RACHNATMAK'!V404)),"C","")))</f>
        <v/>
      </c>
      <c r="V380" s="622">
        <f t="shared" ref="V380" si="720">COUNTIF(B380:U380,"A")</f>
        <v>0</v>
      </c>
      <c r="W380" s="622">
        <f t="shared" ref="W380" si="721">COUNTIF(B380:U380,"B")</f>
        <v>0</v>
      </c>
      <c r="X380" s="622">
        <f t="shared" ref="X380" si="722">COUNTIF(B380:U380,"C")</f>
        <v>0</v>
      </c>
      <c r="Y380" s="330"/>
      <c r="Z380" s="623">
        <v>20</v>
      </c>
      <c r="AA380" s="622" t="str">
        <f>IF(NOT(ISBLANK('A-RACHNATMAK'!AD406)),"A",IF(NOT(ISBLANK('A-RACHNATMAK'!AD405)),"B",IF(NOT(ISBLANK('A-RACHNATMAK'!AD404)),"C","")))</f>
        <v/>
      </c>
      <c r="AB380" s="622" t="str">
        <f>IF(NOT(ISBLANK('A-RACHNATMAK'!AE406)),"A",IF(NOT(ISBLANK('A-RACHNATMAK'!AE405)),"B",IF(NOT(ISBLANK('A-RACHNATMAK'!AE404)),"C","")))</f>
        <v/>
      </c>
      <c r="AC380" s="622" t="str">
        <f>IF(NOT(ISBLANK('A-RACHNATMAK'!AF406)),"A",IF(NOT(ISBLANK('A-RACHNATMAK'!AF405)),"B",IF(NOT(ISBLANK('A-RACHNATMAK'!AF404)),"C","")))</f>
        <v/>
      </c>
      <c r="AD380" s="622" t="str">
        <f>IF(NOT(ISBLANK('A-RACHNATMAK'!AG406)),"A",IF(NOT(ISBLANK('A-RACHNATMAK'!AG405)),"B",IF(NOT(ISBLANK('A-RACHNATMAK'!AG404)),"C","")))</f>
        <v/>
      </c>
      <c r="AE380" s="622" t="str">
        <f>IF(NOT(ISBLANK('A-RACHNATMAK'!AH406)),"A",IF(NOT(ISBLANK('A-RACHNATMAK'!AH405)),"B",IF(NOT(ISBLANK('A-RACHNATMAK'!AH404)),"C","")))</f>
        <v/>
      </c>
      <c r="AF380" s="622" t="str">
        <f>IF(NOT(ISBLANK('A-RACHNATMAK'!AI406)),"A",IF(NOT(ISBLANK('A-RACHNATMAK'!AI405)),"B",IF(NOT(ISBLANK('A-RACHNATMAK'!AI404)),"C","")))</f>
        <v/>
      </c>
      <c r="AG380" s="622" t="str">
        <f>IF(NOT(ISBLANK('A-RACHNATMAK'!AJ406)),"A",IF(NOT(ISBLANK('A-RACHNATMAK'!AJ405)),"B",IF(NOT(ISBLANK('A-RACHNATMAK'!AJ404)),"C","")))</f>
        <v/>
      </c>
      <c r="AH380" s="622" t="str">
        <f>IF(NOT(ISBLANK('A-RACHNATMAK'!AK406)),"A",IF(NOT(ISBLANK('A-RACHNATMAK'!AK405)),"B",IF(NOT(ISBLANK('A-RACHNATMAK'!AK404)),"C","")))</f>
        <v/>
      </c>
      <c r="AI380" s="622" t="str">
        <f>IF(NOT(ISBLANK('A-RACHNATMAK'!AL406)),"A",IF(NOT(ISBLANK('A-RACHNATMAK'!AL405)),"B",IF(NOT(ISBLANK('A-RACHNATMAK'!AL404)),"C","")))</f>
        <v/>
      </c>
      <c r="AJ380" s="622" t="str">
        <f>IF(NOT(ISBLANK('A-RACHNATMAK'!AM406)),"A",IF(NOT(ISBLANK('A-RACHNATMAK'!AM405)),"B",IF(NOT(ISBLANK('A-RACHNATMAK'!AM404)),"C","")))</f>
        <v/>
      </c>
      <c r="AK380" s="622" t="str">
        <f>IF(NOT(ISBLANK('A-RACHNATMAK'!AN406)),"A",IF(NOT(ISBLANK('A-RACHNATMAK'!AN405)),"B",IF(NOT(ISBLANK('A-RACHNATMAK'!AN404)),"C","")))</f>
        <v/>
      </c>
      <c r="AL380" s="622" t="str">
        <f>IF(NOT(ISBLANK('A-RACHNATMAK'!AO406)),"A",IF(NOT(ISBLANK('A-RACHNATMAK'!AO405)),"B",IF(NOT(ISBLANK('A-RACHNATMAK'!AO404)),"C","")))</f>
        <v/>
      </c>
      <c r="AM380" s="622" t="str">
        <f>IF(NOT(ISBLANK('A-RACHNATMAK'!AP406)),"A",IF(NOT(ISBLANK('A-RACHNATMAK'!AP405)),"B",IF(NOT(ISBLANK('A-RACHNATMAK'!AP404)),"C","")))</f>
        <v/>
      </c>
      <c r="AN380" s="622" t="str">
        <f>IF(NOT(ISBLANK('A-RACHNATMAK'!AQ406)),"A",IF(NOT(ISBLANK('A-RACHNATMAK'!AQ405)),"B",IF(NOT(ISBLANK('A-RACHNATMAK'!AQ404)),"C","")))</f>
        <v/>
      </c>
      <c r="AO380" s="622" t="str">
        <f>IF(NOT(ISBLANK('A-RACHNATMAK'!AR406)),"A",IF(NOT(ISBLANK('A-RACHNATMAK'!AR405)),"B",IF(NOT(ISBLANK('A-RACHNATMAK'!AR404)),"C","")))</f>
        <v/>
      </c>
      <c r="AP380" s="622" t="str">
        <f>IF(NOT(ISBLANK('A-RACHNATMAK'!AS406)),"A",IF(NOT(ISBLANK('A-RACHNATMAK'!AS405)),"B",IF(NOT(ISBLANK('A-RACHNATMAK'!AS404)),"C","")))</f>
        <v/>
      </c>
      <c r="AQ380" s="622" t="str">
        <f>IF(NOT(ISBLANK('A-RACHNATMAK'!AT406)),"A",IF(NOT(ISBLANK('A-RACHNATMAK'!AT405)),"B",IF(NOT(ISBLANK('A-RACHNATMAK'!AT404)),"C","")))</f>
        <v/>
      </c>
      <c r="AR380" s="622" t="str">
        <f>IF(NOT(ISBLANK('A-RACHNATMAK'!AU406)),"A",IF(NOT(ISBLANK('A-RACHNATMAK'!AU405)),"B",IF(NOT(ISBLANK('A-RACHNATMAK'!AU404)),"C","")))</f>
        <v/>
      </c>
      <c r="AS380" s="622" t="str">
        <f>IF(NOT(ISBLANK('A-RACHNATMAK'!AV406)),"A",IF(NOT(ISBLANK('A-RACHNATMAK'!AV405)),"B",IF(NOT(ISBLANK('A-RACHNATMAK'!AV404)),"C","")))</f>
        <v/>
      </c>
      <c r="AT380" s="622" t="str">
        <f>IF(NOT(ISBLANK('A-RACHNATMAK'!AW406)),"A",IF(NOT(ISBLANK('A-RACHNATMAK'!AW405)),"B",IF(NOT(ISBLANK('A-RACHNATMAK'!AW404)),"C","")))</f>
        <v/>
      </c>
      <c r="AU380" s="622">
        <f t="shared" ref="AU380" si="723">COUNTIF(AA380:AT380,"A")</f>
        <v>0</v>
      </c>
      <c r="AV380" s="622">
        <f t="shared" ref="AV380" si="724">COUNTIF(AA380:AT380,"B")</f>
        <v>0</v>
      </c>
      <c r="AW380" s="622">
        <f t="shared" ref="AW380" si="725">COUNTIF(AA380:AT380,"C")</f>
        <v>0</v>
      </c>
    </row>
    <row r="381" spans="1:49" ht="7.5" customHeight="1">
      <c r="A381" s="623"/>
      <c r="B381" s="622"/>
      <c r="C381" s="622"/>
      <c r="D381" s="622"/>
      <c r="E381" s="622"/>
      <c r="F381" s="622"/>
      <c r="G381" s="622"/>
      <c r="H381" s="622"/>
      <c r="I381" s="622"/>
      <c r="J381" s="622"/>
      <c r="K381" s="622"/>
      <c r="L381" s="622"/>
      <c r="M381" s="622"/>
      <c r="N381" s="622"/>
      <c r="O381" s="622"/>
      <c r="P381" s="622"/>
      <c r="Q381" s="622"/>
      <c r="R381" s="622"/>
      <c r="S381" s="622"/>
      <c r="T381" s="622"/>
      <c r="U381" s="622"/>
      <c r="V381" s="622"/>
      <c r="W381" s="622"/>
      <c r="X381" s="622"/>
      <c r="Y381" s="330"/>
      <c r="Z381" s="623"/>
      <c r="AA381" s="622"/>
      <c r="AB381" s="622"/>
      <c r="AC381" s="622"/>
      <c r="AD381" s="622"/>
      <c r="AE381" s="622"/>
      <c r="AF381" s="622"/>
      <c r="AG381" s="622"/>
      <c r="AH381" s="622"/>
      <c r="AI381" s="622"/>
      <c r="AJ381" s="622"/>
      <c r="AK381" s="622"/>
      <c r="AL381" s="622"/>
      <c r="AM381" s="622"/>
      <c r="AN381" s="622"/>
      <c r="AO381" s="622"/>
      <c r="AP381" s="622"/>
      <c r="AQ381" s="622"/>
      <c r="AR381" s="622"/>
      <c r="AS381" s="622"/>
      <c r="AT381" s="622"/>
      <c r="AU381" s="622"/>
      <c r="AV381" s="622"/>
      <c r="AW381" s="622"/>
    </row>
    <row r="382" spans="1:49" ht="7.5" customHeight="1">
      <c r="A382" s="623"/>
      <c r="B382" s="622"/>
      <c r="C382" s="622"/>
      <c r="D382" s="622"/>
      <c r="E382" s="622"/>
      <c r="F382" s="622"/>
      <c r="G382" s="622"/>
      <c r="H382" s="622"/>
      <c r="I382" s="622"/>
      <c r="J382" s="622"/>
      <c r="K382" s="622"/>
      <c r="L382" s="622"/>
      <c r="M382" s="622"/>
      <c r="N382" s="622"/>
      <c r="O382" s="622"/>
      <c r="P382" s="622"/>
      <c r="Q382" s="622"/>
      <c r="R382" s="622"/>
      <c r="S382" s="622"/>
      <c r="T382" s="622"/>
      <c r="U382" s="622"/>
      <c r="V382" s="622"/>
      <c r="W382" s="622"/>
      <c r="X382" s="622"/>
      <c r="Y382" s="330"/>
      <c r="Z382" s="623"/>
      <c r="AA382" s="622"/>
      <c r="AB382" s="622"/>
      <c r="AC382" s="622"/>
      <c r="AD382" s="622"/>
      <c r="AE382" s="622"/>
      <c r="AF382" s="622"/>
      <c r="AG382" s="622"/>
      <c r="AH382" s="622"/>
      <c r="AI382" s="622"/>
      <c r="AJ382" s="622"/>
      <c r="AK382" s="622"/>
      <c r="AL382" s="622"/>
      <c r="AM382" s="622"/>
      <c r="AN382" s="622"/>
      <c r="AO382" s="622"/>
      <c r="AP382" s="622"/>
      <c r="AQ382" s="622"/>
      <c r="AR382" s="622"/>
      <c r="AS382" s="622"/>
      <c r="AT382" s="622"/>
      <c r="AU382" s="622"/>
      <c r="AV382" s="622"/>
      <c r="AW382" s="622"/>
    </row>
    <row r="383" spans="1:49" ht="7.5" customHeight="1">
      <c r="A383" s="623">
        <v>21</v>
      </c>
      <c r="B383" s="622" t="str">
        <f>IF(NOT(ISBLANK('A-RACHNATMAK'!C409)),"A",IF(NOT(ISBLANK('A-RACHNATMAK'!C408)),"B",IF(NOT(ISBLANK('A-RACHNATMAK'!C407)),"C","")))</f>
        <v/>
      </c>
      <c r="C383" s="622" t="str">
        <f>IF(NOT(ISBLANK('A-RACHNATMAK'!D409)),"A",IF(NOT(ISBLANK('A-RACHNATMAK'!D408)),"B",IF(NOT(ISBLANK('A-RACHNATMAK'!D407)),"C","")))</f>
        <v/>
      </c>
      <c r="D383" s="622" t="str">
        <f>IF(NOT(ISBLANK('A-RACHNATMAK'!E409)),"A",IF(NOT(ISBLANK('A-RACHNATMAK'!E408)),"B",IF(NOT(ISBLANK('A-RACHNATMAK'!E407)),"C","")))</f>
        <v/>
      </c>
      <c r="E383" s="622" t="str">
        <f>IF(NOT(ISBLANK('A-RACHNATMAK'!F409)),"A",IF(NOT(ISBLANK('A-RACHNATMAK'!F408)),"B",IF(NOT(ISBLANK('A-RACHNATMAK'!F407)),"C","")))</f>
        <v/>
      </c>
      <c r="F383" s="622" t="str">
        <f>IF(NOT(ISBLANK('A-RACHNATMAK'!G409)),"A",IF(NOT(ISBLANK('A-RACHNATMAK'!G408)),"B",IF(NOT(ISBLANK('A-RACHNATMAK'!G407)),"C","")))</f>
        <v/>
      </c>
      <c r="G383" s="622" t="str">
        <f>IF(NOT(ISBLANK('A-RACHNATMAK'!H409)),"A",IF(NOT(ISBLANK('A-RACHNATMAK'!H408)),"B",IF(NOT(ISBLANK('A-RACHNATMAK'!H407)),"C","")))</f>
        <v/>
      </c>
      <c r="H383" s="622" t="str">
        <f>IF(NOT(ISBLANK('A-RACHNATMAK'!I409)),"A",IF(NOT(ISBLANK('A-RACHNATMAK'!I408)),"B",IF(NOT(ISBLANK('A-RACHNATMAK'!I407)),"C","")))</f>
        <v/>
      </c>
      <c r="I383" s="622" t="str">
        <f>IF(NOT(ISBLANK('A-RACHNATMAK'!J409)),"A",IF(NOT(ISBLANK('A-RACHNATMAK'!J408)),"B",IF(NOT(ISBLANK('A-RACHNATMAK'!J407)),"C","")))</f>
        <v/>
      </c>
      <c r="J383" s="622" t="str">
        <f>IF(NOT(ISBLANK('A-RACHNATMAK'!K409)),"A",IF(NOT(ISBLANK('A-RACHNATMAK'!K408)),"B",IF(NOT(ISBLANK('A-RACHNATMAK'!K407)),"C","")))</f>
        <v/>
      </c>
      <c r="K383" s="622" t="str">
        <f>IF(NOT(ISBLANK('A-RACHNATMAK'!L409)),"A",IF(NOT(ISBLANK('A-RACHNATMAK'!L408)),"B",IF(NOT(ISBLANK('A-RACHNATMAK'!L407)),"C","")))</f>
        <v/>
      </c>
      <c r="L383" s="622" t="str">
        <f>IF(NOT(ISBLANK('A-RACHNATMAK'!M409)),"A",IF(NOT(ISBLANK('A-RACHNATMAK'!M408)),"B",IF(NOT(ISBLANK('A-RACHNATMAK'!M407)),"C","")))</f>
        <v/>
      </c>
      <c r="M383" s="622" t="str">
        <f>IF(NOT(ISBLANK('A-RACHNATMAK'!N409)),"A",IF(NOT(ISBLANK('A-RACHNATMAK'!N408)),"B",IF(NOT(ISBLANK('A-RACHNATMAK'!N407)),"C","")))</f>
        <v/>
      </c>
      <c r="N383" s="622" t="str">
        <f>IF(NOT(ISBLANK('A-RACHNATMAK'!O409)),"A",IF(NOT(ISBLANK('A-RACHNATMAK'!O408)),"B",IF(NOT(ISBLANK('A-RACHNATMAK'!O407)),"C","")))</f>
        <v/>
      </c>
      <c r="O383" s="622" t="str">
        <f>IF(NOT(ISBLANK('A-RACHNATMAK'!P409)),"A",IF(NOT(ISBLANK('A-RACHNATMAK'!P408)),"B",IF(NOT(ISBLANK('A-RACHNATMAK'!P407)),"C","")))</f>
        <v/>
      </c>
      <c r="P383" s="622" t="str">
        <f>IF(NOT(ISBLANK('A-RACHNATMAK'!Q409)),"A",IF(NOT(ISBLANK('A-RACHNATMAK'!Q408)),"B",IF(NOT(ISBLANK('A-RACHNATMAK'!Q407)),"C","")))</f>
        <v/>
      </c>
      <c r="Q383" s="622" t="str">
        <f>IF(NOT(ISBLANK('A-RACHNATMAK'!R409)),"A",IF(NOT(ISBLANK('A-RACHNATMAK'!R408)),"B",IF(NOT(ISBLANK('A-RACHNATMAK'!R407)),"C","")))</f>
        <v/>
      </c>
      <c r="R383" s="622" t="str">
        <f>IF(NOT(ISBLANK('A-RACHNATMAK'!S409)),"A",IF(NOT(ISBLANK('A-RACHNATMAK'!S408)),"B",IF(NOT(ISBLANK('A-RACHNATMAK'!S407)),"C","")))</f>
        <v/>
      </c>
      <c r="S383" s="622" t="str">
        <f>IF(NOT(ISBLANK('A-RACHNATMAK'!T409)),"A",IF(NOT(ISBLANK('A-RACHNATMAK'!T408)),"B",IF(NOT(ISBLANK('A-RACHNATMAK'!T407)),"C","")))</f>
        <v/>
      </c>
      <c r="T383" s="622" t="str">
        <f>IF(NOT(ISBLANK('A-RACHNATMAK'!U409)),"A",IF(NOT(ISBLANK('A-RACHNATMAK'!U408)),"B",IF(NOT(ISBLANK('A-RACHNATMAK'!U407)),"C","")))</f>
        <v/>
      </c>
      <c r="U383" s="622" t="str">
        <f>IF(NOT(ISBLANK('A-RACHNATMAK'!V409)),"A",IF(NOT(ISBLANK('A-RACHNATMAK'!V408)),"B",IF(NOT(ISBLANK('A-RACHNATMAK'!V407)),"C","")))</f>
        <v/>
      </c>
      <c r="V383" s="622">
        <f t="shared" ref="V383" si="726">COUNTIF(B383:U383,"A")</f>
        <v>0</v>
      </c>
      <c r="W383" s="622">
        <f t="shared" ref="W383" si="727">COUNTIF(B383:U383,"B")</f>
        <v>0</v>
      </c>
      <c r="X383" s="622">
        <f t="shared" ref="X383" si="728">COUNTIF(B383:U383,"C")</f>
        <v>0</v>
      </c>
      <c r="Y383" s="330"/>
      <c r="Z383" s="623">
        <v>21</v>
      </c>
      <c r="AA383" s="622" t="str">
        <f>IF(NOT(ISBLANK('A-RACHNATMAK'!AD409)),"A",IF(NOT(ISBLANK('A-RACHNATMAK'!AD408)),"B",IF(NOT(ISBLANK('A-RACHNATMAK'!AD407)),"C","")))</f>
        <v/>
      </c>
      <c r="AB383" s="622" t="str">
        <f>IF(NOT(ISBLANK('A-RACHNATMAK'!AE409)),"A",IF(NOT(ISBLANK('A-RACHNATMAK'!AE408)),"B",IF(NOT(ISBLANK('A-RACHNATMAK'!AE407)),"C","")))</f>
        <v/>
      </c>
      <c r="AC383" s="622" t="str">
        <f>IF(NOT(ISBLANK('A-RACHNATMAK'!AF409)),"A",IF(NOT(ISBLANK('A-RACHNATMAK'!AF408)),"B",IF(NOT(ISBLANK('A-RACHNATMAK'!AF407)),"C","")))</f>
        <v/>
      </c>
      <c r="AD383" s="622" t="str">
        <f>IF(NOT(ISBLANK('A-RACHNATMAK'!AG409)),"A",IF(NOT(ISBLANK('A-RACHNATMAK'!AG408)),"B",IF(NOT(ISBLANK('A-RACHNATMAK'!AG407)),"C","")))</f>
        <v/>
      </c>
      <c r="AE383" s="622" t="str">
        <f>IF(NOT(ISBLANK('A-RACHNATMAK'!AH409)),"A",IF(NOT(ISBLANK('A-RACHNATMAK'!AH408)),"B",IF(NOT(ISBLANK('A-RACHNATMAK'!AH407)),"C","")))</f>
        <v/>
      </c>
      <c r="AF383" s="622" t="str">
        <f>IF(NOT(ISBLANK('A-RACHNATMAK'!AI409)),"A",IF(NOT(ISBLANK('A-RACHNATMAK'!AI408)),"B",IF(NOT(ISBLANK('A-RACHNATMAK'!AI407)),"C","")))</f>
        <v/>
      </c>
      <c r="AG383" s="622" t="str">
        <f>IF(NOT(ISBLANK('A-RACHNATMAK'!AJ409)),"A",IF(NOT(ISBLANK('A-RACHNATMAK'!AJ408)),"B",IF(NOT(ISBLANK('A-RACHNATMAK'!AJ407)),"C","")))</f>
        <v/>
      </c>
      <c r="AH383" s="622" t="str">
        <f>IF(NOT(ISBLANK('A-RACHNATMAK'!AK409)),"A",IF(NOT(ISBLANK('A-RACHNATMAK'!AK408)),"B",IF(NOT(ISBLANK('A-RACHNATMAK'!AK407)),"C","")))</f>
        <v/>
      </c>
      <c r="AI383" s="622" t="str">
        <f>IF(NOT(ISBLANK('A-RACHNATMAK'!AL409)),"A",IF(NOT(ISBLANK('A-RACHNATMAK'!AL408)),"B",IF(NOT(ISBLANK('A-RACHNATMAK'!AL407)),"C","")))</f>
        <v/>
      </c>
      <c r="AJ383" s="622" t="str">
        <f>IF(NOT(ISBLANK('A-RACHNATMAK'!AM409)),"A",IF(NOT(ISBLANK('A-RACHNATMAK'!AM408)),"B",IF(NOT(ISBLANK('A-RACHNATMAK'!AM407)),"C","")))</f>
        <v/>
      </c>
      <c r="AK383" s="622" t="str">
        <f>IF(NOT(ISBLANK('A-RACHNATMAK'!AN409)),"A",IF(NOT(ISBLANK('A-RACHNATMAK'!AN408)),"B",IF(NOT(ISBLANK('A-RACHNATMAK'!AN407)),"C","")))</f>
        <v/>
      </c>
      <c r="AL383" s="622" t="str">
        <f>IF(NOT(ISBLANK('A-RACHNATMAK'!AO409)),"A",IF(NOT(ISBLANK('A-RACHNATMAK'!AO408)),"B",IF(NOT(ISBLANK('A-RACHNATMAK'!AO407)),"C","")))</f>
        <v/>
      </c>
      <c r="AM383" s="622" t="str">
        <f>IF(NOT(ISBLANK('A-RACHNATMAK'!AP409)),"A",IF(NOT(ISBLANK('A-RACHNATMAK'!AP408)),"B",IF(NOT(ISBLANK('A-RACHNATMAK'!AP407)),"C","")))</f>
        <v/>
      </c>
      <c r="AN383" s="622" t="str">
        <f>IF(NOT(ISBLANK('A-RACHNATMAK'!AQ409)),"A",IF(NOT(ISBLANK('A-RACHNATMAK'!AQ408)),"B",IF(NOT(ISBLANK('A-RACHNATMAK'!AQ407)),"C","")))</f>
        <v/>
      </c>
      <c r="AO383" s="622" t="str">
        <f>IF(NOT(ISBLANK('A-RACHNATMAK'!AR409)),"A",IF(NOT(ISBLANK('A-RACHNATMAK'!AR408)),"B",IF(NOT(ISBLANK('A-RACHNATMAK'!AR407)),"C","")))</f>
        <v/>
      </c>
      <c r="AP383" s="622" t="str">
        <f>IF(NOT(ISBLANK('A-RACHNATMAK'!AS409)),"A",IF(NOT(ISBLANK('A-RACHNATMAK'!AS408)),"B",IF(NOT(ISBLANK('A-RACHNATMAK'!AS407)),"C","")))</f>
        <v/>
      </c>
      <c r="AQ383" s="622" t="str">
        <f>IF(NOT(ISBLANK('A-RACHNATMAK'!AT409)),"A",IF(NOT(ISBLANK('A-RACHNATMAK'!AT408)),"B",IF(NOT(ISBLANK('A-RACHNATMAK'!AT407)),"C","")))</f>
        <v/>
      </c>
      <c r="AR383" s="622" t="str">
        <f>IF(NOT(ISBLANK('A-RACHNATMAK'!AU409)),"A",IF(NOT(ISBLANK('A-RACHNATMAK'!AU408)),"B",IF(NOT(ISBLANK('A-RACHNATMAK'!AU407)),"C","")))</f>
        <v/>
      </c>
      <c r="AS383" s="622" t="str">
        <f>IF(NOT(ISBLANK('A-RACHNATMAK'!AV409)),"A",IF(NOT(ISBLANK('A-RACHNATMAK'!AV408)),"B",IF(NOT(ISBLANK('A-RACHNATMAK'!AV407)),"C","")))</f>
        <v/>
      </c>
      <c r="AT383" s="622" t="str">
        <f>IF(NOT(ISBLANK('A-RACHNATMAK'!AW409)),"A",IF(NOT(ISBLANK('A-RACHNATMAK'!AW408)),"B",IF(NOT(ISBLANK('A-RACHNATMAK'!AW407)),"C","")))</f>
        <v/>
      </c>
      <c r="AU383" s="622">
        <f t="shared" ref="AU383" si="729">COUNTIF(AA383:AT383,"A")</f>
        <v>0</v>
      </c>
      <c r="AV383" s="622">
        <f t="shared" ref="AV383" si="730">COUNTIF(AA383:AT383,"B")</f>
        <v>0</v>
      </c>
      <c r="AW383" s="622">
        <f t="shared" ref="AW383" si="731">COUNTIF(AA383:AT383,"C")</f>
        <v>0</v>
      </c>
    </row>
    <row r="384" spans="1:49" ht="7.5" customHeight="1">
      <c r="A384" s="623"/>
      <c r="B384" s="622"/>
      <c r="C384" s="622"/>
      <c r="D384" s="622"/>
      <c r="E384" s="622"/>
      <c r="F384" s="622"/>
      <c r="G384" s="622"/>
      <c r="H384" s="622"/>
      <c r="I384" s="622"/>
      <c r="J384" s="622"/>
      <c r="K384" s="622"/>
      <c r="L384" s="622"/>
      <c r="M384" s="622"/>
      <c r="N384" s="622"/>
      <c r="O384" s="622"/>
      <c r="P384" s="622"/>
      <c r="Q384" s="622"/>
      <c r="R384" s="622"/>
      <c r="S384" s="622"/>
      <c r="T384" s="622"/>
      <c r="U384" s="622"/>
      <c r="V384" s="622"/>
      <c r="W384" s="622"/>
      <c r="X384" s="622"/>
      <c r="Y384" s="330"/>
      <c r="Z384" s="623"/>
      <c r="AA384" s="622"/>
      <c r="AB384" s="622"/>
      <c r="AC384" s="622"/>
      <c r="AD384" s="622"/>
      <c r="AE384" s="622"/>
      <c r="AF384" s="622"/>
      <c r="AG384" s="622"/>
      <c r="AH384" s="622"/>
      <c r="AI384" s="622"/>
      <c r="AJ384" s="622"/>
      <c r="AK384" s="622"/>
      <c r="AL384" s="622"/>
      <c r="AM384" s="622"/>
      <c r="AN384" s="622"/>
      <c r="AO384" s="622"/>
      <c r="AP384" s="622"/>
      <c r="AQ384" s="622"/>
      <c r="AR384" s="622"/>
      <c r="AS384" s="622"/>
      <c r="AT384" s="622"/>
      <c r="AU384" s="622"/>
      <c r="AV384" s="622"/>
      <c r="AW384" s="622"/>
    </row>
    <row r="385" spans="1:49" ht="7.5" customHeight="1">
      <c r="A385" s="623"/>
      <c r="B385" s="622"/>
      <c r="C385" s="622"/>
      <c r="D385" s="622"/>
      <c r="E385" s="622"/>
      <c r="F385" s="622"/>
      <c r="G385" s="622"/>
      <c r="H385" s="622"/>
      <c r="I385" s="622"/>
      <c r="J385" s="622"/>
      <c r="K385" s="622"/>
      <c r="L385" s="622"/>
      <c r="M385" s="622"/>
      <c r="N385" s="622"/>
      <c r="O385" s="622"/>
      <c r="P385" s="622"/>
      <c r="Q385" s="622"/>
      <c r="R385" s="622"/>
      <c r="S385" s="622"/>
      <c r="T385" s="622"/>
      <c r="U385" s="622"/>
      <c r="V385" s="622"/>
      <c r="W385" s="622"/>
      <c r="X385" s="622"/>
      <c r="Y385" s="330"/>
      <c r="Z385" s="623"/>
      <c r="AA385" s="622"/>
      <c r="AB385" s="622"/>
      <c r="AC385" s="622"/>
      <c r="AD385" s="622"/>
      <c r="AE385" s="622"/>
      <c r="AF385" s="622"/>
      <c r="AG385" s="622"/>
      <c r="AH385" s="622"/>
      <c r="AI385" s="622"/>
      <c r="AJ385" s="622"/>
      <c r="AK385" s="622"/>
      <c r="AL385" s="622"/>
      <c r="AM385" s="622"/>
      <c r="AN385" s="622"/>
      <c r="AO385" s="622"/>
      <c r="AP385" s="622"/>
      <c r="AQ385" s="622"/>
      <c r="AR385" s="622"/>
      <c r="AS385" s="622"/>
      <c r="AT385" s="622"/>
      <c r="AU385" s="622"/>
      <c r="AV385" s="622"/>
      <c r="AW385" s="622"/>
    </row>
    <row r="386" spans="1:49" ht="7.5" customHeight="1">
      <c r="A386" s="623">
        <v>22</v>
      </c>
      <c r="B386" s="622" t="str">
        <f>IF(NOT(ISBLANK('A-RACHNATMAK'!C412)),"A",IF(NOT(ISBLANK('A-RACHNATMAK'!C411)),"B",IF(NOT(ISBLANK('A-RACHNATMAK'!C410)),"C","")))</f>
        <v/>
      </c>
      <c r="C386" s="622" t="str">
        <f>IF(NOT(ISBLANK('A-RACHNATMAK'!D412)),"A",IF(NOT(ISBLANK('A-RACHNATMAK'!D411)),"B",IF(NOT(ISBLANK('A-RACHNATMAK'!D410)),"C","")))</f>
        <v/>
      </c>
      <c r="D386" s="622" t="str">
        <f>IF(NOT(ISBLANK('A-RACHNATMAK'!E412)),"A",IF(NOT(ISBLANK('A-RACHNATMAK'!E411)),"B",IF(NOT(ISBLANK('A-RACHNATMAK'!E410)),"C","")))</f>
        <v/>
      </c>
      <c r="E386" s="622" t="str">
        <f>IF(NOT(ISBLANK('A-RACHNATMAK'!F412)),"A",IF(NOT(ISBLANK('A-RACHNATMAK'!F411)),"B",IF(NOT(ISBLANK('A-RACHNATMAK'!F410)),"C","")))</f>
        <v/>
      </c>
      <c r="F386" s="622" t="str">
        <f>IF(NOT(ISBLANK('A-RACHNATMAK'!G412)),"A",IF(NOT(ISBLANK('A-RACHNATMAK'!G411)),"B",IF(NOT(ISBLANK('A-RACHNATMAK'!G410)),"C","")))</f>
        <v/>
      </c>
      <c r="G386" s="622" t="str">
        <f>IF(NOT(ISBLANK('A-RACHNATMAK'!H412)),"A",IF(NOT(ISBLANK('A-RACHNATMAK'!H411)),"B",IF(NOT(ISBLANK('A-RACHNATMAK'!H410)),"C","")))</f>
        <v/>
      </c>
      <c r="H386" s="622" t="str">
        <f>IF(NOT(ISBLANK('A-RACHNATMAK'!I412)),"A",IF(NOT(ISBLANK('A-RACHNATMAK'!I411)),"B",IF(NOT(ISBLANK('A-RACHNATMAK'!I410)),"C","")))</f>
        <v/>
      </c>
      <c r="I386" s="622" t="str">
        <f>IF(NOT(ISBLANK('A-RACHNATMAK'!J412)),"A",IF(NOT(ISBLANK('A-RACHNATMAK'!J411)),"B",IF(NOT(ISBLANK('A-RACHNATMAK'!J410)),"C","")))</f>
        <v/>
      </c>
      <c r="J386" s="622" t="str">
        <f>IF(NOT(ISBLANK('A-RACHNATMAK'!K412)),"A",IF(NOT(ISBLANK('A-RACHNATMAK'!K411)),"B",IF(NOT(ISBLANK('A-RACHNATMAK'!K410)),"C","")))</f>
        <v/>
      </c>
      <c r="K386" s="622" t="str">
        <f>IF(NOT(ISBLANK('A-RACHNATMAK'!L412)),"A",IF(NOT(ISBLANK('A-RACHNATMAK'!L411)),"B",IF(NOT(ISBLANK('A-RACHNATMAK'!L410)),"C","")))</f>
        <v/>
      </c>
      <c r="L386" s="622" t="str">
        <f>IF(NOT(ISBLANK('A-RACHNATMAK'!M412)),"A",IF(NOT(ISBLANK('A-RACHNATMAK'!M411)),"B",IF(NOT(ISBLANK('A-RACHNATMAK'!M410)),"C","")))</f>
        <v/>
      </c>
      <c r="M386" s="622" t="str">
        <f>IF(NOT(ISBLANK('A-RACHNATMAK'!N412)),"A",IF(NOT(ISBLANK('A-RACHNATMAK'!N411)),"B",IF(NOT(ISBLANK('A-RACHNATMAK'!N410)),"C","")))</f>
        <v/>
      </c>
      <c r="N386" s="622" t="str">
        <f>IF(NOT(ISBLANK('A-RACHNATMAK'!O412)),"A",IF(NOT(ISBLANK('A-RACHNATMAK'!O411)),"B",IF(NOT(ISBLANK('A-RACHNATMAK'!O410)),"C","")))</f>
        <v/>
      </c>
      <c r="O386" s="622" t="str">
        <f>IF(NOT(ISBLANK('A-RACHNATMAK'!P412)),"A",IF(NOT(ISBLANK('A-RACHNATMAK'!P411)),"B",IF(NOT(ISBLANK('A-RACHNATMAK'!P410)),"C","")))</f>
        <v/>
      </c>
      <c r="P386" s="622" t="str">
        <f>IF(NOT(ISBLANK('A-RACHNATMAK'!Q412)),"A",IF(NOT(ISBLANK('A-RACHNATMAK'!Q411)),"B",IF(NOT(ISBLANK('A-RACHNATMAK'!Q410)),"C","")))</f>
        <v/>
      </c>
      <c r="Q386" s="622" t="str">
        <f>IF(NOT(ISBLANK('A-RACHNATMAK'!R412)),"A",IF(NOT(ISBLANK('A-RACHNATMAK'!R411)),"B",IF(NOT(ISBLANK('A-RACHNATMAK'!R410)),"C","")))</f>
        <v/>
      </c>
      <c r="R386" s="622" t="str">
        <f>IF(NOT(ISBLANK('A-RACHNATMAK'!S412)),"A",IF(NOT(ISBLANK('A-RACHNATMAK'!S411)),"B",IF(NOT(ISBLANK('A-RACHNATMAK'!S410)),"C","")))</f>
        <v/>
      </c>
      <c r="S386" s="622" t="str">
        <f>IF(NOT(ISBLANK('A-RACHNATMAK'!T412)),"A",IF(NOT(ISBLANK('A-RACHNATMAK'!T411)),"B",IF(NOT(ISBLANK('A-RACHNATMAK'!T410)),"C","")))</f>
        <v/>
      </c>
      <c r="T386" s="622" t="str">
        <f>IF(NOT(ISBLANK('A-RACHNATMAK'!U412)),"A",IF(NOT(ISBLANK('A-RACHNATMAK'!U411)),"B",IF(NOT(ISBLANK('A-RACHNATMAK'!U410)),"C","")))</f>
        <v/>
      </c>
      <c r="U386" s="622" t="str">
        <f>IF(NOT(ISBLANK('A-RACHNATMAK'!V412)),"A",IF(NOT(ISBLANK('A-RACHNATMAK'!V411)),"B",IF(NOT(ISBLANK('A-RACHNATMAK'!V410)),"C","")))</f>
        <v/>
      </c>
      <c r="V386" s="622">
        <f t="shared" ref="V386" si="732">COUNTIF(B386:U386,"A")</f>
        <v>0</v>
      </c>
      <c r="W386" s="622">
        <f t="shared" ref="W386" si="733">COUNTIF(B386:U386,"B")</f>
        <v>0</v>
      </c>
      <c r="X386" s="622">
        <f t="shared" ref="X386" si="734">COUNTIF(B386:U386,"C")</f>
        <v>0</v>
      </c>
      <c r="Y386" s="330"/>
      <c r="Z386" s="623">
        <v>22</v>
      </c>
      <c r="AA386" s="622" t="str">
        <f>IF(NOT(ISBLANK('A-RACHNATMAK'!AD412)),"A",IF(NOT(ISBLANK('A-RACHNATMAK'!AD411)),"B",IF(NOT(ISBLANK('A-RACHNATMAK'!AD410)),"C","")))</f>
        <v/>
      </c>
      <c r="AB386" s="622" t="str">
        <f>IF(NOT(ISBLANK('A-RACHNATMAK'!AE412)),"A",IF(NOT(ISBLANK('A-RACHNATMAK'!AE411)),"B",IF(NOT(ISBLANK('A-RACHNATMAK'!AE410)),"C","")))</f>
        <v/>
      </c>
      <c r="AC386" s="622" t="str">
        <f>IF(NOT(ISBLANK('A-RACHNATMAK'!AF412)),"A",IF(NOT(ISBLANK('A-RACHNATMAK'!AF411)),"B",IF(NOT(ISBLANK('A-RACHNATMAK'!AF410)),"C","")))</f>
        <v/>
      </c>
      <c r="AD386" s="622" t="str">
        <f>IF(NOT(ISBLANK('A-RACHNATMAK'!AG412)),"A",IF(NOT(ISBLANK('A-RACHNATMAK'!AG411)),"B",IF(NOT(ISBLANK('A-RACHNATMAK'!AG410)),"C","")))</f>
        <v/>
      </c>
      <c r="AE386" s="622" t="str">
        <f>IF(NOT(ISBLANK('A-RACHNATMAK'!AH412)),"A",IF(NOT(ISBLANK('A-RACHNATMAK'!AH411)),"B",IF(NOT(ISBLANK('A-RACHNATMAK'!AH410)),"C","")))</f>
        <v/>
      </c>
      <c r="AF386" s="622" t="str">
        <f>IF(NOT(ISBLANK('A-RACHNATMAK'!AI412)),"A",IF(NOT(ISBLANK('A-RACHNATMAK'!AI411)),"B",IF(NOT(ISBLANK('A-RACHNATMAK'!AI410)),"C","")))</f>
        <v/>
      </c>
      <c r="AG386" s="622" t="str">
        <f>IF(NOT(ISBLANK('A-RACHNATMAK'!AJ412)),"A",IF(NOT(ISBLANK('A-RACHNATMAK'!AJ411)),"B",IF(NOT(ISBLANK('A-RACHNATMAK'!AJ410)),"C","")))</f>
        <v/>
      </c>
      <c r="AH386" s="622" t="str">
        <f>IF(NOT(ISBLANK('A-RACHNATMAK'!AK412)),"A",IF(NOT(ISBLANK('A-RACHNATMAK'!AK411)),"B",IF(NOT(ISBLANK('A-RACHNATMAK'!AK410)),"C","")))</f>
        <v/>
      </c>
      <c r="AI386" s="622" t="str">
        <f>IF(NOT(ISBLANK('A-RACHNATMAK'!AL412)),"A",IF(NOT(ISBLANK('A-RACHNATMAK'!AL411)),"B",IF(NOT(ISBLANK('A-RACHNATMAK'!AL410)),"C","")))</f>
        <v/>
      </c>
      <c r="AJ386" s="622" t="str">
        <f>IF(NOT(ISBLANK('A-RACHNATMAK'!AM412)),"A",IF(NOT(ISBLANK('A-RACHNATMAK'!AM411)),"B",IF(NOT(ISBLANK('A-RACHNATMAK'!AM410)),"C","")))</f>
        <v/>
      </c>
      <c r="AK386" s="622" t="str">
        <f>IF(NOT(ISBLANK('A-RACHNATMAK'!AN412)),"A",IF(NOT(ISBLANK('A-RACHNATMAK'!AN411)),"B",IF(NOT(ISBLANK('A-RACHNATMAK'!AN410)),"C","")))</f>
        <v/>
      </c>
      <c r="AL386" s="622" t="str">
        <f>IF(NOT(ISBLANK('A-RACHNATMAK'!AO412)),"A",IF(NOT(ISBLANK('A-RACHNATMAK'!AO411)),"B",IF(NOT(ISBLANK('A-RACHNATMAK'!AO410)),"C","")))</f>
        <v/>
      </c>
      <c r="AM386" s="622" t="str">
        <f>IF(NOT(ISBLANK('A-RACHNATMAK'!AP412)),"A",IF(NOT(ISBLANK('A-RACHNATMAK'!AP411)),"B",IF(NOT(ISBLANK('A-RACHNATMAK'!AP410)),"C","")))</f>
        <v/>
      </c>
      <c r="AN386" s="622" t="str">
        <f>IF(NOT(ISBLANK('A-RACHNATMAK'!AQ412)),"A",IF(NOT(ISBLANK('A-RACHNATMAK'!AQ411)),"B",IF(NOT(ISBLANK('A-RACHNATMAK'!AQ410)),"C","")))</f>
        <v/>
      </c>
      <c r="AO386" s="622" t="str">
        <f>IF(NOT(ISBLANK('A-RACHNATMAK'!AR412)),"A",IF(NOT(ISBLANK('A-RACHNATMAK'!AR411)),"B",IF(NOT(ISBLANK('A-RACHNATMAK'!AR410)),"C","")))</f>
        <v/>
      </c>
      <c r="AP386" s="622" t="str">
        <f>IF(NOT(ISBLANK('A-RACHNATMAK'!AS412)),"A",IF(NOT(ISBLANK('A-RACHNATMAK'!AS411)),"B",IF(NOT(ISBLANK('A-RACHNATMAK'!AS410)),"C","")))</f>
        <v/>
      </c>
      <c r="AQ386" s="622" t="str">
        <f>IF(NOT(ISBLANK('A-RACHNATMAK'!AT412)),"A",IF(NOT(ISBLANK('A-RACHNATMAK'!AT411)),"B",IF(NOT(ISBLANK('A-RACHNATMAK'!AT410)),"C","")))</f>
        <v/>
      </c>
      <c r="AR386" s="622" t="str">
        <f>IF(NOT(ISBLANK('A-RACHNATMAK'!AU412)),"A",IF(NOT(ISBLANK('A-RACHNATMAK'!AU411)),"B",IF(NOT(ISBLANK('A-RACHNATMAK'!AU410)),"C","")))</f>
        <v/>
      </c>
      <c r="AS386" s="622" t="str">
        <f>IF(NOT(ISBLANK('A-RACHNATMAK'!AV412)),"A",IF(NOT(ISBLANK('A-RACHNATMAK'!AV411)),"B",IF(NOT(ISBLANK('A-RACHNATMAK'!AV410)),"C","")))</f>
        <v/>
      </c>
      <c r="AT386" s="622" t="str">
        <f>IF(NOT(ISBLANK('A-RACHNATMAK'!AW412)),"A",IF(NOT(ISBLANK('A-RACHNATMAK'!AW411)),"B",IF(NOT(ISBLANK('A-RACHNATMAK'!AW410)),"C","")))</f>
        <v/>
      </c>
      <c r="AU386" s="622">
        <f t="shared" ref="AU386" si="735">COUNTIF(AA386:AT386,"A")</f>
        <v>0</v>
      </c>
      <c r="AV386" s="622">
        <f t="shared" ref="AV386" si="736">COUNTIF(AA386:AT386,"B")</f>
        <v>0</v>
      </c>
      <c r="AW386" s="622">
        <f t="shared" ref="AW386" si="737">COUNTIF(AA386:AT386,"C")</f>
        <v>0</v>
      </c>
    </row>
    <row r="387" spans="1:49" ht="7.5" customHeight="1">
      <c r="A387" s="623"/>
      <c r="B387" s="622"/>
      <c r="C387" s="622"/>
      <c r="D387" s="622"/>
      <c r="E387" s="622"/>
      <c r="F387" s="622"/>
      <c r="G387" s="622"/>
      <c r="H387" s="622"/>
      <c r="I387" s="622"/>
      <c r="J387" s="622"/>
      <c r="K387" s="622"/>
      <c r="L387" s="622"/>
      <c r="M387" s="622"/>
      <c r="N387" s="622"/>
      <c r="O387" s="622"/>
      <c r="P387" s="622"/>
      <c r="Q387" s="622"/>
      <c r="R387" s="622"/>
      <c r="S387" s="622"/>
      <c r="T387" s="622"/>
      <c r="U387" s="622"/>
      <c r="V387" s="622"/>
      <c r="W387" s="622"/>
      <c r="X387" s="622"/>
      <c r="Y387" s="330"/>
      <c r="Z387" s="623"/>
      <c r="AA387" s="622"/>
      <c r="AB387" s="622"/>
      <c r="AC387" s="622"/>
      <c r="AD387" s="622"/>
      <c r="AE387" s="622"/>
      <c r="AF387" s="622"/>
      <c r="AG387" s="622"/>
      <c r="AH387" s="622"/>
      <c r="AI387" s="622"/>
      <c r="AJ387" s="622"/>
      <c r="AK387" s="622"/>
      <c r="AL387" s="622"/>
      <c r="AM387" s="622"/>
      <c r="AN387" s="622"/>
      <c r="AO387" s="622"/>
      <c r="AP387" s="622"/>
      <c r="AQ387" s="622"/>
      <c r="AR387" s="622"/>
      <c r="AS387" s="622"/>
      <c r="AT387" s="622"/>
      <c r="AU387" s="622"/>
      <c r="AV387" s="622"/>
      <c r="AW387" s="622"/>
    </row>
    <row r="388" spans="1:49" ht="7.5" customHeight="1">
      <c r="A388" s="623"/>
      <c r="B388" s="622"/>
      <c r="C388" s="622"/>
      <c r="D388" s="622"/>
      <c r="E388" s="622"/>
      <c r="F388" s="622"/>
      <c r="G388" s="622"/>
      <c r="H388" s="622"/>
      <c r="I388" s="622"/>
      <c r="J388" s="622"/>
      <c r="K388" s="622"/>
      <c r="L388" s="622"/>
      <c r="M388" s="622"/>
      <c r="N388" s="622"/>
      <c r="O388" s="622"/>
      <c r="P388" s="622"/>
      <c r="Q388" s="622"/>
      <c r="R388" s="622"/>
      <c r="S388" s="622"/>
      <c r="T388" s="622"/>
      <c r="U388" s="622"/>
      <c r="V388" s="622"/>
      <c r="W388" s="622"/>
      <c r="X388" s="622"/>
      <c r="Y388" s="330"/>
      <c r="Z388" s="623"/>
      <c r="AA388" s="622"/>
      <c r="AB388" s="622"/>
      <c r="AC388" s="622"/>
      <c r="AD388" s="622"/>
      <c r="AE388" s="622"/>
      <c r="AF388" s="622"/>
      <c r="AG388" s="622"/>
      <c r="AH388" s="622"/>
      <c r="AI388" s="622"/>
      <c r="AJ388" s="622"/>
      <c r="AK388" s="622"/>
      <c r="AL388" s="622"/>
      <c r="AM388" s="622"/>
      <c r="AN388" s="622"/>
      <c r="AO388" s="622"/>
      <c r="AP388" s="622"/>
      <c r="AQ388" s="622"/>
      <c r="AR388" s="622"/>
      <c r="AS388" s="622"/>
      <c r="AT388" s="622"/>
      <c r="AU388" s="622"/>
      <c r="AV388" s="622"/>
      <c r="AW388" s="622"/>
    </row>
    <row r="389" spans="1:49" ht="7.5" customHeight="1">
      <c r="A389" s="623">
        <v>23</v>
      </c>
      <c r="B389" s="622" t="str">
        <f>IF(NOT(ISBLANK('A-RACHNATMAK'!C415)),"A",IF(NOT(ISBLANK('A-RACHNATMAK'!C414)),"B",IF(NOT(ISBLANK('A-RACHNATMAK'!C413)),"C","")))</f>
        <v/>
      </c>
      <c r="C389" s="622" t="str">
        <f>IF(NOT(ISBLANK('A-RACHNATMAK'!D415)),"A",IF(NOT(ISBLANK('A-RACHNATMAK'!D414)),"B",IF(NOT(ISBLANK('A-RACHNATMAK'!D413)),"C","")))</f>
        <v/>
      </c>
      <c r="D389" s="622" t="str">
        <f>IF(NOT(ISBLANK('A-RACHNATMAK'!E415)),"A",IF(NOT(ISBLANK('A-RACHNATMAK'!E414)),"B",IF(NOT(ISBLANK('A-RACHNATMAK'!E413)),"C","")))</f>
        <v/>
      </c>
      <c r="E389" s="622" t="str">
        <f>IF(NOT(ISBLANK('A-RACHNATMAK'!F415)),"A",IF(NOT(ISBLANK('A-RACHNATMAK'!F414)),"B",IF(NOT(ISBLANK('A-RACHNATMAK'!F413)),"C","")))</f>
        <v/>
      </c>
      <c r="F389" s="622" t="str">
        <f>IF(NOT(ISBLANK('A-RACHNATMAK'!G415)),"A",IF(NOT(ISBLANK('A-RACHNATMAK'!G414)),"B",IF(NOT(ISBLANK('A-RACHNATMAK'!G413)),"C","")))</f>
        <v/>
      </c>
      <c r="G389" s="622" t="str">
        <f>IF(NOT(ISBLANK('A-RACHNATMAK'!H415)),"A",IF(NOT(ISBLANK('A-RACHNATMAK'!H414)),"B",IF(NOT(ISBLANK('A-RACHNATMAK'!H413)),"C","")))</f>
        <v/>
      </c>
      <c r="H389" s="622" t="str">
        <f>IF(NOT(ISBLANK('A-RACHNATMAK'!I415)),"A",IF(NOT(ISBLANK('A-RACHNATMAK'!I414)),"B",IF(NOT(ISBLANK('A-RACHNATMAK'!I413)),"C","")))</f>
        <v/>
      </c>
      <c r="I389" s="622" t="str">
        <f>IF(NOT(ISBLANK('A-RACHNATMAK'!J415)),"A",IF(NOT(ISBLANK('A-RACHNATMAK'!J414)),"B",IF(NOT(ISBLANK('A-RACHNATMAK'!J413)),"C","")))</f>
        <v/>
      </c>
      <c r="J389" s="622" t="str">
        <f>IF(NOT(ISBLANK('A-RACHNATMAK'!K415)),"A",IF(NOT(ISBLANK('A-RACHNATMAK'!K414)),"B",IF(NOT(ISBLANK('A-RACHNATMAK'!K413)),"C","")))</f>
        <v/>
      </c>
      <c r="K389" s="622" t="str">
        <f>IF(NOT(ISBLANK('A-RACHNATMAK'!L415)),"A",IF(NOT(ISBLANK('A-RACHNATMAK'!L414)),"B",IF(NOT(ISBLANK('A-RACHNATMAK'!L413)),"C","")))</f>
        <v/>
      </c>
      <c r="L389" s="622" t="str">
        <f>IF(NOT(ISBLANK('A-RACHNATMAK'!M415)),"A",IF(NOT(ISBLANK('A-RACHNATMAK'!M414)),"B",IF(NOT(ISBLANK('A-RACHNATMAK'!M413)),"C","")))</f>
        <v/>
      </c>
      <c r="M389" s="622" t="str">
        <f>IF(NOT(ISBLANK('A-RACHNATMAK'!N415)),"A",IF(NOT(ISBLANK('A-RACHNATMAK'!N414)),"B",IF(NOT(ISBLANK('A-RACHNATMAK'!N413)),"C","")))</f>
        <v/>
      </c>
      <c r="N389" s="622" t="str">
        <f>IF(NOT(ISBLANK('A-RACHNATMAK'!O415)),"A",IF(NOT(ISBLANK('A-RACHNATMAK'!O414)),"B",IF(NOT(ISBLANK('A-RACHNATMAK'!O413)),"C","")))</f>
        <v/>
      </c>
      <c r="O389" s="622" t="str">
        <f>IF(NOT(ISBLANK('A-RACHNATMAK'!P415)),"A",IF(NOT(ISBLANK('A-RACHNATMAK'!P414)),"B",IF(NOT(ISBLANK('A-RACHNATMAK'!P413)),"C","")))</f>
        <v/>
      </c>
      <c r="P389" s="622" t="str">
        <f>IF(NOT(ISBLANK('A-RACHNATMAK'!Q415)),"A",IF(NOT(ISBLANK('A-RACHNATMAK'!Q414)),"B",IF(NOT(ISBLANK('A-RACHNATMAK'!Q413)),"C","")))</f>
        <v/>
      </c>
      <c r="Q389" s="622" t="str">
        <f>IF(NOT(ISBLANK('A-RACHNATMAK'!R415)),"A",IF(NOT(ISBLANK('A-RACHNATMAK'!R414)),"B",IF(NOT(ISBLANK('A-RACHNATMAK'!R413)),"C","")))</f>
        <v/>
      </c>
      <c r="R389" s="622" t="str">
        <f>IF(NOT(ISBLANK('A-RACHNATMAK'!S415)),"A",IF(NOT(ISBLANK('A-RACHNATMAK'!S414)),"B",IF(NOT(ISBLANK('A-RACHNATMAK'!S413)),"C","")))</f>
        <v/>
      </c>
      <c r="S389" s="622" t="str">
        <f>IF(NOT(ISBLANK('A-RACHNATMAK'!T415)),"A",IF(NOT(ISBLANK('A-RACHNATMAK'!T414)),"B",IF(NOT(ISBLANK('A-RACHNATMAK'!T413)),"C","")))</f>
        <v/>
      </c>
      <c r="T389" s="622" t="str">
        <f>IF(NOT(ISBLANK('A-RACHNATMAK'!U415)),"A",IF(NOT(ISBLANK('A-RACHNATMAK'!U414)),"B",IF(NOT(ISBLANK('A-RACHNATMAK'!U413)),"C","")))</f>
        <v/>
      </c>
      <c r="U389" s="622" t="str">
        <f>IF(NOT(ISBLANK('A-RACHNATMAK'!V415)),"A",IF(NOT(ISBLANK('A-RACHNATMAK'!V414)),"B",IF(NOT(ISBLANK('A-RACHNATMAK'!V413)),"C","")))</f>
        <v/>
      </c>
      <c r="V389" s="622">
        <f t="shared" ref="V389" si="738">COUNTIF(B389:U389,"A")</f>
        <v>0</v>
      </c>
      <c r="W389" s="622">
        <f t="shared" ref="W389" si="739">COUNTIF(B389:U389,"B")</f>
        <v>0</v>
      </c>
      <c r="X389" s="622">
        <f t="shared" ref="X389" si="740">COUNTIF(B389:U389,"C")</f>
        <v>0</v>
      </c>
      <c r="Y389" s="330"/>
      <c r="Z389" s="623">
        <v>23</v>
      </c>
      <c r="AA389" s="622" t="str">
        <f>IF(NOT(ISBLANK('A-RACHNATMAK'!AD415)),"A",IF(NOT(ISBLANK('A-RACHNATMAK'!AD414)),"B",IF(NOT(ISBLANK('A-RACHNATMAK'!AD413)),"C","")))</f>
        <v/>
      </c>
      <c r="AB389" s="622" t="str">
        <f>IF(NOT(ISBLANK('A-RACHNATMAK'!AE415)),"A",IF(NOT(ISBLANK('A-RACHNATMAK'!AE414)),"B",IF(NOT(ISBLANK('A-RACHNATMAK'!AE413)),"C","")))</f>
        <v/>
      </c>
      <c r="AC389" s="622" t="str">
        <f>IF(NOT(ISBLANK('A-RACHNATMAK'!AF415)),"A",IF(NOT(ISBLANK('A-RACHNATMAK'!AF414)),"B",IF(NOT(ISBLANK('A-RACHNATMAK'!AF413)),"C","")))</f>
        <v/>
      </c>
      <c r="AD389" s="622" t="str">
        <f>IF(NOT(ISBLANK('A-RACHNATMAK'!AG415)),"A",IF(NOT(ISBLANK('A-RACHNATMAK'!AG414)),"B",IF(NOT(ISBLANK('A-RACHNATMAK'!AG413)),"C","")))</f>
        <v/>
      </c>
      <c r="AE389" s="622" t="str">
        <f>IF(NOT(ISBLANK('A-RACHNATMAK'!AH415)),"A",IF(NOT(ISBLANK('A-RACHNATMAK'!AH414)),"B",IF(NOT(ISBLANK('A-RACHNATMAK'!AH413)),"C","")))</f>
        <v/>
      </c>
      <c r="AF389" s="622" t="str">
        <f>IF(NOT(ISBLANK('A-RACHNATMAK'!AI415)),"A",IF(NOT(ISBLANK('A-RACHNATMAK'!AI414)),"B",IF(NOT(ISBLANK('A-RACHNATMAK'!AI413)),"C","")))</f>
        <v/>
      </c>
      <c r="AG389" s="622" t="str">
        <f>IF(NOT(ISBLANK('A-RACHNATMAK'!AJ415)),"A",IF(NOT(ISBLANK('A-RACHNATMAK'!AJ414)),"B",IF(NOT(ISBLANK('A-RACHNATMAK'!AJ413)),"C","")))</f>
        <v/>
      </c>
      <c r="AH389" s="622" t="str">
        <f>IF(NOT(ISBLANK('A-RACHNATMAK'!AK415)),"A",IF(NOT(ISBLANK('A-RACHNATMAK'!AK414)),"B",IF(NOT(ISBLANK('A-RACHNATMAK'!AK413)),"C","")))</f>
        <v/>
      </c>
      <c r="AI389" s="622" t="str">
        <f>IF(NOT(ISBLANK('A-RACHNATMAK'!AL415)),"A",IF(NOT(ISBLANK('A-RACHNATMAK'!AL414)),"B",IF(NOT(ISBLANK('A-RACHNATMAK'!AL413)),"C","")))</f>
        <v/>
      </c>
      <c r="AJ389" s="622" t="str">
        <f>IF(NOT(ISBLANK('A-RACHNATMAK'!AM415)),"A",IF(NOT(ISBLANK('A-RACHNATMAK'!AM414)),"B",IF(NOT(ISBLANK('A-RACHNATMAK'!AM413)),"C","")))</f>
        <v/>
      </c>
      <c r="AK389" s="622" t="str">
        <f>IF(NOT(ISBLANK('A-RACHNATMAK'!AN415)),"A",IF(NOT(ISBLANK('A-RACHNATMAK'!AN414)),"B",IF(NOT(ISBLANK('A-RACHNATMAK'!AN413)),"C","")))</f>
        <v/>
      </c>
      <c r="AL389" s="622" t="str">
        <f>IF(NOT(ISBLANK('A-RACHNATMAK'!AO415)),"A",IF(NOT(ISBLANK('A-RACHNATMAK'!AO414)),"B",IF(NOT(ISBLANK('A-RACHNATMAK'!AO413)),"C","")))</f>
        <v/>
      </c>
      <c r="AM389" s="622" t="str">
        <f>IF(NOT(ISBLANK('A-RACHNATMAK'!AP415)),"A",IF(NOT(ISBLANK('A-RACHNATMAK'!AP414)),"B",IF(NOT(ISBLANK('A-RACHNATMAK'!AP413)),"C","")))</f>
        <v/>
      </c>
      <c r="AN389" s="622" t="str">
        <f>IF(NOT(ISBLANK('A-RACHNATMAK'!AQ415)),"A",IF(NOT(ISBLANK('A-RACHNATMAK'!AQ414)),"B",IF(NOT(ISBLANK('A-RACHNATMAK'!AQ413)),"C","")))</f>
        <v/>
      </c>
      <c r="AO389" s="622" t="str">
        <f>IF(NOT(ISBLANK('A-RACHNATMAK'!AR415)),"A",IF(NOT(ISBLANK('A-RACHNATMAK'!AR414)),"B",IF(NOT(ISBLANK('A-RACHNATMAK'!AR413)),"C","")))</f>
        <v/>
      </c>
      <c r="AP389" s="622" t="str">
        <f>IF(NOT(ISBLANK('A-RACHNATMAK'!AS415)),"A",IF(NOT(ISBLANK('A-RACHNATMAK'!AS414)),"B",IF(NOT(ISBLANK('A-RACHNATMAK'!AS413)),"C","")))</f>
        <v/>
      </c>
      <c r="AQ389" s="622" t="str">
        <f>IF(NOT(ISBLANK('A-RACHNATMAK'!AT415)),"A",IF(NOT(ISBLANK('A-RACHNATMAK'!AT414)),"B",IF(NOT(ISBLANK('A-RACHNATMAK'!AT413)),"C","")))</f>
        <v/>
      </c>
      <c r="AR389" s="622" t="str">
        <f>IF(NOT(ISBLANK('A-RACHNATMAK'!AU415)),"A",IF(NOT(ISBLANK('A-RACHNATMAK'!AU414)),"B",IF(NOT(ISBLANK('A-RACHNATMAK'!AU413)),"C","")))</f>
        <v/>
      </c>
      <c r="AS389" s="622" t="str">
        <f>IF(NOT(ISBLANK('A-RACHNATMAK'!AV415)),"A",IF(NOT(ISBLANK('A-RACHNATMAK'!AV414)),"B",IF(NOT(ISBLANK('A-RACHNATMAK'!AV413)),"C","")))</f>
        <v/>
      </c>
      <c r="AT389" s="622" t="str">
        <f>IF(NOT(ISBLANK('A-RACHNATMAK'!AW415)),"A",IF(NOT(ISBLANK('A-RACHNATMAK'!AW414)),"B",IF(NOT(ISBLANK('A-RACHNATMAK'!AW413)),"C","")))</f>
        <v/>
      </c>
      <c r="AU389" s="622">
        <f t="shared" ref="AU389" si="741">COUNTIF(AA389:AT389,"A")</f>
        <v>0</v>
      </c>
      <c r="AV389" s="622">
        <f t="shared" ref="AV389" si="742">COUNTIF(AA389:AT389,"B")</f>
        <v>0</v>
      </c>
      <c r="AW389" s="622">
        <f t="shared" ref="AW389" si="743">COUNTIF(AA389:AT389,"C")</f>
        <v>0</v>
      </c>
    </row>
    <row r="390" spans="1:49" ht="7.5" customHeight="1">
      <c r="A390" s="623"/>
      <c r="B390" s="622"/>
      <c r="C390" s="622"/>
      <c r="D390" s="622"/>
      <c r="E390" s="622"/>
      <c r="F390" s="622"/>
      <c r="G390" s="622"/>
      <c r="H390" s="622"/>
      <c r="I390" s="622"/>
      <c r="J390" s="622"/>
      <c r="K390" s="622"/>
      <c r="L390" s="622"/>
      <c r="M390" s="622"/>
      <c r="N390" s="622"/>
      <c r="O390" s="622"/>
      <c r="P390" s="622"/>
      <c r="Q390" s="622"/>
      <c r="R390" s="622"/>
      <c r="S390" s="622"/>
      <c r="T390" s="622"/>
      <c r="U390" s="622"/>
      <c r="V390" s="622"/>
      <c r="W390" s="622"/>
      <c r="X390" s="622"/>
      <c r="Y390" s="330"/>
      <c r="Z390" s="623"/>
      <c r="AA390" s="622"/>
      <c r="AB390" s="622"/>
      <c r="AC390" s="622"/>
      <c r="AD390" s="622"/>
      <c r="AE390" s="622"/>
      <c r="AF390" s="622"/>
      <c r="AG390" s="622"/>
      <c r="AH390" s="622"/>
      <c r="AI390" s="622"/>
      <c r="AJ390" s="622"/>
      <c r="AK390" s="622"/>
      <c r="AL390" s="622"/>
      <c r="AM390" s="622"/>
      <c r="AN390" s="622"/>
      <c r="AO390" s="622"/>
      <c r="AP390" s="622"/>
      <c r="AQ390" s="622"/>
      <c r="AR390" s="622"/>
      <c r="AS390" s="622"/>
      <c r="AT390" s="622"/>
      <c r="AU390" s="622"/>
      <c r="AV390" s="622"/>
      <c r="AW390" s="622"/>
    </row>
    <row r="391" spans="1:49" ht="7.5" customHeight="1">
      <c r="A391" s="623"/>
      <c r="B391" s="622"/>
      <c r="C391" s="622"/>
      <c r="D391" s="622"/>
      <c r="E391" s="622"/>
      <c r="F391" s="622"/>
      <c r="G391" s="622"/>
      <c r="H391" s="622"/>
      <c r="I391" s="622"/>
      <c r="J391" s="622"/>
      <c r="K391" s="622"/>
      <c r="L391" s="622"/>
      <c r="M391" s="622"/>
      <c r="N391" s="622"/>
      <c r="O391" s="622"/>
      <c r="P391" s="622"/>
      <c r="Q391" s="622"/>
      <c r="R391" s="622"/>
      <c r="S391" s="622"/>
      <c r="T391" s="622"/>
      <c r="U391" s="622"/>
      <c r="V391" s="622"/>
      <c r="W391" s="622"/>
      <c r="X391" s="622"/>
      <c r="Y391" s="330"/>
      <c r="Z391" s="623"/>
      <c r="AA391" s="622"/>
      <c r="AB391" s="622"/>
      <c r="AC391" s="622"/>
      <c r="AD391" s="622"/>
      <c r="AE391" s="622"/>
      <c r="AF391" s="622"/>
      <c r="AG391" s="622"/>
      <c r="AH391" s="622"/>
      <c r="AI391" s="622"/>
      <c r="AJ391" s="622"/>
      <c r="AK391" s="622"/>
      <c r="AL391" s="622"/>
      <c r="AM391" s="622"/>
      <c r="AN391" s="622"/>
      <c r="AO391" s="622"/>
      <c r="AP391" s="622"/>
      <c r="AQ391" s="622"/>
      <c r="AR391" s="622"/>
      <c r="AS391" s="622"/>
      <c r="AT391" s="622"/>
      <c r="AU391" s="622"/>
      <c r="AV391" s="622"/>
      <c r="AW391" s="622"/>
    </row>
    <row r="392" spans="1:49" ht="7.5" customHeight="1">
      <c r="A392" s="623">
        <v>24</v>
      </c>
      <c r="B392" s="622" t="str">
        <f>IF(NOT(ISBLANK('A-RACHNATMAK'!C418)),"A",IF(NOT(ISBLANK('A-RACHNATMAK'!C417)),"B",IF(NOT(ISBLANK('A-RACHNATMAK'!C416)),"C","")))</f>
        <v/>
      </c>
      <c r="C392" s="622" t="str">
        <f>IF(NOT(ISBLANK('A-RACHNATMAK'!D418)),"A",IF(NOT(ISBLANK('A-RACHNATMAK'!D417)),"B",IF(NOT(ISBLANK('A-RACHNATMAK'!D416)),"C","")))</f>
        <v/>
      </c>
      <c r="D392" s="622" t="str">
        <f>IF(NOT(ISBLANK('A-RACHNATMAK'!E418)),"A",IF(NOT(ISBLANK('A-RACHNATMAK'!E417)),"B",IF(NOT(ISBLANK('A-RACHNATMAK'!E416)),"C","")))</f>
        <v/>
      </c>
      <c r="E392" s="622" t="str">
        <f>IF(NOT(ISBLANK('A-RACHNATMAK'!F418)),"A",IF(NOT(ISBLANK('A-RACHNATMAK'!F417)),"B",IF(NOT(ISBLANK('A-RACHNATMAK'!F416)),"C","")))</f>
        <v/>
      </c>
      <c r="F392" s="622" t="str">
        <f>IF(NOT(ISBLANK('A-RACHNATMAK'!G418)),"A",IF(NOT(ISBLANK('A-RACHNATMAK'!G417)),"B",IF(NOT(ISBLANK('A-RACHNATMAK'!G416)),"C","")))</f>
        <v/>
      </c>
      <c r="G392" s="622" t="str">
        <f>IF(NOT(ISBLANK('A-RACHNATMAK'!H418)),"A",IF(NOT(ISBLANK('A-RACHNATMAK'!H417)),"B",IF(NOT(ISBLANK('A-RACHNATMAK'!H416)),"C","")))</f>
        <v/>
      </c>
      <c r="H392" s="622" t="str">
        <f>IF(NOT(ISBLANK('A-RACHNATMAK'!I418)),"A",IF(NOT(ISBLANK('A-RACHNATMAK'!I417)),"B",IF(NOT(ISBLANK('A-RACHNATMAK'!I416)),"C","")))</f>
        <v/>
      </c>
      <c r="I392" s="622" t="str">
        <f>IF(NOT(ISBLANK('A-RACHNATMAK'!J418)),"A",IF(NOT(ISBLANK('A-RACHNATMAK'!J417)),"B",IF(NOT(ISBLANK('A-RACHNATMAK'!J416)),"C","")))</f>
        <v/>
      </c>
      <c r="J392" s="622" t="str">
        <f>IF(NOT(ISBLANK('A-RACHNATMAK'!K418)),"A",IF(NOT(ISBLANK('A-RACHNATMAK'!K417)),"B",IF(NOT(ISBLANK('A-RACHNATMAK'!K416)),"C","")))</f>
        <v/>
      </c>
      <c r="K392" s="622" t="str">
        <f>IF(NOT(ISBLANK('A-RACHNATMAK'!L418)),"A",IF(NOT(ISBLANK('A-RACHNATMAK'!L417)),"B",IF(NOT(ISBLANK('A-RACHNATMAK'!L416)),"C","")))</f>
        <v/>
      </c>
      <c r="L392" s="622" t="str">
        <f>IF(NOT(ISBLANK('A-RACHNATMAK'!M418)),"A",IF(NOT(ISBLANK('A-RACHNATMAK'!M417)),"B",IF(NOT(ISBLANK('A-RACHNATMAK'!M416)),"C","")))</f>
        <v/>
      </c>
      <c r="M392" s="622" t="str">
        <f>IF(NOT(ISBLANK('A-RACHNATMAK'!N418)),"A",IF(NOT(ISBLANK('A-RACHNATMAK'!N417)),"B",IF(NOT(ISBLANK('A-RACHNATMAK'!N416)),"C","")))</f>
        <v/>
      </c>
      <c r="N392" s="622" t="str">
        <f>IF(NOT(ISBLANK('A-RACHNATMAK'!O418)),"A",IF(NOT(ISBLANK('A-RACHNATMAK'!O417)),"B",IF(NOT(ISBLANK('A-RACHNATMAK'!O416)),"C","")))</f>
        <v/>
      </c>
      <c r="O392" s="622" t="str">
        <f>IF(NOT(ISBLANK('A-RACHNATMAK'!P418)),"A",IF(NOT(ISBLANK('A-RACHNATMAK'!P417)),"B",IF(NOT(ISBLANK('A-RACHNATMAK'!P416)),"C","")))</f>
        <v/>
      </c>
      <c r="P392" s="622" t="str">
        <f>IF(NOT(ISBLANK('A-RACHNATMAK'!Q418)),"A",IF(NOT(ISBLANK('A-RACHNATMAK'!Q417)),"B",IF(NOT(ISBLANK('A-RACHNATMAK'!Q416)),"C","")))</f>
        <v/>
      </c>
      <c r="Q392" s="622" t="str">
        <f>IF(NOT(ISBLANK('A-RACHNATMAK'!R418)),"A",IF(NOT(ISBLANK('A-RACHNATMAK'!R417)),"B",IF(NOT(ISBLANK('A-RACHNATMAK'!R416)),"C","")))</f>
        <v/>
      </c>
      <c r="R392" s="622" t="str">
        <f>IF(NOT(ISBLANK('A-RACHNATMAK'!S418)),"A",IF(NOT(ISBLANK('A-RACHNATMAK'!S417)),"B",IF(NOT(ISBLANK('A-RACHNATMAK'!S416)),"C","")))</f>
        <v/>
      </c>
      <c r="S392" s="622" t="str">
        <f>IF(NOT(ISBLANK('A-RACHNATMAK'!T418)),"A",IF(NOT(ISBLANK('A-RACHNATMAK'!T417)),"B",IF(NOT(ISBLANK('A-RACHNATMAK'!T416)),"C","")))</f>
        <v/>
      </c>
      <c r="T392" s="622" t="str">
        <f>IF(NOT(ISBLANK('A-RACHNATMAK'!U418)),"A",IF(NOT(ISBLANK('A-RACHNATMAK'!U417)),"B",IF(NOT(ISBLANK('A-RACHNATMAK'!U416)),"C","")))</f>
        <v/>
      </c>
      <c r="U392" s="622" t="str">
        <f>IF(NOT(ISBLANK('A-RACHNATMAK'!V418)),"A",IF(NOT(ISBLANK('A-RACHNATMAK'!V417)),"B",IF(NOT(ISBLANK('A-RACHNATMAK'!V416)),"C","")))</f>
        <v/>
      </c>
      <c r="V392" s="622">
        <f t="shared" ref="V392" si="744">COUNTIF(B392:U392,"A")</f>
        <v>0</v>
      </c>
      <c r="W392" s="622">
        <f t="shared" ref="W392" si="745">COUNTIF(B392:U392,"B")</f>
        <v>0</v>
      </c>
      <c r="X392" s="622">
        <f t="shared" ref="X392" si="746">COUNTIF(B392:U392,"C")</f>
        <v>0</v>
      </c>
      <c r="Y392" s="330"/>
      <c r="Z392" s="623">
        <v>24</v>
      </c>
      <c r="AA392" s="622" t="str">
        <f>IF(NOT(ISBLANK('A-RACHNATMAK'!AD418)),"A",IF(NOT(ISBLANK('A-RACHNATMAK'!AD417)),"B",IF(NOT(ISBLANK('A-RACHNATMAK'!AD416)),"C","")))</f>
        <v/>
      </c>
      <c r="AB392" s="622" t="str">
        <f>IF(NOT(ISBLANK('A-RACHNATMAK'!AE418)),"A",IF(NOT(ISBLANK('A-RACHNATMAK'!AE417)),"B",IF(NOT(ISBLANK('A-RACHNATMAK'!AE416)),"C","")))</f>
        <v/>
      </c>
      <c r="AC392" s="622" t="str">
        <f>IF(NOT(ISBLANK('A-RACHNATMAK'!AF418)),"A",IF(NOT(ISBLANK('A-RACHNATMAK'!AF417)),"B",IF(NOT(ISBLANK('A-RACHNATMAK'!AF416)),"C","")))</f>
        <v/>
      </c>
      <c r="AD392" s="622" t="str">
        <f>IF(NOT(ISBLANK('A-RACHNATMAK'!AG418)),"A",IF(NOT(ISBLANK('A-RACHNATMAK'!AG417)),"B",IF(NOT(ISBLANK('A-RACHNATMAK'!AG416)),"C","")))</f>
        <v/>
      </c>
      <c r="AE392" s="622" t="str">
        <f>IF(NOT(ISBLANK('A-RACHNATMAK'!AH418)),"A",IF(NOT(ISBLANK('A-RACHNATMAK'!AH417)),"B",IF(NOT(ISBLANK('A-RACHNATMAK'!AH416)),"C","")))</f>
        <v/>
      </c>
      <c r="AF392" s="622" t="str">
        <f>IF(NOT(ISBLANK('A-RACHNATMAK'!AI418)),"A",IF(NOT(ISBLANK('A-RACHNATMAK'!AI417)),"B",IF(NOT(ISBLANK('A-RACHNATMAK'!AI416)),"C","")))</f>
        <v/>
      </c>
      <c r="AG392" s="622" t="str">
        <f>IF(NOT(ISBLANK('A-RACHNATMAK'!AJ418)),"A",IF(NOT(ISBLANK('A-RACHNATMAK'!AJ417)),"B",IF(NOT(ISBLANK('A-RACHNATMAK'!AJ416)),"C","")))</f>
        <v/>
      </c>
      <c r="AH392" s="622" t="str">
        <f>IF(NOT(ISBLANK('A-RACHNATMAK'!AK418)),"A",IF(NOT(ISBLANK('A-RACHNATMAK'!AK417)),"B",IF(NOT(ISBLANK('A-RACHNATMAK'!AK416)),"C","")))</f>
        <v/>
      </c>
      <c r="AI392" s="622" t="str">
        <f>IF(NOT(ISBLANK('A-RACHNATMAK'!AL418)),"A",IF(NOT(ISBLANK('A-RACHNATMAK'!AL417)),"B",IF(NOT(ISBLANK('A-RACHNATMAK'!AL416)),"C","")))</f>
        <v/>
      </c>
      <c r="AJ392" s="622" t="str">
        <f>IF(NOT(ISBLANK('A-RACHNATMAK'!AM418)),"A",IF(NOT(ISBLANK('A-RACHNATMAK'!AM417)),"B",IF(NOT(ISBLANK('A-RACHNATMAK'!AM416)),"C","")))</f>
        <v/>
      </c>
      <c r="AK392" s="622" t="str">
        <f>IF(NOT(ISBLANK('A-RACHNATMAK'!AN418)),"A",IF(NOT(ISBLANK('A-RACHNATMAK'!AN417)),"B",IF(NOT(ISBLANK('A-RACHNATMAK'!AN416)),"C","")))</f>
        <v/>
      </c>
      <c r="AL392" s="622" t="str">
        <f>IF(NOT(ISBLANK('A-RACHNATMAK'!AO418)),"A",IF(NOT(ISBLANK('A-RACHNATMAK'!AO417)),"B",IF(NOT(ISBLANK('A-RACHNATMAK'!AO416)),"C","")))</f>
        <v/>
      </c>
      <c r="AM392" s="622" t="str">
        <f>IF(NOT(ISBLANK('A-RACHNATMAK'!AP418)),"A",IF(NOT(ISBLANK('A-RACHNATMAK'!AP417)),"B",IF(NOT(ISBLANK('A-RACHNATMAK'!AP416)),"C","")))</f>
        <v/>
      </c>
      <c r="AN392" s="622" t="str">
        <f>IF(NOT(ISBLANK('A-RACHNATMAK'!AQ418)),"A",IF(NOT(ISBLANK('A-RACHNATMAK'!AQ417)),"B",IF(NOT(ISBLANK('A-RACHNATMAK'!AQ416)),"C","")))</f>
        <v/>
      </c>
      <c r="AO392" s="622" t="str">
        <f>IF(NOT(ISBLANK('A-RACHNATMAK'!AR418)),"A",IF(NOT(ISBLANK('A-RACHNATMAK'!AR417)),"B",IF(NOT(ISBLANK('A-RACHNATMAK'!AR416)),"C","")))</f>
        <v/>
      </c>
      <c r="AP392" s="622" t="str">
        <f>IF(NOT(ISBLANK('A-RACHNATMAK'!AS418)),"A",IF(NOT(ISBLANK('A-RACHNATMAK'!AS417)),"B",IF(NOT(ISBLANK('A-RACHNATMAK'!AS416)),"C","")))</f>
        <v/>
      </c>
      <c r="AQ392" s="622" t="str">
        <f>IF(NOT(ISBLANK('A-RACHNATMAK'!AT418)),"A",IF(NOT(ISBLANK('A-RACHNATMAK'!AT417)),"B",IF(NOT(ISBLANK('A-RACHNATMAK'!AT416)),"C","")))</f>
        <v/>
      </c>
      <c r="AR392" s="622" t="str">
        <f>IF(NOT(ISBLANK('A-RACHNATMAK'!AU418)),"A",IF(NOT(ISBLANK('A-RACHNATMAK'!AU417)),"B",IF(NOT(ISBLANK('A-RACHNATMAK'!AU416)),"C","")))</f>
        <v/>
      </c>
      <c r="AS392" s="622" t="str">
        <f>IF(NOT(ISBLANK('A-RACHNATMAK'!AV418)),"A",IF(NOT(ISBLANK('A-RACHNATMAK'!AV417)),"B",IF(NOT(ISBLANK('A-RACHNATMAK'!AV416)),"C","")))</f>
        <v/>
      </c>
      <c r="AT392" s="622" t="str">
        <f>IF(NOT(ISBLANK('A-RACHNATMAK'!AW418)),"A",IF(NOT(ISBLANK('A-RACHNATMAK'!AW417)),"B",IF(NOT(ISBLANK('A-RACHNATMAK'!AW416)),"C","")))</f>
        <v/>
      </c>
      <c r="AU392" s="622">
        <f t="shared" ref="AU392" si="747">COUNTIF(AA392:AT392,"A")</f>
        <v>0</v>
      </c>
      <c r="AV392" s="622">
        <f t="shared" ref="AV392" si="748">COUNTIF(AA392:AT392,"B")</f>
        <v>0</v>
      </c>
      <c r="AW392" s="622">
        <f t="shared" ref="AW392" si="749">COUNTIF(AA392:AT392,"C")</f>
        <v>0</v>
      </c>
    </row>
    <row r="393" spans="1:49" ht="7.5" customHeight="1">
      <c r="A393" s="623"/>
      <c r="B393" s="622"/>
      <c r="C393" s="622"/>
      <c r="D393" s="622"/>
      <c r="E393" s="622"/>
      <c r="F393" s="622"/>
      <c r="G393" s="622"/>
      <c r="H393" s="622"/>
      <c r="I393" s="622"/>
      <c r="J393" s="622"/>
      <c r="K393" s="622"/>
      <c r="L393" s="622"/>
      <c r="M393" s="622"/>
      <c r="N393" s="622"/>
      <c r="O393" s="622"/>
      <c r="P393" s="622"/>
      <c r="Q393" s="622"/>
      <c r="R393" s="622"/>
      <c r="S393" s="622"/>
      <c r="T393" s="622"/>
      <c r="U393" s="622"/>
      <c r="V393" s="622"/>
      <c r="W393" s="622"/>
      <c r="X393" s="622"/>
      <c r="Y393" s="330"/>
      <c r="Z393" s="623"/>
      <c r="AA393" s="622"/>
      <c r="AB393" s="622"/>
      <c r="AC393" s="622"/>
      <c r="AD393" s="622"/>
      <c r="AE393" s="622"/>
      <c r="AF393" s="622"/>
      <c r="AG393" s="622"/>
      <c r="AH393" s="622"/>
      <c r="AI393" s="622"/>
      <c r="AJ393" s="622"/>
      <c r="AK393" s="622"/>
      <c r="AL393" s="622"/>
      <c r="AM393" s="622"/>
      <c r="AN393" s="622"/>
      <c r="AO393" s="622"/>
      <c r="AP393" s="622"/>
      <c r="AQ393" s="622"/>
      <c r="AR393" s="622"/>
      <c r="AS393" s="622"/>
      <c r="AT393" s="622"/>
      <c r="AU393" s="622"/>
      <c r="AV393" s="622"/>
      <c r="AW393" s="622"/>
    </row>
    <row r="394" spans="1:49" ht="7.5" customHeight="1">
      <c r="A394" s="623"/>
      <c r="B394" s="622"/>
      <c r="C394" s="622"/>
      <c r="D394" s="622"/>
      <c r="E394" s="622"/>
      <c r="F394" s="622"/>
      <c r="G394" s="622"/>
      <c r="H394" s="622"/>
      <c r="I394" s="622"/>
      <c r="J394" s="622"/>
      <c r="K394" s="622"/>
      <c r="L394" s="622"/>
      <c r="M394" s="622"/>
      <c r="N394" s="622"/>
      <c r="O394" s="622"/>
      <c r="P394" s="622"/>
      <c r="Q394" s="622"/>
      <c r="R394" s="622"/>
      <c r="S394" s="622"/>
      <c r="T394" s="622"/>
      <c r="U394" s="622"/>
      <c r="V394" s="622"/>
      <c r="W394" s="622"/>
      <c r="X394" s="622"/>
      <c r="Y394" s="330"/>
      <c r="Z394" s="623"/>
      <c r="AA394" s="622"/>
      <c r="AB394" s="622"/>
      <c r="AC394" s="622"/>
      <c r="AD394" s="622"/>
      <c r="AE394" s="622"/>
      <c r="AF394" s="622"/>
      <c r="AG394" s="622"/>
      <c r="AH394" s="622"/>
      <c r="AI394" s="622"/>
      <c r="AJ394" s="622"/>
      <c r="AK394" s="622"/>
      <c r="AL394" s="622"/>
      <c r="AM394" s="622"/>
      <c r="AN394" s="622"/>
      <c r="AO394" s="622"/>
      <c r="AP394" s="622"/>
      <c r="AQ394" s="622"/>
      <c r="AR394" s="622"/>
      <c r="AS394" s="622"/>
      <c r="AT394" s="622"/>
      <c r="AU394" s="622"/>
      <c r="AV394" s="622"/>
      <c r="AW394" s="622"/>
    </row>
    <row r="395" spans="1:49" ht="7.5" customHeight="1">
      <c r="A395" s="623">
        <v>25</v>
      </c>
      <c r="B395" s="622" t="str">
        <f>IF(NOT(ISBLANK('A-RACHNATMAK'!C421)),"A",IF(NOT(ISBLANK('A-RACHNATMAK'!C420)),"B",IF(NOT(ISBLANK('A-RACHNATMAK'!C419)),"C","")))</f>
        <v/>
      </c>
      <c r="C395" s="622" t="str">
        <f>IF(NOT(ISBLANK('A-RACHNATMAK'!D421)),"A",IF(NOT(ISBLANK('A-RACHNATMAK'!D420)),"B",IF(NOT(ISBLANK('A-RACHNATMAK'!D419)),"C","")))</f>
        <v/>
      </c>
      <c r="D395" s="622" t="str">
        <f>IF(NOT(ISBLANK('A-RACHNATMAK'!E421)),"A",IF(NOT(ISBLANK('A-RACHNATMAK'!E420)),"B",IF(NOT(ISBLANK('A-RACHNATMAK'!E419)),"C","")))</f>
        <v/>
      </c>
      <c r="E395" s="622" t="str">
        <f>IF(NOT(ISBLANK('A-RACHNATMAK'!F421)),"A",IF(NOT(ISBLANK('A-RACHNATMAK'!F420)),"B",IF(NOT(ISBLANK('A-RACHNATMAK'!F419)),"C","")))</f>
        <v/>
      </c>
      <c r="F395" s="622" t="str">
        <f>IF(NOT(ISBLANK('A-RACHNATMAK'!G421)),"A",IF(NOT(ISBLANK('A-RACHNATMAK'!G420)),"B",IF(NOT(ISBLANK('A-RACHNATMAK'!G419)),"C","")))</f>
        <v/>
      </c>
      <c r="G395" s="622" t="str">
        <f>IF(NOT(ISBLANK('A-RACHNATMAK'!H421)),"A",IF(NOT(ISBLANK('A-RACHNATMAK'!H420)),"B",IF(NOT(ISBLANK('A-RACHNATMAK'!H419)),"C","")))</f>
        <v/>
      </c>
      <c r="H395" s="622" t="str">
        <f>IF(NOT(ISBLANK('A-RACHNATMAK'!I421)),"A",IF(NOT(ISBLANK('A-RACHNATMAK'!I420)),"B",IF(NOT(ISBLANK('A-RACHNATMAK'!I419)),"C","")))</f>
        <v/>
      </c>
      <c r="I395" s="622" t="str">
        <f>IF(NOT(ISBLANK('A-RACHNATMAK'!J421)),"A",IF(NOT(ISBLANK('A-RACHNATMAK'!J420)),"B",IF(NOT(ISBLANK('A-RACHNATMAK'!J419)),"C","")))</f>
        <v/>
      </c>
      <c r="J395" s="622" t="str">
        <f>IF(NOT(ISBLANK('A-RACHNATMAK'!K421)),"A",IF(NOT(ISBLANK('A-RACHNATMAK'!K420)),"B",IF(NOT(ISBLANK('A-RACHNATMAK'!K419)),"C","")))</f>
        <v/>
      </c>
      <c r="K395" s="622" t="str">
        <f>IF(NOT(ISBLANK('A-RACHNATMAK'!L421)),"A",IF(NOT(ISBLANK('A-RACHNATMAK'!L420)),"B",IF(NOT(ISBLANK('A-RACHNATMAK'!L419)),"C","")))</f>
        <v/>
      </c>
      <c r="L395" s="622" t="str">
        <f>IF(NOT(ISBLANK('A-RACHNATMAK'!M421)),"A",IF(NOT(ISBLANK('A-RACHNATMAK'!M420)),"B",IF(NOT(ISBLANK('A-RACHNATMAK'!M419)),"C","")))</f>
        <v/>
      </c>
      <c r="M395" s="622" t="str">
        <f>IF(NOT(ISBLANK('A-RACHNATMAK'!N421)),"A",IF(NOT(ISBLANK('A-RACHNATMAK'!N420)),"B",IF(NOT(ISBLANK('A-RACHNATMAK'!N419)),"C","")))</f>
        <v/>
      </c>
      <c r="N395" s="622" t="str">
        <f>IF(NOT(ISBLANK('A-RACHNATMAK'!O421)),"A",IF(NOT(ISBLANK('A-RACHNATMAK'!O420)),"B",IF(NOT(ISBLANK('A-RACHNATMAK'!O419)),"C","")))</f>
        <v/>
      </c>
      <c r="O395" s="622" t="str">
        <f>IF(NOT(ISBLANK('A-RACHNATMAK'!P421)),"A",IF(NOT(ISBLANK('A-RACHNATMAK'!P420)),"B",IF(NOT(ISBLANK('A-RACHNATMAK'!P419)),"C","")))</f>
        <v/>
      </c>
      <c r="P395" s="622" t="str">
        <f>IF(NOT(ISBLANK('A-RACHNATMAK'!Q421)),"A",IF(NOT(ISBLANK('A-RACHNATMAK'!Q420)),"B",IF(NOT(ISBLANK('A-RACHNATMAK'!Q419)),"C","")))</f>
        <v/>
      </c>
      <c r="Q395" s="622" t="str">
        <f>IF(NOT(ISBLANK('A-RACHNATMAK'!R421)),"A",IF(NOT(ISBLANK('A-RACHNATMAK'!R420)),"B",IF(NOT(ISBLANK('A-RACHNATMAK'!R419)),"C","")))</f>
        <v/>
      </c>
      <c r="R395" s="622" t="str">
        <f>IF(NOT(ISBLANK('A-RACHNATMAK'!S421)),"A",IF(NOT(ISBLANK('A-RACHNATMAK'!S420)),"B",IF(NOT(ISBLANK('A-RACHNATMAK'!S419)),"C","")))</f>
        <v/>
      </c>
      <c r="S395" s="622" t="str">
        <f>IF(NOT(ISBLANK('A-RACHNATMAK'!T421)),"A",IF(NOT(ISBLANK('A-RACHNATMAK'!T420)),"B",IF(NOT(ISBLANK('A-RACHNATMAK'!T419)),"C","")))</f>
        <v/>
      </c>
      <c r="T395" s="622" t="str">
        <f>IF(NOT(ISBLANK('A-RACHNATMAK'!U421)),"A",IF(NOT(ISBLANK('A-RACHNATMAK'!U420)),"B",IF(NOT(ISBLANK('A-RACHNATMAK'!U419)),"C","")))</f>
        <v/>
      </c>
      <c r="U395" s="622" t="str">
        <f>IF(NOT(ISBLANK('A-RACHNATMAK'!V421)),"A",IF(NOT(ISBLANK('A-RACHNATMAK'!V420)),"B",IF(NOT(ISBLANK('A-RACHNATMAK'!V419)),"C","")))</f>
        <v/>
      </c>
      <c r="V395" s="622">
        <f t="shared" ref="V395" si="750">COUNTIF(B395:U395,"A")</f>
        <v>0</v>
      </c>
      <c r="W395" s="622">
        <f t="shared" ref="W395" si="751">COUNTIF(B395:U395,"B")</f>
        <v>0</v>
      </c>
      <c r="X395" s="622">
        <f t="shared" ref="X395" si="752">COUNTIF(B395:U395,"C")</f>
        <v>0</v>
      </c>
      <c r="Y395" s="330"/>
      <c r="Z395" s="623">
        <v>25</v>
      </c>
      <c r="AA395" s="622" t="str">
        <f>IF(NOT(ISBLANK('A-RACHNATMAK'!AD421)),"A",IF(NOT(ISBLANK('A-RACHNATMAK'!AD420)),"B",IF(NOT(ISBLANK('A-RACHNATMAK'!AD419)),"C","")))</f>
        <v/>
      </c>
      <c r="AB395" s="622" t="str">
        <f>IF(NOT(ISBLANK('A-RACHNATMAK'!AE421)),"A",IF(NOT(ISBLANK('A-RACHNATMAK'!AE420)),"B",IF(NOT(ISBLANK('A-RACHNATMAK'!AE419)),"C","")))</f>
        <v/>
      </c>
      <c r="AC395" s="622" t="str">
        <f>IF(NOT(ISBLANK('A-RACHNATMAK'!AF421)),"A",IF(NOT(ISBLANK('A-RACHNATMAK'!AF420)),"B",IF(NOT(ISBLANK('A-RACHNATMAK'!AF419)),"C","")))</f>
        <v/>
      </c>
      <c r="AD395" s="622" t="str">
        <f>IF(NOT(ISBLANK('A-RACHNATMAK'!AG421)),"A",IF(NOT(ISBLANK('A-RACHNATMAK'!AG420)),"B",IF(NOT(ISBLANK('A-RACHNATMAK'!AG419)),"C","")))</f>
        <v/>
      </c>
      <c r="AE395" s="622" t="str">
        <f>IF(NOT(ISBLANK('A-RACHNATMAK'!AH421)),"A",IF(NOT(ISBLANK('A-RACHNATMAK'!AH420)),"B",IF(NOT(ISBLANK('A-RACHNATMAK'!AH419)),"C","")))</f>
        <v/>
      </c>
      <c r="AF395" s="622" t="str">
        <f>IF(NOT(ISBLANK('A-RACHNATMAK'!AI421)),"A",IF(NOT(ISBLANK('A-RACHNATMAK'!AI420)),"B",IF(NOT(ISBLANK('A-RACHNATMAK'!AI419)),"C","")))</f>
        <v/>
      </c>
      <c r="AG395" s="622" t="str">
        <f>IF(NOT(ISBLANK('A-RACHNATMAK'!AJ421)),"A",IF(NOT(ISBLANK('A-RACHNATMAK'!AJ420)),"B",IF(NOT(ISBLANK('A-RACHNATMAK'!AJ419)),"C","")))</f>
        <v/>
      </c>
      <c r="AH395" s="622" t="str">
        <f>IF(NOT(ISBLANK('A-RACHNATMAK'!AK421)),"A",IF(NOT(ISBLANK('A-RACHNATMAK'!AK420)),"B",IF(NOT(ISBLANK('A-RACHNATMAK'!AK419)),"C","")))</f>
        <v/>
      </c>
      <c r="AI395" s="622" t="str">
        <f>IF(NOT(ISBLANK('A-RACHNATMAK'!AL421)),"A",IF(NOT(ISBLANK('A-RACHNATMAK'!AL420)),"B",IF(NOT(ISBLANK('A-RACHNATMAK'!AL419)),"C","")))</f>
        <v/>
      </c>
      <c r="AJ395" s="622" t="str">
        <f>IF(NOT(ISBLANK('A-RACHNATMAK'!AM421)),"A",IF(NOT(ISBLANK('A-RACHNATMAK'!AM420)),"B",IF(NOT(ISBLANK('A-RACHNATMAK'!AM419)),"C","")))</f>
        <v/>
      </c>
      <c r="AK395" s="622" t="str">
        <f>IF(NOT(ISBLANK('A-RACHNATMAK'!AN421)),"A",IF(NOT(ISBLANK('A-RACHNATMAK'!AN420)),"B",IF(NOT(ISBLANK('A-RACHNATMAK'!AN419)),"C","")))</f>
        <v/>
      </c>
      <c r="AL395" s="622" t="str">
        <f>IF(NOT(ISBLANK('A-RACHNATMAK'!AO421)),"A",IF(NOT(ISBLANK('A-RACHNATMAK'!AO420)),"B",IF(NOT(ISBLANK('A-RACHNATMAK'!AO419)),"C","")))</f>
        <v/>
      </c>
      <c r="AM395" s="622" t="str">
        <f>IF(NOT(ISBLANK('A-RACHNATMAK'!AP421)),"A",IF(NOT(ISBLANK('A-RACHNATMAK'!AP420)),"B",IF(NOT(ISBLANK('A-RACHNATMAK'!AP419)),"C","")))</f>
        <v/>
      </c>
      <c r="AN395" s="622" t="str">
        <f>IF(NOT(ISBLANK('A-RACHNATMAK'!AQ421)),"A",IF(NOT(ISBLANK('A-RACHNATMAK'!AQ420)),"B",IF(NOT(ISBLANK('A-RACHNATMAK'!AQ419)),"C","")))</f>
        <v/>
      </c>
      <c r="AO395" s="622" t="str">
        <f>IF(NOT(ISBLANK('A-RACHNATMAK'!AR421)),"A",IF(NOT(ISBLANK('A-RACHNATMAK'!AR420)),"B",IF(NOT(ISBLANK('A-RACHNATMAK'!AR419)),"C","")))</f>
        <v/>
      </c>
      <c r="AP395" s="622" t="str">
        <f>IF(NOT(ISBLANK('A-RACHNATMAK'!AS421)),"A",IF(NOT(ISBLANK('A-RACHNATMAK'!AS420)),"B",IF(NOT(ISBLANK('A-RACHNATMAK'!AS419)),"C","")))</f>
        <v/>
      </c>
      <c r="AQ395" s="622" t="str">
        <f>IF(NOT(ISBLANK('A-RACHNATMAK'!AT421)),"A",IF(NOT(ISBLANK('A-RACHNATMAK'!AT420)),"B",IF(NOT(ISBLANK('A-RACHNATMAK'!AT419)),"C","")))</f>
        <v/>
      </c>
      <c r="AR395" s="622" t="str">
        <f>IF(NOT(ISBLANK('A-RACHNATMAK'!AU421)),"A",IF(NOT(ISBLANK('A-RACHNATMAK'!AU420)),"B",IF(NOT(ISBLANK('A-RACHNATMAK'!AU419)),"C","")))</f>
        <v/>
      </c>
      <c r="AS395" s="622" t="str">
        <f>IF(NOT(ISBLANK('A-RACHNATMAK'!AV421)),"A",IF(NOT(ISBLANK('A-RACHNATMAK'!AV420)),"B",IF(NOT(ISBLANK('A-RACHNATMAK'!AV419)),"C","")))</f>
        <v/>
      </c>
      <c r="AT395" s="622" t="str">
        <f>IF(NOT(ISBLANK('A-RACHNATMAK'!AW421)),"A",IF(NOT(ISBLANK('A-RACHNATMAK'!AW420)),"B",IF(NOT(ISBLANK('A-RACHNATMAK'!AW419)),"C","")))</f>
        <v/>
      </c>
      <c r="AU395" s="622">
        <f t="shared" ref="AU395" si="753">COUNTIF(AA395:AT395,"A")</f>
        <v>0</v>
      </c>
      <c r="AV395" s="622">
        <f t="shared" ref="AV395" si="754">COUNTIF(AA395:AT395,"B")</f>
        <v>0</v>
      </c>
      <c r="AW395" s="622">
        <f t="shared" ref="AW395" si="755">COUNTIF(AA395:AT395,"C")</f>
        <v>0</v>
      </c>
    </row>
    <row r="396" spans="1:49" ht="7.5" customHeight="1">
      <c r="A396" s="623"/>
      <c r="B396" s="622"/>
      <c r="C396" s="622"/>
      <c r="D396" s="622"/>
      <c r="E396" s="622"/>
      <c r="F396" s="622"/>
      <c r="G396" s="622"/>
      <c r="H396" s="622"/>
      <c r="I396" s="622"/>
      <c r="J396" s="622"/>
      <c r="K396" s="622"/>
      <c r="L396" s="622"/>
      <c r="M396" s="622"/>
      <c r="N396" s="622"/>
      <c r="O396" s="622"/>
      <c r="P396" s="622"/>
      <c r="Q396" s="622"/>
      <c r="R396" s="622"/>
      <c r="S396" s="622"/>
      <c r="T396" s="622"/>
      <c r="U396" s="622"/>
      <c r="V396" s="622"/>
      <c r="W396" s="622"/>
      <c r="X396" s="622"/>
      <c r="Y396" s="330"/>
      <c r="Z396" s="623"/>
      <c r="AA396" s="622"/>
      <c r="AB396" s="622"/>
      <c r="AC396" s="622"/>
      <c r="AD396" s="622"/>
      <c r="AE396" s="622"/>
      <c r="AF396" s="622"/>
      <c r="AG396" s="622"/>
      <c r="AH396" s="622"/>
      <c r="AI396" s="622"/>
      <c r="AJ396" s="622"/>
      <c r="AK396" s="622"/>
      <c r="AL396" s="622"/>
      <c r="AM396" s="622"/>
      <c r="AN396" s="622"/>
      <c r="AO396" s="622"/>
      <c r="AP396" s="622"/>
      <c r="AQ396" s="622"/>
      <c r="AR396" s="622"/>
      <c r="AS396" s="622"/>
      <c r="AT396" s="622"/>
      <c r="AU396" s="622"/>
      <c r="AV396" s="622"/>
      <c r="AW396" s="622"/>
    </row>
    <row r="397" spans="1:49" ht="7.5" customHeight="1">
      <c r="A397" s="623"/>
      <c r="B397" s="622"/>
      <c r="C397" s="622"/>
      <c r="D397" s="622"/>
      <c r="E397" s="622"/>
      <c r="F397" s="622"/>
      <c r="G397" s="622"/>
      <c r="H397" s="622"/>
      <c r="I397" s="622"/>
      <c r="J397" s="622"/>
      <c r="K397" s="622"/>
      <c r="L397" s="622"/>
      <c r="M397" s="622"/>
      <c r="N397" s="622"/>
      <c r="O397" s="622"/>
      <c r="P397" s="622"/>
      <c r="Q397" s="622"/>
      <c r="R397" s="622"/>
      <c r="S397" s="622"/>
      <c r="T397" s="622"/>
      <c r="U397" s="622"/>
      <c r="V397" s="622"/>
      <c r="W397" s="622"/>
      <c r="X397" s="622"/>
      <c r="Y397" s="330"/>
      <c r="Z397" s="623"/>
      <c r="AA397" s="622"/>
      <c r="AB397" s="622"/>
      <c r="AC397" s="622"/>
      <c r="AD397" s="622"/>
      <c r="AE397" s="622"/>
      <c r="AF397" s="622"/>
      <c r="AG397" s="622"/>
      <c r="AH397" s="622"/>
      <c r="AI397" s="622"/>
      <c r="AJ397" s="622"/>
      <c r="AK397" s="622"/>
      <c r="AL397" s="622"/>
      <c r="AM397" s="622"/>
      <c r="AN397" s="622"/>
      <c r="AO397" s="622"/>
      <c r="AP397" s="622"/>
      <c r="AQ397" s="622"/>
      <c r="AR397" s="622"/>
      <c r="AS397" s="622"/>
      <c r="AT397" s="622"/>
      <c r="AU397" s="622"/>
      <c r="AV397" s="622"/>
      <c r="AW397" s="622"/>
    </row>
    <row r="398" spans="1:49" ht="7.5" customHeight="1">
      <c r="A398" s="623">
        <v>26</v>
      </c>
      <c r="B398" s="622" t="str">
        <f>IF(NOT(ISBLANK('A-RACHNATMAK'!C424)),"A",IF(NOT(ISBLANK('A-RACHNATMAK'!C423)),"B",IF(NOT(ISBLANK('A-RACHNATMAK'!C422)),"C","")))</f>
        <v/>
      </c>
      <c r="C398" s="622" t="str">
        <f>IF(NOT(ISBLANK('A-RACHNATMAK'!D424)),"A",IF(NOT(ISBLANK('A-RACHNATMAK'!D423)),"B",IF(NOT(ISBLANK('A-RACHNATMAK'!D422)),"C","")))</f>
        <v/>
      </c>
      <c r="D398" s="622" t="str">
        <f>IF(NOT(ISBLANK('A-RACHNATMAK'!E424)),"A",IF(NOT(ISBLANK('A-RACHNATMAK'!E423)),"B",IF(NOT(ISBLANK('A-RACHNATMAK'!E422)),"C","")))</f>
        <v/>
      </c>
      <c r="E398" s="622" t="str">
        <f>IF(NOT(ISBLANK('A-RACHNATMAK'!F424)),"A",IF(NOT(ISBLANK('A-RACHNATMAK'!F423)),"B",IF(NOT(ISBLANK('A-RACHNATMAK'!F422)),"C","")))</f>
        <v/>
      </c>
      <c r="F398" s="622" t="str">
        <f>IF(NOT(ISBLANK('A-RACHNATMAK'!G424)),"A",IF(NOT(ISBLANK('A-RACHNATMAK'!G423)),"B",IF(NOT(ISBLANK('A-RACHNATMAK'!G422)),"C","")))</f>
        <v/>
      </c>
      <c r="G398" s="622" t="str">
        <f>IF(NOT(ISBLANK('A-RACHNATMAK'!H424)),"A",IF(NOT(ISBLANK('A-RACHNATMAK'!H423)),"B",IF(NOT(ISBLANK('A-RACHNATMAK'!H422)),"C","")))</f>
        <v/>
      </c>
      <c r="H398" s="622" t="str">
        <f>IF(NOT(ISBLANK('A-RACHNATMAK'!I424)),"A",IF(NOT(ISBLANK('A-RACHNATMAK'!I423)),"B",IF(NOT(ISBLANK('A-RACHNATMAK'!I422)),"C","")))</f>
        <v/>
      </c>
      <c r="I398" s="622" t="str">
        <f>IF(NOT(ISBLANK('A-RACHNATMAK'!J424)),"A",IF(NOT(ISBLANK('A-RACHNATMAK'!J423)),"B",IF(NOT(ISBLANK('A-RACHNATMAK'!J422)),"C","")))</f>
        <v/>
      </c>
      <c r="J398" s="622" t="str">
        <f>IF(NOT(ISBLANK('A-RACHNATMAK'!K424)),"A",IF(NOT(ISBLANK('A-RACHNATMAK'!K423)),"B",IF(NOT(ISBLANK('A-RACHNATMAK'!K422)),"C","")))</f>
        <v/>
      </c>
      <c r="K398" s="622" t="str">
        <f>IF(NOT(ISBLANK('A-RACHNATMAK'!L424)),"A",IF(NOT(ISBLANK('A-RACHNATMAK'!L423)),"B",IF(NOT(ISBLANK('A-RACHNATMAK'!L422)),"C","")))</f>
        <v/>
      </c>
      <c r="L398" s="622" t="str">
        <f>IF(NOT(ISBLANK('A-RACHNATMAK'!M424)),"A",IF(NOT(ISBLANK('A-RACHNATMAK'!M423)),"B",IF(NOT(ISBLANK('A-RACHNATMAK'!M422)),"C","")))</f>
        <v/>
      </c>
      <c r="M398" s="622" t="str">
        <f>IF(NOT(ISBLANK('A-RACHNATMAK'!N424)),"A",IF(NOT(ISBLANK('A-RACHNATMAK'!N423)),"B",IF(NOT(ISBLANK('A-RACHNATMAK'!N422)),"C","")))</f>
        <v/>
      </c>
      <c r="N398" s="622" t="str">
        <f>IF(NOT(ISBLANK('A-RACHNATMAK'!O424)),"A",IF(NOT(ISBLANK('A-RACHNATMAK'!O423)),"B",IF(NOT(ISBLANK('A-RACHNATMAK'!O422)),"C","")))</f>
        <v/>
      </c>
      <c r="O398" s="622" t="str">
        <f>IF(NOT(ISBLANK('A-RACHNATMAK'!P424)),"A",IF(NOT(ISBLANK('A-RACHNATMAK'!P423)),"B",IF(NOT(ISBLANK('A-RACHNATMAK'!P422)),"C","")))</f>
        <v/>
      </c>
      <c r="P398" s="622" t="str">
        <f>IF(NOT(ISBLANK('A-RACHNATMAK'!Q424)),"A",IF(NOT(ISBLANK('A-RACHNATMAK'!Q423)),"B",IF(NOT(ISBLANK('A-RACHNATMAK'!Q422)),"C","")))</f>
        <v/>
      </c>
      <c r="Q398" s="622" t="str">
        <f>IF(NOT(ISBLANK('A-RACHNATMAK'!R424)),"A",IF(NOT(ISBLANK('A-RACHNATMAK'!R423)),"B",IF(NOT(ISBLANK('A-RACHNATMAK'!R422)),"C","")))</f>
        <v/>
      </c>
      <c r="R398" s="622" t="str">
        <f>IF(NOT(ISBLANK('A-RACHNATMAK'!S424)),"A",IF(NOT(ISBLANK('A-RACHNATMAK'!S423)),"B",IF(NOT(ISBLANK('A-RACHNATMAK'!S422)),"C","")))</f>
        <v/>
      </c>
      <c r="S398" s="622" t="str">
        <f>IF(NOT(ISBLANK('A-RACHNATMAK'!T424)),"A",IF(NOT(ISBLANK('A-RACHNATMAK'!T423)),"B",IF(NOT(ISBLANK('A-RACHNATMAK'!T422)),"C","")))</f>
        <v/>
      </c>
      <c r="T398" s="622" t="str">
        <f>IF(NOT(ISBLANK('A-RACHNATMAK'!U424)),"A",IF(NOT(ISBLANK('A-RACHNATMAK'!U423)),"B",IF(NOT(ISBLANK('A-RACHNATMAK'!U422)),"C","")))</f>
        <v/>
      </c>
      <c r="U398" s="622" t="str">
        <f>IF(NOT(ISBLANK('A-RACHNATMAK'!V424)),"A",IF(NOT(ISBLANK('A-RACHNATMAK'!V423)),"B",IF(NOT(ISBLANK('A-RACHNATMAK'!V422)),"C","")))</f>
        <v/>
      </c>
      <c r="V398" s="622">
        <f t="shared" ref="V398" si="756">COUNTIF(B398:U398,"A")</f>
        <v>0</v>
      </c>
      <c r="W398" s="622">
        <f t="shared" ref="W398" si="757">COUNTIF(B398:U398,"B")</f>
        <v>0</v>
      </c>
      <c r="X398" s="622">
        <f t="shared" ref="X398" si="758">COUNTIF(B398:U398,"C")</f>
        <v>0</v>
      </c>
      <c r="Y398" s="330"/>
      <c r="Z398" s="623">
        <v>26</v>
      </c>
      <c r="AA398" s="622" t="str">
        <f>IF(NOT(ISBLANK('A-RACHNATMAK'!AD424)),"A",IF(NOT(ISBLANK('A-RACHNATMAK'!AD423)),"B",IF(NOT(ISBLANK('A-RACHNATMAK'!AD422)),"C","")))</f>
        <v/>
      </c>
      <c r="AB398" s="622" t="str">
        <f>IF(NOT(ISBLANK('A-RACHNATMAK'!AE424)),"A",IF(NOT(ISBLANK('A-RACHNATMAK'!AE423)),"B",IF(NOT(ISBLANK('A-RACHNATMAK'!AE422)),"C","")))</f>
        <v/>
      </c>
      <c r="AC398" s="622" t="str">
        <f>IF(NOT(ISBLANK('A-RACHNATMAK'!AF424)),"A",IF(NOT(ISBLANK('A-RACHNATMAK'!AF423)),"B",IF(NOT(ISBLANK('A-RACHNATMAK'!AF422)),"C","")))</f>
        <v/>
      </c>
      <c r="AD398" s="622" t="str">
        <f>IF(NOT(ISBLANK('A-RACHNATMAK'!AG424)),"A",IF(NOT(ISBLANK('A-RACHNATMAK'!AG423)),"B",IF(NOT(ISBLANK('A-RACHNATMAK'!AG422)),"C","")))</f>
        <v/>
      </c>
      <c r="AE398" s="622" t="str">
        <f>IF(NOT(ISBLANK('A-RACHNATMAK'!AH424)),"A",IF(NOT(ISBLANK('A-RACHNATMAK'!AH423)),"B",IF(NOT(ISBLANK('A-RACHNATMAK'!AH422)),"C","")))</f>
        <v/>
      </c>
      <c r="AF398" s="622" t="str">
        <f>IF(NOT(ISBLANK('A-RACHNATMAK'!AI424)),"A",IF(NOT(ISBLANK('A-RACHNATMAK'!AI423)),"B",IF(NOT(ISBLANK('A-RACHNATMAK'!AI422)),"C","")))</f>
        <v/>
      </c>
      <c r="AG398" s="622" t="str">
        <f>IF(NOT(ISBLANK('A-RACHNATMAK'!AJ424)),"A",IF(NOT(ISBLANK('A-RACHNATMAK'!AJ423)),"B",IF(NOT(ISBLANK('A-RACHNATMAK'!AJ422)),"C","")))</f>
        <v/>
      </c>
      <c r="AH398" s="622" t="str">
        <f>IF(NOT(ISBLANK('A-RACHNATMAK'!AK424)),"A",IF(NOT(ISBLANK('A-RACHNATMAK'!AK423)),"B",IF(NOT(ISBLANK('A-RACHNATMAK'!AK422)),"C","")))</f>
        <v/>
      </c>
      <c r="AI398" s="622" t="str">
        <f>IF(NOT(ISBLANK('A-RACHNATMAK'!AL424)),"A",IF(NOT(ISBLANK('A-RACHNATMAK'!AL423)),"B",IF(NOT(ISBLANK('A-RACHNATMAK'!AL422)),"C","")))</f>
        <v/>
      </c>
      <c r="AJ398" s="622" t="str">
        <f>IF(NOT(ISBLANK('A-RACHNATMAK'!AM424)),"A",IF(NOT(ISBLANK('A-RACHNATMAK'!AM423)),"B",IF(NOT(ISBLANK('A-RACHNATMAK'!AM422)),"C","")))</f>
        <v/>
      </c>
      <c r="AK398" s="622" t="str">
        <f>IF(NOT(ISBLANK('A-RACHNATMAK'!AN424)),"A",IF(NOT(ISBLANK('A-RACHNATMAK'!AN423)),"B",IF(NOT(ISBLANK('A-RACHNATMAK'!AN422)),"C","")))</f>
        <v/>
      </c>
      <c r="AL398" s="622" t="str">
        <f>IF(NOT(ISBLANK('A-RACHNATMAK'!AO424)),"A",IF(NOT(ISBLANK('A-RACHNATMAK'!AO423)),"B",IF(NOT(ISBLANK('A-RACHNATMAK'!AO422)),"C","")))</f>
        <v/>
      </c>
      <c r="AM398" s="622" t="str">
        <f>IF(NOT(ISBLANK('A-RACHNATMAK'!AP424)),"A",IF(NOT(ISBLANK('A-RACHNATMAK'!AP423)),"B",IF(NOT(ISBLANK('A-RACHNATMAK'!AP422)),"C","")))</f>
        <v/>
      </c>
      <c r="AN398" s="622" t="str">
        <f>IF(NOT(ISBLANK('A-RACHNATMAK'!AQ424)),"A",IF(NOT(ISBLANK('A-RACHNATMAK'!AQ423)),"B",IF(NOT(ISBLANK('A-RACHNATMAK'!AQ422)),"C","")))</f>
        <v/>
      </c>
      <c r="AO398" s="622" t="str">
        <f>IF(NOT(ISBLANK('A-RACHNATMAK'!AR424)),"A",IF(NOT(ISBLANK('A-RACHNATMAK'!AR423)),"B",IF(NOT(ISBLANK('A-RACHNATMAK'!AR422)),"C","")))</f>
        <v/>
      </c>
      <c r="AP398" s="622" t="str">
        <f>IF(NOT(ISBLANK('A-RACHNATMAK'!AS424)),"A",IF(NOT(ISBLANK('A-RACHNATMAK'!AS423)),"B",IF(NOT(ISBLANK('A-RACHNATMAK'!AS422)),"C","")))</f>
        <v/>
      </c>
      <c r="AQ398" s="622" t="str">
        <f>IF(NOT(ISBLANK('A-RACHNATMAK'!AT424)),"A",IF(NOT(ISBLANK('A-RACHNATMAK'!AT423)),"B",IF(NOT(ISBLANK('A-RACHNATMAK'!AT422)),"C","")))</f>
        <v/>
      </c>
      <c r="AR398" s="622" t="str">
        <f>IF(NOT(ISBLANK('A-RACHNATMAK'!AU424)),"A",IF(NOT(ISBLANK('A-RACHNATMAK'!AU423)),"B",IF(NOT(ISBLANK('A-RACHNATMAK'!AU422)),"C","")))</f>
        <v/>
      </c>
      <c r="AS398" s="622" t="str">
        <f>IF(NOT(ISBLANK('A-RACHNATMAK'!AV424)),"A",IF(NOT(ISBLANK('A-RACHNATMAK'!AV423)),"B",IF(NOT(ISBLANK('A-RACHNATMAK'!AV422)),"C","")))</f>
        <v/>
      </c>
      <c r="AT398" s="622" t="str">
        <f>IF(NOT(ISBLANK('A-RACHNATMAK'!AW424)),"A",IF(NOT(ISBLANK('A-RACHNATMAK'!AW423)),"B",IF(NOT(ISBLANK('A-RACHNATMAK'!AW422)),"C","")))</f>
        <v/>
      </c>
      <c r="AU398" s="622">
        <f t="shared" ref="AU398" si="759">COUNTIF(AA398:AT398,"A")</f>
        <v>0</v>
      </c>
      <c r="AV398" s="622">
        <f t="shared" ref="AV398" si="760">COUNTIF(AA398:AT398,"B")</f>
        <v>0</v>
      </c>
      <c r="AW398" s="622">
        <f t="shared" ref="AW398" si="761">COUNTIF(AA398:AT398,"C")</f>
        <v>0</v>
      </c>
    </row>
    <row r="399" spans="1:49" ht="7.5" customHeight="1">
      <c r="A399" s="623"/>
      <c r="B399" s="622"/>
      <c r="C399" s="622"/>
      <c r="D399" s="622"/>
      <c r="E399" s="622"/>
      <c r="F399" s="622"/>
      <c r="G399" s="622"/>
      <c r="H399" s="622"/>
      <c r="I399" s="622"/>
      <c r="J399" s="622"/>
      <c r="K399" s="622"/>
      <c r="L399" s="622"/>
      <c r="M399" s="622"/>
      <c r="N399" s="622"/>
      <c r="O399" s="622"/>
      <c r="P399" s="622"/>
      <c r="Q399" s="622"/>
      <c r="R399" s="622"/>
      <c r="S399" s="622"/>
      <c r="T399" s="622"/>
      <c r="U399" s="622"/>
      <c r="V399" s="622"/>
      <c r="W399" s="622"/>
      <c r="X399" s="622"/>
      <c r="Y399" s="330"/>
      <c r="Z399" s="623"/>
      <c r="AA399" s="622"/>
      <c r="AB399" s="622"/>
      <c r="AC399" s="622"/>
      <c r="AD399" s="622"/>
      <c r="AE399" s="622"/>
      <c r="AF399" s="622"/>
      <c r="AG399" s="622"/>
      <c r="AH399" s="622"/>
      <c r="AI399" s="622"/>
      <c r="AJ399" s="622"/>
      <c r="AK399" s="622"/>
      <c r="AL399" s="622"/>
      <c r="AM399" s="622"/>
      <c r="AN399" s="622"/>
      <c r="AO399" s="622"/>
      <c r="AP399" s="622"/>
      <c r="AQ399" s="622"/>
      <c r="AR399" s="622"/>
      <c r="AS399" s="622"/>
      <c r="AT399" s="622"/>
      <c r="AU399" s="622"/>
      <c r="AV399" s="622"/>
      <c r="AW399" s="622"/>
    </row>
    <row r="400" spans="1:49" ht="7.5" customHeight="1">
      <c r="A400" s="623"/>
      <c r="B400" s="622"/>
      <c r="C400" s="622"/>
      <c r="D400" s="622"/>
      <c r="E400" s="622"/>
      <c r="F400" s="622"/>
      <c r="G400" s="622"/>
      <c r="H400" s="622"/>
      <c r="I400" s="622"/>
      <c r="J400" s="622"/>
      <c r="K400" s="622"/>
      <c r="L400" s="622"/>
      <c r="M400" s="622"/>
      <c r="N400" s="622"/>
      <c r="O400" s="622"/>
      <c r="P400" s="622"/>
      <c r="Q400" s="622"/>
      <c r="R400" s="622"/>
      <c r="S400" s="622"/>
      <c r="T400" s="622"/>
      <c r="U400" s="622"/>
      <c r="V400" s="622"/>
      <c r="W400" s="622"/>
      <c r="X400" s="622"/>
      <c r="Y400" s="330"/>
      <c r="Z400" s="623"/>
      <c r="AA400" s="622"/>
      <c r="AB400" s="622"/>
      <c r="AC400" s="622"/>
      <c r="AD400" s="622"/>
      <c r="AE400" s="622"/>
      <c r="AF400" s="622"/>
      <c r="AG400" s="622"/>
      <c r="AH400" s="622"/>
      <c r="AI400" s="622"/>
      <c r="AJ400" s="622"/>
      <c r="AK400" s="622"/>
      <c r="AL400" s="622"/>
      <c r="AM400" s="622"/>
      <c r="AN400" s="622"/>
      <c r="AO400" s="622"/>
      <c r="AP400" s="622"/>
      <c r="AQ400" s="622"/>
      <c r="AR400" s="622"/>
      <c r="AS400" s="622"/>
      <c r="AT400" s="622"/>
      <c r="AU400" s="622"/>
      <c r="AV400" s="622"/>
      <c r="AW400" s="622"/>
    </row>
    <row r="401" spans="1:49" ht="7.5" customHeight="1">
      <c r="A401" s="623">
        <v>27</v>
      </c>
      <c r="B401" s="622" t="str">
        <f>IF(NOT(ISBLANK('A-RACHNATMAK'!C427)),"A",IF(NOT(ISBLANK('A-RACHNATMAK'!C426)),"B",IF(NOT(ISBLANK('A-RACHNATMAK'!C425)),"C","")))</f>
        <v/>
      </c>
      <c r="C401" s="622" t="str">
        <f>IF(NOT(ISBLANK('A-RACHNATMAK'!D427)),"A",IF(NOT(ISBLANK('A-RACHNATMAK'!D426)),"B",IF(NOT(ISBLANK('A-RACHNATMAK'!D425)),"C","")))</f>
        <v/>
      </c>
      <c r="D401" s="622" t="str">
        <f>IF(NOT(ISBLANK('A-RACHNATMAK'!E427)),"A",IF(NOT(ISBLANK('A-RACHNATMAK'!E426)),"B",IF(NOT(ISBLANK('A-RACHNATMAK'!E425)),"C","")))</f>
        <v/>
      </c>
      <c r="E401" s="622" t="str">
        <f>IF(NOT(ISBLANK('A-RACHNATMAK'!F427)),"A",IF(NOT(ISBLANK('A-RACHNATMAK'!F426)),"B",IF(NOT(ISBLANK('A-RACHNATMAK'!F425)),"C","")))</f>
        <v/>
      </c>
      <c r="F401" s="622" t="str">
        <f>IF(NOT(ISBLANK('A-RACHNATMAK'!G427)),"A",IF(NOT(ISBLANK('A-RACHNATMAK'!G426)),"B",IF(NOT(ISBLANK('A-RACHNATMAK'!G425)),"C","")))</f>
        <v/>
      </c>
      <c r="G401" s="622" t="str">
        <f>IF(NOT(ISBLANK('A-RACHNATMAK'!H427)),"A",IF(NOT(ISBLANK('A-RACHNATMAK'!H426)),"B",IF(NOT(ISBLANK('A-RACHNATMAK'!H425)),"C","")))</f>
        <v/>
      </c>
      <c r="H401" s="622" t="str">
        <f>IF(NOT(ISBLANK('A-RACHNATMAK'!I427)),"A",IF(NOT(ISBLANK('A-RACHNATMAK'!I426)),"B",IF(NOT(ISBLANK('A-RACHNATMAK'!I425)),"C","")))</f>
        <v/>
      </c>
      <c r="I401" s="622" t="str">
        <f>IF(NOT(ISBLANK('A-RACHNATMAK'!J427)),"A",IF(NOT(ISBLANK('A-RACHNATMAK'!J426)),"B",IF(NOT(ISBLANK('A-RACHNATMAK'!J425)),"C","")))</f>
        <v/>
      </c>
      <c r="J401" s="622" t="str">
        <f>IF(NOT(ISBLANK('A-RACHNATMAK'!K427)),"A",IF(NOT(ISBLANK('A-RACHNATMAK'!K426)),"B",IF(NOT(ISBLANK('A-RACHNATMAK'!K425)),"C","")))</f>
        <v/>
      </c>
      <c r="K401" s="622" t="str">
        <f>IF(NOT(ISBLANK('A-RACHNATMAK'!L427)),"A",IF(NOT(ISBLANK('A-RACHNATMAK'!L426)),"B",IF(NOT(ISBLANK('A-RACHNATMAK'!L425)),"C","")))</f>
        <v/>
      </c>
      <c r="L401" s="622" t="str">
        <f>IF(NOT(ISBLANK('A-RACHNATMAK'!M427)),"A",IF(NOT(ISBLANK('A-RACHNATMAK'!M426)),"B",IF(NOT(ISBLANK('A-RACHNATMAK'!M425)),"C","")))</f>
        <v/>
      </c>
      <c r="M401" s="622" t="str">
        <f>IF(NOT(ISBLANK('A-RACHNATMAK'!N427)),"A",IF(NOT(ISBLANK('A-RACHNATMAK'!N426)),"B",IF(NOT(ISBLANK('A-RACHNATMAK'!N425)),"C","")))</f>
        <v/>
      </c>
      <c r="N401" s="622" t="str">
        <f>IF(NOT(ISBLANK('A-RACHNATMAK'!O427)),"A",IF(NOT(ISBLANK('A-RACHNATMAK'!O426)),"B",IF(NOT(ISBLANK('A-RACHNATMAK'!O425)),"C","")))</f>
        <v/>
      </c>
      <c r="O401" s="622" t="str">
        <f>IF(NOT(ISBLANK('A-RACHNATMAK'!P427)),"A",IF(NOT(ISBLANK('A-RACHNATMAK'!P426)),"B",IF(NOT(ISBLANK('A-RACHNATMAK'!P425)),"C","")))</f>
        <v/>
      </c>
      <c r="P401" s="622" t="str">
        <f>IF(NOT(ISBLANK('A-RACHNATMAK'!Q427)),"A",IF(NOT(ISBLANK('A-RACHNATMAK'!Q426)),"B",IF(NOT(ISBLANK('A-RACHNATMAK'!Q425)),"C","")))</f>
        <v/>
      </c>
      <c r="Q401" s="622" t="str">
        <f>IF(NOT(ISBLANK('A-RACHNATMAK'!R427)),"A",IF(NOT(ISBLANK('A-RACHNATMAK'!R426)),"B",IF(NOT(ISBLANK('A-RACHNATMAK'!R425)),"C","")))</f>
        <v/>
      </c>
      <c r="R401" s="622" t="str">
        <f>IF(NOT(ISBLANK('A-RACHNATMAK'!S427)),"A",IF(NOT(ISBLANK('A-RACHNATMAK'!S426)),"B",IF(NOT(ISBLANK('A-RACHNATMAK'!S425)),"C","")))</f>
        <v/>
      </c>
      <c r="S401" s="622" t="str">
        <f>IF(NOT(ISBLANK('A-RACHNATMAK'!T427)),"A",IF(NOT(ISBLANK('A-RACHNATMAK'!T426)),"B",IF(NOT(ISBLANK('A-RACHNATMAK'!T425)),"C","")))</f>
        <v/>
      </c>
      <c r="T401" s="622" t="str">
        <f>IF(NOT(ISBLANK('A-RACHNATMAK'!U427)),"A",IF(NOT(ISBLANK('A-RACHNATMAK'!U426)),"B",IF(NOT(ISBLANK('A-RACHNATMAK'!U425)),"C","")))</f>
        <v/>
      </c>
      <c r="U401" s="622" t="str">
        <f>IF(NOT(ISBLANK('A-RACHNATMAK'!V427)),"A",IF(NOT(ISBLANK('A-RACHNATMAK'!V426)),"B",IF(NOT(ISBLANK('A-RACHNATMAK'!V425)),"C","")))</f>
        <v/>
      </c>
      <c r="V401" s="622">
        <f t="shared" ref="V401" si="762">COUNTIF(B401:U401,"A")</f>
        <v>0</v>
      </c>
      <c r="W401" s="622">
        <f t="shared" ref="W401" si="763">COUNTIF(B401:U401,"B")</f>
        <v>0</v>
      </c>
      <c r="X401" s="622">
        <f t="shared" ref="X401" si="764">COUNTIF(B401:U401,"C")</f>
        <v>0</v>
      </c>
      <c r="Y401" s="330"/>
      <c r="Z401" s="623">
        <v>27</v>
      </c>
      <c r="AA401" s="622" t="str">
        <f>IF(NOT(ISBLANK('A-RACHNATMAK'!AD427)),"A",IF(NOT(ISBLANK('A-RACHNATMAK'!AD426)),"B",IF(NOT(ISBLANK('A-RACHNATMAK'!AD425)),"C","")))</f>
        <v/>
      </c>
      <c r="AB401" s="622" t="str">
        <f>IF(NOT(ISBLANK('A-RACHNATMAK'!AE427)),"A",IF(NOT(ISBLANK('A-RACHNATMAK'!AE426)),"B",IF(NOT(ISBLANK('A-RACHNATMAK'!AE425)),"C","")))</f>
        <v/>
      </c>
      <c r="AC401" s="622" t="str">
        <f>IF(NOT(ISBLANK('A-RACHNATMAK'!AF427)),"A",IF(NOT(ISBLANK('A-RACHNATMAK'!AF426)),"B",IF(NOT(ISBLANK('A-RACHNATMAK'!AF425)),"C","")))</f>
        <v/>
      </c>
      <c r="AD401" s="622" t="str">
        <f>IF(NOT(ISBLANK('A-RACHNATMAK'!AG427)),"A",IF(NOT(ISBLANK('A-RACHNATMAK'!AG426)),"B",IF(NOT(ISBLANK('A-RACHNATMAK'!AG425)),"C","")))</f>
        <v/>
      </c>
      <c r="AE401" s="622" t="str">
        <f>IF(NOT(ISBLANK('A-RACHNATMAK'!AH427)),"A",IF(NOT(ISBLANK('A-RACHNATMAK'!AH426)),"B",IF(NOT(ISBLANK('A-RACHNATMAK'!AH425)),"C","")))</f>
        <v/>
      </c>
      <c r="AF401" s="622" t="str">
        <f>IF(NOT(ISBLANK('A-RACHNATMAK'!AI427)),"A",IF(NOT(ISBLANK('A-RACHNATMAK'!AI426)),"B",IF(NOT(ISBLANK('A-RACHNATMAK'!AI425)),"C","")))</f>
        <v/>
      </c>
      <c r="AG401" s="622" t="str">
        <f>IF(NOT(ISBLANK('A-RACHNATMAK'!AJ427)),"A",IF(NOT(ISBLANK('A-RACHNATMAK'!AJ426)),"B",IF(NOT(ISBLANK('A-RACHNATMAK'!AJ425)),"C","")))</f>
        <v/>
      </c>
      <c r="AH401" s="622" t="str">
        <f>IF(NOT(ISBLANK('A-RACHNATMAK'!AK427)),"A",IF(NOT(ISBLANK('A-RACHNATMAK'!AK426)),"B",IF(NOT(ISBLANK('A-RACHNATMAK'!AK425)),"C","")))</f>
        <v/>
      </c>
      <c r="AI401" s="622" t="str">
        <f>IF(NOT(ISBLANK('A-RACHNATMAK'!AL427)),"A",IF(NOT(ISBLANK('A-RACHNATMAK'!AL426)),"B",IF(NOT(ISBLANK('A-RACHNATMAK'!AL425)),"C","")))</f>
        <v/>
      </c>
      <c r="AJ401" s="622" t="str">
        <f>IF(NOT(ISBLANK('A-RACHNATMAK'!AM427)),"A",IF(NOT(ISBLANK('A-RACHNATMAK'!AM426)),"B",IF(NOT(ISBLANK('A-RACHNATMAK'!AM425)),"C","")))</f>
        <v/>
      </c>
      <c r="AK401" s="622" t="str">
        <f>IF(NOT(ISBLANK('A-RACHNATMAK'!AN427)),"A",IF(NOT(ISBLANK('A-RACHNATMAK'!AN426)),"B",IF(NOT(ISBLANK('A-RACHNATMAK'!AN425)),"C","")))</f>
        <v/>
      </c>
      <c r="AL401" s="622" t="str">
        <f>IF(NOT(ISBLANK('A-RACHNATMAK'!AO427)),"A",IF(NOT(ISBLANK('A-RACHNATMAK'!AO426)),"B",IF(NOT(ISBLANK('A-RACHNATMAK'!AO425)),"C","")))</f>
        <v/>
      </c>
      <c r="AM401" s="622" t="str">
        <f>IF(NOT(ISBLANK('A-RACHNATMAK'!AP427)),"A",IF(NOT(ISBLANK('A-RACHNATMAK'!AP426)),"B",IF(NOT(ISBLANK('A-RACHNATMAK'!AP425)),"C","")))</f>
        <v/>
      </c>
      <c r="AN401" s="622" t="str">
        <f>IF(NOT(ISBLANK('A-RACHNATMAK'!AQ427)),"A",IF(NOT(ISBLANK('A-RACHNATMAK'!AQ426)),"B",IF(NOT(ISBLANK('A-RACHNATMAK'!AQ425)),"C","")))</f>
        <v/>
      </c>
      <c r="AO401" s="622" t="str">
        <f>IF(NOT(ISBLANK('A-RACHNATMAK'!AR427)),"A",IF(NOT(ISBLANK('A-RACHNATMAK'!AR426)),"B",IF(NOT(ISBLANK('A-RACHNATMAK'!AR425)),"C","")))</f>
        <v/>
      </c>
      <c r="AP401" s="622" t="str">
        <f>IF(NOT(ISBLANK('A-RACHNATMAK'!AS427)),"A",IF(NOT(ISBLANK('A-RACHNATMAK'!AS426)),"B",IF(NOT(ISBLANK('A-RACHNATMAK'!AS425)),"C","")))</f>
        <v/>
      </c>
      <c r="AQ401" s="622" t="str">
        <f>IF(NOT(ISBLANK('A-RACHNATMAK'!AT427)),"A",IF(NOT(ISBLANK('A-RACHNATMAK'!AT426)),"B",IF(NOT(ISBLANK('A-RACHNATMAK'!AT425)),"C","")))</f>
        <v/>
      </c>
      <c r="AR401" s="622" t="str">
        <f>IF(NOT(ISBLANK('A-RACHNATMAK'!AU427)),"A",IF(NOT(ISBLANK('A-RACHNATMAK'!AU426)),"B",IF(NOT(ISBLANK('A-RACHNATMAK'!AU425)),"C","")))</f>
        <v/>
      </c>
      <c r="AS401" s="622" t="str">
        <f>IF(NOT(ISBLANK('A-RACHNATMAK'!AV427)),"A",IF(NOT(ISBLANK('A-RACHNATMAK'!AV426)),"B",IF(NOT(ISBLANK('A-RACHNATMAK'!AV425)),"C","")))</f>
        <v/>
      </c>
      <c r="AT401" s="622" t="str">
        <f>IF(NOT(ISBLANK('A-RACHNATMAK'!AW427)),"A",IF(NOT(ISBLANK('A-RACHNATMAK'!AW426)),"B",IF(NOT(ISBLANK('A-RACHNATMAK'!AW425)),"C","")))</f>
        <v/>
      </c>
      <c r="AU401" s="622">
        <f t="shared" ref="AU401" si="765">COUNTIF(AA401:AT401,"A")</f>
        <v>0</v>
      </c>
      <c r="AV401" s="622">
        <f t="shared" ref="AV401" si="766">COUNTIF(AA401:AT401,"B")</f>
        <v>0</v>
      </c>
      <c r="AW401" s="622">
        <f t="shared" ref="AW401" si="767">COUNTIF(AA401:AT401,"C")</f>
        <v>0</v>
      </c>
    </row>
    <row r="402" spans="1:49" ht="7.5" customHeight="1">
      <c r="A402" s="623"/>
      <c r="B402" s="622"/>
      <c r="C402" s="622"/>
      <c r="D402" s="622"/>
      <c r="E402" s="622"/>
      <c r="F402" s="622"/>
      <c r="G402" s="622"/>
      <c r="H402" s="622"/>
      <c r="I402" s="622"/>
      <c r="J402" s="622"/>
      <c r="K402" s="622"/>
      <c r="L402" s="622"/>
      <c r="M402" s="622"/>
      <c r="N402" s="622"/>
      <c r="O402" s="622"/>
      <c r="P402" s="622"/>
      <c r="Q402" s="622"/>
      <c r="R402" s="622"/>
      <c r="S402" s="622"/>
      <c r="T402" s="622"/>
      <c r="U402" s="622"/>
      <c r="V402" s="622"/>
      <c r="W402" s="622"/>
      <c r="X402" s="622"/>
      <c r="Y402" s="330"/>
      <c r="Z402" s="623"/>
      <c r="AA402" s="622"/>
      <c r="AB402" s="622"/>
      <c r="AC402" s="622"/>
      <c r="AD402" s="622"/>
      <c r="AE402" s="622"/>
      <c r="AF402" s="622"/>
      <c r="AG402" s="622"/>
      <c r="AH402" s="622"/>
      <c r="AI402" s="622"/>
      <c r="AJ402" s="622"/>
      <c r="AK402" s="622"/>
      <c r="AL402" s="622"/>
      <c r="AM402" s="622"/>
      <c r="AN402" s="622"/>
      <c r="AO402" s="622"/>
      <c r="AP402" s="622"/>
      <c r="AQ402" s="622"/>
      <c r="AR402" s="622"/>
      <c r="AS402" s="622"/>
      <c r="AT402" s="622"/>
      <c r="AU402" s="622"/>
      <c r="AV402" s="622"/>
      <c r="AW402" s="622"/>
    </row>
    <row r="403" spans="1:49" ht="7.5" customHeight="1">
      <c r="A403" s="623"/>
      <c r="B403" s="622"/>
      <c r="C403" s="622"/>
      <c r="D403" s="622"/>
      <c r="E403" s="622"/>
      <c r="F403" s="622"/>
      <c r="G403" s="622"/>
      <c r="H403" s="622"/>
      <c r="I403" s="622"/>
      <c r="J403" s="622"/>
      <c r="K403" s="622"/>
      <c r="L403" s="622"/>
      <c r="M403" s="622"/>
      <c r="N403" s="622"/>
      <c r="O403" s="622"/>
      <c r="P403" s="622"/>
      <c r="Q403" s="622"/>
      <c r="R403" s="622"/>
      <c r="S403" s="622"/>
      <c r="T403" s="622"/>
      <c r="U403" s="622"/>
      <c r="V403" s="622"/>
      <c r="W403" s="622"/>
      <c r="X403" s="622"/>
      <c r="Y403" s="330"/>
      <c r="Z403" s="623"/>
      <c r="AA403" s="622"/>
      <c r="AB403" s="622"/>
      <c r="AC403" s="622"/>
      <c r="AD403" s="622"/>
      <c r="AE403" s="622"/>
      <c r="AF403" s="622"/>
      <c r="AG403" s="622"/>
      <c r="AH403" s="622"/>
      <c r="AI403" s="622"/>
      <c r="AJ403" s="622"/>
      <c r="AK403" s="622"/>
      <c r="AL403" s="622"/>
      <c r="AM403" s="622"/>
      <c r="AN403" s="622"/>
      <c r="AO403" s="622"/>
      <c r="AP403" s="622"/>
      <c r="AQ403" s="622"/>
      <c r="AR403" s="622"/>
      <c r="AS403" s="622"/>
      <c r="AT403" s="622"/>
      <c r="AU403" s="622"/>
      <c r="AV403" s="622"/>
      <c r="AW403" s="622"/>
    </row>
    <row r="404" spans="1:49" ht="7.5" customHeight="1">
      <c r="A404" s="623">
        <v>28</v>
      </c>
      <c r="B404" s="622" t="str">
        <f>IF(NOT(ISBLANK('A-RACHNATMAK'!C430)),"A",IF(NOT(ISBLANK('A-RACHNATMAK'!C429)),"B",IF(NOT(ISBLANK('A-RACHNATMAK'!C428)),"C","")))</f>
        <v/>
      </c>
      <c r="C404" s="622" t="str">
        <f>IF(NOT(ISBLANK('A-RACHNATMAK'!D430)),"A",IF(NOT(ISBLANK('A-RACHNATMAK'!D429)),"B",IF(NOT(ISBLANK('A-RACHNATMAK'!D428)),"C","")))</f>
        <v/>
      </c>
      <c r="D404" s="622" t="str">
        <f>IF(NOT(ISBLANK('A-RACHNATMAK'!E430)),"A",IF(NOT(ISBLANK('A-RACHNATMAK'!E429)),"B",IF(NOT(ISBLANK('A-RACHNATMAK'!E428)),"C","")))</f>
        <v/>
      </c>
      <c r="E404" s="622" t="str">
        <f>IF(NOT(ISBLANK('A-RACHNATMAK'!F430)),"A",IF(NOT(ISBLANK('A-RACHNATMAK'!F429)),"B",IF(NOT(ISBLANK('A-RACHNATMAK'!F428)),"C","")))</f>
        <v/>
      </c>
      <c r="F404" s="622" t="str">
        <f>IF(NOT(ISBLANK('A-RACHNATMAK'!G430)),"A",IF(NOT(ISBLANK('A-RACHNATMAK'!G429)),"B",IF(NOT(ISBLANK('A-RACHNATMAK'!G428)),"C","")))</f>
        <v/>
      </c>
      <c r="G404" s="622" t="str">
        <f>IF(NOT(ISBLANK('A-RACHNATMAK'!H430)),"A",IF(NOT(ISBLANK('A-RACHNATMAK'!H429)),"B",IF(NOT(ISBLANK('A-RACHNATMAK'!H428)),"C","")))</f>
        <v/>
      </c>
      <c r="H404" s="622" t="str">
        <f>IF(NOT(ISBLANK('A-RACHNATMAK'!I430)),"A",IF(NOT(ISBLANK('A-RACHNATMAK'!I429)),"B",IF(NOT(ISBLANK('A-RACHNATMAK'!I428)),"C","")))</f>
        <v/>
      </c>
      <c r="I404" s="622" t="str">
        <f>IF(NOT(ISBLANK('A-RACHNATMAK'!J430)),"A",IF(NOT(ISBLANK('A-RACHNATMAK'!J429)),"B",IF(NOT(ISBLANK('A-RACHNATMAK'!J428)),"C","")))</f>
        <v/>
      </c>
      <c r="J404" s="622" t="str">
        <f>IF(NOT(ISBLANK('A-RACHNATMAK'!K430)),"A",IF(NOT(ISBLANK('A-RACHNATMAK'!K429)),"B",IF(NOT(ISBLANK('A-RACHNATMAK'!K428)),"C","")))</f>
        <v/>
      </c>
      <c r="K404" s="622" t="str">
        <f>IF(NOT(ISBLANK('A-RACHNATMAK'!L430)),"A",IF(NOT(ISBLANK('A-RACHNATMAK'!L429)),"B",IF(NOT(ISBLANK('A-RACHNATMAK'!L428)),"C","")))</f>
        <v/>
      </c>
      <c r="L404" s="622" t="str">
        <f>IF(NOT(ISBLANK('A-RACHNATMAK'!M430)),"A",IF(NOT(ISBLANK('A-RACHNATMAK'!M429)),"B",IF(NOT(ISBLANK('A-RACHNATMAK'!M428)),"C","")))</f>
        <v/>
      </c>
      <c r="M404" s="622" t="str">
        <f>IF(NOT(ISBLANK('A-RACHNATMAK'!N430)),"A",IF(NOT(ISBLANK('A-RACHNATMAK'!N429)),"B",IF(NOT(ISBLANK('A-RACHNATMAK'!N428)),"C","")))</f>
        <v/>
      </c>
      <c r="N404" s="622" t="str">
        <f>IF(NOT(ISBLANK('A-RACHNATMAK'!O430)),"A",IF(NOT(ISBLANK('A-RACHNATMAK'!O429)),"B",IF(NOT(ISBLANK('A-RACHNATMAK'!O428)),"C","")))</f>
        <v/>
      </c>
      <c r="O404" s="622" t="str">
        <f>IF(NOT(ISBLANK('A-RACHNATMAK'!P430)),"A",IF(NOT(ISBLANK('A-RACHNATMAK'!P429)),"B",IF(NOT(ISBLANK('A-RACHNATMAK'!P428)),"C","")))</f>
        <v/>
      </c>
      <c r="P404" s="622" t="str">
        <f>IF(NOT(ISBLANK('A-RACHNATMAK'!Q430)),"A",IF(NOT(ISBLANK('A-RACHNATMAK'!Q429)),"B",IF(NOT(ISBLANK('A-RACHNATMAK'!Q428)),"C","")))</f>
        <v/>
      </c>
      <c r="Q404" s="622" t="str">
        <f>IF(NOT(ISBLANK('A-RACHNATMAK'!R430)),"A",IF(NOT(ISBLANK('A-RACHNATMAK'!R429)),"B",IF(NOT(ISBLANK('A-RACHNATMAK'!R428)),"C","")))</f>
        <v/>
      </c>
      <c r="R404" s="622" t="str">
        <f>IF(NOT(ISBLANK('A-RACHNATMAK'!S430)),"A",IF(NOT(ISBLANK('A-RACHNATMAK'!S429)),"B",IF(NOT(ISBLANK('A-RACHNATMAK'!S428)),"C","")))</f>
        <v/>
      </c>
      <c r="S404" s="622" t="str">
        <f>IF(NOT(ISBLANK('A-RACHNATMAK'!T430)),"A",IF(NOT(ISBLANK('A-RACHNATMAK'!T429)),"B",IF(NOT(ISBLANK('A-RACHNATMAK'!T428)),"C","")))</f>
        <v/>
      </c>
      <c r="T404" s="622" t="str">
        <f>IF(NOT(ISBLANK('A-RACHNATMAK'!U430)),"A",IF(NOT(ISBLANK('A-RACHNATMAK'!U429)),"B",IF(NOT(ISBLANK('A-RACHNATMAK'!U428)),"C","")))</f>
        <v/>
      </c>
      <c r="U404" s="622" t="str">
        <f>IF(NOT(ISBLANK('A-RACHNATMAK'!V430)),"A",IF(NOT(ISBLANK('A-RACHNATMAK'!V429)),"B",IF(NOT(ISBLANK('A-RACHNATMAK'!V428)),"C","")))</f>
        <v/>
      </c>
      <c r="V404" s="622">
        <f t="shared" ref="V404" si="768">COUNTIF(B404:U404,"A")</f>
        <v>0</v>
      </c>
      <c r="W404" s="622">
        <f t="shared" ref="W404" si="769">COUNTIF(B404:U404,"B")</f>
        <v>0</v>
      </c>
      <c r="X404" s="622">
        <f t="shared" ref="X404" si="770">COUNTIF(B404:U404,"C")</f>
        <v>0</v>
      </c>
      <c r="Y404" s="330"/>
      <c r="Z404" s="623">
        <v>28</v>
      </c>
      <c r="AA404" s="622" t="str">
        <f>IF(NOT(ISBLANK('A-RACHNATMAK'!AD430)),"A",IF(NOT(ISBLANK('A-RACHNATMAK'!AD429)),"B",IF(NOT(ISBLANK('A-RACHNATMAK'!AD428)),"C","")))</f>
        <v/>
      </c>
      <c r="AB404" s="622" t="str">
        <f>IF(NOT(ISBLANK('A-RACHNATMAK'!AE430)),"A",IF(NOT(ISBLANK('A-RACHNATMAK'!AE429)),"B",IF(NOT(ISBLANK('A-RACHNATMAK'!AE428)),"C","")))</f>
        <v/>
      </c>
      <c r="AC404" s="622" t="str">
        <f>IF(NOT(ISBLANK('A-RACHNATMAK'!AF430)),"A",IF(NOT(ISBLANK('A-RACHNATMAK'!AF429)),"B",IF(NOT(ISBLANK('A-RACHNATMAK'!AF428)),"C","")))</f>
        <v/>
      </c>
      <c r="AD404" s="622" t="str">
        <f>IF(NOT(ISBLANK('A-RACHNATMAK'!AG430)),"A",IF(NOT(ISBLANK('A-RACHNATMAK'!AG429)),"B",IF(NOT(ISBLANK('A-RACHNATMAK'!AG428)),"C","")))</f>
        <v/>
      </c>
      <c r="AE404" s="622" t="str">
        <f>IF(NOT(ISBLANK('A-RACHNATMAK'!AH430)),"A",IF(NOT(ISBLANK('A-RACHNATMAK'!AH429)),"B",IF(NOT(ISBLANK('A-RACHNATMAK'!AH428)),"C","")))</f>
        <v/>
      </c>
      <c r="AF404" s="622" t="str">
        <f>IF(NOT(ISBLANK('A-RACHNATMAK'!AI430)),"A",IF(NOT(ISBLANK('A-RACHNATMAK'!AI429)),"B",IF(NOT(ISBLANK('A-RACHNATMAK'!AI428)),"C","")))</f>
        <v/>
      </c>
      <c r="AG404" s="622" t="str">
        <f>IF(NOT(ISBLANK('A-RACHNATMAK'!AJ430)),"A",IF(NOT(ISBLANK('A-RACHNATMAK'!AJ429)),"B",IF(NOT(ISBLANK('A-RACHNATMAK'!AJ428)),"C","")))</f>
        <v/>
      </c>
      <c r="AH404" s="622" t="str">
        <f>IF(NOT(ISBLANK('A-RACHNATMAK'!AK430)),"A",IF(NOT(ISBLANK('A-RACHNATMAK'!AK429)),"B",IF(NOT(ISBLANK('A-RACHNATMAK'!AK428)),"C","")))</f>
        <v/>
      </c>
      <c r="AI404" s="622" t="str">
        <f>IF(NOT(ISBLANK('A-RACHNATMAK'!AL430)),"A",IF(NOT(ISBLANK('A-RACHNATMAK'!AL429)),"B",IF(NOT(ISBLANK('A-RACHNATMAK'!AL428)),"C","")))</f>
        <v/>
      </c>
      <c r="AJ404" s="622" t="str">
        <f>IF(NOT(ISBLANK('A-RACHNATMAK'!AM430)),"A",IF(NOT(ISBLANK('A-RACHNATMAK'!AM429)),"B",IF(NOT(ISBLANK('A-RACHNATMAK'!AM428)),"C","")))</f>
        <v/>
      </c>
      <c r="AK404" s="622" t="str">
        <f>IF(NOT(ISBLANK('A-RACHNATMAK'!AN430)),"A",IF(NOT(ISBLANK('A-RACHNATMAK'!AN429)),"B",IF(NOT(ISBLANK('A-RACHNATMAK'!AN428)),"C","")))</f>
        <v/>
      </c>
      <c r="AL404" s="622" t="str">
        <f>IF(NOT(ISBLANK('A-RACHNATMAK'!AO430)),"A",IF(NOT(ISBLANK('A-RACHNATMAK'!AO429)),"B",IF(NOT(ISBLANK('A-RACHNATMAK'!AO428)),"C","")))</f>
        <v/>
      </c>
      <c r="AM404" s="622" t="str">
        <f>IF(NOT(ISBLANK('A-RACHNATMAK'!AP430)),"A",IF(NOT(ISBLANK('A-RACHNATMAK'!AP429)),"B",IF(NOT(ISBLANK('A-RACHNATMAK'!AP428)),"C","")))</f>
        <v/>
      </c>
      <c r="AN404" s="622" t="str">
        <f>IF(NOT(ISBLANK('A-RACHNATMAK'!AQ430)),"A",IF(NOT(ISBLANK('A-RACHNATMAK'!AQ429)),"B",IF(NOT(ISBLANK('A-RACHNATMAK'!AQ428)),"C","")))</f>
        <v/>
      </c>
      <c r="AO404" s="622" t="str">
        <f>IF(NOT(ISBLANK('A-RACHNATMAK'!AR430)),"A",IF(NOT(ISBLANK('A-RACHNATMAK'!AR429)),"B",IF(NOT(ISBLANK('A-RACHNATMAK'!AR428)),"C","")))</f>
        <v/>
      </c>
      <c r="AP404" s="622" t="str">
        <f>IF(NOT(ISBLANK('A-RACHNATMAK'!AS430)),"A",IF(NOT(ISBLANK('A-RACHNATMAK'!AS429)),"B",IF(NOT(ISBLANK('A-RACHNATMAK'!AS428)),"C","")))</f>
        <v/>
      </c>
      <c r="AQ404" s="622" t="str">
        <f>IF(NOT(ISBLANK('A-RACHNATMAK'!AT430)),"A",IF(NOT(ISBLANK('A-RACHNATMAK'!AT429)),"B",IF(NOT(ISBLANK('A-RACHNATMAK'!AT428)),"C","")))</f>
        <v/>
      </c>
      <c r="AR404" s="622" t="str">
        <f>IF(NOT(ISBLANK('A-RACHNATMAK'!AU430)),"A",IF(NOT(ISBLANK('A-RACHNATMAK'!AU429)),"B",IF(NOT(ISBLANK('A-RACHNATMAK'!AU428)),"C","")))</f>
        <v/>
      </c>
      <c r="AS404" s="622" t="str">
        <f>IF(NOT(ISBLANK('A-RACHNATMAK'!AV430)),"A",IF(NOT(ISBLANK('A-RACHNATMAK'!AV429)),"B",IF(NOT(ISBLANK('A-RACHNATMAK'!AV428)),"C","")))</f>
        <v/>
      </c>
      <c r="AT404" s="622" t="str">
        <f>IF(NOT(ISBLANK('A-RACHNATMAK'!AW430)),"A",IF(NOT(ISBLANK('A-RACHNATMAK'!AW429)),"B",IF(NOT(ISBLANK('A-RACHNATMAK'!AW428)),"C","")))</f>
        <v/>
      </c>
      <c r="AU404" s="622">
        <f t="shared" ref="AU404" si="771">COUNTIF(AA404:AT404,"A")</f>
        <v>0</v>
      </c>
      <c r="AV404" s="622">
        <f t="shared" ref="AV404" si="772">COUNTIF(AA404:AT404,"B")</f>
        <v>0</v>
      </c>
      <c r="AW404" s="622">
        <f t="shared" ref="AW404" si="773">COUNTIF(AA404:AT404,"C")</f>
        <v>0</v>
      </c>
    </row>
    <row r="405" spans="1:49" ht="7.5" customHeight="1">
      <c r="A405" s="623"/>
      <c r="B405" s="622"/>
      <c r="C405" s="622"/>
      <c r="D405" s="622"/>
      <c r="E405" s="622"/>
      <c r="F405" s="622"/>
      <c r="G405" s="622"/>
      <c r="H405" s="622"/>
      <c r="I405" s="622"/>
      <c r="J405" s="622"/>
      <c r="K405" s="622"/>
      <c r="L405" s="622"/>
      <c r="M405" s="622"/>
      <c r="N405" s="622"/>
      <c r="O405" s="622"/>
      <c r="P405" s="622"/>
      <c r="Q405" s="622"/>
      <c r="R405" s="622"/>
      <c r="S405" s="622"/>
      <c r="T405" s="622"/>
      <c r="U405" s="622"/>
      <c r="V405" s="622"/>
      <c r="W405" s="622"/>
      <c r="X405" s="622"/>
      <c r="Y405" s="330"/>
      <c r="Z405" s="623"/>
      <c r="AA405" s="622"/>
      <c r="AB405" s="622"/>
      <c r="AC405" s="622"/>
      <c r="AD405" s="622"/>
      <c r="AE405" s="622"/>
      <c r="AF405" s="622"/>
      <c r="AG405" s="622"/>
      <c r="AH405" s="622"/>
      <c r="AI405" s="622"/>
      <c r="AJ405" s="622"/>
      <c r="AK405" s="622"/>
      <c r="AL405" s="622"/>
      <c r="AM405" s="622"/>
      <c r="AN405" s="622"/>
      <c r="AO405" s="622"/>
      <c r="AP405" s="622"/>
      <c r="AQ405" s="622"/>
      <c r="AR405" s="622"/>
      <c r="AS405" s="622"/>
      <c r="AT405" s="622"/>
      <c r="AU405" s="622"/>
      <c r="AV405" s="622"/>
      <c r="AW405" s="622"/>
    </row>
    <row r="406" spans="1:49" ht="7.5" customHeight="1">
      <c r="A406" s="623"/>
      <c r="B406" s="622"/>
      <c r="C406" s="622"/>
      <c r="D406" s="622"/>
      <c r="E406" s="622"/>
      <c r="F406" s="622"/>
      <c r="G406" s="622"/>
      <c r="H406" s="622"/>
      <c r="I406" s="622"/>
      <c r="J406" s="622"/>
      <c r="K406" s="622"/>
      <c r="L406" s="622"/>
      <c r="M406" s="622"/>
      <c r="N406" s="622"/>
      <c r="O406" s="622"/>
      <c r="P406" s="622"/>
      <c r="Q406" s="622"/>
      <c r="R406" s="622"/>
      <c r="S406" s="622"/>
      <c r="T406" s="622"/>
      <c r="U406" s="622"/>
      <c r="V406" s="622"/>
      <c r="W406" s="622"/>
      <c r="X406" s="622"/>
      <c r="Y406" s="330"/>
      <c r="Z406" s="623"/>
      <c r="AA406" s="622"/>
      <c r="AB406" s="622"/>
      <c r="AC406" s="622"/>
      <c r="AD406" s="622"/>
      <c r="AE406" s="622"/>
      <c r="AF406" s="622"/>
      <c r="AG406" s="622"/>
      <c r="AH406" s="622"/>
      <c r="AI406" s="622"/>
      <c r="AJ406" s="622"/>
      <c r="AK406" s="622"/>
      <c r="AL406" s="622"/>
      <c r="AM406" s="622"/>
      <c r="AN406" s="622"/>
      <c r="AO406" s="622"/>
      <c r="AP406" s="622"/>
      <c r="AQ406" s="622"/>
      <c r="AR406" s="622"/>
      <c r="AS406" s="622"/>
      <c r="AT406" s="622"/>
      <c r="AU406" s="622"/>
      <c r="AV406" s="622"/>
      <c r="AW406" s="622"/>
    </row>
    <row r="407" spans="1:49" ht="7.5" customHeight="1">
      <c r="A407" s="623">
        <v>29</v>
      </c>
      <c r="B407" s="622" t="str">
        <f>IF(NOT(ISBLANK('A-RACHNATMAK'!C433)),"A",IF(NOT(ISBLANK('A-RACHNATMAK'!C432)),"B",IF(NOT(ISBLANK('A-RACHNATMAK'!C431)),"C","")))</f>
        <v/>
      </c>
      <c r="C407" s="622" t="str">
        <f>IF(NOT(ISBLANK('A-RACHNATMAK'!D433)),"A",IF(NOT(ISBLANK('A-RACHNATMAK'!D432)),"B",IF(NOT(ISBLANK('A-RACHNATMAK'!D431)),"C","")))</f>
        <v/>
      </c>
      <c r="D407" s="622" t="str">
        <f>IF(NOT(ISBLANK('A-RACHNATMAK'!E433)),"A",IF(NOT(ISBLANK('A-RACHNATMAK'!E432)),"B",IF(NOT(ISBLANK('A-RACHNATMAK'!E431)),"C","")))</f>
        <v/>
      </c>
      <c r="E407" s="622" t="str">
        <f>IF(NOT(ISBLANK('A-RACHNATMAK'!F433)),"A",IF(NOT(ISBLANK('A-RACHNATMAK'!F432)),"B",IF(NOT(ISBLANK('A-RACHNATMAK'!F431)),"C","")))</f>
        <v/>
      </c>
      <c r="F407" s="622" t="str">
        <f>IF(NOT(ISBLANK('A-RACHNATMAK'!G433)),"A",IF(NOT(ISBLANK('A-RACHNATMAK'!G432)),"B",IF(NOT(ISBLANK('A-RACHNATMAK'!G431)),"C","")))</f>
        <v/>
      </c>
      <c r="G407" s="622" t="str">
        <f>IF(NOT(ISBLANK('A-RACHNATMAK'!H433)),"A",IF(NOT(ISBLANK('A-RACHNATMAK'!H432)),"B",IF(NOT(ISBLANK('A-RACHNATMAK'!H431)),"C","")))</f>
        <v/>
      </c>
      <c r="H407" s="622" t="str">
        <f>IF(NOT(ISBLANK('A-RACHNATMAK'!I433)),"A",IF(NOT(ISBLANK('A-RACHNATMAK'!I432)),"B",IF(NOT(ISBLANK('A-RACHNATMAK'!I431)),"C","")))</f>
        <v/>
      </c>
      <c r="I407" s="622" t="str">
        <f>IF(NOT(ISBLANK('A-RACHNATMAK'!J433)),"A",IF(NOT(ISBLANK('A-RACHNATMAK'!J432)),"B",IF(NOT(ISBLANK('A-RACHNATMAK'!J431)),"C","")))</f>
        <v/>
      </c>
      <c r="J407" s="622" t="str">
        <f>IF(NOT(ISBLANK('A-RACHNATMAK'!K433)),"A",IF(NOT(ISBLANK('A-RACHNATMAK'!K432)),"B",IF(NOT(ISBLANK('A-RACHNATMAK'!K431)),"C","")))</f>
        <v/>
      </c>
      <c r="K407" s="622" t="str">
        <f>IF(NOT(ISBLANK('A-RACHNATMAK'!L433)),"A",IF(NOT(ISBLANK('A-RACHNATMAK'!L432)),"B",IF(NOT(ISBLANK('A-RACHNATMAK'!L431)),"C","")))</f>
        <v/>
      </c>
      <c r="L407" s="622" t="str">
        <f>IF(NOT(ISBLANK('A-RACHNATMAK'!M433)),"A",IF(NOT(ISBLANK('A-RACHNATMAK'!M432)),"B",IF(NOT(ISBLANK('A-RACHNATMAK'!M431)),"C","")))</f>
        <v/>
      </c>
      <c r="M407" s="622" t="str">
        <f>IF(NOT(ISBLANK('A-RACHNATMAK'!N433)),"A",IF(NOT(ISBLANK('A-RACHNATMAK'!N432)),"B",IF(NOT(ISBLANK('A-RACHNATMAK'!N431)),"C","")))</f>
        <v/>
      </c>
      <c r="N407" s="622" t="str">
        <f>IF(NOT(ISBLANK('A-RACHNATMAK'!O433)),"A",IF(NOT(ISBLANK('A-RACHNATMAK'!O432)),"B",IF(NOT(ISBLANK('A-RACHNATMAK'!O431)),"C","")))</f>
        <v/>
      </c>
      <c r="O407" s="622" t="str">
        <f>IF(NOT(ISBLANK('A-RACHNATMAK'!P433)),"A",IF(NOT(ISBLANK('A-RACHNATMAK'!P432)),"B",IF(NOT(ISBLANK('A-RACHNATMAK'!P431)),"C","")))</f>
        <v/>
      </c>
      <c r="P407" s="622" t="str">
        <f>IF(NOT(ISBLANK('A-RACHNATMAK'!Q433)),"A",IF(NOT(ISBLANK('A-RACHNATMAK'!Q432)),"B",IF(NOT(ISBLANK('A-RACHNATMAK'!Q431)),"C","")))</f>
        <v/>
      </c>
      <c r="Q407" s="622" t="str">
        <f>IF(NOT(ISBLANK('A-RACHNATMAK'!R433)),"A",IF(NOT(ISBLANK('A-RACHNATMAK'!R432)),"B",IF(NOT(ISBLANK('A-RACHNATMAK'!R431)),"C","")))</f>
        <v/>
      </c>
      <c r="R407" s="622" t="str">
        <f>IF(NOT(ISBLANK('A-RACHNATMAK'!S433)),"A",IF(NOT(ISBLANK('A-RACHNATMAK'!S432)),"B",IF(NOT(ISBLANK('A-RACHNATMAK'!S431)),"C","")))</f>
        <v/>
      </c>
      <c r="S407" s="622" t="str">
        <f>IF(NOT(ISBLANK('A-RACHNATMAK'!T433)),"A",IF(NOT(ISBLANK('A-RACHNATMAK'!T432)),"B",IF(NOT(ISBLANK('A-RACHNATMAK'!T431)),"C","")))</f>
        <v/>
      </c>
      <c r="T407" s="622" t="str">
        <f>IF(NOT(ISBLANK('A-RACHNATMAK'!U433)),"A",IF(NOT(ISBLANK('A-RACHNATMAK'!U432)),"B",IF(NOT(ISBLANK('A-RACHNATMAK'!U431)),"C","")))</f>
        <v/>
      </c>
      <c r="U407" s="622" t="str">
        <f>IF(NOT(ISBLANK('A-RACHNATMAK'!V433)),"A",IF(NOT(ISBLANK('A-RACHNATMAK'!V432)),"B",IF(NOT(ISBLANK('A-RACHNATMAK'!V431)),"C","")))</f>
        <v/>
      </c>
      <c r="V407" s="622">
        <f t="shared" ref="V407" si="774">COUNTIF(B407:U407,"A")</f>
        <v>0</v>
      </c>
      <c r="W407" s="622">
        <f t="shared" ref="W407" si="775">COUNTIF(B407:U407,"B")</f>
        <v>0</v>
      </c>
      <c r="X407" s="622">
        <f t="shared" ref="X407" si="776">COUNTIF(B407:U407,"C")</f>
        <v>0</v>
      </c>
      <c r="Y407" s="330"/>
      <c r="Z407" s="623">
        <v>29</v>
      </c>
      <c r="AA407" s="622" t="str">
        <f>IF(NOT(ISBLANK('A-RACHNATMAK'!AD433)),"A",IF(NOT(ISBLANK('A-RACHNATMAK'!AD432)),"B",IF(NOT(ISBLANK('A-RACHNATMAK'!AD431)),"C","")))</f>
        <v/>
      </c>
      <c r="AB407" s="622" t="str">
        <f>IF(NOT(ISBLANK('A-RACHNATMAK'!AE433)),"A",IF(NOT(ISBLANK('A-RACHNATMAK'!AE432)),"B",IF(NOT(ISBLANK('A-RACHNATMAK'!AE431)),"C","")))</f>
        <v/>
      </c>
      <c r="AC407" s="622" t="str">
        <f>IF(NOT(ISBLANK('A-RACHNATMAK'!AF433)),"A",IF(NOT(ISBLANK('A-RACHNATMAK'!AF432)),"B",IF(NOT(ISBLANK('A-RACHNATMAK'!AF431)),"C","")))</f>
        <v/>
      </c>
      <c r="AD407" s="622" t="str">
        <f>IF(NOT(ISBLANK('A-RACHNATMAK'!AG433)),"A",IF(NOT(ISBLANK('A-RACHNATMAK'!AG432)),"B",IF(NOT(ISBLANK('A-RACHNATMAK'!AG431)),"C","")))</f>
        <v/>
      </c>
      <c r="AE407" s="622" t="str">
        <f>IF(NOT(ISBLANK('A-RACHNATMAK'!AH433)),"A",IF(NOT(ISBLANK('A-RACHNATMAK'!AH432)),"B",IF(NOT(ISBLANK('A-RACHNATMAK'!AH431)),"C","")))</f>
        <v/>
      </c>
      <c r="AF407" s="622" t="str">
        <f>IF(NOT(ISBLANK('A-RACHNATMAK'!AI433)),"A",IF(NOT(ISBLANK('A-RACHNATMAK'!AI432)),"B",IF(NOT(ISBLANK('A-RACHNATMAK'!AI431)),"C","")))</f>
        <v/>
      </c>
      <c r="AG407" s="622" t="str">
        <f>IF(NOT(ISBLANK('A-RACHNATMAK'!AJ433)),"A",IF(NOT(ISBLANK('A-RACHNATMAK'!AJ432)),"B",IF(NOT(ISBLANK('A-RACHNATMAK'!AJ431)),"C","")))</f>
        <v/>
      </c>
      <c r="AH407" s="622" t="str">
        <f>IF(NOT(ISBLANK('A-RACHNATMAK'!AK433)),"A",IF(NOT(ISBLANK('A-RACHNATMAK'!AK432)),"B",IF(NOT(ISBLANK('A-RACHNATMAK'!AK431)),"C","")))</f>
        <v/>
      </c>
      <c r="AI407" s="622" t="str">
        <f>IF(NOT(ISBLANK('A-RACHNATMAK'!AL433)),"A",IF(NOT(ISBLANK('A-RACHNATMAK'!AL432)),"B",IF(NOT(ISBLANK('A-RACHNATMAK'!AL431)),"C","")))</f>
        <v/>
      </c>
      <c r="AJ407" s="622" t="str">
        <f>IF(NOT(ISBLANK('A-RACHNATMAK'!AM433)),"A",IF(NOT(ISBLANK('A-RACHNATMAK'!AM432)),"B",IF(NOT(ISBLANK('A-RACHNATMAK'!AM431)),"C","")))</f>
        <v/>
      </c>
      <c r="AK407" s="622" t="str">
        <f>IF(NOT(ISBLANK('A-RACHNATMAK'!AN433)),"A",IF(NOT(ISBLANK('A-RACHNATMAK'!AN432)),"B",IF(NOT(ISBLANK('A-RACHNATMAK'!AN431)),"C","")))</f>
        <v/>
      </c>
      <c r="AL407" s="622" t="str">
        <f>IF(NOT(ISBLANK('A-RACHNATMAK'!AO433)),"A",IF(NOT(ISBLANK('A-RACHNATMAK'!AO432)),"B",IF(NOT(ISBLANK('A-RACHNATMAK'!AO431)),"C","")))</f>
        <v/>
      </c>
      <c r="AM407" s="622" t="str">
        <f>IF(NOT(ISBLANK('A-RACHNATMAK'!AP433)),"A",IF(NOT(ISBLANK('A-RACHNATMAK'!AP432)),"B",IF(NOT(ISBLANK('A-RACHNATMAK'!AP431)),"C","")))</f>
        <v/>
      </c>
      <c r="AN407" s="622" t="str">
        <f>IF(NOT(ISBLANK('A-RACHNATMAK'!AQ433)),"A",IF(NOT(ISBLANK('A-RACHNATMAK'!AQ432)),"B",IF(NOT(ISBLANK('A-RACHNATMAK'!AQ431)),"C","")))</f>
        <v/>
      </c>
      <c r="AO407" s="622" t="str">
        <f>IF(NOT(ISBLANK('A-RACHNATMAK'!AR433)),"A",IF(NOT(ISBLANK('A-RACHNATMAK'!AR432)),"B",IF(NOT(ISBLANK('A-RACHNATMAK'!AR431)),"C","")))</f>
        <v/>
      </c>
      <c r="AP407" s="622" t="str">
        <f>IF(NOT(ISBLANK('A-RACHNATMAK'!AS433)),"A",IF(NOT(ISBLANK('A-RACHNATMAK'!AS432)),"B",IF(NOT(ISBLANK('A-RACHNATMAK'!AS431)),"C","")))</f>
        <v/>
      </c>
      <c r="AQ407" s="622" t="str">
        <f>IF(NOT(ISBLANK('A-RACHNATMAK'!AT433)),"A",IF(NOT(ISBLANK('A-RACHNATMAK'!AT432)),"B",IF(NOT(ISBLANK('A-RACHNATMAK'!AT431)),"C","")))</f>
        <v/>
      </c>
      <c r="AR407" s="622" t="str">
        <f>IF(NOT(ISBLANK('A-RACHNATMAK'!AU433)),"A",IF(NOT(ISBLANK('A-RACHNATMAK'!AU432)),"B",IF(NOT(ISBLANK('A-RACHNATMAK'!AU431)),"C","")))</f>
        <v/>
      </c>
      <c r="AS407" s="622" t="str">
        <f>IF(NOT(ISBLANK('A-RACHNATMAK'!AV433)),"A",IF(NOT(ISBLANK('A-RACHNATMAK'!AV432)),"B",IF(NOT(ISBLANK('A-RACHNATMAK'!AV431)),"C","")))</f>
        <v/>
      </c>
      <c r="AT407" s="622" t="str">
        <f>IF(NOT(ISBLANK('A-RACHNATMAK'!AW433)),"A",IF(NOT(ISBLANK('A-RACHNATMAK'!AW432)),"B",IF(NOT(ISBLANK('A-RACHNATMAK'!AW431)),"C","")))</f>
        <v/>
      </c>
      <c r="AU407" s="622">
        <f t="shared" ref="AU407" si="777">COUNTIF(AA407:AT407,"A")</f>
        <v>0</v>
      </c>
      <c r="AV407" s="622">
        <f t="shared" ref="AV407" si="778">COUNTIF(AA407:AT407,"B")</f>
        <v>0</v>
      </c>
      <c r="AW407" s="622">
        <f t="shared" ref="AW407" si="779">COUNTIF(AA407:AT407,"C")</f>
        <v>0</v>
      </c>
    </row>
    <row r="408" spans="1:49" ht="7.5" customHeight="1">
      <c r="A408" s="623"/>
      <c r="B408" s="622"/>
      <c r="C408" s="622"/>
      <c r="D408" s="622"/>
      <c r="E408" s="622"/>
      <c r="F408" s="622"/>
      <c r="G408" s="622"/>
      <c r="H408" s="622"/>
      <c r="I408" s="622"/>
      <c r="J408" s="622"/>
      <c r="K408" s="622"/>
      <c r="L408" s="622"/>
      <c r="M408" s="622"/>
      <c r="N408" s="622"/>
      <c r="O408" s="622"/>
      <c r="P408" s="622"/>
      <c r="Q408" s="622"/>
      <c r="R408" s="622"/>
      <c r="S408" s="622"/>
      <c r="T408" s="622"/>
      <c r="U408" s="622"/>
      <c r="V408" s="622"/>
      <c r="W408" s="622"/>
      <c r="X408" s="622"/>
      <c r="Y408" s="330"/>
      <c r="Z408" s="623"/>
      <c r="AA408" s="622"/>
      <c r="AB408" s="622"/>
      <c r="AC408" s="622"/>
      <c r="AD408" s="622"/>
      <c r="AE408" s="622"/>
      <c r="AF408" s="622"/>
      <c r="AG408" s="622"/>
      <c r="AH408" s="622"/>
      <c r="AI408" s="622"/>
      <c r="AJ408" s="622"/>
      <c r="AK408" s="622"/>
      <c r="AL408" s="622"/>
      <c r="AM408" s="622"/>
      <c r="AN408" s="622"/>
      <c r="AO408" s="622"/>
      <c r="AP408" s="622"/>
      <c r="AQ408" s="622"/>
      <c r="AR408" s="622"/>
      <c r="AS408" s="622"/>
      <c r="AT408" s="622"/>
      <c r="AU408" s="622"/>
      <c r="AV408" s="622"/>
      <c r="AW408" s="622"/>
    </row>
    <row r="409" spans="1:49" ht="7.5" customHeight="1">
      <c r="A409" s="623"/>
      <c r="B409" s="622"/>
      <c r="C409" s="622"/>
      <c r="D409" s="622"/>
      <c r="E409" s="622"/>
      <c r="F409" s="622"/>
      <c r="G409" s="622"/>
      <c r="H409" s="622"/>
      <c r="I409" s="622"/>
      <c r="J409" s="622"/>
      <c r="K409" s="622"/>
      <c r="L409" s="622"/>
      <c r="M409" s="622"/>
      <c r="N409" s="622"/>
      <c r="O409" s="622"/>
      <c r="P409" s="622"/>
      <c r="Q409" s="622"/>
      <c r="R409" s="622"/>
      <c r="S409" s="622"/>
      <c r="T409" s="622"/>
      <c r="U409" s="622"/>
      <c r="V409" s="622"/>
      <c r="W409" s="622"/>
      <c r="X409" s="622"/>
      <c r="Y409" s="330"/>
      <c r="Z409" s="623"/>
      <c r="AA409" s="622"/>
      <c r="AB409" s="622"/>
      <c r="AC409" s="622"/>
      <c r="AD409" s="622"/>
      <c r="AE409" s="622"/>
      <c r="AF409" s="622"/>
      <c r="AG409" s="622"/>
      <c r="AH409" s="622"/>
      <c r="AI409" s="622"/>
      <c r="AJ409" s="622"/>
      <c r="AK409" s="622"/>
      <c r="AL409" s="622"/>
      <c r="AM409" s="622"/>
      <c r="AN409" s="622"/>
      <c r="AO409" s="622"/>
      <c r="AP409" s="622"/>
      <c r="AQ409" s="622"/>
      <c r="AR409" s="622"/>
      <c r="AS409" s="622"/>
      <c r="AT409" s="622"/>
      <c r="AU409" s="622"/>
      <c r="AV409" s="622"/>
      <c r="AW409" s="622"/>
    </row>
    <row r="410" spans="1:49" ht="7.5" customHeight="1">
      <c r="A410" s="623">
        <v>30</v>
      </c>
      <c r="B410" s="622" t="str">
        <f>IF(NOT(ISBLANK('A-RACHNATMAK'!C436)),"A",IF(NOT(ISBLANK('A-RACHNATMAK'!C435)),"B",IF(NOT(ISBLANK('A-RACHNATMAK'!C434)),"C","")))</f>
        <v/>
      </c>
      <c r="C410" s="622" t="str">
        <f>IF(NOT(ISBLANK('A-RACHNATMAK'!D436)),"A",IF(NOT(ISBLANK('A-RACHNATMAK'!D435)),"B",IF(NOT(ISBLANK('A-RACHNATMAK'!D434)),"C","")))</f>
        <v/>
      </c>
      <c r="D410" s="622" t="str">
        <f>IF(NOT(ISBLANK('A-RACHNATMAK'!E436)),"A",IF(NOT(ISBLANK('A-RACHNATMAK'!E435)),"B",IF(NOT(ISBLANK('A-RACHNATMAK'!E434)),"C","")))</f>
        <v/>
      </c>
      <c r="E410" s="622" t="str">
        <f>IF(NOT(ISBLANK('A-RACHNATMAK'!F436)),"A",IF(NOT(ISBLANK('A-RACHNATMAK'!F435)),"B",IF(NOT(ISBLANK('A-RACHNATMAK'!F434)),"C","")))</f>
        <v/>
      </c>
      <c r="F410" s="622" t="str">
        <f>IF(NOT(ISBLANK('A-RACHNATMAK'!G436)),"A",IF(NOT(ISBLANK('A-RACHNATMAK'!G435)),"B",IF(NOT(ISBLANK('A-RACHNATMAK'!G434)),"C","")))</f>
        <v/>
      </c>
      <c r="G410" s="622" t="str">
        <f>IF(NOT(ISBLANK('A-RACHNATMAK'!H436)),"A",IF(NOT(ISBLANK('A-RACHNATMAK'!H435)),"B",IF(NOT(ISBLANK('A-RACHNATMAK'!H434)),"C","")))</f>
        <v/>
      </c>
      <c r="H410" s="622" t="str">
        <f>IF(NOT(ISBLANK('A-RACHNATMAK'!I436)),"A",IF(NOT(ISBLANK('A-RACHNATMAK'!I435)),"B",IF(NOT(ISBLANK('A-RACHNATMAK'!I434)),"C","")))</f>
        <v/>
      </c>
      <c r="I410" s="622" t="str">
        <f>IF(NOT(ISBLANK('A-RACHNATMAK'!J436)),"A",IF(NOT(ISBLANK('A-RACHNATMAK'!J435)),"B",IF(NOT(ISBLANK('A-RACHNATMAK'!J434)),"C","")))</f>
        <v/>
      </c>
      <c r="J410" s="622" t="str">
        <f>IF(NOT(ISBLANK('A-RACHNATMAK'!K436)),"A",IF(NOT(ISBLANK('A-RACHNATMAK'!K435)),"B",IF(NOT(ISBLANK('A-RACHNATMAK'!K434)),"C","")))</f>
        <v/>
      </c>
      <c r="K410" s="622" t="str">
        <f>IF(NOT(ISBLANK('A-RACHNATMAK'!L436)),"A",IF(NOT(ISBLANK('A-RACHNATMAK'!L435)),"B",IF(NOT(ISBLANK('A-RACHNATMAK'!L434)),"C","")))</f>
        <v/>
      </c>
      <c r="L410" s="622" t="str">
        <f>IF(NOT(ISBLANK('A-RACHNATMAK'!M436)),"A",IF(NOT(ISBLANK('A-RACHNATMAK'!M435)),"B",IF(NOT(ISBLANK('A-RACHNATMAK'!M434)),"C","")))</f>
        <v/>
      </c>
      <c r="M410" s="622" t="str">
        <f>IF(NOT(ISBLANK('A-RACHNATMAK'!N436)),"A",IF(NOT(ISBLANK('A-RACHNATMAK'!N435)),"B",IF(NOT(ISBLANK('A-RACHNATMAK'!N434)),"C","")))</f>
        <v/>
      </c>
      <c r="N410" s="622" t="str">
        <f>IF(NOT(ISBLANK('A-RACHNATMAK'!O436)),"A",IF(NOT(ISBLANK('A-RACHNATMAK'!O435)),"B",IF(NOT(ISBLANK('A-RACHNATMAK'!O434)),"C","")))</f>
        <v/>
      </c>
      <c r="O410" s="622" t="str">
        <f>IF(NOT(ISBLANK('A-RACHNATMAK'!P436)),"A",IF(NOT(ISBLANK('A-RACHNATMAK'!P435)),"B",IF(NOT(ISBLANK('A-RACHNATMAK'!P434)),"C","")))</f>
        <v/>
      </c>
      <c r="P410" s="622" t="str">
        <f>IF(NOT(ISBLANK('A-RACHNATMAK'!Q436)),"A",IF(NOT(ISBLANK('A-RACHNATMAK'!Q435)),"B",IF(NOT(ISBLANK('A-RACHNATMAK'!Q434)),"C","")))</f>
        <v/>
      </c>
      <c r="Q410" s="622" t="str">
        <f>IF(NOT(ISBLANK('A-RACHNATMAK'!R436)),"A",IF(NOT(ISBLANK('A-RACHNATMAK'!R435)),"B",IF(NOT(ISBLANK('A-RACHNATMAK'!R434)),"C","")))</f>
        <v/>
      </c>
      <c r="R410" s="622" t="str">
        <f>IF(NOT(ISBLANK('A-RACHNATMAK'!S436)),"A",IF(NOT(ISBLANK('A-RACHNATMAK'!S435)),"B",IF(NOT(ISBLANK('A-RACHNATMAK'!S434)),"C","")))</f>
        <v/>
      </c>
      <c r="S410" s="622" t="str">
        <f>IF(NOT(ISBLANK('A-RACHNATMAK'!T436)),"A",IF(NOT(ISBLANK('A-RACHNATMAK'!T435)),"B",IF(NOT(ISBLANK('A-RACHNATMAK'!T434)),"C","")))</f>
        <v/>
      </c>
      <c r="T410" s="622" t="str">
        <f>IF(NOT(ISBLANK('A-RACHNATMAK'!U436)),"A",IF(NOT(ISBLANK('A-RACHNATMAK'!U435)),"B",IF(NOT(ISBLANK('A-RACHNATMAK'!U434)),"C","")))</f>
        <v/>
      </c>
      <c r="U410" s="622" t="str">
        <f>IF(NOT(ISBLANK('A-RACHNATMAK'!V436)),"A",IF(NOT(ISBLANK('A-RACHNATMAK'!V435)),"B",IF(NOT(ISBLANK('A-RACHNATMAK'!V434)),"C","")))</f>
        <v/>
      </c>
      <c r="V410" s="622">
        <f t="shared" ref="V410" si="780">COUNTIF(B410:U410,"A")</f>
        <v>0</v>
      </c>
      <c r="W410" s="622">
        <f t="shared" ref="W410" si="781">COUNTIF(B410:U410,"B")</f>
        <v>0</v>
      </c>
      <c r="X410" s="622">
        <f t="shared" ref="X410" si="782">COUNTIF(B410:U410,"C")</f>
        <v>0</v>
      </c>
      <c r="Y410" s="330"/>
      <c r="Z410" s="623">
        <v>30</v>
      </c>
      <c r="AA410" s="622" t="str">
        <f>IF(NOT(ISBLANK('A-RACHNATMAK'!AD436)),"A",IF(NOT(ISBLANK('A-RACHNATMAK'!AD435)),"B",IF(NOT(ISBLANK('A-RACHNATMAK'!AD434)),"C","")))</f>
        <v/>
      </c>
      <c r="AB410" s="622" t="str">
        <f>IF(NOT(ISBLANK('A-RACHNATMAK'!AE436)),"A",IF(NOT(ISBLANK('A-RACHNATMAK'!AE435)),"B",IF(NOT(ISBLANK('A-RACHNATMAK'!AE434)),"C","")))</f>
        <v/>
      </c>
      <c r="AC410" s="622" t="str">
        <f>IF(NOT(ISBLANK('A-RACHNATMAK'!AF436)),"A",IF(NOT(ISBLANK('A-RACHNATMAK'!AF435)),"B",IF(NOT(ISBLANK('A-RACHNATMAK'!AF434)),"C","")))</f>
        <v/>
      </c>
      <c r="AD410" s="622" t="str">
        <f>IF(NOT(ISBLANK('A-RACHNATMAK'!AG436)),"A",IF(NOT(ISBLANK('A-RACHNATMAK'!AG435)),"B",IF(NOT(ISBLANK('A-RACHNATMAK'!AG434)),"C","")))</f>
        <v/>
      </c>
      <c r="AE410" s="622" t="str">
        <f>IF(NOT(ISBLANK('A-RACHNATMAK'!AH436)),"A",IF(NOT(ISBLANK('A-RACHNATMAK'!AH435)),"B",IF(NOT(ISBLANK('A-RACHNATMAK'!AH434)),"C","")))</f>
        <v/>
      </c>
      <c r="AF410" s="622" t="str">
        <f>IF(NOT(ISBLANK('A-RACHNATMAK'!AI436)),"A",IF(NOT(ISBLANK('A-RACHNATMAK'!AI435)),"B",IF(NOT(ISBLANK('A-RACHNATMAK'!AI434)),"C","")))</f>
        <v/>
      </c>
      <c r="AG410" s="622" t="str">
        <f>IF(NOT(ISBLANK('A-RACHNATMAK'!AJ436)),"A",IF(NOT(ISBLANK('A-RACHNATMAK'!AJ435)),"B",IF(NOT(ISBLANK('A-RACHNATMAK'!AJ434)),"C","")))</f>
        <v/>
      </c>
      <c r="AH410" s="622" t="str">
        <f>IF(NOT(ISBLANK('A-RACHNATMAK'!AK436)),"A",IF(NOT(ISBLANK('A-RACHNATMAK'!AK435)),"B",IF(NOT(ISBLANK('A-RACHNATMAK'!AK434)),"C","")))</f>
        <v/>
      </c>
      <c r="AI410" s="622" t="str">
        <f>IF(NOT(ISBLANK('A-RACHNATMAK'!AL436)),"A",IF(NOT(ISBLANK('A-RACHNATMAK'!AL435)),"B",IF(NOT(ISBLANK('A-RACHNATMAK'!AL434)),"C","")))</f>
        <v/>
      </c>
      <c r="AJ410" s="622" t="str">
        <f>IF(NOT(ISBLANK('A-RACHNATMAK'!AM436)),"A",IF(NOT(ISBLANK('A-RACHNATMAK'!AM435)),"B",IF(NOT(ISBLANK('A-RACHNATMAK'!AM434)),"C","")))</f>
        <v/>
      </c>
      <c r="AK410" s="622" t="str">
        <f>IF(NOT(ISBLANK('A-RACHNATMAK'!AN436)),"A",IF(NOT(ISBLANK('A-RACHNATMAK'!AN435)),"B",IF(NOT(ISBLANK('A-RACHNATMAK'!AN434)),"C","")))</f>
        <v/>
      </c>
      <c r="AL410" s="622" t="str">
        <f>IF(NOT(ISBLANK('A-RACHNATMAK'!AO436)),"A",IF(NOT(ISBLANK('A-RACHNATMAK'!AO435)),"B",IF(NOT(ISBLANK('A-RACHNATMAK'!AO434)),"C","")))</f>
        <v/>
      </c>
      <c r="AM410" s="622" t="str">
        <f>IF(NOT(ISBLANK('A-RACHNATMAK'!AP436)),"A",IF(NOT(ISBLANK('A-RACHNATMAK'!AP435)),"B",IF(NOT(ISBLANK('A-RACHNATMAK'!AP434)),"C","")))</f>
        <v/>
      </c>
      <c r="AN410" s="622" t="str">
        <f>IF(NOT(ISBLANK('A-RACHNATMAK'!AQ436)),"A",IF(NOT(ISBLANK('A-RACHNATMAK'!AQ435)),"B",IF(NOT(ISBLANK('A-RACHNATMAK'!AQ434)),"C","")))</f>
        <v/>
      </c>
      <c r="AO410" s="622" t="str">
        <f>IF(NOT(ISBLANK('A-RACHNATMAK'!AR436)),"A",IF(NOT(ISBLANK('A-RACHNATMAK'!AR435)),"B",IF(NOT(ISBLANK('A-RACHNATMAK'!AR434)),"C","")))</f>
        <v/>
      </c>
      <c r="AP410" s="622" t="str">
        <f>IF(NOT(ISBLANK('A-RACHNATMAK'!AS436)),"A",IF(NOT(ISBLANK('A-RACHNATMAK'!AS435)),"B",IF(NOT(ISBLANK('A-RACHNATMAK'!AS434)),"C","")))</f>
        <v/>
      </c>
      <c r="AQ410" s="622" t="str">
        <f>IF(NOT(ISBLANK('A-RACHNATMAK'!AT436)),"A",IF(NOT(ISBLANK('A-RACHNATMAK'!AT435)),"B",IF(NOT(ISBLANK('A-RACHNATMAK'!AT434)),"C","")))</f>
        <v/>
      </c>
      <c r="AR410" s="622" t="str">
        <f>IF(NOT(ISBLANK('A-RACHNATMAK'!AU436)),"A",IF(NOT(ISBLANK('A-RACHNATMAK'!AU435)),"B",IF(NOT(ISBLANK('A-RACHNATMAK'!AU434)),"C","")))</f>
        <v/>
      </c>
      <c r="AS410" s="622" t="str">
        <f>IF(NOT(ISBLANK('A-RACHNATMAK'!AV436)),"A",IF(NOT(ISBLANK('A-RACHNATMAK'!AV435)),"B",IF(NOT(ISBLANK('A-RACHNATMAK'!AV434)),"C","")))</f>
        <v/>
      </c>
      <c r="AT410" s="622" t="str">
        <f>IF(NOT(ISBLANK('A-RACHNATMAK'!AW436)),"A",IF(NOT(ISBLANK('A-RACHNATMAK'!AW435)),"B",IF(NOT(ISBLANK('A-RACHNATMAK'!AW434)),"C","")))</f>
        <v/>
      </c>
      <c r="AU410" s="622">
        <f t="shared" ref="AU410" si="783">COUNTIF(AA410:AT410,"A")</f>
        <v>0</v>
      </c>
      <c r="AV410" s="622">
        <f t="shared" ref="AV410" si="784">COUNTIF(AA410:AT410,"B")</f>
        <v>0</v>
      </c>
      <c r="AW410" s="622">
        <f t="shared" ref="AW410" si="785">COUNTIF(AA410:AT410,"C")</f>
        <v>0</v>
      </c>
    </row>
    <row r="411" spans="1:49" ht="7.5" customHeight="1">
      <c r="A411" s="623"/>
      <c r="B411" s="622"/>
      <c r="C411" s="622"/>
      <c r="D411" s="622"/>
      <c r="E411" s="622"/>
      <c r="F411" s="622"/>
      <c r="G411" s="622"/>
      <c r="H411" s="622"/>
      <c r="I411" s="622"/>
      <c r="J411" s="622"/>
      <c r="K411" s="622"/>
      <c r="L411" s="622"/>
      <c r="M411" s="622"/>
      <c r="N411" s="622"/>
      <c r="O411" s="622"/>
      <c r="P411" s="622"/>
      <c r="Q411" s="622"/>
      <c r="R411" s="622"/>
      <c r="S411" s="622"/>
      <c r="T411" s="622"/>
      <c r="U411" s="622"/>
      <c r="V411" s="622"/>
      <c r="W411" s="622"/>
      <c r="X411" s="622"/>
      <c r="Y411" s="330"/>
      <c r="Z411" s="623"/>
      <c r="AA411" s="622"/>
      <c r="AB411" s="622"/>
      <c r="AC411" s="622"/>
      <c r="AD411" s="622"/>
      <c r="AE411" s="622"/>
      <c r="AF411" s="622"/>
      <c r="AG411" s="622"/>
      <c r="AH411" s="622"/>
      <c r="AI411" s="622"/>
      <c r="AJ411" s="622"/>
      <c r="AK411" s="622"/>
      <c r="AL411" s="622"/>
      <c r="AM411" s="622"/>
      <c r="AN411" s="622"/>
      <c r="AO411" s="622"/>
      <c r="AP411" s="622"/>
      <c r="AQ411" s="622"/>
      <c r="AR411" s="622"/>
      <c r="AS411" s="622"/>
      <c r="AT411" s="622"/>
      <c r="AU411" s="622"/>
      <c r="AV411" s="622"/>
      <c r="AW411" s="622"/>
    </row>
    <row r="412" spans="1:49" ht="7.5" customHeight="1">
      <c r="A412" s="623"/>
      <c r="B412" s="622"/>
      <c r="C412" s="622"/>
      <c r="D412" s="622"/>
      <c r="E412" s="622"/>
      <c r="F412" s="622"/>
      <c r="G412" s="622"/>
      <c r="H412" s="622"/>
      <c r="I412" s="622"/>
      <c r="J412" s="622"/>
      <c r="K412" s="622"/>
      <c r="L412" s="622"/>
      <c r="M412" s="622"/>
      <c r="N412" s="622"/>
      <c r="O412" s="622"/>
      <c r="P412" s="622"/>
      <c r="Q412" s="622"/>
      <c r="R412" s="622"/>
      <c r="S412" s="622"/>
      <c r="T412" s="622"/>
      <c r="U412" s="622"/>
      <c r="V412" s="622"/>
      <c r="W412" s="622"/>
      <c r="X412" s="622"/>
      <c r="Y412" s="330"/>
      <c r="Z412" s="623"/>
      <c r="AA412" s="622"/>
      <c r="AB412" s="622"/>
      <c r="AC412" s="622"/>
      <c r="AD412" s="622"/>
      <c r="AE412" s="622"/>
      <c r="AF412" s="622"/>
      <c r="AG412" s="622"/>
      <c r="AH412" s="622"/>
      <c r="AI412" s="622"/>
      <c r="AJ412" s="622"/>
      <c r="AK412" s="622"/>
      <c r="AL412" s="622"/>
      <c r="AM412" s="622"/>
      <c r="AN412" s="622"/>
      <c r="AO412" s="622"/>
      <c r="AP412" s="622"/>
      <c r="AQ412" s="622"/>
      <c r="AR412" s="622"/>
      <c r="AS412" s="622"/>
      <c r="AT412" s="622"/>
      <c r="AU412" s="622"/>
      <c r="AV412" s="622"/>
      <c r="AW412" s="622"/>
    </row>
    <row r="413" spans="1:49" ht="7.5" customHeight="1">
      <c r="A413" s="623">
        <v>31</v>
      </c>
      <c r="B413" s="622" t="str">
        <f>IF(NOT(ISBLANK('A-RACHNATMAK'!C439)),"A",IF(NOT(ISBLANK('A-RACHNATMAK'!C438)),"B",IF(NOT(ISBLANK('A-RACHNATMAK'!C437)),"C","")))</f>
        <v/>
      </c>
      <c r="C413" s="622" t="str">
        <f>IF(NOT(ISBLANK('A-RACHNATMAK'!D439)),"A",IF(NOT(ISBLANK('A-RACHNATMAK'!D438)),"B",IF(NOT(ISBLANK('A-RACHNATMAK'!D437)),"C","")))</f>
        <v/>
      </c>
      <c r="D413" s="622" t="str">
        <f>IF(NOT(ISBLANK('A-RACHNATMAK'!E439)),"A",IF(NOT(ISBLANK('A-RACHNATMAK'!E438)),"B",IF(NOT(ISBLANK('A-RACHNATMAK'!E437)),"C","")))</f>
        <v/>
      </c>
      <c r="E413" s="622" t="str">
        <f>IF(NOT(ISBLANK('A-RACHNATMAK'!F439)),"A",IF(NOT(ISBLANK('A-RACHNATMAK'!F438)),"B",IF(NOT(ISBLANK('A-RACHNATMAK'!F437)),"C","")))</f>
        <v/>
      </c>
      <c r="F413" s="622" t="str">
        <f>IF(NOT(ISBLANK('A-RACHNATMAK'!G439)),"A",IF(NOT(ISBLANK('A-RACHNATMAK'!G438)),"B",IF(NOT(ISBLANK('A-RACHNATMAK'!G437)),"C","")))</f>
        <v/>
      </c>
      <c r="G413" s="622" t="str">
        <f>IF(NOT(ISBLANK('A-RACHNATMAK'!H439)),"A",IF(NOT(ISBLANK('A-RACHNATMAK'!H438)),"B",IF(NOT(ISBLANK('A-RACHNATMAK'!H437)),"C","")))</f>
        <v/>
      </c>
      <c r="H413" s="622" t="str">
        <f>IF(NOT(ISBLANK('A-RACHNATMAK'!I439)),"A",IF(NOT(ISBLANK('A-RACHNATMAK'!I438)),"B",IF(NOT(ISBLANK('A-RACHNATMAK'!I437)),"C","")))</f>
        <v/>
      </c>
      <c r="I413" s="622" t="str">
        <f>IF(NOT(ISBLANK('A-RACHNATMAK'!J439)),"A",IF(NOT(ISBLANK('A-RACHNATMAK'!J438)),"B",IF(NOT(ISBLANK('A-RACHNATMAK'!J437)),"C","")))</f>
        <v/>
      </c>
      <c r="J413" s="622" t="str">
        <f>IF(NOT(ISBLANK('A-RACHNATMAK'!K439)),"A",IF(NOT(ISBLANK('A-RACHNATMAK'!K438)),"B",IF(NOT(ISBLANK('A-RACHNATMAK'!K437)),"C","")))</f>
        <v/>
      </c>
      <c r="K413" s="622" t="str">
        <f>IF(NOT(ISBLANK('A-RACHNATMAK'!L439)),"A",IF(NOT(ISBLANK('A-RACHNATMAK'!L438)),"B",IF(NOT(ISBLANK('A-RACHNATMAK'!L437)),"C","")))</f>
        <v/>
      </c>
      <c r="L413" s="622" t="str">
        <f>IF(NOT(ISBLANK('A-RACHNATMAK'!M439)),"A",IF(NOT(ISBLANK('A-RACHNATMAK'!M438)),"B",IF(NOT(ISBLANK('A-RACHNATMAK'!M437)),"C","")))</f>
        <v/>
      </c>
      <c r="M413" s="622" t="str">
        <f>IF(NOT(ISBLANK('A-RACHNATMAK'!N439)),"A",IF(NOT(ISBLANK('A-RACHNATMAK'!N438)),"B",IF(NOT(ISBLANK('A-RACHNATMAK'!N437)),"C","")))</f>
        <v/>
      </c>
      <c r="N413" s="622" t="str">
        <f>IF(NOT(ISBLANK('A-RACHNATMAK'!O439)),"A",IF(NOT(ISBLANK('A-RACHNATMAK'!O438)),"B",IF(NOT(ISBLANK('A-RACHNATMAK'!O437)),"C","")))</f>
        <v/>
      </c>
      <c r="O413" s="622" t="str">
        <f>IF(NOT(ISBLANK('A-RACHNATMAK'!P439)),"A",IF(NOT(ISBLANK('A-RACHNATMAK'!P438)),"B",IF(NOT(ISBLANK('A-RACHNATMAK'!P437)),"C","")))</f>
        <v/>
      </c>
      <c r="P413" s="622" t="str">
        <f>IF(NOT(ISBLANK('A-RACHNATMAK'!Q439)),"A",IF(NOT(ISBLANK('A-RACHNATMAK'!Q438)),"B",IF(NOT(ISBLANK('A-RACHNATMAK'!Q437)),"C","")))</f>
        <v/>
      </c>
      <c r="Q413" s="622" t="str">
        <f>IF(NOT(ISBLANK('A-RACHNATMAK'!R439)),"A",IF(NOT(ISBLANK('A-RACHNATMAK'!R438)),"B",IF(NOT(ISBLANK('A-RACHNATMAK'!R437)),"C","")))</f>
        <v/>
      </c>
      <c r="R413" s="622" t="str">
        <f>IF(NOT(ISBLANK('A-RACHNATMAK'!S439)),"A",IF(NOT(ISBLANK('A-RACHNATMAK'!S438)),"B",IF(NOT(ISBLANK('A-RACHNATMAK'!S437)),"C","")))</f>
        <v/>
      </c>
      <c r="S413" s="622" t="str">
        <f>IF(NOT(ISBLANK('A-RACHNATMAK'!T439)),"A",IF(NOT(ISBLANK('A-RACHNATMAK'!T438)),"B",IF(NOT(ISBLANK('A-RACHNATMAK'!T437)),"C","")))</f>
        <v/>
      </c>
      <c r="T413" s="622" t="str">
        <f>IF(NOT(ISBLANK('A-RACHNATMAK'!U439)),"A",IF(NOT(ISBLANK('A-RACHNATMAK'!U438)),"B",IF(NOT(ISBLANK('A-RACHNATMAK'!U437)),"C","")))</f>
        <v/>
      </c>
      <c r="U413" s="622" t="str">
        <f>IF(NOT(ISBLANK('A-RACHNATMAK'!V439)),"A",IF(NOT(ISBLANK('A-RACHNATMAK'!V438)),"B",IF(NOT(ISBLANK('A-RACHNATMAK'!V437)),"C","")))</f>
        <v/>
      </c>
      <c r="V413" s="622">
        <f t="shared" ref="V413" si="786">COUNTIF(B413:U413,"A")</f>
        <v>0</v>
      </c>
      <c r="W413" s="622">
        <f t="shared" ref="W413" si="787">COUNTIF(B413:U413,"B")</f>
        <v>0</v>
      </c>
      <c r="X413" s="622">
        <f t="shared" ref="X413" si="788">COUNTIF(B413:U413,"C")</f>
        <v>0</v>
      </c>
      <c r="Y413" s="330"/>
      <c r="Z413" s="623">
        <v>31</v>
      </c>
      <c r="AA413" s="622" t="str">
        <f>IF(NOT(ISBLANK('A-RACHNATMAK'!AD439)),"A",IF(NOT(ISBLANK('A-RACHNATMAK'!AD438)),"B",IF(NOT(ISBLANK('A-RACHNATMAK'!AD437)),"C","")))</f>
        <v/>
      </c>
      <c r="AB413" s="622" t="str">
        <f>IF(NOT(ISBLANK('A-RACHNATMAK'!AE439)),"A",IF(NOT(ISBLANK('A-RACHNATMAK'!AE438)),"B",IF(NOT(ISBLANK('A-RACHNATMAK'!AE437)),"C","")))</f>
        <v/>
      </c>
      <c r="AC413" s="622" t="str">
        <f>IF(NOT(ISBLANK('A-RACHNATMAK'!AF439)),"A",IF(NOT(ISBLANK('A-RACHNATMAK'!AF438)),"B",IF(NOT(ISBLANK('A-RACHNATMAK'!AF437)),"C","")))</f>
        <v/>
      </c>
      <c r="AD413" s="622" t="str">
        <f>IF(NOT(ISBLANK('A-RACHNATMAK'!AG439)),"A",IF(NOT(ISBLANK('A-RACHNATMAK'!AG438)),"B",IF(NOT(ISBLANK('A-RACHNATMAK'!AG437)),"C","")))</f>
        <v/>
      </c>
      <c r="AE413" s="622" t="str">
        <f>IF(NOT(ISBLANK('A-RACHNATMAK'!AH439)),"A",IF(NOT(ISBLANK('A-RACHNATMAK'!AH438)),"B",IF(NOT(ISBLANK('A-RACHNATMAK'!AH437)),"C","")))</f>
        <v/>
      </c>
      <c r="AF413" s="622" t="str">
        <f>IF(NOT(ISBLANK('A-RACHNATMAK'!AI439)),"A",IF(NOT(ISBLANK('A-RACHNATMAK'!AI438)),"B",IF(NOT(ISBLANK('A-RACHNATMAK'!AI437)),"C","")))</f>
        <v/>
      </c>
      <c r="AG413" s="622" t="str">
        <f>IF(NOT(ISBLANK('A-RACHNATMAK'!AJ439)),"A",IF(NOT(ISBLANK('A-RACHNATMAK'!AJ438)),"B",IF(NOT(ISBLANK('A-RACHNATMAK'!AJ437)),"C","")))</f>
        <v/>
      </c>
      <c r="AH413" s="622" t="str">
        <f>IF(NOT(ISBLANK('A-RACHNATMAK'!AK439)),"A",IF(NOT(ISBLANK('A-RACHNATMAK'!AK438)),"B",IF(NOT(ISBLANK('A-RACHNATMAK'!AK437)),"C","")))</f>
        <v/>
      </c>
      <c r="AI413" s="622" t="str">
        <f>IF(NOT(ISBLANK('A-RACHNATMAK'!AL439)),"A",IF(NOT(ISBLANK('A-RACHNATMAK'!AL438)),"B",IF(NOT(ISBLANK('A-RACHNATMAK'!AL437)),"C","")))</f>
        <v/>
      </c>
      <c r="AJ413" s="622" t="str">
        <f>IF(NOT(ISBLANK('A-RACHNATMAK'!AM439)),"A",IF(NOT(ISBLANK('A-RACHNATMAK'!AM438)),"B",IF(NOT(ISBLANK('A-RACHNATMAK'!AM437)),"C","")))</f>
        <v/>
      </c>
      <c r="AK413" s="622" t="str">
        <f>IF(NOT(ISBLANK('A-RACHNATMAK'!AN439)),"A",IF(NOT(ISBLANK('A-RACHNATMAK'!AN438)),"B",IF(NOT(ISBLANK('A-RACHNATMAK'!AN437)),"C","")))</f>
        <v/>
      </c>
      <c r="AL413" s="622" t="str">
        <f>IF(NOT(ISBLANK('A-RACHNATMAK'!AO439)),"A",IF(NOT(ISBLANK('A-RACHNATMAK'!AO438)),"B",IF(NOT(ISBLANK('A-RACHNATMAK'!AO437)),"C","")))</f>
        <v/>
      </c>
      <c r="AM413" s="622" t="str">
        <f>IF(NOT(ISBLANK('A-RACHNATMAK'!AP439)),"A",IF(NOT(ISBLANK('A-RACHNATMAK'!AP438)),"B",IF(NOT(ISBLANK('A-RACHNATMAK'!AP437)),"C","")))</f>
        <v/>
      </c>
      <c r="AN413" s="622" t="str">
        <f>IF(NOT(ISBLANK('A-RACHNATMAK'!AQ439)),"A",IF(NOT(ISBLANK('A-RACHNATMAK'!AQ438)),"B",IF(NOT(ISBLANK('A-RACHNATMAK'!AQ437)),"C","")))</f>
        <v/>
      </c>
      <c r="AO413" s="622" t="str">
        <f>IF(NOT(ISBLANK('A-RACHNATMAK'!AR439)),"A",IF(NOT(ISBLANK('A-RACHNATMAK'!AR438)),"B",IF(NOT(ISBLANK('A-RACHNATMAK'!AR437)),"C","")))</f>
        <v/>
      </c>
      <c r="AP413" s="622" t="str">
        <f>IF(NOT(ISBLANK('A-RACHNATMAK'!AS439)),"A",IF(NOT(ISBLANK('A-RACHNATMAK'!AS438)),"B",IF(NOT(ISBLANK('A-RACHNATMAK'!AS437)),"C","")))</f>
        <v/>
      </c>
      <c r="AQ413" s="622" t="str">
        <f>IF(NOT(ISBLANK('A-RACHNATMAK'!AT439)),"A",IF(NOT(ISBLANK('A-RACHNATMAK'!AT438)),"B",IF(NOT(ISBLANK('A-RACHNATMAK'!AT437)),"C","")))</f>
        <v/>
      </c>
      <c r="AR413" s="622" t="str">
        <f>IF(NOT(ISBLANK('A-RACHNATMAK'!AU439)),"A",IF(NOT(ISBLANK('A-RACHNATMAK'!AU438)),"B",IF(NOT(ISBLANK('A-RACHNATMAK'!AU437)),"C","")))</f>
        <v/>
      </c>
      <c r="AS413" s="622" t="str">
        <f>IF(NOT(ISBLANK('A-RACHNATMAK'!AV439)),"A",IF(NOT(ISBLANK('A-RACHNATMAK'!AV438)),"B",IF(NOT(ISBLANK('A-RACHNATMAK'!AV437)),"C","")))</f>
        <v/>
      </c>
      <c r="AT413" s="622" t="str">
        <f>IF(NOT(ISBLANK('A-RACHNATMAK'!AW439)),"A",IF(NOT(ISBLANK('A-RACHNATMAK'!AW438)),"B",IF(NOT(ISBLANK('A-RACHNATMAK'!AW437)),"C","")))</f>
        <v/>
      </c>
      <c r="AU413" s="622">
        <f t="shared" ref="AU413" si="789">COUNTIF(AA413:AT413,"A")</f>
        <v>0</v>
      </c>
      <c r="AV413" s="622">
        <f t="shared" ref="AV413" si="790">COUNTIF(AA413:AT413,"B")</f>
        <v>0</v>
      </c>
      <c r="AW413" s="622">
        <f t="shared" ref="AW413" si="791">COUNTIF(AA413:AT413,"C")</f>
        <v>0</v>
      </c>
    </row>
    <row r="414" spans="1:49" ht="7.5" customHeight="1">
      <c r="A414" s="623"/>
      <c r="B414" s="622"/>
      <c r="C414" s="622"/>
      <c r="D414" s="622"/>
      <c r="E414" s="622"/>
      <c r="F414" s="622"/>
      <c r="G414" s="622"/>
      <c r="H414" s="622"/>
      <c r="I414" s="622"/>
      <c r="J414" s="622"/>
      <c r="K414" s="622"/>
      <c r="L414" s="622"/>
      <c r="M414" s="622"/>
      <c r="N414" s="622"/>
      <c r="O414" s="622"/>
      <c r="P414" s="622"/>
      <c r="Q414" s="622"/>
      <c r="R414" s="622"/>
      <c r="S414" s="622"/>
      <c r="T414" s="622"/>
      <c r="U414" s="622"/>
      <c r="V414" s="622"/>
      <c r="W414" s="622"/>
      <c r="X414" s="622"/>
      <c r="Y414" s="330"/>
      <c r="Z414" s="623"/>
      <c r="AA414" s="622"/>
      <c r="AB414" s="622"/>
      <c r="AC414" s="622"/>
      <c r="AD414" s="622"/>
      <c r="AE414" s="622"/>
      <c r="AF414" s="622"/>
      <c r="AG414" s="622"/>
      <c r="AH414" s="622"/>
      <c r="AI414" s="622"/>
      <c r="AJ414" s="622"/>
      <c r="AK414" s="622"/>
      <c r="AL414" s="622"/>
      <c r="AM414" s="622"/>
      <c r="AN414" s="622"/>
      <c r="AO414" s="622"/>
      <c r="AP414" s="622"/>
      <c r="AQ414" s="622"/>
      <c r="AR414" s="622"/>
      <c r="AS414" s="622"/>
      <c r="AT414" s="622"/>
      <c r="AU414" s="622"/>
      <c r="AV414" s="622"/>
      <c r="AW414" s="622"/>
    </row>
    <row r="415" spans="1:49" ht="7.5" customHeight="1">
      <c r="A415" s="623"/>
      <c r="B415" s="622"/>
      <c r="C415" s="622"/>
      <c r="D415" s="622"/>
      <c r="E415" s="622"/>
      <c r="F415" s="622"/>
      <c r="G415" s="622"/>
      <c r="H415" s="622"/>
      <c r="I415" s="622"/>
      <c r="J415" s="622"/>
      <c r="K415" s="622"/>
      <c r="L415" s="622"/>
      <c r="M415" s="622"/>
      <c r="N415" s="622"/>
      <c r="O415" s="622"/>
      <c r="P415" s="622"/>
      <c r="Q415" s="622"/>
      <c r="R415" s="622"/>
      <c r="S415" s="622"/>
      <c r="T415" s="622"/>
      <c r="U415" s="622"/>
      <c r="V415" s="622"/>
      <c r="W415" s="622"/>
      <c r="X415" s="622"/>
      <c r="Y415" s="330"/>
      <c r="Z415" s="623"/>
      <c r="AA415" s="622"/>
      <c r="AB415" s="622"/>
      <c r="AC415" s="622"/>
      <c r="AD415" s="622"/>
      <c r="AE415" s="622"/>
      <c r="AF415" s="622"/>
      <c r="AG415" s="622"/>
      <c r="AH415" s="622"/>
      <c r="AI415" s="622"/>
      <c r="AJ415" s="622"/>
      <c r="AK415" s="622"/>
      <c r="AL415" s="622"/>
      <c r="AM415" s="622"/>
      <c r="AN415" s="622"/>
      <c r="AO415" s="622"/>
      <c r="AP415" s="622"/>
      <c r="AQ415" s="622"/>
      <c r="AR415" s="622"/>
      <c r="AS415" s="622"/>
      <c r="AT415" s="622"/>
      <c r="AU415" s="622"/>
      <c r="AV415" s="622"/>
      <c r="AW415" s="622"/>
    </row>
    <row r="416" spans="1:49" ht="7.5" customHeight="1">
      <c r="A416" s="623">
        <v>32</v>
      </c>
      <c r="B416" s="622" t="str">
        <f>IF(NOT(ISBLANK('A-RACHNATMAK'!C442)),"A",IF(NOT(ISBLANK('A-RACHNATMAK'!C441)),"B",IF(NOT(ISBLANK('A-RACHNATMAK'!C440)),"C","")))</f>
        <v/>
      </c>
      <c r="C416" s="622" t="str">
        <f>IF(NOT(ISBLANK('A-RACHNATMAK'!D442)),"A",IF(NOT(ISBLANK('A-RACHNATMAK'!D441)),"B",IF(NOT(ISBLANK('A-RACHNATMAK'!D440)),"C","")))</f>
        <v/>
      </c>
      <c r="D416" s="622" t="str">
        <f>IF(NOT(ISBLANK('A-RACHNATMAK'!E442)),"A",IF(NOT(ISBLANK('A-RACHNATMAK'!E441)),"B",IF(NOT(ISBLANK('A-RACHNATMAK'!E440)),"C","")))</f>
        <v/>
      </c>
      <c r="E416" s="622" t="str">
        <f>IF(NOT(ISBLANK('A-RACHNATMAK'!F442)),"A",IF(NOT(ISBLANK('A-RACHNATMAK'!F441)),"B",IF(NOT(ISBLANK('A-RACHNATMAK'!F440)),"C","")))</f>
        <v/>
      </c>
      <c r="F416" s="622" t="str">
        <f>IF(NOT(ISBLANK('A-RACHNATMAK'!G442)),"A",IF(NOT(ISBLANK('A-RACHNATMAK'!G441)),"B",IF(NOT(ISBLANK('A-RACHNATMAK'!G440)),"C","")))</f>
        <v/>
      </c>
      <c r="G416" s="622" t="str">
        <f>IF(NOT(ISBLANK('A-RACHNATMAK'!H442)),"A",IF(NOT(ISBLANK('A-RACHNATMAK'!H441)),"B",IF(NOT(ISBLANK('A-RACHNATMAK'!H440)),"C","")))</f>
        <v/>
      </c>
      <c r="H416" s="622" t="str">
        <f>IF(NOT(ISBLANK('A-RACHNATMAK'!I442)),"A",IF(NOT(ISBLANK('A-RACHNATMAK'!I441)),"B",IF(NOT(ISBLANK('A-RACHNATMAK'!I440)),"C","")))</f>
        <v/>
      </c>
      <c r="I416" s="622" t="str">
        <f>IF(NOT(ISBLANK('A-RACHNATMAK'!J442)),"A",IF(NOT(ISBLANK('A-RACHNATMAK'!J441)),"B",IF(NOT(ISBLANK('A-RACHNATMAK'!J440)),"C","")))</f>
        <v/>
      </c>
      <c r="J416" s="622" t="str">
        <f>IF(NOT(ISBLANK('A-RACHNATMAK'!K442)),"A",IF(NOT(ISBLANK('A-RACHNATMAK'!K441)),"B",IF(NOT(ISBLANK('A-RACHNATMAK'!K440)),"C","")))</f>
        <v/>
      </c>
      <c r="K416" s="622" t="str">
        <f>IF(NOT(ISBLANK('A-RACHNATMAK'!L442)),"A",IF(NOT(ISBLANK('A-RACHNATMAK'!L441)),"B",IF(NOT(ISBLANK('A-RACHNATMAK'!L440)),"C","")))</f>
        <v/>
      </c>
      <c r="L416" s="622" t="str">
        <f>IF(NOT(ISBLANK('A-RACHNATMAK'!M442)),"A",IF(NOT(ISBLANK('A-RACHNATMAK'!M441)),"B",IF(NOT(ISBLANK('A-RACHNATMAK'!M440)),"C","")))</f>
        <v/>
      </c>
      <c r="M416" s="622" t="str">
        <f>IF(NOT(ISBLANK('A-RACHNATMAK'!N442)),"A",IF(NOT(ISBLANK('A-RACHNATMAK'!N441)),"B",IF(NOT(ISBLANK('A-RACHNATMAK'!N440)),"C","")))</f>
        <v/>
      </c>
      <c r="N416" s="622" t="str">
        <f>IF(NOT(ISBLANK('A-RACHNATMAK'!O442)),"A",IF(NOT(ISBLANK('A-RACHNATMAK'!O441)),"B",IF(NOT(ISBLANK('A-RACHNATMAK'!O440)),"C","")))</f>
        <v/>
      </c>
      <c r="O416" s="622" t="str">
        <f>IF(NOT(ISBLANK('A-RACHNATMAK'!P442)),"A",IF(NOT(ISBLANK('A-RACHNATMAK'!P441)),"B",IF(NOT(ISBLANK('A-RACHNATMAK'!P440)),"C","")))</f>
        <v/>
      </c>
      <c r="P416" s="622" t="str">
        <f>IF(NOT(ISBLANK('A-RACHNATMAK'!Q442)),"A",IF(NOT(ISBLANK('A-RACHNATMAK'!Q441)),"B",IF(NOT(ISBLANK('A-RACHNATMAK'!Q440)),"C","")))</f>
        <v/>
      </c>
      <c r="Q416" s="622" t="str">
        <f>IF(NOT(ISBLANK('A-RACHNATMAK'!R442)),"A",IF(NOT(ISBLANK('A-RACHNATMAK'!R441)),"B",IF(NOT(ISBLANK('A-RACHNATMAK'!R440)),"C","")))</f>
        <v/>
      </c>
      <c r="R416" s="622" t="str">
        <f>IF(NOT(ISBLANK('A-RACHNATMAK'!S442)),"A",IF(NOT(ISBLANK('A-RACHNATMAK'!S441)),"B",IF(NOT(ISBLANK('A-RACHNATMAK'!S440)),"C","")))</f>
        <v/>
      </c>
      <c r="S416" s="622" t="str">
        <f>IF(NOT(ISBLANK('A-RACHNATMAK'!T442)),"A",IF(NOT(ISBLANK('A-RACHNATMAK'!T441)),"B",IF(NOT(ISBLANK('A-RACHNATMAK'!T440)),"C","")))</f>
        <v/>
      </c>
      <c r="T416" s="622" t="str">
        <f>IF(NOT(ISBLANK('A-RACHNATMAK'!U442)),"A",IF(NOT(ISBLANK('A-RACHNATMAK'!U441)),"B",IF(NOT(ISBLANK('A-RACHNATMAK'!U440)),"C","")))</f>
        <v/>
      </c>
      <c r="U416" s="622" t="str">
        <f>IF(NOT(ISBLANK('A-RACHNATMAK'!V442)),"A",IF(NOT(ISBLANK('A-RACHNATMAK'!V441)),"B",IF(NOT(ISBLANK('A-RACHNATMAK'!V440)),"C","")))</f>
        <v/>
      </c>
      <c r="V416" s="622">
        <f t="shared" ref="V416" si="792">COUNTIF(B416:U416,"A")</f>
        <v>0</v>
      </c>
      <c r="W416" s="622">
        <f t="shared" ref="W416" si="793">COUNTIF(B416:U416,"B")</f>
        <v>0</v>
      </c>
      <c r="X416" s="622">
        <f t="shared" ref="X416" si="794">COUNTIF(B416:U416,"C")</f>
        <v>0</v>
      </c>
      <c r="Y416" s="330"/>
      <c r="Z416" s="623">
        <v>32</v>
      </c>
      <c r="AA416" s="622" t="str">
        <f>IF(NOT(ISBLANK('A-RACHNATMAK'!AD442)),"A",IF(NOT(ISBLANK('A-RACHNATMAK'!AD441)),"B",IF(NOT(ISBLANK('A-RACHNATMAK'!AD440)),"C","")))</f>
        <v/>
      </c>
      <c r="AB416" s="622" t="str">
        <f>IF(NOT(ISBLANK('A-RACHNATMAK'!AE442)),"A",IF(NOT(ISBLANK('A-RACHNATMAK'!AE441)),"B",IF(NOT(ISBLANK('A-RACHNATMAK'!AE440)),"C","")))</f>
        <v/>
      </c>
      <c r="AC416" s="622" t="str">
        <f>IF(NOT(ISBLANK('A-RACHNATMAK'!AF442)),"A",IF(NOT(ISBLANK('A-RACHNATMAK'!AF441)),"B",IF(NOT(ISBLANK('A-RACHNATMAK'!AF440)),"C","")))</f>
        <v/>
      </c>
      <c r="AD416" s="622" t="str">
        <f>IF(NOT(ISBLANK('A-RACHNATMAK'!AG442)),"A",IF(NOT(ISBLANK('A-RACHNATMAK'!AG441)),"B",IF(NOT(ISBLANK('A-RACHNATMAK'!AG440)),"C","")))</f>
        <v/>
      </c>
      <c r="AE416" s="622" t="str">
        <f>IF(NOT(ISBLANK('A-RACHNATMAK'!AH442)),"A",IF(NOT(ISBLANK('A-RACHNATMAK'!AH441)),"B",IF(NOT(ISBLANK('A-RACHNATMAK'!AH440)),"C","")))</f>
        <v/>
      </c>
      <c r="AF416" s="622" t="str">
        <f>IF(NOT(ISBLANK('A-RACHNATMAK'!AI442)),"A",IF(NOT(ISBLANK('A-RACHNATMAK'!AI441)),"B",IF(NOT(ISBLANK('A-RACHNATMAK'!AI440)),"C","")))</f>
        <v/>
      </c>
      <c r="AG416" s="622" t="str">
        <f>IF(NOT(ISBLANK('A-RACHNATMAK'!AJ442)),"A",IF(NOT(ISBLANK('A-RACHNATMAK'!AJ441)),"B",IF(NOT(ISBLANK('A-RACHNATMAK'!AJ440)),"C","")))</f>
        <v/>
      </c>
      <c r="AH416" s="622" t="str">
        <f>IF(NOT(ISBLANK('A-RACHNATMAK'!AK442)),"A",IF(NOT(ISBLANK('A-RACHNATMAK'!AK441)),"B",IF(NOT(ISBLANK('A-RACHNATMAK'!AK440)),"C","")))</f>
        <v/>
      </c>
      <c r="AI416" s="622" t="str">
        <f>IF(NOT(ISBLANK('A-RACHNATMAK'!AL442)),"A",IF(NOT(ISBLANK('A-RACHNATMAK'!AL441)),"B",IF(NOT(ISBLANK('A-RACHNATMAK'!AL440)),"C","")))</f>
        <v/>
      </c>
      <c r="AJ416" s="622" t="str">
        <f>IF(NOT(ISBLANK('A-RACHNATMAK'!AM442)),"A",IF(NOT(ISBLANK('A-RACHNATMAK'!AM441)),"B",IF(NOT(ISBLANK('A-RACHNATMAK'!AM440)),"C","")))</f>
        <v/>
      </c>
      <c r="AK416" s="622" t="str">
        <f>IF(NOT(ISBLANK('A-RACHNATMAK'!AN442)),"A",IF(NOT(ISBLANK('A-RACHNATMAK'!AN441)),"B",IF(NOT(ISBLANK('A-RACHNATMAK'!AN440)),"C","")))</f>
        <v/>
      </c>
      <c r="AL416" s="622" t="str">
        <f>IF(NOT(ISBLANK('A-RACHNATMAK'!AO442)),"A",IF(NOT(ISBLANK('A-RACHNATMAK'!AO441)),"B",IF(NOT(ISBLANK('A-RACHNATMAK'!AO440)),"C","")))</f>
        <v/>
      </c>
      <c r="AM416" s="622" t="str">
        <f>IF(NOT(ISBLANK('A-RACHNATMAK'!AP442)),"A",IF(NOT(ISBLANK('A-RACHNATMAK'!AP441)),"B",IF(NOT(ISBLANK('A-RACHNATMAK'!AP440)),"C","")))</f>
        <v/>
      </c>
      <c r="AN416" s="622" t="str">
        <f>IF(NOT(ISBLANK('A-RACHNATMAK'!AQ442)),"A",IF(NOT(ISBLANK('A-RACHNATMAK'!AQ441)),"B",IF(NOT(ISBLANK('A-RACHNATMAK'!AQ440)),"C","")))</f>
        <v/>
      </c>
      <c r="AO416" s="622" t="str">
        <f>IF(NOT(ISBLANK('A-RACHNATMAK'!AR442)),"A",IF(NOT(ISBLANK('A-RACHNATMAK'!AR441)),"B",IF(NOT(ISBLANK('A-RACHNATMAK'!AR440)),"C","")))</f>
        <v/>
      </c>
      <c r="AP416" s="622" t="str">
        <f>IF(NOT(ISBLANK('A-RACHNATMAK'!AS442)),"A",IF(NOT(ISBLANK('A-RACHNATMAK'!AS441)),"B",IF(NOT(ISBLANK('A-RACHNATMAK'!AS440)),"C","")))</f>
        <v/>
      </c>
      <c r="AQ416" s="622" t="str">
        <f>IF(NOT(ISBLANK('A-RACHNATMAK'!AT442)),"A",IF(NOT(ISBLANK('A-RACHNATMAK'!AT441)),"B",IF(NOT(ISBLANK('A-RACHNATMAK'!AT440)),"C","")))</f>
        <v/>
      </c>
      <c r="AR416" s="622" t="str">
        <f>IF(NOT(ISBLANK('A-RACHNATMAK'!AU442)),"A",IF(NOT(ISBLANK('A-RACHNATMAK'!AU441)),"B",IF(NOT(ISBLANK('A-RACHNATMAK'!AU440)),"C","")))</f>
        <v/>
      </c>
      <c r="AS416" s="622" t="str">
        <f>IF(NOT(ISBLANK('A-RACHNATMAK'!AV442)),"A",IF(NOT(ISBLANK('A-RACHNATMAK'!AV441)),"B",IF(NOT(ISBLANK('A-RACHNATMAK'!AV440)),"C","")))</f>
        <v/>
      </c>
      <c r="AT416" s="622" t="str">
        <f>IF(NOT(ISBLANK('A-RACHNATMAK'!AW442)),"A",IF(NOT(ISBLANK('A-RACHNATMAK'!AW441)),"B",IF(NOT(ISBLANK('A-RACHNATMAK'!AW440)),"C","")))</f>
        <v/>
      </c>
      <c r="AU416" s="622">
        <f t="shared" ref="AU416" si="795">COUNTIF(AA416:AT416,"A")</f>
        <v>0</v>
      </c>
      <c r="AV416" s="622">
        <f t="shared" ref="AV416" si="796">COUNTIF(AA416:AT416,"B")</f>
        <v>0</v>
      </c>
      <c r="AW416" s="622">
        <f t="shared" ref="AW416" si="797">COUNTIF(AA416:AT416,"C")</f>
        <v>0</v>
      </c>
    </row>
    <row r="417" spans="1:49" ht="7.5" customHeight="1">
      <c r="A417" s="623"/>
      <c r="B417" s="622"/>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330"/>
      <c r="Z417" s="623"/>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row>
    <row r="418" spans="1:49" ht="7.5" customHeight="1">
      <c r="A418" s="623"/>
      <c r="B418" s="622"/>
      <c r="C418" s="622"/>
      <c r="D418" s="622"/>
      <c r="E418" s="622"/>
      <c r="F418" s="622"/>
      <c r="G418" s="622"/>
      <c r="H418" s="622"/>
      <c r="I418" s="622"/>
      <c r="J418" s="622"/>
      <c r="K418" s="622"/>
      <c r="L418" s="622"/>
      <c r="M418" s="622"/>
      <c r="N418" s="622"/>
      <c r="O418" s="622"/>
      <c r="P418" s="622"/>
      <c r="Q418" s="622"/>
      <c r="R418" s="622"/>
      <c r="S418" s="622"/>
      <c r="T418" s="622"/>
      <c r="U418" s="622"/>
      <c r="V418" s="622"/>
      <c r="W418" s="622"/>
      <c r="X418" s="622"/>
      <c r="Y418" s="330"/>
      <c r="Z418" s="623"/>
      <c r="AA418" s="622"/>
      <c r="AB418" s="622"/>
      <c r="AC418" s="622"/>
      <c r="AD418" s="622"/>
      <c r="AE418" s="622"/>
      <c r="AF418" s="622"/>
      <c r="AG418" s="622"/>
      <c r="AH418" s="622"/>
      <c r="AI418" s="622"/>
      <c r="AJ418" s="622"/>
      <c r="AK418" s="622"/>
      <c r="AL418" s="622"/>
      <c r="AM418" s="622"/>
      <c r="AN418" s="622"/>
      <c r="AO418" s="622"/>
      <c r="AP418" s="622"/>
      <c r="AQ418" s="622"/>
      <c r="AR418" s="622"/>
      <c r="AS418" s="622"/>
      <c r="AT418" s="622"/>
      <c r="AU418" s="622"/>
      <c r="AV418" s="622"/>
      <c r="AW418" s="622"/>
    </row>
    <row r="419" spans="1:49" ht="7.5" customHeight="1">
      <c r="A419" s="623">
        <v>33</v>
      </c>
      <c r="B419" s="622" t="str">
        <f>IF(NOT(ISBLANK('A-RACHNATMAK'!C445)),"A",IF(NOT(ISBLANK('A-RACHNATMAK'!C444)),"B",IF(NOT(ISBLANK('A-RACHNATMAK'!C443)),"C","")))</f>
        <v/>
      </c>
      <c r="C419" s="622" t="str">
        <f>IF(NOT(ISBLANK('A-RACHNATMAK'!D445)),"A",IF(NOT(ISBLANK('A-RACHNATMAK'!D444)),"B",IF(NOT(ISBLANK('A-RACHNATMAK'!D443)),"C","")))</f>
        <v/>
      </c>
      <c r="D419" s="622" t="str">
        <f>IF(NOT(ISBLANK('A-RACHNATMAK'!E445)),"A",IF(NOT(ISBLANK('A-RACHNATMAK'!E444)),"B",IF(NOT(ISBLANK('A-RACHNATMAK'!E443)),"C","")))</f>
        <v/>
      </c>
      <c r="E419" s="622" t="str">
        <f>IF(NOT(ISBLANK('A-RACHNATMAK'!F445)),"A",IF(NOT(ISBLANK('A-RACHNATMAK'!F444)),"B",IF(NOT(ISBLANK('A-RACHNATMAK'!F443)),"C","")))</f>
        <v/>
      </c>
      <c r="F419" s="622" t="str">
        <f>IF(NOT(ISBLANK('A-RACHNATMAK'!G445)),"A",IF(NOT(ISBLANK('A-RACHNATMAK'!G444)),"B",IF(NOT(ISBLANK('A-RACHNATMAK'!G443)),"C","")))</f>
        <v/>
      </c>
      <c r="G419" s="622" t="str">
        <f>IF(NOT(ISBLANK('A-RACHNATMAK'!H445)),"A",IF(NOT(ISBLANK('A-RACHNATMAK'!H444)),"B",IF(NOT(ISBLANK('A-RACHNATMAK'!H443)),"C","")))</f>
        <v/>
      </c>
      <c r="H419" s="622" t="str">
        <f>IF(NOT(ISBLANK('A-RACHNATMAK'!I445)),"A",IF(NOT(ISBLANK('A-RACHNATMAK'!I444)),"B",IF(NOT(ISBLANK('A-RACHNATMAK'!I443)),"C","")))</f>
        <v/>
      </c>
      <c r="I419" s="622" t="str">
        <f>IF(NOT(ISBLANK('A-RACHNATMAK'!J445)),"A",IF(NOT(ISBLANK('A-RACHNATMAK'!J444)),"B",IF(NOT(ISBLANK('A-RACHNATMAK'!J443)),"C","")))</f>
        <v/>
      </c>
      <c r="J419" s="622" t="str">
        <f>IF(NOT(ISBLANK('A-RACHNATMAK'!K445)),"A",IF(NOT(ISBLANK('A-RACHNATMAK'!K444)),"B",IF(NOT(ISBLANK('A-RACHNATMAK'!K443)),"C","")))</f>
        <v/>
      </c>
      <c r="K419" s="622" t="str">
        <f>IF(NOT(ISBLANK('A-RACHNATMAK'!L445)),"A",IF(NOT(ISBLANK('A-RACHNATMAK'!L444)),"B",IF(NOT(ISBLANK('A-RACHNATMAK'!L443)),"C","")))</f>
        <v/>
      </c>
      <c r="L419" s="622" t="str">
        <f>IF(NOT(ISBLANK('A-RACHNATMAK'!M445)),"A",IF(NOT(ISBLANK('A-RACHNATMAK'!M444)),"B",IF(NOT(ISBLANK('A-RACHNATMAK'!M443)),"C","")))</f>
        <v/>
      </c>
      <c r="M419" s="622" t="str">
        <f>IF(NOT(ISBLANK('A-RACHNATMAK'!N445)),"A",IF(NOT(ISBLANK('A-RACHNATMAK'!N444)),"B",IF(NOT(ISBLANK('A-RACHNATMAK'!N443)),"C","")))</f>
        <v/>
      </c>
      <c r="N419" s="622" t="str">
        <f>IF(NOT(ISBLANK('A-RACHNATMAK'!O445)),"A",IF(NOT(ISBLANK('A-RACHNATMAK'!O444)),"B",IF(NOT(ISBLANK('A-RACHNATMAK'!O443)),"C","")))</f>
        <v/>
      </c>
      <c r="O419" s="622" t="str">
        <f>IF(NOT(ISBLANK('A-RACHNATMAK'!P445)),"A",IF(NOT(ISBLANK('A-RACHNATMAK'!P444)),"B",IF(NOT(ISBLANK('A-RACHNATMAK'!P443)),"C","")))</f>
        <v/>
      </c>
      <c r="P419" s="622" t="str">
        <f>IF(NOT(ISBLANK('A-RACHNATMAK'!Q445)),"A",IF(NOT(ISBLANK('A-RACHNATMAK'!Q444)),"B",IF(NOT(ISBLANK('A-RACHNATMAK'!Q443)),"C","")))</f>
        <v/>
      </c>
      <c r="Q419" s="622" t="str">
        <f>IF(NOT(ISBLANK('A-RACHNATMAK'!R445)),"A",IF(NOT(ISBLANK('A-RACHNATMAK'!R444)),"B",IF(NOT(ISBLANK('A-RACHNATMAK'!R443)),"C","")))</f>
        <v/>
      </c>
      <c r="R419" s="622" t="str">
        <f>IF(NOT(ISBLANK('A-RACHNATMAK'!S445)),"A",IF(NOT(ISBLANK('A-RACHNATMAK'!S444)),"B",IF(NOT(ISBLANK('A-RACHNATMAK'!S443)),"C","")))</f>
        <v/>
      </c>
      <c r="S419" s="622" t="str">
        <f>IF(NOT(ISBLANK('A-RACHNATMAK'!T445)),"A",IF(NOT(ISBLANK('A-RACHNATMAK'!T444)),"B",IF(NOT(ISBLANK('A-RACHNATMAK'!T443)),"C","")))</f>
        <v/>
      </c>
      <c r="T419" s="622" t="str">
        <f>IF(NOT(ISBLANK('A-RACHNATMAK'!U445)),"A",IF(NOT(ISBLANK('A-RACHNATMAK'!U444)),"B",IF(NOT(ISBLANK('A-RACHNATMAK'!U443)),"C","")))</f>
        <v/>
      </c>
      <c r="U419" s="622" t="str">
        <f>IF(NOT(ISBLANK('A-RACHNATMAK'!V445)),"A",IF(NOT(ISBLANK('A-RACHNATMAK'!V444)),"B",IF(NOT(ISBLANK('A-RACHNATMAK'!V443)),"C","")))</f>
        <v/>
      </c>
      <c r="V419" s="622">
        <f t="shared" ref="V419" si="798">COUNTIF(B419:U419,"A")</f>
        <v>0</v>
      </c>
      <c r="W419" s="622">
        <f t="shared" ref="W419" si="799">COUNTIF(B419:U419,"B")</f>
        <v>0</v>
      </c>
      <c r="X419" s="622">
        <f t="shared" ref="X419" si="800">COUNTIF(B419:U419,"C")</f>
        <v>0</v>
      </c>
      <c r="Y419" s="330"/>
      <c r="Z419" s="623">
        <v>33</v>
      </c>
      <c r="AA419" s="622" t="str">
        <f>IF(NOT(ISBLANK('A-RACHNATMAK'!AD445)),"A",IF(NOT(ISBLANK('A-RACHNATMAK'!AD444)),"B",IF(NOT(ISBLANK('A-RACHNATMAK'!AD443)),"C","")))</f>
        <v/>
      </c>
      <c r="AB419" s="622" t="str">
        <f>IF(NOT(ISBLANK('A-RACHNATMAK'!AE445)),"A",IF(NOT(ISBLANK('A-RACHNATMAK'!AE444)),"B",IF(NOT(ISBLANK('A-RACHNATMAK'!AE443)),"C","")))</f>
        <v/>
      </c>
      <c r="AC419" s="622" t="str">
        <f>IF(NOT(ISBLANK('A-RACHNATMAK'!AF445)),"A",IF(NOT(ISBLANK('A-RACHNATMAK'!AF444)),"B",IF(NOT(ISBLANK('A-RACHNATMAK'!AF443)),"C","")))</f>
        <v/>
      </c>
      <c r="AD419" s="622" t="str">
        <f>IF(NOT(ISBLANK('A-RACHNATMAK'!AG445)),"A",IF(NOT(ISBLANK('A-RACHNATMAK'!AG444)),"B",IF(NOT(ISBLANK('A-RACHNATMAK'!AG443)),"C","")))</f>
        <v/>
      </c>
      <c r="AE419" s="622" t="str">
        <f>IF(NOT(ISBLANK('A-RACHNATMAK'!AH445)),"A",IF(NOT(ISBLANK('A-RACHNATMAK'!AH444)),"B",IF(NOT(ISBLANK('A-RACHNATMAK'!AH443)),"C","")))</f>
        <v/>
      </c>
      <c r="AF419" s="622" t="str">
        <f>IF(NOT(ISBLANK('A-RACHNATMAK'!AI445)),"A",IF(NOT(ISBLANK('A-RACHNATMAK'!AI444)),"B",IF(NOT(ISBLANK('A-RACHNATMAK'!AI443)),"C","")))</f>
        <v/>
      </c>
      <c r="AG419" s="622" t="str">
        <f>IF(NOT(ISBLANK('A-RACHNATMAK'!AJ445)),"A",IF(NOT(ISBLANK('A-RACHNATMAK'!AJ444)),"B",IF(NOT(ISBLANK('A-RACHNATMAK'!AJ443)),"C","")))</f>
        <v/>
      </c>
      <c r="AH419" s="622" t="str">
        <f>IF(NOT(ISBLANK('A-RACHNATMAK'!AK445)),"A",IF(NOT(ISBLANK('A-RACHNATMAK'!AK444)),"B",IF(NOT(ISBLANK('A-RACHNATMAK'!AK443)),"C","")))</f>
        <v/>
      </c>
      <c r="AI419" s="622" t="str">
        <f>IF(NOT(ISBLANK('A-RACHNATMAK'!AL445)),"A",IF(NOT(ISBLANK('A-RACHNATMAK'!AL444)),"B",IF(NOT(ISBLANK('A-RACHNATMAK'!AL443)),"C","")))</f>
        <v/>
      </c>
      <c r="AJ419" s="622" t="str">
        <f>IF(NOT(ISBLANK('A-RACHNATMAK'!AM445)),"A",IF(NOT(ISBLANK('A-RACHNATMAK'!AM444)),"B",IF(NOT(ISBLANK('A-RACHNATMAK'!AM443)),"C","")))</f>
        <v/>
      </c>
      <c r="AK419" s="622" t="str">
        <f>IF(NOT(ISBLANK('A-RACHNATMAK'!AN445)),"A",IF(NOT(ISBLANK('A-RACHNATMAK'!AN444)),"B",IF(NOT(ISBLANK('A-RACHNATMAK'!AN443)),"C","")))</f>
        <v/>
      </c>
      <c r="AL419" s="622" t="str">
        <f>IF(NOT(ISBLANK('A-RACHNATMAK'!AO445)),"A",IF(NOT(ISBLANK('A-RACHNATMAK'!AO444)),"B",IF(NOT(ISBLANK('A-RACHNATMAK'!AO443)),"C","")))</f>
        <v/>
      </c>
      <c r="AM419" s="622" t="str">
        <f>IF(NOT(ISBLANK('A-RACHNATMAK'!AP445)),"A",IF(NOT(ISBLANK('A-RACHNATMAK'!AP444)),"B",IF(NOT(ISBLANK('A-RACHNATMAK'!AP443)),"C","")))</f>
        <v/>
      </c>
      <c r="AN419" s="622" t="str">
        <f>IF(NOT(ISBLANK('A-RACHNATMAK'!AQ445)),"A",IF(NOT(ISBLANK('A-RACHNATMAK'!AQ444)),"B",IF(NOT(ISBLANK('A-RACHNATMAK'!AQ443)),"C","")))</f>
        <v/>
      </c>
      <c r="AO419" s="622" t="str">
        <f>IF(NOT(ISBLANK('A-RACHNATMAK'!AR445)),"A",IF(NOT(ISBLANK('A-RACHNATMAK'!AR444)),"B",IF(NOT(ISBLANK('A-RACHNATMAK'!AR443)),"C","")))</f>
        <v/>
      </c>
      <c r="AP419" s="622" t="str">
        <f>IF(NOT(ISBLANK('A-RACHNATMAK'!AS445)),"A",IF(NOT(ISBLANK('A-RACHNATMAK'!AS444)),"B",IF(NOT(ISBLANK('A-RACHNATMAK'!AS443)),"C","")))</f>
        <v/>
      </c>
      <c r="AQ419" s="622" t="str">
        <f>IF(NOT(ISBLANK('A-RACHNATMAK'!AT445)),"A",IF(NOT(ISBLANK('A-RACHNATMAK'!AT444)),"B",IF(NOT(ISBLANK('A-RACHNATMAK'!AT443)),"C","")))</f>
        <v/>
      </c>
      <c r="AR419" s="622" t="str">
        <f>IF(NOT(ISBLANK('A-RACHNATMAK'!AU445)),"A",IF(NOT(ISBLANK('A-RACHNATMAK'!AU444)),"B",IF(NOT(ISBLANK('A-RACHNATMAK'!AU443)),"C","")))</f>
        <v/>
      </c>
      <c r="AS419" s="622" t="str">
        <f>IF(NOT(ISBLANK('A-RACHNATMAK'!AV445)),"A",IF(NOT(ISBLANK('A-RACHNATMAK'!AV444)),"B",IF(NOT(ISBLANK('A-RACHNATMAK'!AV443)),"C","")))</f>
        <v/>
      </c>
      <c r="AT419" s="622" t="str">
        <f>IF(NOT(ISBLANK('A-RACHNATMAK'!AW445)),"A",IF(NOT(ISBLANK('A-RACHNATMAK'!AW444)),"B",IF(NOT(ISBLANK('A-RACHNATMAK'!AW443)),"C","")))</f>
        <v/>
      </c>
      <c r="AU419" s="622">
        <f t="shared" ref="AU419" si="801">COUNTIF(AA419:AT419,"A")</f>
        <v>0</v>
      </c>
      <c r="AV419" s="622">
        <f t="shared" ref="AV419" si="802">COUNTIF(AA419:AT419,"B")</f>
        <v>0</v>
      </c>
      <c r="AW419" s="622">
        <f t="shared" ref="AW419" si="803">COUNTIF(AA419:AT419,"C")</f>
        <v>0</v>
      </c>
    </row>
    <row r="420" spans="1:49" ht="7.5" customHeight="1">
      <c r="A420" s="623"/>
      <c r="B420" s="622"/>
      <c r="C420" s="622"/>
      <c r="D420" s="622"/>
      <c r="E420" s="622"/>
      <c r="F420" s="622"/>
      <c r="G420" s="622"/>
      <c r="H420" s="622"/>
      <c r="I420" s="622"/>
      <c r="J420" s="622"/>
      <c r="K420" s="622"/>
      <c r="L420" s="622"/>
      <c r="M420" s="622"/>
      <c r="N420" s="622"/>
      <c r="O420" s="622"/>
      <c r="P420" s="622"/>
      <c r="Q420" s="622"/>
      <c r="R420" s="622"/>
      <c r="S420" s="622"/>
      <c r="T420" s="622"/>
      <c r="U420" s="622"/>
      <c r="V420" s="622"/>
      <c r="W420" s="622"/>
      <c r="X420" s="622"/>
      <c r="Y420" s="330"/>
      <c r="Z420" s="623"/>
      <c r="AA420" s="622"/>
      <c r="AB420" s="622"/>
      <c r="AC420" s="622"/>
      <c r="AD420" s="622"/>
      <c r="AE420" s="622"/>
      <c r="AF420" s="622"/>
      <c r="AG420" s="622"/>
      <c r="AH420" s="622"/>
      <c r="AI420" s="622"/>
      <c r="AJ420" s="622"/>
      <c r="AK420" s="622"/>
      <c r="AL420" s="622"/>
      <c r="AM420" s="622"/>
      <c r="AN420" s="622"/>
      <c r="AO420" s="622"/>
      <c r="AP420" s="622"/>
      <c r="AQ420" s="622"/>
      <c r="AR420" s="622"/>
      <c r="AS420" s="622"/>
      <c r="AT420" s="622"/>
      <c r="AU420" s="622"/>
      <c r="AV420" s="622"/>
      <c r="AW420" s="622"/>
    </row>
    <row r="421" spans="1:49" ht="7.5" customHeight="1">
      <c r="A421" s="623"/>
      <c r="B421" s="622"/>
      <c r="C421" s="622"/>
      <c r="D421" s="622"/>
      <c r="E421" s="622"/>
      <c r="F421" s="622"/>
      <c r="G421" s="622"/>
      <c r="H421" s="622"/>
      <c r="I421" s="622"/>
      <c r="J421" s="622"/>
      <c r="K421" s="622"/>
      <c r="L421" s="622"/>
      <c r="M421" s="622"/>
      <c r="N421" s="622"/>
      <c r="O421" s="622"/>
      <c r="P421" s="622"/>
      <c r="Q421" s="622"/>
      <c r="R421" s="622"/>
      <c r="S421" s="622"/>
      <c r="T421" s="622"/>
      <c r="U421" s="622"/>
      <c r="V421" s="622"/>
      <c r="W421" s="622"/>
      <c r="X421" s="622"/>
      <c r="Y421" s="330"/>
      <c r="Z421" s="623"/>
      <c r="AA421" s="622"/>
      <c r="AB421" s="622"/>
      <c r="AC421" s="622"/>
      <c r="AD421" s="622"/>
      <c r="AE421" s="622"/>
      <c r="AF421" s="622"/>
      <c r="AG421" s="622"/>
      <c r="AH421" s="622"/>
      <c r="AI421" s="622"/>
      <c r="AJ421" s="622"/>
      <c r="AK421" s="622"/>
      <c r="AL421" s="622"/>
      <c r="AM421" s="622"/>
      <c r="AN421" s="622"/>
      <c r="AO421" s="622"/>
      <c r="AP421" s="622"/>
      <c r="AQ421" s="622"/>
      <c r="AR421" s="622"/>
      <c r="AS421" s="622"/>
      <c r="AT421" s="622"/>
      <c r="AU421" s="622"/>
      <c r="AV421" s="622"/>
      <c r="AW421" s="622"/>
    </row>
    <row r="422" spans="1:49" ht="7.5" customHeight="1">
      <c r="A422" s="623">
        <v>34</v>
      </c>
      <c r="B422" s="622" t="str">
        <f>IF(NOT(ISBLANK('A-RACHNATMAK'!C448)),"A",IF(NOT(ISBLANK('A-RACHNATMAK'!C447)),"B",IF(NOT(ISBLANK('A-RACHNATMAK'!C446)),"C","")))</f>
        <v/>
      </c>
      <c r="C422" s="622" t="str">
        <f>IF(NOT(ISBLANK('A-RACHNATMAK'!D448)),"A",IF(NOT(ISBLANK('A-RACHNATMAK'!D447)),"B",IF(NOT(ISBLANK('A-RACHNATMAK'!D446)),"C","")))</f>
        <v/>
      </c>
      <c r="D422" s="622" t="str">
        <f>IF(NOT(ISBLANK('A-RACHNATMAK'!E448)),"A",IF(NOT(ISBLANK('A-RACHNATMAK'!E447)),"B",IF(NOT(ISBLANK('A-RACHNATMAK'!E446)),"C","")))</f>
        <v/>
      </c>
      <c r="E422" s="622" t="str">
        <f>IF(NOT(ISBLANK('A-RACHNATMAK'!F448)),"A",IF(NOT(ISBLANK('A-RACHNATMAK'!F447)),"B",IF(NOT(ISBLANK('A-RACHNATMAK'!F446)),"C","")))</f>
        <v/>
      </c>
      <c r="F422" s="622" t="str">
        <f>IF(NOT(ISBLANK('A-RACHNATMAK'!G448)),"A",IF(NOT(ISBLANK('A-RACHNATMAK'!G447)),"B",IF(NOT(ISBLANK('A-RACHNATMAK'!G446)),"C","")))</f>
        <v/>
      </c>
      <c r="G422" s="622" t="str">
        <f>IF(NOT(ISBLANK('A-RACHNATMAK'!H448)),"A",IF(NOT(ISBLANK('A-RACHNATMAK'!H447)),"B",IF(NOT(ISBLANK('A-RACHNATMAK'!H446)),"C","")))</f>
        <v/>
      </c>
      <c r="H422" s="622" t="str">
        <f>IF(NOT(ISBLANK('A-RACHNATMAK'!I448)),"A",IF(NOT(ISBLANK('A-RACHNATMAK'!I447)),"B",IF(NOT(ISBLANK('A-RACHNATMAK'!I446)),"C","")))</f>
        <v/>
      </c>
      <c r="I422" s="622" t="str">
        <f>IF(NOT(ISBLANK('A-RACHNATMAK'!J448)),"A",IF(NOT(ISBLANK('A-RACHNATMAK'!J447)),"B",IF(NOT(ISBLANK('A-RACHNATMAK'!J446)),"C","")))</f>
        <v/>
      </c>
      <c r="J422" s="622" t="str">
        <f>IF(NOT(ISBLANK('A-RACHNATMAK'!K448)),"A",IF(NOT(ISBLANK('A-RACHNATMAK'!K447)),"B",IF(NOT(ISBLANK('A-RACHNATMAK'!K446)),"C","")))</f>
        <v/>
      </c>
      <c r="K422" s="622" t="str">
        <f>IF(NOT(ISBLANK('A-RACHNATMAK'!L448)),"A",IF(NOT(ISBLANK('A-RACHNATMAK'!L447)),"B",IF(NOT(ISBLANK('A-RACHNATMAK'!L446)),"C","")))</f>
        <v/>
      </c>
      <c r="L422" s="622" t="str">
        <f>IF(NOT(ISBLANK('A-RACHNATMAK'!M448)),"A",IF(NOT(ISBLANK('A-RACHNATMAK'!M447)),"B",IF(NOT(ISBLANK('A-RACHNATMAK'!M446)),"C","")))</f>
        <v/>
      </c>
      <c r="M422" s="622" t="str">
        <f>IF(NOT(ISBLANK('A-RACHNATMAK'!N448)),"A",IF(NOT(ISBLANK('A-RACHNATMAK'!N447)),"B",IF(NOT(ISBLANK('A-RACHNATMAK'!N446)),"C","")))</f>
        <v/>
      </c>
      <c r="N422" s="622" t="str">
        <f>IF(NOT(ISBLANK('A-RACHNATMAK'!O448)),"A",IF(NOT(ISBLANK('A-RACHNATMAK'!O447)),"B",IF(NOT(ISBLANK('A-RACHNATMAK'!O446)),"C","")))</f>
        <v/>
      </c>
      <c r="O422" s="622" t="str">
        <f>IF(NOT(ISBLANK('A-RACHNATMAK'!P448)),"A",IF(NOT(ISBLANK('A-RACHNATMAK'!P447)),"B",IF(NOT(ISBLANK('A-RACHNATMAK'!P446)),"C","")))</f>
        <v/>
      </c>
      <c r="P422" s="622" t="str">
        <f>IF(NOT(ISBLANK('A-RACHNATMAK'!Q448)),"A",IF(NOT(ISBLANK('A-RACHNATMAK'!Q447)),"B",IF(NOT(ISBLANK('A-RACHNATMAK'!Q446)),"C","")))</f>
        <v/>
      </c>
      <c r="Q422" s="622" t="str">
        <f>IF(NOT(ISBLANK('A-RACHNATMAK'!R448)),"A",IF(NOT(ISBLANK('A-RACHNATMAK'!R447)),"B",IF(NOT(ISBLANK('A-RACHNATMAK'!R446)),"C","")))</f>
        <v/>
      </c>
      <c r="R422" s="622" t="str">
        <f>IF(NOT(ISBLANK('A-RACHNATMAK'!S448)),"A",IF(NOT(ISBLANK('A-RACHNATMAK'!S447)),"B",IF(NOT(ISBLANK('A-RACHNATMAK'!S446)),"C","")))</f>
        <v/>
      </c>
      <c r="S422" s="622" t="str">
        <f>IF(NOT(ISBLANK('A-RACHNATMAK'!T448)),"A",IF(NOT(ISBLANK('A-RACHNATMAK'!T447)),"B",IF(NOT(ISBLANK('A-RACHNATMAK'!T446)),"C","")))</f>
        <v/>
      </c>
      <c r="T422" s="622" t="str">
        <f>IF(NOT(ISBLANK('A-RACHNATMAK'!U448)),"A",IF(NOT(ISBLANK('A-RACHNATMAK'!U447)),"B",IF(NOT(ISBLANK('A-RACHNATMAK'!U446)),"C","")))</f>
        <v/>
      </c>
      <c r="U422" s="622" t="str">
        <f>IF(NOT(ISBLANK('A-RACHNATMAK'!V448)),"A",IF(NOT(ISBLANK('A-RACHNATMAK'!V447)),"B",IF(NOT(ISBLANK('A-RACHNATMAK'!V446)),"C","")))</f>
        <v/>
      </c>
      <c r="V422" s="622">
        <f t="shared" ref="V422" si="804">COUNTIF(B422:U422,"A")</f>
        <v>0</v>
      </c>
      <c r="W422" s="622">
        <f t="shared" ref="W422" si="805">COUNTIF(B422:U422,"B")</f>
        <v>0</v>
      </c>
      <c r="X422" s="622">
        <f t="shared" ref="X422" si="806">COUNTIF(B422:U422,"C")</f>
        <v>0</v>
      </c>
      <c r="Y422" s="330"/>
      <c r="Z422" s="623">
        <v>34</v>
      </c>
      <c r="AA422" s="622" t="str">
        <f>IF(NOT(ISBLANK('A-RACHNATMAK'!AD448)),"A",IF(NOT(ISBLANK('A-RACHNATMAK'!AD447)),"B",IF(NOT(ISBLANK('A-RACHNATMAK'!AD446)),"C","")))</f>
        <v/>
      </c>
      <c r="AB422" s="622" t="str">
        <f>IF(NOT(ISBLANK('A-RACHNATMAK'!AE448)),"A",IF(NOT(ISBLANK('A-RACHNATMAK'!AE447)),"B",IF(NOT(ISBLANK('A-RACHNATMAK'!AE446)),"C","")))</f>
        <v/>
      </c>
      <c r="AC422" s="622" t="str">
        <f>IF(NOT(ISBLANK('A-RACHNATMAK'!AF448)),"A",IF(NOT(ISBLANK('A-RACHNATMAK'!AF447)),"B",IF(NOT(ISBLANK('A-RACHNATMAK'!AF446)),"C","")))</f>
        <v/>
      </c>
      <c r="AD422" s="622" t="str">
        <f>IF(NOT(ISBLANK('A-RACHNATMAK'!AG448)),"A",IF(NOT(ISBLANK('A-RACHNATMAK'!AG447)),"B",IF(NOT(ISBLANK('A-RACHNATMAK'!AG446)),"C","")))</f>
        <v/>
      </c>
      <c r="AE422" s="622" t="str">
        <f>IF(NOT(ISBLANK('A-RACHNATMAK'!AH448)),"A",IF(NOT(ISBLANK('A-RACHNATMAK'!AH447)),"B",IF(NOT(ISBLANK('A-RACHNATMAK'!AH446)),"C","")))</f>
        <v/>
      </c>
      <c r="AF422" s="622" t="str">
        <f>IF(NOT(ISBLANK('A-RACHNATMAK'!AI448)),"A",IF(NOT(ISBLANK('A-RACHNATMAK'!AI447)),"B",IF(NOT(ISBLANK('A-RACHNATMAK'!AI446)),"C","")))</f>
        <v/>
      </c>
      <c r="AG422" s="622" t="str">
        <f>IF(NOT(ISBLANK('A-RACHNATMAK'!AJ448)),"A",IF(NOT(ISBLANK('A-RACHNATMAK'!AJ447)),"B",IF(NOT(ISBLANK('A-RACHNATMAK'!AJ446)),"C","")))</f>
        <v/>
      </c>
      <c r="AH422" s="622" t="str">
        <f>IF(NOT(ISBLANK('A-RACHNATMAK'!AK448)),"A",IF(NOT(ISBLANK('A-RACHNATMAK'!AK447)),"B",IF(NOT(ISBLANK('A-RACHNATMAK'!AK446)),"C","")))</f>
        <v/>
      </c>
      <c r="AI422" s="622" t="str">
        <f>IF(NOT(ISBLANK('A-RACHNATMAK'!AL448)),"A",IF(NOT(ISBLANK('A-RACHNATMAK'!AL447)),"B",IF(NOT(ISBLANK('A-RACHNATMAK'!AL446)),"C","")))</f>
        <v/>
      </c>
      <c r="AJ422" s="622" t="str">
        <f>IF(NOT(ISBLANK('A-RACHNATMAK'!AM448)),"A",IF(NOT(ISBLANK('A-RACHNATMAK'!AM447)),"B",IF(NOT(ISBLANK('A-RACHNATMAK'!AM446)),"C","")))</f>
        <v/>
      </c>
      <c r="AK422" s="622" t="str">
        <f>IF(NOT(ISBLANK('A-RACHNATMAK'!AN448)),"A",IF(NOT(ISBLANK('A-RACHNATMAK'!AN447)),"B",IF(NOT(ISBLANK('A-RACHNATMAK'!AN446)),"C","")))</f>
        <v/>
      </c>
      <c r="AL422" s="622" t="str">
        <f>IF(NOT(ISBLANK('A-RACHNATMAK'!AO448)),"A",IF(NOT(ISBLANK('A-RACHNATMAK'!AO447)),"B",IF(NOT(ISBLANK('A-RACHNATMAK'!AO446)),"C","")))</f>
        <v/>
      </c>
      <c r="AM422" s="622" t="str">
        <f>IF(NOT(ISBLANK('A-RACHNATMAK'!AP448)),"A",IF(NOT(ISBLANK('A-RACHNATMAK'!AP447)),"B",IF(NOT(ISBLANK('A-RACHNATMAK'!AP446)),"C","")))</f>
        <v/>
      </c>
      <c r="AN422" s="622" t="str">
        <f>IF(NOT(ISBLANK('A-RACHNATMAK'!AQ448)),"A",IF(NOT(ISBLANK('A-RACHNATMAK'!AQ447)),"B",IF(NOT(ISBLANK('A-RACHNATMAK'!AQ446)),"C","")))</f>
        <v/>
      </c>
      <c r="AO422" s="622" t="str">
        <f>IF(NOT(ISBLANK('A-RACHNATMAK'!AR448)),"A",IF(NOT(ISBLANK('A-RACHNATMAK'!AR447)),"B",IF(NOT(ISBLANK('A-RACHNATMAK'!AR446)),"C","")))</f>
        <v/>
      </c>
      <c r="AP422" s="622" t="str">
        <f>IF(NOT(ISBLANK('A-RACHNATMAK'!AS448)),"A",IF(NOT(ISBLANK('A-RACHNATMAK'!AS447)),"B",IF(NOT(ISBLANK('A-RACHNATMAK'!AS446)),"C","")))</f>
        <v/>
      </c>
      <c r="AQ422" s="622" t="str">
        <f>IF(NOT(ISBLANK('A-RACHNATMAK'!AT448)),"A",IF(NOT(ISBLANK('A-RACHNATMAK'!AT447)),"B",IF(NOT(ISBLANK('A-RACHNATMAK'!AT446)),"C","")))</f>
        <v/>
      </c>
      <c r="AR422" s="622" t="str">
        <f>IF(NOT(ISBLANK('A-RACHNATMAK'!AU448)),"A",IF(NOT(ISBLANK('A-RACHNATMAK'!AU447)),"B",IF(NOT(ISBLANK('A-RACHNATMAK'!AU446)),"C","")))</f>
        <v/>
      </c>
      <c r="AS422" s="622" t="str">
        <f>IF(NOT(ISBLANK('A-RACHNATMAK'!AV448)),"A",IF(NOT(ISBLANK('A-RACHNATMAK'!AV447)),"B",IF(NOT(ISBLANK('A-RACHNATMAK'!AV446)),"C","")))</f>
        <v/>
      </c>
      <c r="AT422" s="622" t="str">
        <f>IF(NOT(ISBLANK('A-RACHNATMAK'!AW448)),"A",IF(NOT(ISBLANK('A-RACHNATMAK'!AW447)),"B",IF(NOT(ISBLANK('A-RACHNATMAK'!AW446)),"C","")))</f>
        <v/>
      </c>
      <c r="AU422" s="622">
        <f t="shared" ref="AU422" si="807">COUNTIF(AA422:AT422,"A")</f>
        <v>0</v>
      </c>
      <c r="AV422" s="622">
        <f t="shared" ref="AV422" si="808">COUNTIF(AA422:AT422,"B")</f>
        <v>0</v>
      </c>
      <c r="AW422" s="622">
        <f t="shared" ref="AW422" si="809">COUNTIF(AA422:AT422,"C")</f>
        <v>0</v>
      </c>
    </row>
    <row r="423" spans="1:49" ht="7.5" customHeight="1">
      <c r="A423" s="623"/>
      <c r="B423" s="622"/>
      <c r="C423" s="622"/>
      <c r="D423" s="622"/>
      <c r="E423" s="622"/>
      <c r="F423" s="622"/>
      <c r="G423" s="622"/>
      <c r="H423" s="622"/>
      <c r="I423" s="622"/>
      <c r="J423" s="622"/>
      <c r="K423" s="622"/>
      <c r="L423" s="622"/>
      <c r="M423" s="622"/>
      <c r="N423" s="622"/>
      <c r="O423" s="622"/>
      <c r="P423" s="622"/>
      <c r="Q423" s="622"/>
      <c r="R423" s="622"/>
      <c r="S423" s="622"/>
      <c r="T423" s="622"/>
      <c r="U423" s="622"/>
      <c r="V423" s="622"/>
      <c r="W423" s="622"/>
      <c r="X423" s="622"/>
      <c r="Y423" s="330"/>
      <c r="Z423" s="623"/>
      <c r="AA423" s="622"/>
      <c r="AB423" s="622"/>
      <c r="AC423" s="622"/>
      <c r="AD423" s="622"/>
      <c r="AE423" s="622"/>
      <c r="AF423" s="622"/>
      <c r="AG423" s="622"/>
      <c r="AH423" s="622"/>
      <c r="AI423" s="622"/>
      <c r="AJ423" s="622"/>
      <c r="AK423" s="622"/>
      <c r="AL423" s="622"/>
      <c r="AM423" s="622"/>
      <c r="AN423" s="622"/>
      <c r="AO423" s="622"/>
      <c r="AP423" s="622"/>
      <c r="AQ423" s="622"/>
      <c r="AR423" s="622"/>
      <c r="AS423" s="622"/>
      <c r="AT423" s="622"/>
      <c r="AU423" s="622"/>
      <c r="AV423" s="622"/>
      <c r="AW423" s="622"/>
    </row>
    <row r="424" spans="1:49" ht="7.5" customHeight="1">
      <c r="A424" s="623"/>
      <c r="B424" s="622"/>
      <c r="C424" s="622"/>
      <c r="D424" s="622"/>
      <c r="E424" s="622"/>
      <c r="F424" s="622"/>
      <c r="G424" s="622"/>
      <c r="H424" s="622"/>
      <c r="I424" s="622"/>
      <c r="J424" s="622"/>
      <c r="K424" s="622"/>
      <c r="L424" s="622"/>
      <c r="M424" s="622"/>
      <c r="N424" s="622"/>
      <c r="O424" s="622"/>
      <c r="P424" s="622"/>
      <c r="Q424" s="622"/>
      <c r="R424" s="622"/>
      <c r="S424" s="622"/>
      <c r="T424" s="622"/>
      <c r="U424" s="622"/>
      <c r="V424" s="622"/>
      <c r="W424" s="622"/>
      <c r="X424" s="622"/>
      <c r="Y424" s="330"/>
      <c r="Z424" s="623"/>
      <c r="AA424" s="622"/>
      <c r="AB424" s="622"/>
      <c r="AC424" s="622"/>
      <c r="AD424" s="622"/>
      <c r="AE424" s="622"/>
      <c r="AF424" s="622"/>
      <c r="AG424" s="622"/>
      <c r="AH424" s="622"/>
      <c r="AI424" s="622"/>
      <c r="AJ424" s="622"/>
      <c r="AK424" s="622"/>
      <c r="AL424" s="622"/>
      <c r="AM424" s="622"/>
      <c r="AN424" s="622"/>
      <c r="AO424" s="622"/>
      <c r="AP424" s="622"/>
      <c r="AQ424" s="622"/>
      <c r="AR424" s="622"/>
      <c r="AS424" s="622"/>
      <c r="AT424" s="622"/>
      <c r="AU424" s="622"/>
      <c r="AV424" s="622"/>
      <c r="AW424" s="622"/>
    </row>
    <row r="425" spans="1:49" ht="7.5" customHeight="1">
      <c r="A425" s="623">
        <v>35</v>
      </c>
      <c r="B425" s="622" t="str">
        <f>IF(NOT(ISBLANK('A-RACHNATMAK'!C451)),"A",IF(NOT(ISBLANK('A-RACHNATMAK'!C450)),"B",IF(NOT(ISBLANK('A-RACHNATMAK'!C449)),"C","")))</f>
        <v/>
      </c>
      <c r="C425" s="622" t="str">
        <f>IF(NOT(ISBLANK('A-RACHNATMAK'!D451)),"A",IF(NOT(ISBLANK('A-RACHNATMAK'!D450)),"B",IF(NOT(ISBLANK('A-RACHNATMAK'!D449)),"C","")))</f>
        <v/>
      </c>
      <c r="D425" s="622" t="str">
        <f>IF(NOT(ISBLANK('A-RACHNATMAK'!E451)),"A",IF(NOT(ISBLANK('A-RACHNATMAK'!E450)),"B",IF(NOT(ISBLANK('A-RACHNATMAK'!E449)),"C","")))</f>
        <v/>
      </c>
      <c r="E425" s="622" t="str">
        <f>IF(NOT(ISBLANK('A-RACHNATMAK'!F451)),"A",IF(NOT(ISBLANK('A-RACHNATMAK'!F450)),"B",IF(NOT(ISBLANK('A-RACHNATMAK'!F449)),"C","")))</f>
        <v/>
      </c>
      <c r="F425" s="622" t="str">
        <f>IF(NOT(ISBLANK('A-RACHNATMAK'!G451)),"A",IF(NOT(ISBLANK('A-RACHNATMAK'!G450)),"B",IF(NOT(ISBLANK('A-RACHNATMAK'!G449)),"C","")))</f>
        <v/>
      </c>
      <c r="G425" s="622" t="str">
        <f>IF(NOT(ISBLANK('A-RACHNATMAK'!H451)),"A",IF(NOT(ISBLANK('A-RACHNATMAK'!H450)),"B",IF(NOT(ISBLANK('A-RACHNATMAK'!H449)),"C","")))</f>
        <v/>
      </c>
      <c r="H425" s="622" t="str">
        <f>IF(NOT(ISBLANK('A-RACHNATMAK'!I451)),"A",IF(NOT(ISBLANK('A-RACHNATMAK'!I450)),"B",IF(NOT(ISBLANK('A-RACHNATMAK'!I449)),"C","")))</f>
        <v/>
      </c>
      <c r="I425" s="622" t="str">
        <f>IF(NOT(ISBLANK('A-RACHNATMAK'!J451)),"A",IF(NOT(ISBLANK('A-RACHNATMAK'!J450)),"B",IF(NOT(ISBLANK('A-RACHNATMAK'!J449)),"C","")))</f>
        <v/>
      </c>
      <c r="J425" s="622" t="str">
        <f>IF(NOT(ISBLANK('A-RACHNATMAK'!K451)),"A",IF(NOT(ISBLANK('A-RACHNATMAK'!K450)),"B",IF(NOT(ISBLANK('A-RACHNATMAK'!K449)),"C","")))</f>
        <v/>
      </c>
      <c r="K425" s="622" t="str">
        <f>IF(NOT(ISBLANK('A-RACHNATMAK'!L451)),"A",IF(NOT(ISBLANK('A-RACHNATMAK'!L450)),"B",IF(NOT(ISBLANK('A-RACHNATMAK'!L449)),"C","")))</f>
        <v/>
      </c>
      <c r="L425" s="622" t="str">
        <f>IF(NOT(ISBLANK('A-RACHNATMAK'!M451)),"A",IF(NOT(ISBLANK('A-RACHNATMAK'!M450)),"B",IF(NOT(ISBLANK('A-RACHNATMAK'!M449)),"C","")))</f>
        <v/>
      </c>
      <c r="M425" s="622" t="str">
        <f>IF(NOT(ISBLANK('A-RACHNATMAK'!N451)),"A",IF(NOT(ISBLANK('A-RACHNATMAK'!N450)),"B",IF(NOT(ISBLANK('A-RACHNATMAK'!N449)),"C","")))</f>
        <v/>
      </c>
      <c r="N425" s="622" t="str">
        <f>IF(NOT(ISBLANK('A-RACHNATMAK'!O451)),"A",IF(NOT(ISBLANK('A-RACHNATMAK'!O450)),"B",IF(NOT(ISBLANK('A-RACHNATMAK'!O449)),"C","")))</f>
        <v/>
      </c>
      <c r="O425" s="622" t="str">
        <f>IF(NOT(ISBLANK('A-RACHNATMAK'!P451)),"A",IF(NOT(ISBLANK('A-RACHNATMAK'!P450)),"B",IF(NOT(ISBLANK('A-RACHNATMAK'!P449)),"C","")))</f>
        <v/>
      </c>
      <c r="P425" s="622" t="str">
        <f>IF(NOT(ISBLANK('A-RACHNATMAK'!Q451)),"A",IF(NOT(ISBLANK('A-RACHNATMAK'!Q450)),"B",IF(NOT(ISBLANK('A-RACHNATMAK'!Q449)),"C","")))</f>
        <v/>
      </c>
      <c r="Q425" s="622" t="str">
        <f>IF(NOT(ISBLANK('A-RACHNATMAK'!R451)),"A",IF(NOT(ISBLANK('A-RACHNATMAK'!R450)),"B",IF(NOT(ISBLANK('A-RACHNATMAK'!R449)),"C","")))</f>
        <v/>
      </c>
      <c r="R425" s="622" t="str">
        <f>IF(NOT(ISBLANK('A-RACHNATMAK'!S451)),"A",IF(NOT(ISBLANK('A-RACHNATMAK'!S450)),"B",IF(NOT(ISBLANK('A-RACHNATMAK'!S449)),"C","")))</f>
        <v/>
      </c>
      <c r="S425" s="622" t="str">
        <f>IF(NOT(ISBLANK('A-RACHNATMAK'!T451)),"A",IF(NOT(ISBLANK('A-RACHNATMAK'!T450)),"B",IF(NOT(ISBLANK('A-RACHNATMAK'!T449)),"C","")))</f>
        <v/>
      </c>
      <c r="T425" s="622" t="str">
        <f>IF(NOT(ISBLANK('A-RACHNATMAK'!U451)),"A",IF(NOT(ISBLANK('A-RACHNATMAK'!U450)),"B",IF(NOT(ISBLANK('A-RACHNATMAK'!U449)),"C","")))</f>
        <v/>
      </c>
      <c r="U425" s="622" t="str">
        <f>IF(NOT(ISBLANK('A-RACHNATMAK'!V451)),"A",IF(NOT(ISBLANK('A-RACHNATMAK'!V450)),"B",IF(NOT(ISBLANK('A-RACHNATMAK'!V449)),"C","")))</f>
        <v/>
      </c>
      <c r="V425" s="622">
        <f t="shared" ref="V425" si="810">COUNTIF(B425:U425,"A")</f>
        <v>0</v>
      </c>
      <c r="W425" s="622">
        <f t="shared" ref="W425" si="811">COUNTIF(B425:U425,"B")</f>
        <v>0</v>
      </c>
      <c r="X425" s="622">
        <f t="shared" ref="X425" si="812">COUNTIF(B425:U425,"C")</f>
        <v>0</v>
      </c>
      <c r="Y425" s="330"/>
      <c r="Z425" s="623">
        <v>35</v>
      </c>
      <c r="AA425" s="622" t="str">
        <f>IF(NOT(ISBLANK('A-RACHNATMAK'!AD451)),"A",IF(NOT(ISBLANK('A-RACHNATMAK'!AD450)),"B",IF(NOT(ISBLANK('A-RACHNATMAK'!AD449)),"C","")))</f>
        <v/>
      </c>
      <c r="AB425" s="622" t="str">
        <f>IF(NOT(ISBLANK('A-RACHNATMAK'!AE451)),"A",IF(NOT(ISBLANK('A-RACHNATMAK'!AE450)),"B",IF(NOT(ISBLANK('A-RACHNATMAK'!AE449)),"C","")))</f>
        <v/>
      </c>
      <c r="AC425" s="622" t="str">
        <f>IF(NOT(ISBLANK('A-RACHNATMAK'!AF451)),"A",IF(NOT(ISBLANK('A-RACHNATMAK'!AF450)),"B",IF(NOT(ISBLANK('A-RACHNATMAK'!AF449)),"C","")))</f>
        <v/>
      </c>
      <c r="AD425" s="622" t="str">
        <f>IF(NOT(ISBLANK('A-RACHNATMAK'!AG451)),"A",IF(NOT(ISBLANK('A-RACHNATMAK'!AG450)),"B",IF(NOT(ISBLANK('A-RACHNATMAK'!AG449)),"C","")))</f>
        <v/>
      </c>
      <c r="AE425" s="622" t="str">
        <f>IF(NOT(ISBLANK('A-RACHNATMAK'!AH451)),"A",IF(NOT(ISBLANK('A-RACHNATMAK'!AH450)),"B",IF(NOT(ISBLANK('A-RACHNATMAK'!AH449)),"C","")))</f>
        <v/>
      </c>
      <c r="AF425" s="622" t="str">
        <f>IF(NOT(ISBLANK('A-RACHNATMAK'!AI451)),"A",IF(NOT(ISBLANK('A-RACHNATMAK'!AI450)),"B",IF(NOT(ISBLANK('A-RACHNATMAK'!AI449)),"C","")))</f>
        <v/>
      </c>
      <c r="AG425" s="622" t="str">
        <f>IF(NOT(ISBLANK('A-RACHNATMAK'!AJ451)),"A",IF(NOT(ISBLANK('A-RACHNATMAK'!AJ450)),"B",IF(NOT(ISBLANK('A-RACHNATMAK'!AJ449)),"C","")))</f>
        <v/>
      </c>
      <c r="AH425" s="622" t="str">
        <f>IF(NOT(ISBLANK('A-RACHNATMAK'!AK451)),"A",IF(NOT(ISBLANK('A-RACHNATMAK'!AK450)),"B",IF(NOT(ISBLANK('A-RACHNATMAK'!AK449)),"C","")))</f>
        <v/>
      </c>
      <c r="AI425" s="622" t="str">
        <f>IF(NOT(ISBLANK('A-RACHNATMAK'!AL451)),"A",IF(NOT(ISBLANK('A-RACHNATMAK'!AL450)),"B",IF(NOT(ISBLANK('A-RACHNATMAK'!AL449)),"C","")))</f>
        <v/>
      </c>
      <c r="AJ425" s="622" t="str">
        <f>IF(NOT(ISBLANK('A-RACHNATMAK'!AM451)),"A",IF(NOT(ISBLANK('A-RACHNATMAK'!AM450)),"B",IF(NOT(ISBLANK('A-RACHNATMAK'!AM449)),"C","")))</f>
        <v/>
      </c>
      <c r="AK425" s="622" t="str">
        <f>IF(NOT(ISBLANK('A-RACHNATMAK'!AN451)),"A",IF(NOT(ISBLANK('A-RACHNATMAK'!AN450)),"B",IF(NOT(ISBLANK('A-RACHNATMAK'!AN449)),"C","")))</f>
        <v/>
      </c>
      <c r="AL425" s="622" t="str">
        <f>IF(NOT(ISBLANK('A-RACHNATMAK'!AO451)),"A",IF(NOT(ISBLANK('A-RACHNATMAK'!AO450)),"B",IF(NOT(ISBLANK('A-RACHNATMAK'!AO449)),"C","")))</f>
        <v/>
      </c>
      <c r="AM425" s="622" t="str">
        <f>IF(NOT(ISBLANK('A-RACHNATMAK'!AP451)),"A",IF(NOT(ISBLANK('A-RACHNATMAK'!AP450)),"B",IF(NOT(ISBLANK('A-RACHNATMAK'!AP449)),"C","")))</f>
        <v/>
      </c>
      <c r="AN425" s="622" t="str">
        <f>IF(NOT(ISBLANK('A-RACHNATMAK'!AQ451)),"A",IF(NOT(ISBLANK('A-RACHNATMAK'!AQ450)),"B",IF(NOT(ISBLANK('A-RACHNATMAK'!AQ449)),"C","")))</f>
        <v/>
      </c>
      <c r="AO425" s="622" t="str">
        <f>IF(NOT(ISBLANK('A-RACHNATMAK'!AR451)),"A",IF(NOT(ISBLANK('A-RACHNATMAK'!AR450)),"B",IF(NOT(ISBLANK('A-RACHNATMAK'!AR449)),"C","")))</f>
        <v/>
      </c>
      <c r="AP425" s="622" t="str">
        <f>IF(NOT(ISBLANK('A-RACHNATMAK'!AS451)),"A",IF(NOT(ISBLANK('A-RACHNATMAK'!AS450)),"B",IF(NOT(ISBLANK('A-RACHNATMAK'!AS449)),"C","")))</f>
        <v/>
      </c>
      <c r="AQ425" s="622" t="str">
        <f>IF(NOT(ISBLANK('A-RACHNATMAK'!AT451)),"A",IF(NOT(ISBLANK('A-RACHNATMAK'!AT450)),"B",IF(NOT(ISBLANK('A-RACHNATMAK'!AT449)),"C","")))</f>
        <v/>
      </c>
      <c r="AR425" s="622" t="str">
        <f>IF(NOT(ISBLANK('A-RACHNATMAK'!AU451)),"A",IF(NOT(ISBLANK('A-RACHNATMAK'!AU450)),"B",IF(NOT(ISBLANK('A-RACHNATMAK'!AU449)),"C","")))</f>
        <v/>
      </c>
      <c r="AS425" s="622" t="str">
        <f>IF(NOT(ISBLANK('A-RACHNATMAK'!AV451)),"A",IF(NOT(ISBLANK('A-RACHNATMAK'!AV450)),"B",IF(NOT(ISBLANK('A-RACHNATMAK'!AV449)),"C","")))</f>
        <v/>
      </c>
      <c r="AT425" s="622" t="str">
        <f>IF(NOT(ISBLANK('A-RACHNATMAK'!AW451)),"A",IF(NOT(ISBLANK('A-RACHNATMAK'!AW450)),"B",IF(NOT(ISBLANK('A-RACHNATMAK'!AW449)),"C","")))</f>
        <v/>
      </c>
      <c r="AU425" s="622">
        <f t="shared" ref="AU425" si="813">COUNTIF(AA425:AT425,"A")</f>
        <v>0</v>
      </c>
      <c r="AV425" s="622">
        <f t="shared" ref="AV425" si="814">COUNTIF(AA425:AT425,"B")</f>
        <v>0</v>
      </c>
      <c r="AW425" s="622">
        <f t="shared" ref="AW425" si="815">COUNTIF(AA425:AT425,"C")</f>
        <v>0</v>
      </c>
    </row>
    <row r="426" spans="1:49" ht="7.5" customHeight="1">
      <c r="A426" s="623"/>
      <c r="B426" s="622"/>
      <c r="C426" s="622"/>
      <c r="D426" s="622"/>
      <c r="E426" s="622"/>
      <c r="F426" s="622"/>
      <c r="G426" s="622"/>
      <c r="H426" s="622"/>
      <c r="I426" s="622"/>
      <c r="J426" s="622"/>
      <c r="K426" s="622"/>
      <c r="L426" s="622"/>
      <c r="M426" s="622"/>
      <c r="N426" s="622"/>
      <c r="O426" s="622"/>
      <c r="P426" s="622"/>
      <c r="Q426" s="622"/>
      <c r="R426" s="622"/>
      <c r="S426" s="622"/>
      <c r="T426" s="622"/>
      <c r="U426" s="622"/>
      <c r="V426" s="622"/>
      <c r="W426" s="622"/>
      <c r="X426" s="622"/>
      <c r="Y426" s="330"/>
      <c r="Z426" s="623"/>
      <c r="AA426" s="622"/>
      <c r="AB426" s="622"/>
      <c r="AC426" s="622"/>
      <c r="AD426" s="622"/>
      <c r="AE426" s="622"/>
      <c r="AF426" s="622"/>
      <c r="AG426" s="622"/>
      <c r="AH426" s="622"/>
      <c r="AI426" s="622"/>
      <c r="AJ426" s="622"/>
      <c r="AK426" s="622"/>
      <c r="AL426" s="622"/>
      <c r="AM426" s="622"/>
      <c r="AN426" s="622"/>
      <c r="AO426" s="622"/>
      <c r="AP426" s="622"/>
      <c r="AQ426" s="622"/>
      <c r="AR426" s="622"/>
      <c r="AS426" s="622"/>
      <c r="AT426" s="622"/>
      <c r="AU426" s="622"/>
      <c r="AV426" s="622"/>
      <c r="AW426" s="622"/>
    </row>
    <row r="427" spans="1:49" ht="7.5" customHeight="1">
      <c r="A427" s="623"/>
      <c r="B427" s="622"/>
      <c r="C427" s="622"/>
      <c r="D427" s="622"/>
      <c r="E427" s="622"/>
      <c r="F427" s="622"/>
      <c r="G427" s="622"/>
      <c r="H427" s="622"/>
      <c r="I427" s="622"/>
      <c r="J427" s="622"/>
      <c r="K427" s="622"/>
      <c r="L427" s="622"/>
      <c r="M427" s="622"/>
      <c r="N427" s="622"/>
      <c r="O427" s="622"/>
      <c r="P427" s="622"/>
      <c r="Q427" s="622"/>
      <c r="R427" s="622"/>
      <c r="S427" s="622"/>
      <c r="T427" s="622"/>
      <c r="U427" s="622"/>
      <c r="V427" s="622"/>
      <c r="W427" s="622"/>
      <c r="X427" s="622"/>
      <c r="Y427" s="330"/>
      <c r="Z427" s="623"/>
      <c r="AA427" s="622"/>
      <c r="AB427" s="622"/>
      <c r="AC427" s="622"/>
      <c r="AD427" s="622"/>
      <c r="AE427" s="622"/>
      <c r="AF427" s="622"/>
      <c r="AG427" s="622"/>
      <c r="AH427" s="622"/>
      <c r="AI427" s="622"/>
      <c r="AJ427" s="622"/>
      <c r="AK427" s="622"/>
      <c r="AL427" s="622"/>
      <c r="AM427" s="622"/>
      <c r="AN427" s="622"/>
      <c r="AO427" s="622"/>
      <c r="AP427" s="622"/>
      <c r="AQ427" s="622"/>
      <c r="AR427" s="622"/>
      <c r="AS427" s="622"/>
      <c r="AT427" s="622"/>
      <c r="AU427" s="622"/>
      <c r="AV427" s="622"/>
      <c r="AW427" s="622"/>
    </row>
    <row r="429" spans="1:49">
      <c r="B429" s="624" t="s">
        <v>326</v>
      </c>
      <c r="C429" s="624"/>
      <c r="D429" s="624"/>
      <c r="E429" s="624"/>
      <c r="F429" s="624"/>
      <c r="G429" s="624"/>
      <c r="H429" s="624"/>
      <c r="I429" s="624"/>
      <c r="J429" s="624"/>
      <c r="K429" s="624"/>
      <c r="L429" s="624"/>
      <c r="M429" s="624"/>
      <c r="N429" s="624"/>
      <c r="O429" s="624"/>
      <c r="P429" s="624"/>
      <c r="Q429" s="624"/>
      <c r="R429" s="624"/>
      <c r="S429" s="624"/>
      <c r="T429" s="624"/>
      <c r="U429" s="624"/>
      <c r="V429" s="624"/>
      <c r="W429" s="624"/>
      <c r="X429" s="624"/>
      <c r="Y429" s="331"/>
      <c r="AA429" s="624" t="s">
        <v>327</v>
      </c>
      <c r="AB429" s="624"/>
      <c r="AC429" s="624"/>
      <c r="AD429" s="624"/>
      <c r="AE429" s="624"/>
      <c r="AF429" s="624"/>
      <c r="AG429" s="624"/>
      <c r="AH429" s="624"/>
      <c r="AI429" s="624"/>
      <c r="AJ429" s="624"/>
      <c r="AK429" s="624"/>
      <c r="AL429" s="624"/>
      <c r="AM429" s="624"/>
      <c r="AN429" s="624"/>
      <c r="AO429" s="624"/>
      <c r="AP429" s="624"/>
      <c r="AQ429" s="624"/>
      <c r="AR429" s="624"/>
      <c r="AS429" s="624"/>
      <c r="AT429" s="624"/>
      <c r="AU429" s="624"/>
      <c r="AV429" s="624"/>
      <c r="AW429" s="624"/>
    </row>
    <row r="430" spans="1:49" ht="7.5" customHeight="1">
      <c r="A430" s="623">
        <v>1</v>
      </c>
      <c r="B430" s="622" t="str">
        <f>IF(NOT(ISBLANK('A-RACHNATMAK'!C461)),"A",IF(NOT(ISBLANK('A-RACHNATMAK'!C460)),"B",IF(NOT(ISBLANK('A-RACHNATMAK'!C459)),"C","")))</f>
        <v>A</v>
      </c>
      <c r="C430" s="622" t="str">
        <f>IF(NOT(ISBLANK('A-RACHNATMAK'!D461)),"A",IF(NOT(ISBLANK('A-RACHNATMAK'!D460)),"B",IF(NOT(ISBLANK('A-RACHNATMAK'!D459)),"C","")))</f>
        <v/>
      </c>
      <c r="D430" s="622" t="str">
        <f>IF(NOT(ISBLANK('A-RACHNATMAK'!E461)),"A",IF(NOT(ISBLANK('A-RACHNATMAK'!E460)),"B",IF(NOT(ISBLANK('A-RACHNATMAK'!E459)),"C","")))</f>
        <v/>
      </c>
      <c r="E430" s="622" t="str">
        <f>IF(NOT(ISBLANK('A-RACHNATMAK'!F461)),"A",IF(NOT(ISBLANK('A-RACHNATMAK'!F460)),"B",IF(NOT(ISBLANK('A-RACHNATMAK'!F459)),"C","")))</f>
        <v/>
      </c>
      <c r="F430" s="622" t="str">
        <f>IF(NOT(ISBLANK('A-RACHNATMAK'!G461)),"A",IF(NOT(ISBLANK('A-RACHNATMAK'!G460)),"B",IF(NOT(ISBLANK('A-RACHNATMAK'!G459)),"C","")))</f>
        <v/>
      </c>
      <c r="G430" s="622" t="str">
        <f>IF(NOT(ISBLANK('A-RACHNATMAK'!H461)),"A",IF(NOT(ISBLANK('A-RACHNATMAK'!H460)),"B",IF(NOT(ISBLANK('A-RACHNATMAK'!H459)),"C","")))</f>
        <v/>
      </c>
      <c r="H430" s="622" t="str">
        <f>IF(NOT(ISBLANK('A-RACHNATMAK'!I461)),"A",IF(NOT(ISBLANK('A-RACHNATMAK'!I460)),"B",IF(NOT(ISBLANK('A-RACHNATMAK'!I459)),"C","")))</f>
        <v/>
      </c>
      <c r="I430" s="622" t="str">
        <f>IF(NOT(ISBLANK('A-RACHNATMAK'!J461)),"A",IF(NOT(ISBLANK('A-RACHNATMAK'!J460)),"B",IF(NOT(ISBLANK('A-RACHNATMAK'!J459)),"C","")))</f>
        <v/>
      </c>
      <c r="J430" s="622" t="str">
        <f>IF(NOT(ISBLANK('A-RACHNATMAK'!K461)),"A",IF(NOT(ISBLANK('A-RACHNATMAK'!K460)),"B",IF(NOT(ISBLANK('A-RACHNATMAK'!K459)),"C","")))</f>
        <v/>
      </c>
      <c r="K430" s="622" t="str">
        <f>IF(NOT(ISBLANK('A-RACHNATMAK'!L461)),"A",IF(NOT(ISBLANK('A-RACHNATMAK'!L460)),"B",IF(NOT(ISBLANK('A-RACHNATMAK'!L459)),"C","")))</f>
        <v/>
      </c>
      <c r="L430" s="622" t="str">
        <f>IF(NOT(ISBLANK('A-RACHNATMAK'!M461)),"A",IF(NOT(ISBLANK('A-RACHNATMAK'!M460)),"B",IF(NOT(ISBLANK('A-RACHNATMAK'!M459)),"C","")))</f>
        <v/>
      </c>
      <c r="M430" s="622" t="str">
        <f>IF(NOT(ISBLANK('A-RACHNATMAK'!N461)),"A",IF(NOT(ISBLANK('A-RACHNATMAK'!N460)),"B",IF(NOT(ISBLANK('A-RACHNATMAK'!N459)),"C","")))</f>
        <v/>
      </c>
      <c r="N430" s="622" t="str">
        <f>IF(NOT(ISBLANK('A-RACHNATMAK'!O461)),"A",IF(NOT(ISBLANK('A-RACHNATMAK'!O460)),"B",IF(NOT(ISBLANK('A-RACHNATMAK'!O459)),"C","")))</f>
        <v/>
      </c>
      <c r="O430" s="622" t="str">
        <f>IF(NOT(ISBLANK('A-RACHNATMAK'!P461)),"A",IF(NOT(ISBLANK('A-RACHNATMAK'!P460)),"B",IF(NOT(ISBLANK('A-RACHNATMAK'!P459)),"C","")))</f>
        <v/>
      </c>
      <c r="P430" s="622" t="str">
        <f>IF(NOT(ISBLANK('A-RACHNATMAK'!Q461)),"A",IF(NOT(ISBLANK('A-RACHNATMAK'!Q460)),"B",IF(NOT(ISBLANK('A-RACHNATMAK'!Q459)),"C","")))</f>
        <v/>
      </c>
      <c r="Q430" s="622" t="str">
        <f>IF(NOT(ISBLANK('A-RACHNATMAK'!R461)),"A",IF(NOT(ISBLANK('A-RACHNATMAK'!R460)),"B",IF(NOT(ISBLANK('A-RACHNATMAK'!R459)),"C","")))</f>
        <v/>
      </c>
      <c r="R430" s="622" t="str">
        <f>IF(NOT(ISBLANK('A-RACHNATMAK'!S461)),"A",IF(NOT(ISBLANK('A-RACHNATMAK'!S460)),"B",IF(NOT(ISBLANK('A-RACHNATMAK'!S459)),"C","")))</f>
        <v/>
      </c>
      <c r="S430" s="622" t="str">
        <f>IF(NOT(ISBLANK('A-RACHNATMAK'!T461)),"A",IF(NOT(ISBLANK('A-RACHNATMAK'!T460)),"B",IF(NOT(ISBLANK('A-RACHNATMAK'!T459)),"C","")))</f>
        <v/>
      </c>
      <c r="T430" s="622" t="str">
        <f>IF(NOT(ISBLANK('A-RACHNATMAK'!U461)),"A",IF(NOT(ISBLANK('A-RACHNATMAK'!U460)),"B",IF(NOT(ISBLANK('A-RACHNATMAK'!U459)),"C","")))</f>
        <v/>
      </c>
      <c r="U430" s="622" t="str">
        <f>IF(NOT(ISBLANK('A-RACHNATMAK'!V461)),"A",IF(NOT(ISBLANK('A-RACHNATMAK'!V460)),"B",IF(NOT(ISBLANK('A-RACHNATMAK'!V459)),"C","")))</f>
        <v/>
      </c>
      <c r="V430" s="622">
        <f>COUNTIF(B430:U430,"A")</f>
        <v>1</v>
      </c>
      <c r="W430" s="622">
        <f>COUNTIF(B430:U430,"B")</f>
        <v>0</v>
      </c>
      <c r="X430" s="622">
        <f>COUNTIF(B430:U430,"C")</f>
        <v>0</v>
      </c>
      <c r="Y430" s="330"/>
      <c r="Z430" s="623">
        <v>1</v>
      </c>
      <c r="AA430" s="622" t="str">
        <f>IF(NOT(ISBLANK('A-RACHNATMAK'!AD461)),"A",IF(NOT(ISBLANK('A-RACHNATMAK'!AD460)),"B",IF(NOT(ISBLANK('A-RACHNATMAK'!AD459)),"C","")))</f>
        <v/>
      </c>
      <c r="AB430" s="622" t="str">
        <f>IF(NOT(ISBLANK('A-RACHNATMAK'!AE461)),"A",IF(NOT(ISBLANK('A-RACHNATMAK'!AE460)),"B",IF(NOT(ISBLANK('A-RACHNATMAK'!AE459)),"C","")))</f>
        <v/>
      </c>
      <c r="AC430" s="622" t="str">
        <f>IF(NOT(ISBLANK('A-RACHNATMAK'!AF461)),"A",IF(NOT(ISBLANK('A-RACHNATMAK'!AF460)),"B",IF(NOT(ISBLANK('A-RACHNATMAK'!AF459)),"C","")))</f>
        <v/>
      </c>
      <c r="AD430" s="622" t="str">
        <f>IF(NOT(ISBLANK('A-RACHNATMAK'!AG461)),"A",IF(NOT(ISBLANK('A-RACHNATMAK'!AG460)),"B",IF(NOT(ISBLANK('A-RACHNATMAK'!AG459)),"C","")))</f>
        <v/>
      </c>
      <c r="AE430" s="622" t="str">
        <f>IF(NOT(ISBLANK('A-RACHNATMAK'!AH461)),"A",IF(NOT(ISBLANK('A-RACHNATMAK'!AH460)),"B",IF(NOT(ISBLANK('A-RACHNATMAK'!AH459)),"C","")))</f>
        <v/>
      </c>
      <c r="AF430" s="622" t="str">
        <f>IF(NOT(ISBLANK('A-RACHNATMAK'!AI461)),"A",IF(NOT(ISBLANK('A-RACHNATMAK'!AI460)),"B",IF(NOT(ISBLANK('A-RACHNATMAK'!AI459)),"C","")))</f>
        <v/>
      </c>
      <c r="AG430" s="622" t="str">
        <f>IF(NOT(ISBLANK('A-RACHNATMAK'!AJ461)),"A",IF(NOT(ISBLANK('A-RACHNATMAK'!AJ460)),"B",IF(NOT(ISBLANK('A-RACHNATMAK'!AJ459)),"C","")))</f>
        <v/>
      </c>
      <c r="AH430" s="622" t="str">
        <f>IF(NOT(ISBLANK('A-RACHNATMAK'!AK461)),"A",IF(NOT(ISBLANK('A-RACHNATMAK'!AK460)),"B",IF(NOT(ISBLANK('A-RACHNATMAK'!AK459)),"C","")))</f>
        <v/>
      </c>
      <c r="AI430" s="622" t="str">
        <f>IF(NOT(ISBLANK('A-RACHNATMAK'!AL461)),"A",IF(NOT(ISBLANK('A-RACHNATMAK'!AL460)),"B",IF(NOT(ISBLANK('A-RACHNATMAK'!AL459)),"C","")))</f>
        <v/>
      </c>
      <c r="AJ430" s="622" t="str">
        <f>IF(NOT(ISBLANK('A-RACHNATMAK'!AM461)),"A",IF(NOT(ISBLANK('A-RACHNATMAK'!AM460)),"B",IF(NOT(ISBLANK('A-RACHNATMAK'!AM459)),"C","")))</f>
        <v/>
      </c>
      <c r="AK430" s="622" t="str">
        <f>IF(NOT(ISBLANK('A-RACHNATMAK'!AN461)),"A",IF(NOT(ISBLANK('A-RACHNATMAK'!AN460)),"B",IF(NOT(ISBLANK('A-RACHNATMAK'!AN459)),"C","")))</f>
        <v/>
      </c>
      <c r="AL430" s="622" t="str">
        <f>IF(NOT(ISBLANK('A-RACHNATMAK'!AO461)),"A",IF(NOT(ISBLANK('A-RACHNATMAK'!AO460)),"B",IF(NOT(ISBLANK('A-RACHNATMAK'!AO459)),"C","")))</f>
        <v/>
      </c>
      <c r="AM430" s="622" t="str">
        <f>IF(NOT(ISBLANK('A-RACHNATMAK'!AP461)),"A",IF(NOT(ISBLANK('A-RACHNATMAK'!AP460)),"B",IF(NOT(ISBLANK('A-RACHNATMAK'!AP459)),"C","")))</f>
        <v/>
      </c>
      <c r="AN430" s="622" t="str">
        <f>IF(NOT(ISBLANK('A-RACHNATMAK'!AQ461)),"A",IF(NOT(ISBLANK('A-RACHNATMAK'!AQ460)),"B",IF(NOT(ISBLANK('A-RACHNATMAK'!AQ459)),"C","")))</f>
        <v/>
      </c>
      <c r="AO430" s="622" t="str">
        <f>IF(NOT(ISBLANK('A-RACHNATMAK'!AR461)),"A",IF(NOT(ISBLANK('A-RACHNATMAK'!AR460)),"B",IF(NOT(ISBLANK('A-RACHNATMAK'!AR459)),"C","")))</f>
        <v/>
      </c>
      <c r="AP430" s="622" t="str">
        <f>IF(NOT(ISBLANK('A-RACHNATMAK'!AS461)),"A",IF(NOT(ISBLANK('A-RACHNATMAK'!AS460)),"B",IF(NOT(ISBLANK('A-RACHNATMAK'!AS459)),"C","")))</f>
        <v/>
      </c>
      <c r="AQ430" s="622" t="str">
        <f>IF(NOT(ISBLANK('A-RACHNATMAK'!AT461)),"A",IF(NOT(ISBLANK('A-RACHNATMAK'!AT460)),"B",IF(NOT(ISBLANK('A-RACHNATMAK'!AT459)),"C","")))</f>
        <v/>
      </c>
      <c r="AR430" s="622" t="str">
        <f>IF(NOT(ISBLANK('A-RACHNATMAK'!AU461)),"A",IF(NOT(ISBLANK('A-RACHNATMAK'!AU460)),"B",IF(NOT(ISBLANK('A-RACHNATMAK'!AU459)),"C","")))</f>
        <v/>
      </c>
      <c r="AS430" s="622" t="str">
        <f>IF(NOT(ISBLANK('A-RACHNATMAK'!AV461)),"A",IF(NOT(ISBLANK('A-RACHNATMAK'!AV460)),"B",IF(NOT(ISBLANK('A-RACHNATMAK'!AV459)),"C","")))</f>
        <v/>
      </c>
      <c r="AT430" s="622" t="str">
        <f>IF(NOT(ISBLANK('A-RACHNATMAK'!AW461)),"A",IF(NOT(ISBLANK('A-RACHNATMAK'!AW460)),"B",IF(NOT(ISBLANK('A-RACHNATMAK'!AW459)),"C","")))</f>
        <v/>
      </c>
      <c r="AU430" s="622">
        <f>COUNTIF(AA430:AT430,"A")</f>
        <v>0</v>
      </c>
      <c r="AV430" s="622">
        <f>COUNTIF(AA430:AT430,"B")</f>
        <v>0</v>
      </c>
      <c r="AW430" s="622">
        <f>COUNTIF(AA430:AT430,"C")</f>
        <v>0</v>
      </c>
    </row>
    <row r="431" spans="1:49" ht="7.5" customHeight="1">
      <c r="A431" s="623"/>
      <c r="B431" s="622"/>
      <c r="C431" s="622"/>
      <c r="D431" s="622"/>
      <c r="E431" s="622"/>
      <c r="F431" s="622"/>
      <c r="G431" s="622"/>
      <c r="H431" s="622"/>
      <c r="I431" s="622"/>
      <c r="J431" s="622"/>
      <c r="K431" s="622"/>
      <c r="L431" s="622"/>
      <c r="M431" s="622"/>
      <c r="N431" s="622"/>
      <c r="O431" s="622"/>
      <c r="P431" s="622"/>
      <c r="Q431" s="622"/>
      <c r="R431" s="622"/>
      <c r="S431" s="622"/>
      <c r="T431" s="622"/>
      <c r="U431" s="622"/>
      <c r="V431" s="622"/>
      <c r="W431" s="622"/>
      <c r="X431" s="622"/>
      <c r="Y431" s="330"/>
      <c r="Z431" s="623"/>
      <c r="AA431" s="622"/>
      <c r="AB431" s="622"/>
      <c r="AC431" s="622"/>
      <c r="AD431" s="622"/>
      <c r="AE431" s="622"/>
      <c r="AF431" s="622"/>
      <c r="AG431" s="622"/>
      <c r="AH431" s="622"/>
      <c r="AI431" s="622"/>
      <c r="AJ431" s="622"/>
      <c r="AK431" s="622"/>
      <c r="AL431" s="622"/>
      <c r="AM431" s="622"/>
      <c r="AN431" s="622"/>
      <c r="AO431" s="622"/>
      <c r="AP431" s="622"/>
      <c r="AQ431" s="622"/>
      <c r="AR431" s="622"/>
      <c r="AS431" s="622"/>
      <c r="AT431" s="622"/>
      <c r="AU431" s="622"/>
      <c r="AV431" s="622"/>
      <c r="AW431" s="622"/>
    </row>
    <row r="432" spans="1:49" ht="7.5" customHeight="1">
      <c r="A432" s="623"/>
      <c r="B432" s="622"/>
      <c r="C432" s="622"/>
      <c r="D432" s="622"/>
      <c r="E432" s="622"/>
      <c r="F432" s="622"/>
      <c r="G432" s="622"/>
      <c r="H432" s="622"/>
      <c r="I432" s="622"/>
      <c r="J432" s="622"/>
      <c r="K432" s="622"/>
      <c r="L432" s="622"/>
      <c r="M432" s="622"/>
      <c r="N432" s="622"/>
      <c r="O432" s="622"/>
      <c r="P432" s="622"/>
      <c r="Q432" s="622"/>
      <c r="R432" s="622"/>
      <c r="S432" s="622"/>
      <c r="T432" s="622"/>
      <c r="U432" s="622"/>
      <c r="V432" s="622"/>
      <c r="W432" s="622"/>
      <c r="X432" s="622"/>
      <c r="Y432" s="330"/>
      <c r="Z432" s="623"/>
      <c r="AA432" s="622"/>
      <c r="AB432" s="622"/>
      <c r="AC432" s="622"/>
      <c r="AD432" s="622"/>
      <c r="AE432" s="622"/>
      <c r="AF432" s="622"/>
      <c r="AG432" s="622"/>
      <c r="AH432" s="622"/>
      <c r="AI432" s="622"/>
      <c r="AJ432" s="622"/>
      <c r="AK432" s="622"/>
      <c r="AL432" s="622"/>
      <c r="AM432" s="622"/>
      <c r="AN432" s="622"/>
      <c r="AO432" s="622"/>
      <c r="AP432" s="622"/>
      <c r="AQ432" s="622"/>
      <c r="AR432" s="622"/>
      <c r="AS432" s="622"/>
      <c r="AT432" s="622"/>
      <c r="AU432" s="622"/>
      <c r="AV432" s="622"/>
      <c r="AW432" s="622"/>
    </row>
    <row r="433" spans="1:49" ht="7.5" customHeight="1">
      <c r="A433" s="623">
        <v>2</v>
      </c>
      <c r="B433" s="622" t="str">
        <f>IF(NOT(ISBLANK('A-RACHNATMAK'!C464)),"A",IF(NOT(ISBLANK('A-RACHNATMAK'!C463)),"B",IF(NOT(ISBLANK('A-RACHNATMAK'!C462)),"C","")))</f>
        <v/>
      </c>
      <c r="C433" s="622" t="str">
        <f>IF(NOT(ISBLANK('A-RACHNATMAK'!D464)),"A",IF(NOT(ISBLANK('A-RACHNATMAK'!D463)),"B",IF(NOT(ISBLANK('A-RACHNATMAK'!D462)),"C","")))</f>
        <v/>
      </c>
      <c r="D433" s="622" t="str">
        <f>IF(NOT(ISBLANK('A-RACHNATMAK'!E464)),"A",IF(NOT(ISBLANK('A-RACHNATMAK'!E463)),"B",IF(NOT(ISBLANK('A-RACHNATMAK'!E462)),"C","")))</f>
        <v/>
      </c>
      <c r="E433" s="622" t="str">
        <f>IF(NOT(ISBLANK('A-RACHNATMAK'!F464)),"A",IF(NOT(ISBLANK('A-RACHNATMAK'!F463)),"B",IF(NOT(ISBLANK('A-RACHNATMAK'!F462)),"C","")))</f>
        <v/>
      </c>
      <c r="F433" s="622" t="str">
        <f>IF(NOT(ISBLANK('A-RACHNATMAK'!G464)),"A",IF(NOT(ISBLANK('A-RACHNATMAK'!G463)),"B",IF(NOT(ISBLANK('A-RACHNATMAK'!G462)),"C","")))</f>
        <v/>
      </c>
      <c r="G433" s="622" t="str">
        <f>IF(NOT(ISBLANK('A-RACHNATMAK'!H464)),"A",IF(NOT(ISBLANK('A-RACHNATMAK'!H463)),"B",IF(NOT(ISBLANK('A-RACHNATMAK'!H462)),"C","")))</f>
        <v/>
      </c>
      <c r="H433" s="622" t="str">
        <f>IF(NOT(ISBLANK('A-RACHNATMAK'!I464)),"A",IF(NOT(ISBLANK('A-RACHNATMAK'!I463)),"B",IF(NOT(ISBLANK('A-RACHNATMAK'!I462)),"C","")))</f>
        <v/>
      </c>
      <c r="I433" s="622" t="str">
        <f>IF(NOT(ISBLANK('A-RACHNATMAK'!J464)),"A",IF(NOT(ISBLANK('A-RACHNATMAK'!J463)),"B",IF(NOT(ISBLANK('A-RACHNATMAK'!J462)),"C","")))</f>
        <v/>
      </c>
      <c r="J433" s="622" t="str">
        <f>IF(NOT(ISBLANK('A-RACHNATMAK'!K464)),"A",IF(NOT(ISBLANK('A-RACHNATMAK'!K463)),"B",IF(NOT(ISBLANK('A-RACHNATMAK'!K462)),"C","")))</f>
        <v/>
      </c>
      <c r="K433" s="622" t="str">
        <f>IF(NOT(ISBLANK('A-RACHNATMAK'!L464)),"A",IF(NOT(ISBLANK('A-RACHNATMAK'!L463)),"B",IF(NOT(ISBLANK('A-RACHNATMAK'!L462)),"C","")))</f>
        <v/>
      </c>
      <c r="L433" s="622" t="str">
        <f>IF(NOT(ISBLANK('A-RACHNATMAK'!M464)),"A",IF(NOT(ISBLANK('A-RACHNATMAK'!M463)),"B",IF(NOT(ISBLANK('A-RACHNATMAK'!M462)),"C","")))</f>
        <v/>
      </c>
      <c r="M433" s="622" t="str">
        <f>IF(NOT(ISBLANK('A-RACHNATMAK'!N464)),"A",IF(NOT(ISBLANK('A-RACHNATMAK'!N463)),"B",IF(NOT(ISBLANK('A-RACHNATMAK'!N462)),"C","")))</f>
        <v/>
      </c>
      <c r="N433" s="622" t="str">
        <f>IF(NOT(ISBLANK('A-RACHNATMAK'!O464)),"A",IF(NOT(ISBLANK('A-RACHNATMAK'!O463)),"B",IF(NOT(ISBLANK('A-RACHNATMAK'!O462)),"C","")))</f>
        <v/>
      </c>
      <c r="O433" s="622" t="str">
        <f>IF(NOT(ISBLANK('A-RACHNATMAK'!P464)),"A",IF(NOT(ISBLANK('A-RACHNATMAK'!P463)),"B",IF(NOT(ISBLANK('A-RACHNATMAK'!P462)),"C","")))</f>
        <v/>
      </c>
      <c r="P433" s="622" t="str">
        <f>IF(NOT(ISBLANK('A-RACHNATMAK'!Q464)),"A",IF(NOT(ISBLANK('A-RACHNATMAK'!Q463)),"B",IF(NOT(ISBLANK('A-RACHNATMAK'!Q462)),"C","")))</f>
        <v/>
      </c>
      <c r="Q433" s="622" t="str">
        <f>IF(NOT(ISBLANK('A-RACHNATMAK'!R464)),"A",IF(NOT(ISBLANK('A-RACHNATMAK'!R463)),"B",IF(NOT(ISBLANK('A-RACHNATMAK'!R462)),"C","")))</f>
        <v/>
      </c>
      <c r="R433" s="622" t="str">
        <f>IF(NOT(ISBLANK('A-RACHNATMAK'!S464)),"A",IF(NOT(ISBLANK('A-RACHNATMAK'!S463)),"B",IF(NOT(ISBLANK('A-RACHNATMAK'!S462)),"C","")))</f>
        <v/>
      </c>
      <c r="S433" s="622" t="str">
        <f>IF(NOT(ISBLANK('A-RACHNATMAK'!T464)),"A",IF(NOT(ISBLANK('A-RACHNATMAK'!T463)),"B",IF(NOT(ISBLANK('A-RACHNATMAK'!T462)),"C","")))</f>
        <v/>
      </c>
      <c r="T433" s="622" t="str">
        <f>IF(NOT(ISBLANK('A-RACHNATMAK'!U464)),"A",IF(NOT(ISBLANK('A-RACHNATMAK'!U463)),"B",IF(NOT(ISBLANK('A-RACHNATMAK'!U462)),"C","")))</f>
        <v/>
      </c>
      <c r="U433" s="622" t="str">
        <f>IF(NOT(ISBLANK('A-RACHNATMAK'!V464)),"A",IF(NOT(ISBLANK('A-RACHNATMAK'!V463)),"B",IF(NOT(ISBLANK('A-RACHNATMAK'!V462)),"C","")))</f>
        <v/>
      </c>
      <c r="V433" s="622">
        <f t="shared" ref="V433" si="816">COUNTIF(B433:U433,"A")</f>
        <v>0</v>
      </c>
      <c r="W433" s="622">
        <f t="shared" ref="W433" si="817">COUNTIF(B433:U433,"B")</f>
        <v>0</v>
      </c>
      <c r="X433" s="622">
        <f t="shared" ref="X433" si="818">COUNTIF(B433:U433,"C")</f>
        <v>0</v>
      </c>
      <c r="Y433" s="330"/>
      <c r="Z433" s="623">
        <v>2</v>
      </c>
      <c r="AA433" s="622" t="str">
        <f>IF(NOT(ISBLANK('A-RACHNATMAK'!AD464)),"A",IF(NOT(ISBLANK('A-RACHNATMAK'!AD463)),"B",IF(NOT(ISBLANK('A-RACHNATMAK'!AD462)),"C","")))</f>
        <v/>
      </c>
      <c r="AB433" s="622" t="str">
        <f>IF(NOT(ISBLANK('A-RACHNATMAK'!AE464)),"A",IF(NOT(ISBLANK('A-RACHNATMAK'!AE463)),"B",IF(NOT(ISBLANK('A-RACHNATMAK'!AE462)),"C","")))</f>
        <v/>
      </c>
      <c r="AC433" s="622" t="str">
        <f>IF(NOT(ISBLANK('A-RACHNATMAK'!AF464)),"A",IF(NOT(ISBLANK('A-RACHNATMAK'!AF463)),"B",IF(NOT(ISBLANK('A-RACHNATMAK'!AF462)),"C","")))</f>
        <v/>
      </c>
      <c r="AD433" s="622" t="str">
        <f>IF(NOT(ISBLANK('A-RACHNATMAK'!AG464)),"A",IF(NOT(ISBLANK('A-RACHNATMAK'!AG463)),"B",IF(NOT(ISBLANK('A-RACHNATMAK'!AG462)),"C","")))</f>
        <v/>
      </c>
      <c r="AE433" s="622" t="str">
        <f>IF(NOT(ISBLANK('A-RACHNATMAK'!AH464)),"A",IF(NOT(ISBLANK('A-RACHNATMAK'!AH463)),"B",IF(NOT(ISBLANK('A-RACHNATMAK'!AH462)),"C","")))</f>
        <v/>
      </c>
      <c r="AF433" s="622" t="str">
        <f>IF(NOT(ISBLANK('A-RACHNATMAK'!AI464)),"A",IF(NOT(ISBLANK('A-RACHNATMAK'!AI463)),"B",IF(NOT(ISBLANK('A-RACHNATMAK'!AI462)),"C","")))</f>
        <v/>
      </c>
      <c r="AG433" s="622" t="str">
        <f>IF(NOT(ISBLANK('A-RACHNATMAK'!AJ464)),"A",IF(NOT(ISBLANK('A-RACHNATMAK'!AJ463)),"B",IF(NOT(ISBLANK('A-RACHNATMAK'!AJ462)),"C","")))</f>
        <v/>
      </c>
      <c r="AH433" s="622" t="str">
        <f>IF(NOT(ISBLANK('A-RACHNATMAK'!AK464)),"A",IF(NOT(ISBLANK('A-RACHNATMAK'!AK463)),"B",IF(NOT(ISBLANK('A-RACHNATMAK'!AK462)),"C","")))</f>
        <v/>
      </c>
      <c r="AI433" s="622" t="str">
        <f>IF(NOT(ISBLANK('A-RACHNATMAK'!AL464)),"A",IF(NOT(ISBLANK('A-RACHNATMAK'!AL463)),"B",IF(NOT(ISBLANK('A-RACHNATMAK'!AL462)),"C","")))</f>
        <v/>
      </c>
      <c r="AJ433" s="622" t="str">
        <f>IF(NOT(ISBLANK('A-RACHNATMAK'!AM464)),"A",IF(NOT(ISBLANK('A-RACHNATMAK'!AM463)),"B",IF(NOT(ISBLANK('A-RACHNATMAK'!AM462)),"C","")))</f>
        <v/>
      </c>
      <c r="AK433" s="622" t="str">
        <f>IF(NOT(ISBLANK('A-RACHNATMAK'!AN464)),"A",IF(NOT(ISBLANK('A-RACHNATMAK'!AN463)),"B",IF(NOT(ISBLANK('A-RACHNATMAK'!AN462)),"C","")))</f>
        <v/>
      </c>
      <c r="AL433" s="622" t="str">
        <f>IF(NOT(ISBLANK('A-RACHNATMAK'!AO464)),"A",IF(NOT(ISBLANK('A-RACHNATMAK'!AO463)),"B",IF(NOT(ISBLANK('A-RACHNATMAK'!AO462)),"C","")))</f>
        <v/>
      </c>
      <c r="AM433" s="622" t="str">
        <f>IF(NOT(ISBLANK('A-RACHNATMAK'!AP464)),"A",IF(NOT(ISBLANK('A-RACHNATMAK'!AP463)),"B",IF(NOT(ISBLANK('A-RACHNATMAK'!AP462)),"C","")))</f>
        <v/>
      </c>
      <c r="AN433" s="622" t="str">
        <f>IF(NOT(ISBLANK('A-RACHNATMAK'!AQ464)),"A",IF(NOT(ISBLANK('A-RACHNATMAK'!AQ463)),"B",IF(NOT(ISBLANK('A-RACHNATMAK'!AQ462)),"C","")))</f>
        <v/>
      </c>
      <c r="AO433" s="622" t="str">
        <f>IF(NOT(ISBLANK('A-RACHNATMAK'!AR464)),"A",IF(NOT(ISBLANK('A-RACHNATMAK'!AR463)),"B",IF(NOT(ISBLANK('A-RACHNATMAK'!AR462)),"C","")))</f>
        <v/>
      </c>
      <c r="AP433" s="622" t="str">
        <f>IF(NOT(ISBLANK('A-RACHNATMAK'!AS464)),"A",IF(NOT(ISBLANK('A-RACHNATMAK'!AS463)),"B",IF(NOT(ISBLANK('A-RACHNATMAK'!AS462)),"C","")))</f>
        <v/>
      </c>
      <c r="AQ433" s="622" t="str">
        <f>IF(NOT(ISBLANK('A-RACHNATMAK'!AT464)),"A",IF(NOT(ISBLANK('A-RACHNATMAK'!AT463)),"B",IF(NOT(ISBLANK('A-RACHNATMAK'!AT462)),"C","")))</f>
        <v/>
      </c>
      <c r="AR433" s="622" t="str">
        <f>IF(NOT(ISBLANK('A-RACHNATMAK'!AU464)),"A",IF(NOT(ISBLANK('A-RACHNATMAK'!AU463)),"B",IF(NOT(ISBLANK('A-RACHNATMAK'!AU462)),"C","")))</f>
        <v/>
      </c>
      <c r="AS433" s="622" t="str">
        <f>IF(NOT(ISBLANK('A-RACHNATMAK'!AV464)),"A",IF(NOT(ISBLANK('A-RACHNATMAK'!AV463)),"B",IF(NOT(ISBLANK('A-RACHNATMAK'!AV462)),"C","")))</f>
        <v/>
      </c>
      <c r="AT433" s="622" t="str">
        <f>IF(NOT(ISBLANK('A-RACHNATMAK'!AW464)),"A",IF(NOT(ISBLANK('A-RACHNATMAK'!AW463)),"B",IF(NOT(ISBLANK('A-RACHNATMAK'!AW462)),"C","")))</f>
        <v/>
      </c>
      <c r="AU433" s="622">
        <f t="shared" ref="AU433" si="819">COUNTIF(AA433:AT433,"A")</f>
        <v>0</v>
      </c>
      <c r="AV433" s="622">
        <f t="shared" ref="AV433" si="820">COUNTIF(AA433:AT433,"B")</f>
        <v>0</v>
      </c>
      <c r="AW433" s="622">
        <f t="shared" ref="AW433" si="821">COUNTIF(AA433:AT433,"C")</f>
        <v>0</v>
      </c>
    </row>
    <row r="434" spans="1:49" ht="7.5" customHeight="1">
      <c r="A434" s="623"/>
      <c r="B434" s="622"/>
      <c r="C434" s="622"/>
      <c r="D434" s="622"/>
      <c r="E434" s="622"/>
      <c r="F434" s="622"/>
      <c r="G434" s="622"/>
      <c r="H434" s="622"/>
      <c r="I434" s="622"/>
      <c r="J434" s="622"/>
      <c r="K434" s="622"/>
      <c r="L434" s="622"/>
      <c r="M434" s="622"/>
      <c r="N434" s="622"/>
      <c r="O434" s="622"/>
      <c r="P434" s="622"/>
      <c r="Q434" s="622"/>
      <c r="R434" s="622"/>
      <c r="S434" s="622"/>
      <c r="T434" s="622"/>
      <c r="U434" s="622"/>
      <c r="V434" s="622"/>
      <c r="W434" s="622"/>
      <c r="X434" s="622"/>
      <c r="Y434" s="330"/>
      <c r="Z434" s="623"/>
      <c r="AA434" s="622"/>
      <c r="AB434" s="622"/>
      <c r="AC434" s="622"/>
      <c r="AD434" s="622"/>
      <c r="AE434" s="622"/>
      <c r="AF434" s="622"/>
      <c r="AG434" s="622"/>
      <c r="AH434" s="622"/>
      <c r="AI434" s="622"/>
      <c r="AJ434" s="622"/>
      <c r="AK434" s="622"/>
      <c r="AL434" s="622"/>
      <c r="AM434" s="622"/>
      <c r="AN434" s="622"/>
      <c r="AO434" s="622"/>
      <c r="AP434" s="622"/>
      <c r="AQ434" s="622"/>
      <c r="AR434" s="622"/>
      <c r="AS434" s="622"/>
      <c r="AT434" s="622"/>
      <c r="AU434" s="622"/>
      <c r="AV434" s="622"/>
      <c r="AW434" s="622"/>
    </row>
    <row r="435" spans="1:49" ht="7.5" customHeight="1">
      <c r="A435" s="623"/>
      <c r="B435" s="622"/>
      <c r="C435" s="622"/>
      <c r="D435" s="622"/>
      <c r="E435" s="622"/>
      <c r="F435" s="622"/>
      <c r="G435" s="622"/>
      <c r="H435" s="622"/>
      <c r="I435" s="622"/>
      <c r="J435" s="622"/>
      <c r="K435" s="622"/>
      <c r="L435" s="622"/>
      <c r="M435" s="622"/>
      <c r="N435" s="622"/>
      <c r="O435" s="622"/>
      <c r="P435" s="622"/>
      <c r="Q435" s="622"/>
      <c r="R435" s="622"/>
      <c r="S435" s="622"/>
      <c r="T435" s="622"/>
      <c r="U435" s="622"/>
      <c r="V435" s="622"/>
      <c r="W435" s="622"/>
      <c r="X435" s="622"/>
      <c r="Y435" s="330"/>
      <c r="Z435" s="623"/>
      <c r="AA435" s="622"/>
      <c r="AB435" s="622"/>
      <c r="AC435" s="622"/>
      <c r="AD435" s="622"/>
      <c r="AE435" s="622"/>
      <c r="AF435" s="622"/>
      <c r="AG435" s="622"/>
      <c r="AH435" s="622"/>
      <c r="AI435" s="622"/>
      <c r="AJ435" s="622"/>
      <c r="AK435" s="622"/>
      <c r="AL435" s="622"/>
      <c r="AM435" s="622"/>
      <c r="AN435" s="622"/>
      <c r="AO435" s="622"/>
      <c r="AP435" s="622"/>
      <c r="AQ435" s="622"/>
      <c r="AR435" s="622"/>
      <c r="AS435" s="622"/>
      <c r="AT435" s="622"/>
      <c r="AU435" s="622"/>
      <c r="AV435" s="622"/>
      <c r="AW435" s="622"/>
    </row>
    <row r="436" spans="1:49" ht="7.5" customHeight="1">
      <c r="A436" s="623">
        <v>3</v>
      </c>
      <c r="B436" s="622" t="str">
        <f>IF(NOT(ISBLANK('A-RACHNATMAK'!C467)),"A",IF(NOT(ISBLANK('A-RACHNATMAK'!C466)),"B",IF(NOT(ISBLANK('A-RACHNATMAK'!C465)),"C","")))</f>
        <v/>
      </c>
      <c r="C436" s="622" t="str">
        <f>IF(NOT(ISBLANK('A-RACHNATMAK'!D467)),"A",IF(NOT(ISBLANK('A-RACHNATMAK'!D466)),"B",IF(NOT(ISBLANK('A-RACHNATMAK'!D465)),"C","")))</f>
        <v/>
      </c>
      <c r="D436" s="622" t="str">
        <f>IF(NOT(ISBLANK('A-RACHNATMAK'!E467)),"A",IF(NOT(ISBLANK('A-RACHNATMAK'!E466)),"B",IF(NOT(ISBLANK('A-RACHNATMAK'!E465)),"C","")))</f>
        <v/>
      </c>
      <c r="E436" s="622" t="str">
        <f>IF(NOT(ISBLANK('A-RACHNATMAK'!F467)),"A",IF(NOT(ISBLANK('A-RACHNATMAK'!F466)),"B",IF(NOT(ISBLANK('A-RACHNATMAK'!F465)),"C","")))</f>
        <v/>
      </c>
      <c r="F436" s="622" t="str">
        <f>IF(NOT(ISBLANK('A-RACHNATMAK'!G467)),"A",IF(NOT(ISBLANK('A-RACHNATMAK'!G466)),"B",IF(NOT(ISBLANK('A-RACHNATMAK'!G465)),"C","")))</f>
        <v/>
      </c>
      <c r="G436" s="622" t="str">
        <f>IF(NOT(ISBLANK('A-RACHNATMAK'!H467)),"A",IF(NOT(ISBLANK('A-RACHNATMAK'!H466)),"B",IF(NOT(ISBLANK('A-RACHNATMAK'!H465)),"C","")))</f>
        <v/>
      </c>
      <c r="H436" s="622" t="str">
        <f>IF(NOT(ISBLANK('A-RACHNATMAK'!I467)),"A",IF(NOT(ISBLANK('A-RACHNATMAK'!I466)),"B",IF(NOT(ISBLANK('A-RACHNATMAK'!I465)),"C","")))</f>
        <v/>
      </c>
      <c r="I436" s="622" t="str">
        <f>IF(NOT(ISBLANK('A-RACHNATMAK'!J467)),"A",IF(NOT(ISBLANK('A-RACHNATMAK'!J466)),"B",IF(NOT(ISBLANK('A-RACHNATMAK'!J465)),"C","")))</f>
        <v/>
      </c>
      <c r="J436" s="622" t="str">
        <f>IF(NOT(ISBLANK('A-RACHNATMAK'!K467)),"A",IF(NOT(ISBLANK('A-RACHNATMAK'!K466)),"B",IF(NOT(ISBLANK('A-RACHNATMAK'!K465)),"C","")))</f>
        <v/>
      </c>
      <c r="K436" s="622" t="str">
        <f>IF(NOT(ISBLANK('A-RACHNATMAK'!L467)),"A",IF(NOT(ISBLANK('A-RACHNATMAK'!L466)),"B",IF(NOT(ISBLANK('A-RACHNATMAK'!L465)),"C","")))</f>
        <v/>
      </c>
      <c r="L436" s="622" t="str">
        <f>IF(NOT(ISBLANK('A-RACHNATMAK'!M467)),"A",IF(NOT(ISBLANK('A-RACHNATMAK'!M466)),"B",IF(NOT(ISBLANK('A-RACHNATMAK'!M465)),"C","")))</f>
        <v/>
      </c>
      <c r="M436" s="622" t="str">
        <f>IF(NOT(ISBLANK('A-RACHNATMAK'!N467)),"A",IF(NOT(ISBLANK('A-RACHNATMAK'!N466)),"B",IF(NOT(ISBLANK('A-RACHNATMAK'!N465)),"C","")))</f>
        <v/>
      </c>
      <c r="N436" s="622" t="str">
        <f>IF(NOT(ISBLANK('A-RACHNATMAK'!O467)),"A",IF(NOT(ISBLANK('A-RACHNATMAK'!O466)),"B",IF(NOT(ISBLANK('A-RACHNATMAK'!O465)),"C","")))</f>
        <v/>
      </c>
      <c r="O436" s="622" t="str">
        <f>IF(NOT(ISBLANK('A-RACHNATMAK'!P467)),"A",IF(NOT(ISBLANK('A-RACHNATMAK'!P466)),"B",IF(NOT(ISBLANK('A-RACHNATMAK'!P465)),"C","")))</f>
        <v/>
      </c>
      <c r="P436" s="622" t="str">
        <f>IF(NOT(ISBLANK('A-RACHNATMAK'!Q467)),"A",IF(NOT(ISBLANK('A-RACHNATMAK'!Q466)),"B",IF(NOT(ISBLANK('A-RACHNATMAK'!Q465)),"C","")))</f>
        <v/>
      </c>
      <c r="Q436" s="622" t="str">
        <f>IF(NOT(ISBLANK('A-RACHNATMAK'!R467)),"A",IF(NOT(ISBLANK('A-RACHNATMAK'!R466)),"B",IF(NOT(ISBLANK('A-RACHNATMAK'!R465)),"C","")))</f>
        <v/>
      </c>
      <c r="R436" s="622" t="str">
        <f>IF(NOT(ISBLANK('A-RACHNATMAK'!S467)),"A",IF(NOT(ISBLANK('A-RACHNATMAK'!S466)),"B",IF(NOT(ISBLANK('A-RACHNATMAK'!S465)),"C","")))</f>
        <v/>
      </c>
      <c r="S436" s="622" t="str">
        <f>IF(NOT(ISBLANK('A-RACHNATMAK'!T467)),"A",IF(NOT(ISBLANK('A-RACHNATMAK'!T466)),"B",IF(NOT(ISBLANK('A-RACHNATMAK'!T465)),"C","")))</f>
        <v/>
      </c>
      <c r="T436" s="622" t="str">
        <f>IF(NOT(ISBLANK('A-RACHNATMAK'!U467)),"A",IF(NOT(ISBLANK('A-RACHNATMAK'!U466)),"B",IF(NOT(ISBLANK('A-RACHNATMAK'!U465)),"C","")))</f>
        <v/>
      </c>
      <c r="U436" s="622" t="str">
        <f>IF(NOT(ISBLANK('A-RACHNATMAK'!V467)),"A",IF(NOT(ISBLANK('A-RACHNATMAK'!V466)),"B",IF(NOT(ISBLANK('A-RACHNATMAK'!V465)),"C","")))</f>
        <v/>
      </c>
      <c r="V436" s="622">
        <f t="shared" ref="V436" si="822">COUNTIF(B436:U436,"A")</f>
        <v>0</v>
      </c>
      <c r="W436" s="622">
        <f t="shared" ref="W436" si="823">COUNTIF(B436:U436,"B")</f>
        <v>0</v>
      </c>
      <c r="X436" s="622">
        <f t="shared" ref="X436" si="824">COUNTIF(B436:U436,"C")</f>
        <v>0</v>
      </c>
      <c r="Y436" s="330"/>
      <c r="Z436" s="623">
        <v>3</v>
      </c>
      <c r="AA436" s="622" t="str">
        <f>IF(NOT(ISBLANK('A-RACHNATMAK'!AD467)),"A",IF(NOT(ISBLANK('A-RACHNATMAK'!AD466)),"B",IF(NOT(ISBLANK('A-RACHNATMAK'!AD465)),"C","")))</f>
        <v/>
      </c>
      <c r="AB436" s="622" t="str">
        <f>IF(NOT(ISBLANK('A-RACHNATMAK'!AE467)),"A",IF(NOT(ISBLANK('A-RACHNATMAK'!AE466)),"B",IF(NOT(ISBLANK('A-RACHNATMAK'!AE465)),"C","")))</f>
        <v/>
      </c>
      <c r="AC436" s="622" t="str">
        <f>IF(NOT(ISBLANK('A-RACHNATMAK'!AF467)),"A",IF(NOT(ISBLANK('A-RACHNATMAK'!AF466)),"B",IF(NOT(ISBLANK('A-RACHNATMAK'!AF465)),"C","")))</f>
        <v/>
      </c>
      <c r="AD436" s="622" t="str">
        <f>IF(NOT(ISBLANK('A-RACHNATMAK'!AG467)),"A",IF(NOT(ISBLANK('A-RACHNATMAK'!AG466)),"B",IF(NOT(ISBLANK('A-RACHNATMAK'!AG465)),"C","")))</f>
        <v/>
      </c>
      <c r="AE436" s="622" t="str">
        <f>IF(NOT(ISBLANK('A-RACHNATMAK'!AH467)),"A",IF(NOT(ISBLANK('A-RACHNATMAK'!AH466)),"B",IF(NOT(ISBLANK('A-RACHNATMAK'!AH465)),"C","")))</f>
        <v/>
      </c>
      <c r="AF436" s="622" t="str">
        <f>IF(NOT(ISBLANK('A-RACHNATMAK'!AI467)),"A",IF(NOT(ISBLANK('A-RACHNATMAK'!AI466)),"B",IF(NOT(ISBLANK('A-RACHNATMAK'!AI465)),"C","")))</f>
        <v/>
      </c>
      <c r="AG436" s="622" t="str">
        <f>IF(NOT(ISBLANK('A-RACHNATMAK'!AJ467)),"A",IF(NOT(ISBLANK('A-RACHNATMAK'!AJ466)),"B",IF(NOT(ISBLANK('A-RACHNATMAK'!AJ465)),"C","")))</f>
        <v/>
      </c>
      <c r="AH436" s="622" t="str">
        <f>IF(NOT(ISBLANK('A-RACHNATMAK'!AK467)),"A",IF(NOT(ISBLANK('A-RACHNATMAK'!AK466)),"B",IF(NOT(ISBLANK('A-RACHNATMAK'!AK465)),"C","")))</f>
        <v/>
      </c>
      <c r="AI436" s="622" t="str">
        <f>IF(NOT(ISBLANK('A-RACHNATMAK'!AL467)),"A",IF(NOT(ISBLANK('A-RACHNATMAK'!AL466)),"B",IF(NOT(ISBLANK('A-RACHNATMAK'!AL465)),"C","")))</f>
        <v/>
      </c>
      <c r="AJ436" s="622" t="str">
        <f>IF(NOT(ISBLANK('A-RACHNATMAK'!AM467)),"A",IF(NOT(ISBLANK('A-RACHNATMAK'!AM466)),"B",IF(NOT(ISBLANK('A-RACHNATMAK'!AM465)),"C","")))</f>
        <v/>
      </c>
      <c r="AK436" s="622" t="str">
        <f>IF(NOT(ISBLANK('A-RACHNATMAK'!AN467)),"A",IF(NOT(ISBLANK('A-RACHNATMAK'!AN466)),"B",IF(NOT(ISBLANK('A-RACHNATMAK'!AN465)),"C","")))</f>
        <v/>
      </c>
      <c r="AL436" s="622" t="str">
        <f>IF(NOT(ISBLANK('A-RACHNATMAK'!AO467)),"A",IF(NOT(ISBLANK('A-RACHNATMAK'!AO466)),"B",IF(NOT(ISBLANK('A-RACHNATMAK'!AO465)),"C","")))</f>
        <v/>
      </c>
      <c r="AM436" s="622" t="str">
        <f>IF(NOT(ISBLANK('A-RACHNATMAK'!AP467)),"A",IF(NOT(ISBLANK('A-RACHNATMAK'!AP466)),"B",IF(NOT(ISBLANK('A-RACHNATMAK'!AP465)),"C","")))</f>
        <v/>
      </c>
      <c r="AN436" s="622" t="str">
        <f>IF(NOT(ISBLANK('A-RACHNATMAK'!AQ467)),"A",IF(NOT(ISBLANK('A-RACHNATMAK'!AQ466)),"B",IF(NOT(ISBLANK('A-RACHNATMAK'!AQ465)),"C","")))</f>
        <v/>
      </c>
      <c r="AO436" s="622" t="str">
        <f>IF(NOT(ISBLANK('A-RACHNATMAK'!AR467)),"A",IF(NOT(ISBLANK('A-RACHNATMAK'!AR466)),"B",IF(NOT(ISBLANK('A-RACHNATMAK'!AR465)),"C","")))</f>
        <v/>
      </c>
      <c r="AP436" s="622" t="str">
        <f>IF(NOT(ISBLANK('A-RACHNATMAK'!AS467)),"A",IF(NOT(ISBLANK('A-RACHNATMAK'!AS466)),"B",IF(NOT(ISBLANK('A-RACHNATMAK'!AS465)),"C","")))</f>
        <v/>
      </c>
      <c r="AQ436" s="622" t="str">
        <f>IF(NOT(ISBLANK('A-RACHNATMAK'!AT467)),"A",IF(NOT(ISBLANK('A-RACHNATMAK'!AT466)),"B",IF(NOT(ISBLANK('A-RACHNATMAK'!AT465)),"C","")))</f>
        <v/>
      </c>
      <c r="AR436" s="622" t="str">
        <f>IF(NOT(ISBLANK('A-RACHNATMAK'!AU467)),"A",IF(NOT(ISBLANK('A-RACHNATMAK'!AU466)),"B",IF(NOT(ISBLANK('A-RACHNATMAK'!AU465)),"C","")))</f>
        <v/>
      </c>
      <c r="AS436" s="622" t="str">
        <f>IF(NOT(ISBLANK('A-RACHNATMAK'!AV467)),"A",IF(NOT(ISBLANK('A-RACHNATMAK'!AV466)),"B",IF(NOT(ISBLANK('A-RACHNATMAK'!AV465)),"C","")))</f>
        <v/>
      </c>
      <c r="AT436" s="622" t="str">
        <f>IF(NOT(ISBLANK('A-RACHNATMAK'!AW467)),"A",IF(NOT(ISBLANK('A-RACHNATMAK'!AW466)),"B",IF(NOT(ISBLANK('A-RACHNATMAK'!AW465)),"C","")))</f>
        <v/>
      </c>
      <c r="AU436" s="622">
        <f t="shared" ref="AU436" si="825">COUNTIF(AA436:AT436,"A")</f>
        <v>0</v>
      </c>
      <c r="AV436" s="622">
        <f t="shared" ref="AV436" si="826">COUNTIF(AA436:AT436,"B")</f>
        <v>0</v>
      </c>
      <c r="AW436" s="622">
        <f t="shared" ref="AW436" si="827">COUNTIF(AA436:AT436,"C")</f>
        <v>0</v>
      </c>
    </row>
    <row r="437" spans="1:49" ht="7.5" customHeight="1">
      <c r="A437" s="623"/>
      <c r="B437" s="622"/>
      <c r="C437" s="622"/>
      <c r="D437" s="622"/>
      <c r="E437" s="622"/>
      <c r="F437" s="622"/>
      <c r="G437" s="622"/>
      <c r="H437" s="622"/>
      <c r="I437" s="622"/>
      <c r="J437" s="622"/>
      <c r="K437" s="622"/>
      <c r="L437" s="622"/>
      <c r="M437" s="622"/>
      <c r="N437" s="622"/>
      <c r="O437" s="622"/>
      <c r="P437" s="622"/>
      <c r="Q437" s="622"/>
      <c r="R437" s="622"/>
      <c r="S437" s="622"/>
      <c r="T437" s="622"/>
      <c r="U437" s="622"/>
      <c r="V437" s="622"/>
      <c r="W437" s="622"/>
      <c r="X437" s="622"/>
      <c r="Y437" s="330"/>
      <c r="Z437" s="623"/>
      <c r="AA437" s="622"/>
      <c r="AB437" s="622"/>
      <c r="AC437" s="622"/>
      <c r="AD437" s="622"/>
      <c r="AE437" s="622"/>
      <c r="AF437" s="622"/>
      <c r="AG437" s="622"/>
      <c r="AH437" s="622"/>
      <c r="AI437" s="622"/>
      <c r="AJ437" s="622"/>
      <c r="AK437" s="622"/>
      <c r="AL437" s="622"/>
      <c r="AM437" s="622"/>
      <c r="AN437" s="622"/>
      <c r="AO437" s="622"/>
      <c r="AP437" s="622"/>
      <c r="AQ437" s="622"/>
      <c r="AR437" s="622"/>
      <c r="AS437" s="622"/>
      <c r="AT437" s="622"/>
      <c r="AU437" s="622"/>
      <c r="AV437" s="622"/>
      <c r="AW437" s="622"/>
    </row>
    <row r="438" spans="1:49" ht="7.5" customHeight="1">
      <c r="A438" s="623"/>
      <c r="B438" s="622"/>
      <c r="C438" s="622"/>
      <c r="D438" s="622"/>
      <c r="E438" s="622"/>
      <c r="F438" s="622"/>
      <c r="G438" s="622"/>
      <c r="H438" s="622"/>
      <c r="I438" s="622"/>
      <c r="J438" s="622"/>
      <c r="K438" s="622"/>
      <c r="L438" s="622"/>
      <c r="M438" s="622"/>
      <c r="N438" s="622"/>
      <c r="O438" s="622"/>
      <c r="P438" s="622"/>
      <c r="Q438" s="622"/>
      <c r="R438" s="622"/>
      <c r="S438" s="622"/>
      <c r="T438" s="622"/>
      <c r="U438" s="622"/>
      <c r="V438" s="622"/>
      <c r="W438" s="622"/>
      <c r="X438" s="622"/>
      <c r="Y438" s="330"/>
      <c r="Z438" s="623"/>
      <c r="AA438" s="622"/>
      <c r="AB438" s="622"/>
      <c r="AC438" s="622"/>
      <c r="AD438" s="622"/>
      <c r="AE438" s="622"/>
      <c r="AF438" s="622"/>
      <c r="AG438" s="622"/>
      <c r="AH438" s="622"/>
      <c r="AI438" s="622"/>
      <c r="AJ438" s="622"/>
      <c r="AK438" s="622"/>
      <c r="AL438" s="622"/>
      <c r="AM438" s="622"/>
      <c r="AN438" s="622"/>
      <c r="AO438" s="622"/>
      <c r="AP438" s="622"/>
      <c r="AQ438" s="622"/>
      <c r="AR438" s="622"/>
      <c r="AS438" s="622"/>
      <c r="AT438" s="622"/>
      <c r="AU438" s="622"/>
      <c r="AV438" s="622"/>
      <c r="AW438" s="622"/>
    </row>
    <row r="439" spans="1:49" ht="7.5" customHeight="1">
      <c r="A439" s="623">
        <v>4</v>
      </c>
      <c r="B439" s="622" t="str">
        <f>IF(NOT(ISBLANK('A-RACHNATMAK'!C470)),"A",IF(NOT(ISBLANK('A-RACHNATMAK'!C469)),"B",IF(NOT(ISBLANK('A-RACHNATMAK'!C468)),"C","")))</f>
        <v/>
      </c>
      <c r="C439" s="622" t="str">
        <f>IF(NOT(ISBLANK('A-RACHNATMAK'!D470)),"A",IF(NOT(ISBLANK('A-RACHNATMAK'!D469)),"B",IF(NOT(ISBLANK('A-RACHNATMAK'!D468)),"C","")))</f>
        <v/>
      </c>
      <c r="D439" s="622" t="str">
        <f>IF(NOT(ISBLANK('A-RACHNATMAK'!E470)),"A",IF(NOT(ISBLANK('A-RACHNATMAK'!E469)),"B",IF(NOT(ISBLANK('A-RACHNATMAK'!E468)),"C","")))</f>
        <v/>
      </c>
      <c r="E439" s="622" t="str">
        <f>IF(NOT(ISBLANK('A-RACHNATMAK'!F470)),"A",IF(NOT(ISBLANK('A-RACHNATMAK'!F469)),"B",IF(NOT(ISBLANK('A-RACHNATMAK'!F468)),"C","")))</f>
        <v/>
      </c>
      <c r="F439" s="622" t="str">
        <f>IF(NOT(ISBLANK('A-RACHNATMAK'!G470)),"A",IF(NOT(ISBLANK('A-RACHNATMAK'!G469)),"B",IF(NOT(ISBLANK('A-RACHNATMAK'!G468)),"C","")))</f>
        <v/>
      </c>
      <c r="G439" s="622" t="str">
        <f>IF(NOT(ISBLANK('A-RACHNATMAK'!H470)),"A",IF(NOT(ISBLANK('A-RACHNATMAK'!H469)),"B",IF(NOT(ISBLANK('A-RACHNATMAK'!H468)),"C","")))</f>
        <v/>
      </c>
      <c r="H439" s="622" t="str">
        <f>IF(NOT(ISBLANK('A-RACHNATMAK'!I470)),"A",IF(NOT(ISBLANK('A-RACHNATMAK'!I469)),"B",IF(NOT(ISBLANK('A-RACHNATMAK'!I468)),"C","")))</f>
        <v/>
      </c>
      <c r="I439" s="622" t="str">
        <f>IF(NOT(ISBLANK('A-RACHNATMAK'!J470)),"A",IF(NOT(ISBLANK('A-RACHNATMAK'!J469)),"B",IF(NOT(ISBLANK('A-RACHNATMAK'!J468)),"C","")))</f>
        <v/>
      </c>
      <c r="J439" s="622" t="str">
        <f>IF(NOT(ISBLANK('A-RACHNATMAK'!K470)),"A",IF(NOT(ISBLANK('A-RACHNATMAK'!K469)),"B",IF(NOT(ISBLANK('A-RACHNATMAK'!K468)),"C","")))</f>
        <v/>
      </c>
      <c r="K439" s="622" t="str">
        <f>IF(NOT(ISBLANK('A-RACHNATMAK'!L470)),"A",IF(NOT(ISBLANK('A-RACHNATMAK'!L469)),"B",IF(NOT(ISBLANK('A-RACHNATMAK'!L468)),"C","")))</f>
        <v/>
      </c>
      <c r="L439" s="622" t="str">
        <f>IF(NOT(ISBLANK('A-RACHNATMAK'!M470)),"A",IF(NOT(ISBLANK('A-RACHNATMAK'!M469)),"B",IF(NOT(ISBLANK('A-RACHNATMAK'!M468)),"C","")))</f>
        <v/>
      </c>
      <c r="M439" s="622" t="str">
        <f>IF(NOT(ISBLANK('A-RACHNATMAK'!N470)),"A",IF(NOT(ISBLANK('A-RACHNATMAK'!N469)),"B",IF(NOT(ISBLANK('A-RACHNATMAK'!N468)),"C","")))</f>
        <v/>
      </c>
      <c r="N439" s="622" t="str">
        <f>IF(NOT(ISBLANK('A-RACHNATMAK'!O470)),"A",IF(NOT(ISBLANK('A-RACHNATMAK'!O469)),"B",IF(NOT(ISBLANK('A-RACHNATMAK'!O468)),"C","")))</f>
        <v/>
      </c>
      <c r="O439" s="622" t="str">
        <f>IF(NOT(ISBLANK('A-RACHNATMAK'!P470)),"A",IF(NOT(ISBLANK('A-RACHNATMAK'!P469)),"B",IF(NOT(ISBLANK('A-RACHNATMAK'!P468)),"C","")))</f>
        <v/>
      </c>
      <c r="P439" s="622" t="str">
        <f>IF(NOT(ISBLANK('A-RACHNATMAK'!Q470)),"A",IF(NOT(ISBLANK('A-RACHNATMAK'!Q469)),"B",IF(NOT(ISBLANK('A-RACHNATMAK'!Q468)),"C","")))</f>
        <v/>
      </c>
      <c r="Q439" s="622" t="str">
        <f>IF(NOT(ISBLANK('A-RACHNATMAK'!R470)),"A",IF(NOT(ISBLANK('A-RACHNATMAK'!R469)),"B",IF(NOT(ISBLANK('A-RACHNATMAK'!R468)),"C","")))</f>
        <v/>
      </c>
      <c r="R439" s="622" t="str">
        <f>IF(NOT(ISBLANK('A-RACHNATMAK'!S470)),"A",IF(NOT(ISBLANK('A-RACHNATMAK'!S469)),"B",IF(NOT(ISBLANK('A-RACHNATMAK'!S468)),"C","")))</f>
        <v/>
      </c>
      <c r="S439" s="622" t="str">
        <f>IF(NOT(ISBLANK('A-RACHNATMAK'!T470)),"A",IF(NOT(ISBLANK('A-RACHNATMAK'!T469)),"B",IF(NOT(ISBLANK('A-RACHNATMAK'!T468)),"C","")))</f>
        <v/>
      </c>
      <c r="T439" s="622" t="str">
        <f>IF(NOT(ISBLANK('A-RACHNATMAK'!U470)),"A",IF(NOT(ISBLANK('A-RACHNATMAK'!U469)),"B",IF(NOT(ISBLANK('A-RACHNATMAK'!U468)),"C","")))</f>
        <v/>
      </c>
      <c r="U439" s="622" t="str">
        <f>IF(NOT(ISBLANK('A-RACHNATMAK'!V470)),"A",IF(NOT(ISBLANK('A-RACHNATMAK'!V469)),"B",IF(NOT(ISBLANK('A-RACHNATMAK'!V468)),"C","")))</f>
        <v/>
      </c>
      <c r="V439" s="622">
        <f t="shared" ref="V439" si="828">COUNTIF(B439:U439,"A")</f>
        <v>0</v>
      </c>
      <c r="W439" s="622">
        <f t="shared" ref="W439" si="829">COUNTIF(B439:U439,"B")</f>
        <v>0</v>
      </c>
      <c r="X439" s="622">
        <f t="shared" ref="X439" si="830">COUNTIF(B439:U439,"C")</f>
        <v>0</v>
      </c>
      <c r="Y439" s="330"/>
      <c r="Z439" s="623">
        <v>4</v>
      </c>
      <c r="AA439" s="622" t="str">
        <f>IF(NOT(ISBLANK('A-RACHNATMAK'!AD470)),"A",IF(NOT(ISBLANK('A-RACHNATMAK'!AD469)),"B",IF(NOT(ISBLANK('A-RACHNATMAK'!AD468)),"C","")))</f>
        <v/>
      </c>
      <c r="AB439" s="622" t="str">
        <f>IF(NOT(ISBLANK('A-RACHNATMAK'!AE470)),"A",IF(NOT(ISBLANK('A-RACHNATMAK'!AE469)),"B",IF(NOT(ISBLANK('A-RACHNATMAK'!AE468)),"C","")))</f>
        <v/>
      </c>
      <c r="AC439" s="622" t="str">
        <f>IF(NOT(ISBLANK('A-RACHNATMAK'!AF470)),"A",IF(NOT(ISBLANK('A-RACHNATMAK'!AF469)),"B",IF(NOT(ISBLANK('A-RACHNATMAK'!AF468)),"C","")))</f>
        <v/>
      </c>
      <c r="AD439" s="622" t="str">
        <f>IF(NOT(ISBLANK('A-RACHNATMAK'!AG470)),"A",IF(NOT(ISBLANK('A-RACHNATMAK'!AG469)),"B",IF(NOT(ISBLANK('A-RACHNATMAK'!AG468)),"C","")))</f>
        <v/>
      </c>
      <c r="AE439" s="622" t="str">
        <f>IF(NOT(ISBLANK('A-RACHNATMAK'!AH470)),"A",IF(NOT(ISBLANK('A-RACHNATMAK'!AH469)),"B",IF(NOT(ISBLANK('A-RACHNATMAK'!AH468)),"C","")))</f>
        <v/>
      </c>
      <c r="AF439" s="622" t="str">
        <f>IF(NOT(ISBLANK('A-RACHNATMAK'!AI470)),"A",IF(NOT(ISBLANK('A-RACHNATMAK'!AI469)),"B",IF(NOT(ISBLANK('A-RACHNATMAK'!AI468)),"C","")))</f>
        <v/>
      </c>
      <c r="AG439" s="622" t="str">
        <f>IF(NOT(ISBLANK('A-RACHNATMAK'!AJ470)),"A",IF(NOT(ISBLANK('A-RACHNATMAK'!AJ469)),"B",IF(NOT(ISBLANK('A-RACHNATMAK'!AJ468)),"C","")))</f>
        <v/>
      </c>
      <c r="AH439" s="622" t="str">
        <f>IF(NOT(ISBLANK('A-RACHNATMAK'!AK470)),"A",IF(NOT(ISBLANK('A-RACHNATMAK'!AK469)),"B",IF(NOT(ISBLANK('A-RACHNATMAK'!AK468)),"C","")))</f>
        <v/>
      </c>
      <c r="AI439" s="622" t="str">
        <f>IF(NOT(ISBLANK('A-RACHNATMAK'!AL470)),"A",IF(NOT(ISBLANK('A-RACHNATMAK'!AL469)),"B",IF(NOT(ISBLANK('A-RACHNATMAK'!AL468)),"C","")))</f>
        <v/>
      </c>
      <c r="AJ439" s="622" t="str">
        <f>IF(NOT(ISBLANK('A-RACHNATMAK'!AM470)),"A",IF(NOT(ISBLANK('A-RACHNATMAK'!AM469)),"B",IF(NOT(ISBLANK('A-RACHNATMAK'!AM468)),"C","")))</f>
        <v/>
      </c>
      <c r="AK439" s="622" t="str">
        <f>IF(NOT(ISBLANK('A-RACHNATMAK'!AN470)),"A",IF(NOT(ISBLANK('A-RACHNATMAK'!AN469)),"B",IF(NOT(ISBLANK('A-RACHNATMAK'!AN468)),"C","")))</f>
        <v/>
      </c>
      <c r="AL439" s="622" t="str">
        <f>IF(NOT(ISBLANK('A-RACHNATMAK'!AO470)),"A",IF(NOT(ISBLANK('A-RACHNATMAK'!AO469)),"B",IF(NOT(ISBLANK('A-RACHNATMAK'!AO468)),"C","")))</f>
        <v/>
      </c>
      <c r="AM439" s="622" t="str">
        <f>IF(NOT(ISBLANK('A-RACHNATMAK'!AP470)),"A",IF(NOT(ISBLANK('A-RACHNATMAK'!AP469)),"B",IF(NOT(ISBLANK('A-RACHNATMAK'!AP468)),"C","")))</f>
        <v/>
      </c>
      <c r="AN439" s="622" t="str">
        <f>IF(NOT(ISBLANK('A-RACHNATMAK'!AQ470)),"A",IF(NOT(ISBLANK('A-RACHNATMAK'!AQ469)),"B",IF(NOT(ISBLANK('A-RACHNATMAK'!AQ468)),"C","")))</f>
        <v/>
      </c>
      <c r="AO439" s="622" t="str">
        <f>IF(NOT(ISBLANK('A-RACHNATMAK'!AR470)),"A",IF(NOT(ISBLANK('A-RACHNATMAK'!AR469)),"B",IF(NOT(ISBLANK('A-RACHNATMAK'!AR468)),"C","")))</f>
        <v/>
      </c>
      <c r="AP439" s="622" t="str">
        <f>IF(NOT(ISBLANK('A-RACHNATMAK'!AS470)),"A",IF(NOT(ISBLANK('A-RACHNATMAK'!AS469)),"B",IF(NOT(ISBLANK('A-RACHNATMAK'!AS468)),"C","")))</f>
        <v/>
      </c>
      <c r="AQ439" s="622" t="str">
        <f>IF(NOT(ISBLANK('A-RACHNATMAK'!AT470)),"A",IF(NOT(ISBLANK('A-RACHNATMAK'!AT469)),"B",IF(NOT(ISBLANK('A-RACHNATMAK'!AT468)),"C","")))</f>
        <v/>
      </c>
      <c r="AR439" s="622" t="str">
        <f>IF(NOT(ISBLANK('A-RACHNATMAK'!AU470)),"A",IF(NOT(ISBLANK('A-RACHNATMAK'!AU469)),"B",IF(NOT(ISBLANK('A-RACHNATMAK'!AU468)),"C","")))</f>
        <v/>
      </c>
      <c r="AS439" s="622" t="str">
        <f>IF(NOT(ISBLANK('A-RACHNATMAK'!AV470)),"A",IF(NOT(ISBLANK('A-RACHNATMAK'!AV469)),"B",IF(NOT(ISBLANK('A-RACHNATMAK'!AV468)),"C","")))</f>
        <v/>
      </c>
      <c r="AT439" s="622" t="str">
        <f>IF(NOT(ISBLANK('A-RACHNATMAK'!AW470)),"A",IF(NOT(ISBLANK('A-RACHNATMAK'!AW469)),"B",IF(NOT(ISBLANK('A-RACHNATMAK'!AW468)),"C","")))</f>
        <v/>
      </c>
      <c r="AU439" s="622">
        <f t="shared" ref="AU439" si="831">COUNTIF(AA439:AT439,"A")</f>
        <v>0</v>
      </c>
      <c r="AV439" s="622">
        <f t="shared" ref="AV439" si="832">COUNTIF(AA439:AT439,"B")</f>
        <v>0</v>
      </c>
      <c r="AW439" s="622">
        <f t="shared" ref="AW439" si="833">COUNTIF(AA439:AT439,"C")</f>
        <v>0</v>
      </c>
    </row>
    <row r="440" spans="1:49" ht="7.5" customHeight="1">
      <c r="A440" s="623"/>
      <c r="B440" s="622"/>
      <c r="C440" s="622"/>
      <c r="D440" s="622"/>
      <c r="E440" s="622"/>
      <c r="F440" s="622"/>
      <c r="G440" s="622"/>
      <c r="H440" s="622"/>
      <c r="I440" s="622"/>
      <c r="J440" s="622"/>
      <c r="K440" s="622"/>
      <c r="L440" s="622"/>
      <c r="M440" s="622"/>
      <c r="N440" s="622"/>
      <c r="O440" s="622"/>
      <c r="P440" s="622"/>
      <c r="Q440" s="622"/>
      <c r="R440" s="622"/>
      <c r="S440" s="622"/>
      <c r="T440" s="622"/>
      <c r="U440" s="622"/>
      <c r="V440" s="622"/>
      <c r="W440" s="622"/>
      <c r="X440" s="622"/>
      <c r="Y440" s="330"/>
      <c r="Z440" s="623"/>
      <c r="AA440" s="622"/>
      <c r="AB440" s="622"/>
      <c r="AC440" s="622"/>
      <c r="AD440" s="622"/>
      <c r="AE440" s="622"/>
      <c r="AF440" s="622"/>
      <c r="AG440" s="622"/>
      <c r="AH440" s="622"/>
      <c r="AI440" s="622"/>
      <c r="AJ440" s="622"/>
      <c r="AK440" s="622"/>
      <c r="AL440" s="622"/>
      <c r="AM440" s="622"/>
      <c r="AN440" s="622"/>
      <c r="AO440" s="622"/>
      <c r="AP440" s="622"/>
      <c r="AQ440" s="622"/>
      <c r="AR440" s="622"/>
      <c r="AS440" s="622"/>
      <c r="AT440" s="622"/>
      <c r="AU440" s="622"/>
      <c r="AV440" s="622"/>
      <c r="AW440" s="622"/>
    </row>
    <row r="441" spans="1:49" ht="7.5" customHeight="1">
      <c r="A441" s="623"/>
      <c r="B441" s="622"/>
      <c r="C441" s="622"/>
      <c r="D441" s="622"/>
      <c r="E441" s="622"/>
      <c r="F441" s="622"/>
      <c r="G441" s="622"/>
      <c r="H441" s="622"/>
      <c r="I441" s="622"/>
      <c r="J441" s="622"/>
      <c r="K441" s="622"/>
      <c r="L441" s="622"/>
      <c r="M441" s="622"/>
      <c r="N441" s="622"/>
      <c r="O441" s="622"/>
      <c r="P441" s="622"/>
      <c r="Q441" s="622"/>
      <c r="R441" s="622"/>
      <c r="S441" s="622"/>
      <c r="T441" s="622"/>
      <c r="U441" s="622"/>
      <c r="V441" s="622"/>
      <c r="W441" s="622"/>
      <c r="X441" s="622"/>
      <c r="Y441" s="330"/>
      <c r="Z441" s="623"/>
      <c r="AA441" s="622"/>
      <c r="AB441" s="622"/>
      <c r="AC441" s="622"/>
      <c r="AD441" s="622"/>
      <c r="AE441" s="622"/>
      <c r="AF441" s="622"/>
      <c r="AG441" s="622"/>
      <c r="AH441" s="622"/>
      <c r="AI441" s="622"/>
      <c r="AJ441" s="622"/>
      <c r="AK441" s="622"/>
      <c r="AL441" s="622"/>
      <c r="AM441" s="622"/>
      <c r="AN441" s="622"/>
      <c r="AO441" s="622"/>
      <c r="AP441" s="622"/>
      <c r="AQ441" s="622"/>
      <c r="AR441" s="622"/>
      <c r="AS441" s="622"/>
      <c r="AT441" s="622"/>
      <c r="AU441" s="622"/>
      <c r="AV441" s="622"/>
      <c r="AW441" s="622"/>
    </row>
    <row r="442" spans="1:49" ht="7.5" customHeight="1">
      <c r="A442" s="623">
        <v>5</v>
      </c>
      <c r="B442" s="622" t="str">
        <f>IF(NOT(ISBLANK('A-RACHNATMAK'!C473)),"A",IF(NOT(ISBLANK('A-RACHNATMAK'!C472)),"B",IF(NOT(ISBLANK('A-RACHNATMAK'!C471)),"C","")))</f>
        <v/>
      </c>
      <c r="C442" s="622" t="str">
        <f>IF(NOT(ISBLANK('A-RACHNATMAK'!D473)),"A",IF(NOT(ISBLANK('A-RACHNATMAK'!D472)),"B",IF(NOT(ISBLANK('A-RACHNATMAK'!D471)),"C","")))</f>
        <v/>
      </c>
      <c r="D442" s="622" t="str">
        <f>IF(NOT(ISBLANK('A-RACHNATMAK'!E473)),"A",IF(NOT(ISBLANK('A-RACHNATMAK'!E472)),"B",IF(NOT(ISBLANK('A-RACHNATMAK'!E471)),"C","")))</f>
        <v/>
      </c>
      <c r="E442" s="622" t="str">
        <f>IF(NOT(ISBLANK('A-RACHNATMAK'!F473)),"A",IF(NOT(ISBLANK('A-RACHNATMAK'!F472)),"B",IF(NOT(ISBLANK('A-RACHNATMAK'!F471)),"C","")))</f>
        <v/>
      </c>
      <c r="F442" s="622" t="str">
        <f>IF(NOT(ISBLANK('A-RACHNATMAK'!G473)),"A",IF(NOT(ISBLANK('A-RACHNATMAK'!G472)),"B",IF(NOT(ISBLANK('A-RACHNATMAK'!G471)),"C","")))</f>
        <v/>
      </c>
      <c r="G442" s="622" t="str">
        <f>IF(NOT(ISBLANK('A-RACHNATMAK'!H473)),"A",IF(NOT(ISBLANK('A-RACHNATMAK'!H472)),"B",IF(NOT(ISBLANK('A-RACHNATMAK'!H471)),"C","")))</f>
        <v/>
      </c>
      <c r="H442" s="622" t="str">
        <f>IF(NOT(ISBLANK('A-RACHNATMAK'!I473)),"A",IF(NOT(ISBLANK('A-RACHNATMAK'!I472)),"B",IF(NOT(ISBLANK('A-RACHNATMAK'!I471)),"C","")))</f>
        <v/>
      </c>
      <c r="I442" s="622" t="str">
        <f>IF(NOT(ISBLANK('A-RACHNATMAK'!J473)),"A",IF(NOT(ISBLANK('A-RACHNATMAK'!J472)),"B",IF(NOT(ISBLANK('A-RACHNATMAK'!J471)),"C","")))</f>
        <v/>
      </c>
      <c r="J442" s="622" t="str">
        <f>IF(NOT(ISBLANK('A-RACHNATMAK'!K473)),"A",IF(NOT(ISBLANK('A-RACHNATMAK'!K472)),"B",IF(NOT(ISBLANK('A-RACHNATMAK'!K471)),"C","")))</f>
        <v/>
      </c>
      <c r="K442" s="622" t="str">
        <f>IF(NOT(ISBLANK('A-RACHNATMAK'!L473)),"A",IF(NOT(ISBLANK('A-RACHNATMAK'!L472)),"B",IF(NOT(ISBLANK('A-RACHNATMAK'!L471)),"C","")))</f>
        <v/>
      </c>
      <c r="L442" s="622" t="str">
        <f>IF(NOT(ISBLANK('A-RACHNATMAK'!M473)),"A",IF(NOT(ISBLANK('A-RACHNATMAK'!M472)),"B",IF(NOT(ISBLANK('A-RACHNATMAK'!M471)),"C","")))</f>
        <v/>
      </c>
      <c r="M442" s="622" t="str">
        <f>IF(NOT(ISBLANK('A-RACHNATMAK'!N473)),"A",IF(NOT(ISBLANK('A-RACHNATMAK'!N472)),"B",IF(NOT(ISBLANK('A-RACHNATMAK'!N471)),"C","")))</f>
        <v/>
      </c>
      <c r="N442" s="622" t="str">
        <f>IF(NOT(ISBLANK('A-RACHNATMAK'!O473)),"A",IF(NOT(ISBLANK('A-RACHNATMAK'!O472)),"B",IF(NOT(ISBLANK('A-RACHNATMAK'!O471)),"C","")))</f>
        <v/>
      </c>
      <c r="O442" s="622" t="str">
        <f>IF(NOT(ISBLANK('A-RACHNATMAK'!P473)),"A",IF(NOT(ISBLANK('A-RACHNATMAK'!P472)),"B",IF(NOT(ISBLANK('A-RACHNATMAK'!P471)),"C","")))</f>
        <v/>
      </c>
      <c r="P442" s="622" t="str">
        <f>IF(NOT(ISBLANK('A-RACHNATMAK'!Q473)),"A",IF(NOT(ISBLANK('A-RACHNATMAK'!Q472)),"B",IF(NOT(ISBLANK('A-RACHNATMAK'!Q471)),"C","")))</f>
        <v/>
      </c>
      <c r="Q442" s="622" t="str">
        <f>IF(NOT(ISBLANK('A-RACHNATMAK'!R473)),"A",IF(NOT(ISBLANK('A-RACHNATMAK'!R472)),"B",IF(NOT(ISBLANK('A-RACHNATMAK'!R471)),"C","")))</f>
        <v/>
      </c>
      <c r="R442" s="622" t="str">
        <f>IF(NOT(ISBLANK('A-RACHNATMAK'!S473)),"A",IF(NOT(ISBLANK('A-RACHNATMAK'!S472)),"B",IF(NOT(ISBLANK('A-RACHNATMAK'!S471)),"C","")))</f>
        <v/>
      </c>
      <c r="S442" s="622" t="str">
        <f>IF(NOT(ISBLANK('A-RACHNATMAK'!T473)),"A",IF(NOT(ISBLANK('A-RACHNATMAK'!T472)),"B",IF(NOT(ISBLANK('A-RACHNATMAK'!T471)),"C","")))</f>
        <v/>
      </c>
      <c r="T442" s="622" t="str">
        <f>IF(NOT(ISBLANK('A-RACHNATMAK'!U473)),"A",IF(NOT(ISBLANK('A-RACHNATMAK'!U472)),"B",IF(NOT(ISBLANK('A-RACHNATMAK'!U471)),"C","")))</f>
        <v/>
      </c>
      <c r="U442" s="622" t="str">
        <f>IF(NOT(ISBLANK('A-RACHNATMAK'!V473)),"A",IF(NOT(ISBLANK('A-RACHNATMAK'!V472)),"B",IF(NOT(ISBLANK('A-RACHNATMAK'!V471)),"C","")))</f>
        <v/>
      </c>
      <c r="V442" s="622">
        <f t="shared" ref="V442" si="834">COUNTIF(B442:U442,"A")</f>
        <v>0</v>
      </c>
      <c r="W442" s="622">
        <f t="shared" ref="W442" si="835">COUNTIF(B442:U442,"B")</f>
        <v>0</v>
      </c>
      <c r="X442" s="622">
        <f t="shared" ref="X442" si="836">COUNTIF(B442:U442,"C")</f>
        <v>0</v>
      </c>
      <c r="Y442" s="330"/>
      <c r="Z442" s="623">
        <v>5</v>
      </c>
      <c r="AA442" s="622" t="str">
        <f>IF(NOT(ISBLANK('A-RACHNATMAK'!AD473)),"A",IF(NOT(ISBLANK('A-RACHNATMAK'!AD472)),"B",IF(NOT(ISBLANK('A-RACHNATMAK'!AD471)),"C","")))</f>
        <v/>
      </c>
      <c r="AB442" s="622" t="str">
        <f>IF(NOT(ISBLANK('A-RACHNATMAK'!AE473)),"A",IF(NOT(ISBLANK('A-RACHNATMAK'!AE472)),"B",IF(NOT(ISBLANK('A-RACHNATMAK'!AE471)),"C","")))</f>
        <v/>
      </c>
      <c r="AC442" s="622" t="str">
        <f>IF(NOT(ISBLANK('A-RACHNATMAK'!AF473)),"A",IF(NOT(ISBLANK('A-RACHNATMAK'!AF472)),"B",IF(NOT(ISBLANK('A-RACHNATMAK'!AF471)),"C","")))</f>
        <v/>
      </c>
      <c r="AD442" s="622" t="str">
        <f>IF(NOT(ISBLANK('A-RACHNATMAK'!AG473)),"A",IF(NOT(ISBLANK('A-RACHNATMAK'!AG472)),"B",IF(NOT(ISBLANK('A-RACHNATMAK'!AG471)),"C","")))</f>
        <v/>
      </c>
      <c r="AE442" s="622" t="str">
        <f>IF(NOT(ISBLANK('A-RACHNATMAK'!AH473)),"A",IF(NOT(ISBLANK('A-RACHNATMAK'!AH472)),"B",IF(NOT(ISBLANK('A-RACHNATMAK'!AH471)),"C","")))</f>
        <v/>
      </c>
      <c r="AF442" s="622" t="str">
        <f>IF(NOT(ISBLANK('A-RACHNATMAK'!AI473)),"A",IF(NOT(ISBLANK('A-RACHNATMAK'!AI472)),"B",IF(NOT(ISBLANK('A-RACHNATMAK'!AI471)),"C","")))</f>
        <v/>
      </c>
      <c r="AG442" s="622" t="str">
        <f>IF(NOT(ISBLANK('A-RACHNATMAK'!AJ473)),"A",IF(NOT(ISBLANK('A-RACHNATMAK'!AJ472)),"B",IF(NOT(ISBLANK('A-RACHNATMAK'!AJ471)),"C","")))</f>
        <v/>
      </c>
      <c r="AH442" s="622" t="str">
        <f>IF(NOT(ISBLANK('A-RACHNATMAK'!AK473)),"A",IF(NOT(ISBLANK('A-RACHNATMAK'!AK472)),"B",IF(NOT(ISBLANK('A-RACHNATMAK'!AK471)),"C","")))</f>
        <v/>
      </c>
      <c r="AI442" s="622" t="str">
        <f>IF(NOT(ISBLANK('A-RACHNATMAK'!AL473)),"A",IF(NOT(ISBLANK('A-RACHNATMAK'!AL472)),"B",IF(NOT(ISBLANK('A-RACHNATMAK'!AL471)),"C","")))</f>
        <v/>
      </c>
      <c r="AJ442" s="622" t="str">
        <f>IF(NOT(ISBLANK('A-RACHNATMAK'!AM473)),"A",IF(NOT(ISBLANK('A-RACHNATMAK'!AM472)),"B",IF(NOT(ISBLANK('A-RACHNATMAK'!AM471)),"C","")))</f>
        <v/>
      </c>
      <c r="AK442" s="622" t="str">
        <f>IF(NOT(ISBLANK('A-RACHNATMAK'!AN473)),"A",IF(NOT(ISBLANK('A-RACHNATMAK'!AN472)),"B",IF(NOT(ISBLANK('A-RACHNATMAK'!AN471)),"C","")))</f>
        <v/>
      </c>
      <c r="AL442" s="622" t="str">
        <f>IF(NOT(ISBLANK('A-RACHNATMAK'!AO473)),"A",IF(NOT(ISBLANK('A-RACHNATMAK'!AO472)),"B",IF(NOT(ISBLANK('A-RACHNATMAK'!AO471)),"C","")))</f>
        <v/>
      </c>
      <c r="AM442" s="622" t="str">
        <f>IF(NOT(ISBLANK('A-RACHNATMAK'!AP473)),"A",IF(NOT(ISBLANK('A-RACHNATMAK'!AP472)),"B",IF(NOT(ISBLANK('A-RACHNATMAK'!AP471)),"C","")))</f>
        <v/>
      </c>
      <c r="AN442" s="622" t="str">
        <f>IF(NOT(ISBLANK('A-RACHNATMAK'!AQ473)),"A",IF(NOT(ISBLANK('A-RACHNATMAK'!AQ472)),"B",IF(NOT(ISBLANK('A-RACHNATMAK'!AQ471)),"C","")))</f>
        <v/>
      </c>
      <c r="AO442" s="622" t="str">
        <f>IF(NOT(ISBLANK('A-RACHNATMAK'!AR473)),"A",IF(NOT(ISBLANK('A-RACHNATMAK'!AR472)),"B",IF(NOT(ISBLANK('A-RACHNATMAK'!AR471)),"C","")))</f>
        <v/>
      </c>
      <c r="AP442" s="622" t="str">
        <f>IF(NOT(ISBLANK('A-RACHNATMAK'!AS473)),"A",IF(NOT(ISBLANK('A-RACHNATMAK'!AS472)),"B",IF(NOT(ISBLANK('A-RACHNATMAK'!AS471)),"C","")))</f>
        <v/>
      </c>
      <c r="AQ442" s="622" t="str">
        <f>IF(NOT(ISBLANK('A-RACHNATMAK'!AT473)),"A",IF(NOT(ISBLANK('A-RACHNATMAK'!AT472)),"B",IF(NOT(ISBLANK('A-RACHNATMAK'!AT471)),"C","")))</f>
        <v/>
      </c>
      <c r="AR442" s="622" t="str">
        <f>IF(NOT(ISBLANK('A-RACHNATMAK'!AU473)),"A",IF(NOT(ISBLANK('A-RACHNATMAK'!AU472)),"B",IF(NOT(ISBLANK('A-RACHNATMAK'!AU471)),"C","")))</f>
        <v/>
      </c>
      <c r="AS442" s="622" t="str">
        <f>IF(NOT(ISBLANK('A-RACHNATMAK'!AV473)),"A",IF(NOT(ISBLANK('A-RACHNATMAK'!AV472)),"B",IF(NOT(ISBLANK('A-RACHNATMAK'!AV471)),"C","")))</f>
        <v/>
      </c>
      <c r="AT442" s="622" t="str">
        <f>IF(NOT(ISBLANK('A-RACHNATMAK'!AW473)),"A",IF(NOT(ISBLANK('A-RACHNATMAK'!AW472)),"B",IF(NOT(ISBLANK('A-RACHNATMAK'!AW471)),"C","")))</f>
        <v/>
      </c>
      <c r="AU442" s="622">
        <f t="shared" ref="AU442" si="837">COUNTIF(AA442:AT442,"A")</f>
        <v>0</v>
      </c>
      <c r="AV442" s="622">
        <f t="shared" ref="AV442" si="838">COUNTIF(AA442:AT442,"B")</f>
        <v>0</v>
      </c>
      <c r="AW442" s="622">
        <f t="shared" ref="AW442" si="839">COUNTIF(AA442:AT442,"C")</f>
        <v>0</v>
      </c>
    </row>
    <row r="443" spans="1:49" ht="7.5" customHeight="1">
      <c r="A443" s="623"/>
      <c r="B443" s="622"/>
      <c r="C443" s="622"/>
      <c r="D443" s="622"/>
      <c r="E443" s="622"/>
      <c r="F443" s="622"/>
      <c r="G443" s="622"/>
      <c r="H443" s="622"/>
      <c r="I443" s="622"/>
      <c r="J443" s="622"/>
      <c r="K443" s="622"/>
      <c r="L443" s="622"/>
      <c r="M443" s="622"/>
      <c r="N443" s="622"/>
      <c r="O443" s="622"/>
      <c r="P443" s="622"/>
      <c r="Q443" s="622"/>
      <c r="R443" s="622"/>
      <c r="S443" s="622"/>
      <c r="T443" s="622"/>
      <c r="U443" s="622"/>
      <c r="V443" s="622"/>
      <c r="W443" s="622"/>
      <c r="X443" s="622"/>
      <c r="Y443" s="330"/>
      <c r="Z443" s="623"/>
      <c r="AA443" s="622"/>
      <c r="AB443" s="622"/>
      <c r="AC443" s="622"/>
      <c r="AD443" s="622"/>
      <c r="AE443" s="622"/>
      <c r="AF443" s="622"/>
      <c r="AG443" s="622"/>
      <c r="AH443" s="622"/>
      <c r="AI443" s="622"/>
      <c r="AJ443" s="622"/>
      <c r="AK443" s="622"/>
      <c r="AL443" s="622"/>
      <c r="AM443" s="622"/>
      <c r="AN443" s="622"/>
      <c r="AO443" s="622"/>
      <c r="AP443" s="622"/>
      <c r="AQ443" s="622"/>
      <c r="AR443" s="622"/>
      <c r="AS443" s="622"/>
      <c r="AT443" s="622"/>
      <c r="AU443" s="622"/>
      <c r="AV443" s="622"/>
      <c r="AW443" s="622"/>
    </row>
    <row r="444" spans="1:49" ht="7.5" customHeight="1">
      <c r="A444" s="623"/>
      <c r="B444" s="622"/>
      <c r="C444" s="622"/>
      <c r="D444" s="622"/>
      <c r="E444" s="622"/>
      <c r="F444" s="622"/>
      <c r="G444" s="622"/>
      <c r="H444" s="622"/>
      <c r="I444" s="622"/>
      <c r="J444" s="622"/>
      <c r="K444" s="622"/>
      <c r="L444" s="622"/>
      <c r="M444" s="622"/>
      <c r="N444" s="622"/>
      <c r="O444" s="622"/>
      <c r="P444" s="622"/>
      <c r="Q444" s="622"/>
      <c r="R444" s="622"/>
      <c r="S444" s="622"/>
      <c r="T444" s="622"/>
      <c r="U444" s="622"/>
      <c r="V444" s="622"/>
      <c r="W444" s="622"/>
      <c r="X444" s="622"/>
      <c r="Y444" s="330"/>
      <c r="Z444" s="623"/>
      <c r="AA444" s="622"/>
      <c r="AB444" s="622"/>
      <c r="AC444" s="622"/>
      <c r="AD444" s="622"/>
      <c r="AE444" s="622"/>
      <c r="AF444" s="622"/>
      <c r="AG444" s="622"/>
      <c r="AH444" s="622"/>
      <c r="AI444" s="622"/>
      <c r="AJ444" s="622"/>
      <c r="AK444" s="622"/>
      <c r="AL444" s="622"/>
      <c r="AM444" s="622"/>
      <c r="AN444" s="622"/>
      <c r="AO444" s="622"/>
      <c r="AP444" s="622"/>
      <c r="AQ444" s="622"/>
      <c r="AR444" s="622"/>
      <c r="AS444" s="622"/>
      <c r="AT444" s="622"/>
      <c r="AU444" s="622"/>
      <c r="AV444" s="622"/>
      <c r="AW444" s="622"/>
    </row>
    <row r="445" spans="1:49" ht="7.5" customHeight="1">
      <c r="A445" s="623">
        <v>6</v>
      </c>
      <c r="B445" s="622" t="str">
        <f>IF(NOT(ISBLANK('A-RACHNATMAK'!C476)),"A",IF(NOT(ISBLANK('A-RACHNATMAK'!C475)),"B",IF(NOT(ISBLANK('A-RACHNATMAK'!C474)),"C","")))</f>
        <v/>
      </c>
      <c r="C445" s="622" t="str">
        <f>IF(NOT(ISBLANK('A-RACHNATMAK'!D476)),"A",IF(NOT(ISBLANK('A-RACHNATMAK'!D475)),"B",IF(NOT(ISBLANK('A-RACHNATMAK'!D474)),"C","")))</f>
        <v/>
      </c>
      <c r="D445" s="622" t="str">
        <f>IF(NOT(ISBLANK('A-RACHNATMAK'!E476)),"A",IF(NOT(ISBLANK('A-RACHNATMAK'!E475)),"B",IF(NOT(ISBLANK('A-RACHNATMAK'!E474)),"C","")))</f>
        <v/>
      </c>
      <c r="E445" s="622" t="str">
        <f>IF(NOT(ISBLANK('A-RACHNATMAK'!F476)),"A",IF(NOT(ISBLANK('A-RACHNATMAK'!F475)),"B",IF(NOT(ISBLANK('A-RACHNATMAK'!F474)),"C","")))</f>
        <v/>
      </c>
      <c r="F445" s="622" t="str">
        <f>IF(NOT(ISBLANK('A-RACHNATMAK'!G476)),"A",IF(NOT(ISBLANK('A-RACHNATMAK'!G475)),"B",IF(NOT(ISBLANK('A-RACHNATMAK'!G474)),"C","")))</f>
        <v/>
      </c>
      <c r="G445" s="622" t="str">
        <f>IF(NOT(ISBLANK('A-RACHNATMAK'!H476)),"A",IF(NOT(ISBLANK('A-RACHNATMAK'!H475)),"B",IF(NOT(ISBLANK('A-RACHNATMAK'!H474)),"C","")))</f>
        <v/>
      </c>
      <c r="H445" s="622" t="str">
        <f>IF(NOT(ISBLANK('A-RACHNATMAK'!I476)),"A",IF(NOT(ISBLANK('A-RACHNATMAK'!I475)),"B",IF(NOT(ISBLANK('A-RACHNATMAK'!I474)),"C","")))</f>
        <v/>
      </c>
      <c r="I445" s="622" t="str">
        <f>IF(NOT(ISBLANK('A-RACHNATMAK'!J476)),"A",IF(NOT(ISBLANK('A-RACHNATMAK'!J475)),"B",IF(NOT(ISBLANK('A-RACHNATMAK'!J474)),"C","")))</f>
        <v/>
      </c>
      <c r="J445" s="622" t="str">
        <f>IF(NOT(ISBLANK('A-RACHNATMAK'!K476)),"A",IF(NOT(ISBLANK('A-RACHNATMAK'!K475)),"B",IF(NOT(ISBLANK('A-RACHNATMAK'!K474)),"C","")))</f>
        <v/>
      </c>
      <c r="K445" s="622" t="str">
        <f>IF(NOT(ISBLANK('A-RACHNATMAK'!L476)),"A",IF(NOT(ISBLANK('A-RACHNATMAK'!L475)),"B",IF(NOT(ISBLANK('A-RACHNATMAK'!L474)),"C","")))</f>
        <v/>
      </c>
      <c r="L445" s="622" t="str">
        <f>IF(NOT(ISBLANK('A-RACHNATMAK'!M476)),"A",IF(NOT(ISBLANK('A-RACHNATMAK'!M475)),"B",IF(NOT(ISBLANK('A-RACHNATMAK'!M474)),"C","")))</f>
        <v/>
      </c>
      <c r="M445" s="622" t="str">
        <f>IF(NOT(ISBLANK('A-RACHNATMAK'!N476)),"A",IF(NOT(ISBLANK('A-RACHNATMAK'!N475)),"B",IF(NOT(ISBLANK('A-RACHNATMAK'!N474)),"C","")))</f>
        <v/>
      </c>
      <c r="N445" s="622" t="str">
        <f>IF(NOT(ISBLANK('A-RACHNATMAK'!O476)),"A",IF(NOT(ISBLANK('A-RACHNATMAK'!O475)),"B",IF(NOT(ISBLANK('A-RACHNATMAK'!O474)),"C","")))</f>
        <v/>
      </c>
      <c r="O445" s="622" t="str">
        <f>IF(NOT(ISBLANK('A-RACHNATMAK'!P476)),"A",IF(NOT(ISBLANK('A-RACHNATMAK'!P475)),"B",IF(NOT(ISBLANK('A-RACHNATMAK'!P474)),"C","")))</f>
        <v/>
      </c>
      <c r="P445" s="622" t="str">
        <f>IF(NOT(ISBLANK('A-RACHNATMAK'!Q476)),"A",IF(NOT(ISBLANK('A-RACHNATMAK'!Q475)),"B",IF(NOT(ISBLANK('A-RACHNATMAK'!Q474)),"C","")))</f>
        <v/>
      </c>
      <c r="Q445" s="622" t="str">
        <f>IF(NOT(ISBLANK('A-RACHNATMAK'!R476)),"A",IF(NOT(ISBLANK('A-RACHNATMAK'!R475)),"B",IF(NOT(ISBLANK('A-RACHNATMAK'!R474)),"C","")))</f>
        <v/>
      </c>
      <c r="R445" s="622" t="str">
        <f>IF(NOT(ISBLANK('A-RACHNATMAK'!S476)),"A",IF(NOT(ISBLANK('A-RACHNATMAK'!S475)),"B",IF(NOT(ISBLANK('A-RACHNATMAK'!S474)),"C","")))</f>
        <v/>
      </c>
      <c r="S445" s="622" t="str">
        <f>IF(NOT(ISBLANK('A-RACHNATMAK'!T476)),"A",IF(NOT(ISBLANK('A-RACHNATMAK'!T475)),"B",IF(NOT(ISBLANK('A-RACHNATMAK'!T474)),"C","")))</f>
        <v/>
      </c>
      <c r="T445" s="622" t="str">
        <f>IF(NOT(ISBLANK('A-RACHNATMAK'!U476)),"A",IF(NOT(ISBLANK('A-RACHNATMAK'!U475)),"B",IF(NOT(ISBLANK('A-RACHNATMAK'!U474)),"C","")))</f>
        <v/>
      </c>
      <c r="U445" s="622" t="str">
        <f>IF(NOT(ISBLANK('A-RACHNATMAK'!V476)),"A",IF(NOT(ISBLANK('A-RACHNATMAK'!V475)),"B",IF(NOT(ISBLANK('A-RACHNATMAK'!V474)),"C","")))</f>
        <v/>
      </c>
      <c r="V445" s="622">
        <f t="shared" ref="V445" si="840">COUNTIF(B445:U445,"A")</f>
        <v>0</v>
      </c>
      <c r="W445" s="622">
        <f t="shared" ref="W445" si="841">COUNTIF(B445:U445,"B")</f>
        <v>0</v>
      </c>
      <c r="X445" s="622">
        <f t="shared" ref="X445" si="842">COUNTIF(B445:U445,"C")</f>
        <v>0</v>
      </c>
      <c r="Y445" s="330"/>
      <c r="Z445" s="623">
        <v>6</v>
      </c>
      <c r="AA445" s="622" t="str">
        <f>IF(NOT(ISBLANK('A-RACHNATMAK'!AD476)),"A",IF(NOT(ISBLANK('A-RACHNATMAK'!AD475)),"B",IF(NOT(ISBLANK('A-RACHNATMAK'!AD474)),"C","")))</f>
        <v/>
      </c>
      <c r="AB445" s="622" t="str">
        <f>IF(NOT(ISBLANK('A-RACHNATMAK'!AE476)),"A",IF(NOT(ISBLANK('A-RACHNATMAK'!AE475)),"B",IF(NOT(ISBLANK('A-RACHNATMAK'!AE474)),"C","")))</f>
        <v/>
      </c>
      <c r="AC445" s="622" t="str">
        <f>IF(NOT(ISBLANK('A-RACHNATMAK'!AF476)),"A",IF(NOT(ISBLANK('A-RACHNATMAK'!AF475)),"B",IF(NOT(ISBLANK('A-RACHNATMAK'!AF474)),"C","")))</f>
        <v/>
      </c>
      <c r="AD445" s="622" t="str">
        <f>IF(NOT(ISBLANK('A-RACHNATMAK'!AG476)),"A",IF(NOT(ISBLANK('A-RACHNATMAK'!AG475)),"B",IF(NOT(ISBLANK('A-RACHNATMAK'!AG474)),"C","")))</f>
        <v/>
      </c>
      <c r="AE445" s="622" t="str">
        <f>IF(NOT(ISBLANK('A-RACHNATMAK'!AH476)),"A",IF(NOT(ISBLANK('A-RACHNATMAK'!AH475)),"B",IF(NOT(ISBLANK('A-RACHNATMAK'!AH474)),"C","")))</f>
        <v/>
      </c>
      <c r="AF445" s="622" t="str">
        <f>IF(NOT(ISBLANK('A-RACHNATMAK'!AI476)),"A",IF(NOT(ISBLANK('A-RACHNATMAK'!AI475)),"B",IF(NOT(ISBLANK('A-RACHNATMAK'!AI474)),"C","")))</f>
        <v/>
      </c>
      <c r="AG445" s="622" t="str">
        <f>IF(NOT(ISBLANK('A-RACHNATMAK'!AJ476)),"A",IF(NOT(ISBLANK('A-RACHNATMAK'!AJ475)),"B",IF(NOT(ISBLANK('A-RACHNATMAK'!AJ474)),"C","")))</f>
        <v/>
      </c>
      <c r="AH445" s="622" t="str">
        <f>IF(NOT(ISBLANK('A-RACHNATMAK'!AK476)),"A",IF(NOT(ISBLANK('A-RACHNATMAK'!AK475)),"B",IF(NOT(ISBLANK('A-RACHNATMAK'!AK474)),"C","")))</f>
        <v/>
      </c>
      <c r="AI445" s="622" t="str">
        <f>IF(NOT(ISBLANK('A-RACHNATMAK'!AL476)),"A",IF(NOT(ISBLANK('A-RACHNATMAK'!AL475)),"B",IF(NOT(ISBLANK('A-RACHNATMAK'!AL474)),"C","")))</f>
        <v/>
      </c>
      <c r="AJ445" s="622" t="str">
        <f>IF(NOT(ISBLANK('A-RACHNATMAK'!AM476)),"A",IF(NOT(ISBLANK('A-RACHNATMAK'!AM475)),"B",IF(NOT(ISBLANK('A-RACHNATMAK'!AM474)),"C","")))</f>
        <v/>
      </c>
      <c r="AK445" s="622" t="str">
        <f>IF(NOT(ISBLANK('A-RACHNATMAK'!AN476)),"A",IF(NOT(ISBLANK('A-RACHNATMAK'!AN475)),"B",IF(NOT(ISBLANK('A-RACHNATMAK'!AN474)),"C","")))</f>
        <v/>
      </c>
      <c r="AL445" s="622" t="str">
        <f>IF(NOT(ISBLANK('A-RACHNATMAK'!AO476)),"A",IF(NOT(ISBLANK('A-RACHNATMAK'!AO475)),"B",IF(NOT(ISBLANK('A-RACHNATMAK'!AO474)),"C","")))</f>
        <v/>
      </c>
      <c r="AM445" s="622" t="str">
        <f>IF(NOT(ISBLANK('A-RACHNATMAK'!AP476)),"A",IF(NOT(ISBLANK('A-RACHNATMAK'!AP475)),"B",IF(NOT(ISBLANK('A-RACHNATMAK'!AP474)),"C","")))</f>
        <v/>
      </c>
      <c r="AN445" s="622" t="str">
        <f>IF(NOT(ISBLANK('A-RACHNATMAK'!AQ476)),"A",IF(NOT(ISBLANK('A-RACHNATMAK'!AQ475)),"B",IF(NOT(ISBLANK('A-RACHNATMAK'!AQ474)),"C","")))</f>
        <v/>
      </c>
      <c r="AO445" s="622" t="str">
        <f>IF(NOT(ISBLANK('A-RACHNATMAK'!AR476)),"A",IF(NOT(ISBLANK('A-RACHNATMAK'!AR475)),"B",IF(NOT(ISBLANK('A-RACHNATMAK'!AR474)),"C","")))</f>
        <v/>
      </c>
      <c r="AP445" s="622" t="str">
        <f>IF(NOT(ISBLANK('A-RACHNATMAK'!AS476)),"A",IF(NOT(ISBLANK('A-RACHNATMAK'!AS475)),"B",IF(NOT(ISBLANK('A-RACHNATMAK'!AS474)),"C","")))</f>
        <v/>
      </c>
      <c r="AQ445" s="622" t="str">
        <f>IF(NOT(ISBLANK('A-RACHNATMAK'!AT476)),"A",IF(NOT(ISBLANK('A-RACHNATMAK'!AT475)),"B",IF(NOT(ISBLANK('A-RACHNATMAK'!AT474)),"C","")))</f>
        <v/>
      </c>
      <c r="AR445" s="622" t="str">
        <f>IF(NOT(ISBLANK('A-RACHNATMAK'!AU476)),"A",IF(NOT(ISBLANK('A-RACHNATMAK'!AU475)),"B",IF(NOT(ISBLANK('A-RACHNATMAK'!AU474)),"C","")))</f>
        <v/>
      </c>
      <c r="AS445" s="622" t="str">
        <f>IF(NOT(ISBLANK('A-RACHNATMAK'!AV476)),"A",IF(NOT(ISBLANK('A-RACHNATMAK'!AV475)),"B",IF(NOT(ISBLANK('A-RACHNATMAK'!AV474)),"C","")))</f>
        <v/>
      </c>
      <c r="AT445" s="622" t="str">
        <f>IF(NOT(ISBLANK('A-RACHNATMAK'!AW476)),"A",IF(NOT(ISBLANK('A-RACHNATMAK'!AW475)),"B",IF(NOT(ISBLANK('A-RACHNATMAK'!AW474)),"C","")))</f>
        <v/>
      </c>
      <c r="AU445" s="622">
        <f t="shared" ref="AU445" si="843">COUNTIF(AA445:AT445,"A")</f>
        <v>0</v>
      </c>
      <c r="AV445" s="622">
        <f t="shared" ref="AV445" si="844">COUNTIF(AA445:AT445,"B")</f>
        <v>0</v>
      </c>
      <c r="AW445" s="622">
        <f t="shared" ref="AW445" si="845">COUNTIF(AA445:AT445,"C")</f>
        <v>0</v>
      </c>
    </row>
    <row r="446" spans="1:49" ht="7.5" customHeight="1">
      <c r="A446" s="623"/>
      <c r="B446" s="622"/>
      <c r="C446" s="622"/>
      <c r="D446" s="622"/>
      <c r="E446" s="622"/>
      <c r="F446" s="622"/>
      <c r="G446" s="622"/>
      <c r="H446" s="622"/>
      <c r="I446" s="622"/>
      <c r="J446" s="622"/>
      <c r="K446" s="622"/>
      <c r="L446" s="622"/>
      <c r="M446" s="622"/>
      <c r="N446" s="622"/>
      <c r="O446" s="622"/>
      <c r="P446" s="622"/>
      <c r="Q446" s="622"/>
      <c r="R446" s="622"/>
      <c r="S446" s="622"/>
      <c r="T446" s="622"/>
      <c r="U446" s="622"/>
      <c r="V446" s="622"/>
      <c r="W446" s="622"/>
      <c r="X446" s="622"/>
      <c r="Y446" s="330"/>
      <c r="Z446" s="623"/>
      <c r="AA446" s="622"/>
      <c r="AB446" s="622"/>
      <c r="AC446" s="622"/>
      <c r="AD446" s="622"/>
      <c r="AE446" s="622"/>
      <c r="AF446" s="622"/>
      <c r="AG446" s="622"/>
      <c r="AH446" s="622"/>
      <c r="AI446" s="622"/>
      <c r="AJ446" s="622"/>
      <c r="AK446" s="622"/>
      <c r="AL446" s="622"/>
      <c r="AM446" s="622"/>
      <c r="AN446" s="622"/>
      <c r="AO446" s="622"/>
      <c r="AP446" s="622"/>
      <c r="AQ446" s="622"/>
      <c r="AR446" s="622"/>
      <c r="AS446" s="622"/>
      <c r="AT446" s="622"/>
      <c r="AU446" s="622"/>
      <c r="AV446" s="622"/>
      <c r="AW446" s="622"/>
    </row>
    <row r="447" spans="1:49" ht="7.5" customHeight="1">
      <c r="A447" s="623"/>
      <c r="B447" s="622"/>
      <c r="C447" s="622"/>
      <c r="D447" s="622"/>
      <c r="E447" s="622"/>
      <c r="F447" s="622"/>
      <c r="G447" s="622"/>
      <c r="H447" s="622"/>
      <c r="I447" s="622"/>
      <c r="J447" s="622"/>
      <c r="K447" s="622"/>
      <c r="L447" s="622"/>
      <c r="M447" s="622"/>
      <c r="N447" s="622"/>
      <c r="O447" s="622"/>
      <c r="P447" s="622"/>
      <c r="Q447" s="622"/>
      <c r="R447" s="622"/>
      <c r="S447" s="622"/>
      <c r="T447" s="622"/>
      <c r="U447" s="622"/>
      <c r="V447" s="622"/>
      <c r="W447" s="622"/>
      <c r="X447" s="622"/>
      <c r="Y447" s="330"/>
      <c r="Z447" s="623"/>
      <c r="AA447" s="622"/>
      <c r="AB447" s="622"/>
      <c r="AC447" s="622"/>
      <c r="AD447" s="622"/>
      <c r="AE447" s="622"/>
      <c r="AF447" s="622"/>
      <c r="AG447" s="622"/>
      <c r="AH447" s="622"/>
      <c r="AI447" s="622"/>
      <c r="AJ447" s="622"/>
      <c r="AK447" s="622"/>
      <c r="AL447" s="622"/>
      <c r="AM447" s="622"/>
      <c r="AN447" s="622"/>
      <c r="AO447" s="622"/>
      <c r="AP447" s="622"/>
      <c r="AQ447" s="622"/>
      <c r="AR447" s="622"/>
      <c r="AS447" s="622"/>
      <c r="AT447" s="622"/>
      <c r="AU447" s="622"/>
      <c r="AV447" s="622"/>
      <c r="AW447" s="622"/>
    </row>
    <row r="448" spans="1:49" ht="7.5" customHeight="1">
      <c r="A448" s="623">
        <v>7</v>
      </c>
      <c r="B448" s="622" t="str">
        <f>IF(NOT(ISBLANK('A-RACHNATMAK'!C479)),"A",IF(NOT(ISBLANK('A-RACHNATMAK'!C478)),"B",IF(NOT(ISBLANK('A-RACHNATMAK'!C477)),"C","")))</f>
        <v/>
      </c>
      <c r="C448" s="622" t="str">
        <f>IF(NOT(ISBLANK('A-RACHNATMAK'!D479)),"A",IF(NOT(ISBLANK('A-RACHNATMAK'!D478)),"B",IF(NOT(ISBLANK('A-RACHNATMAK'!D477)),"C","")))</f>
        <v/>
      </c>
      <c r="D448" s="622" t="str">
        <f>IF(NOT(ISBLANK('A-RACHNATMAK'!E479)),"A",IF(NOT(ISBLANK('A-RACHNATMAK'!E478)),"B",IF(NOT(ISBLANK('A-RACHNATMAK'!E477)),"C","")))</f>
        <v/>
      </c>
      <c r="E448" s="622" t="str">
        <f>IF(NOT(ISBLANK('A-RACHNATMAK'!F479)),"A",IF(NOT(ISBLANK('A-RACHNATMAK'!F478)),"B",IF(NOT(ISBLANK('A-RACHNATMAK'!F477)),"C","")))</f>
        <v/>
      </c>
      <c r="F448" s="622" t="str">
        <f>IF(NOT(ISBLANK('A-RACHNATMAK'!G479)),"A",IF(NOT(ISBLANK('A-RACHNATMAK'!G478)),"B",IF(NOT(ISBLANK('A-RACHNATMAK'!G477)),"C","")))</f>
        <v/>
      </c>
      <c r="G448" s="622" t="str">
        <f>IF(NOT(ISBLANK('A-RACHNATMAK'!H479)),"A",IF(NOT(ISBLANK('A-RACHNATMAK'!H478)),"B",IF(NOT(ISBLANK('A-RACHNATMAK'!H477)),"C","")))</f>
        <v/>
      </c>
      <c r="H448" s="622" t="str">
        <f>IF(NOT(ISBLANK('A-RACHNATMAK'!I479)),"A",IF(NOT(ISBLANK('A-RACHNATMAK'!I478)),"B",IF(NOT(ISBLANK('A-RACHNATMAK'!I477)),"C","")))</f>
        <v/>
      </c>
      <c r="I448" s="622" t="str">
        <f>IF(NOT(ISBLANK('A-RACHNATMAK'!J479)),"A",IF(NOT(ISBLANK('A-RACHNATMAK'!J478)),"B",IF(NOT(ISBLANK('A-RACHNATMAK'!J477)),"C","")))</f>
        <v/>
      </c>
      <c r="J448" s="622" t="str">
        <f>IF(NOT(ISBLANK('A-RACHNATMAK'!K479)),"A",IF(NOT(ISBLANK('A-RACHNATMAK'!K478)),"B",IF(NOT(ISBLANK('A-RACHNATMAK'!K477)),"C","")))</f>
        <v/>
      </c>
      <c r="K448" s="622" t="str">
        <f>IF(NOT(ISBLANK('A-RACHNATMAK'!L479)),"A",IF(NOT(ISBLANK('A-RACHNATMAK'!L478)),"B",IF(NOT(ISBLANK('A-RACHNATMAK'!L477)),"C","")))</f>
        <v/>
      </c>
      <c r="L448" s="622" t="str">
        <f>IF(NOT(ISBLANK('A-RACHNATMAK'!M479)),"A",IF(NOT(ISBLANK('A-RACHNATMAK'!M478)),"B",IF(NOT(ISBLANK('A-RACHNATMAK'!M477)),"C","")))</f>
        <v/>
      </c>
      <c r="M448" s="622" t="str">
        <f>IF(NOT(ISBLANK('A-RACHNATMAK'!N479)),"A",IF(NOT(ISBLANK('A-RACHNATMAK'!N478)),"B",IF(NOT(ISBLANK('A-RACHNATMAK'!N477)),"C","")))</f>
        <v/>
      </c>
      <c r="N448" s="622" t="str">
        <f>IF(NOT(ISBLANK('A-RACHNATMAK'!O479)),"A",IF(NOT(ISBLANK('A-RACHNATMAK'!O478)),"B",IF(NOT(ISBLANK('A-RACHNATMAK'!O477)),"C","")))</f>
        <v/>
      </c>
      <c r="O448" s="622" t="str">
        <f>IF(NOT(ISBLANK('A-RACHNATMAK'!P479)),"A",IF(NOT(ISBLANK('A-RACHNATMAK'!P478)),"B",IF(NOT(ISBLANK('A-RACHNATMAK'!P477)),"C","")))</f>
        <v/>
      </c>
      <c r="P448" s="622" t="str">
        <f>IF(NOT(ISBLANK('A-RACHNATMAK'!Q479)),"A",IF(NOT(ISBLANK('A-RACHNATMAK'!Q478)),"B",IF(NOT(ISBLANK('A-RACHNATMAK'!Q477)),"C","")))</f>
        <v/>
      </c>
      <c r="Q448" s="622" t="str">
        <f>IF(NOT(ISBLANK('A-RACHNATMAK'!R479)),"A",IF(NOT(ISBLANK('A-RACHNATMAK'!R478)),"B",IF(NOT(ISBLANK('A-RACHNATMAK'!R477)),"C","")))</f>
        <v/>
      </c>
      <c r="R448" s="622" t="str">
        <f>IF(NOT(ISBLANK('A-RACHNATMAK'!S479)),"A",IF(NOT(ISBLANK('A-RACHNATMAK'!S478)),"B",IF(NOT(ISBLANK('A-RACHNATMAK'!S477)),"C","")))</f>
        <v/>
      </c>
      <c r="S448" s="622" t="str">
        <f>IF(NOT(ISBLANK('A-RACHNATMAK'!T479)),"A",IF(NOT(ISBLANK('A-RACHNATMAK'!T478)),"B",IF(NOT(ISBLANK('A-RACHNATMAK'!T477)),"C","")))</f>
        <v/>
      </c>
      <c r="T448" s="622" t="str">
        <f>IF(NOT(ISBLANK('A-RACHNATMAK'!U479)),"A",IF(NOT(ISBLANK('A-RACHNATMAK'!U478)),"B",IF(NOT(ISBLANK('A-RACHNATMAK'!U477)),"C","")))</f>
        <v/>
      </c>
      <c r="U448" s="622" t="str">
        <f>IF(NOT(ISBLANK('A-RACHNATMAK'!V479)),"A",IF(NOT(ISBLANK('A-RACHNATMAK'!V478)),"B",IF(NOT(ISBLANK('A-RACHNATMAK'!V477)),"C","")))</f>
        <v/>
      </c>
      <c r="V448" s="622">
        <f t="shared" ref="V448" si="846">COUNTIF(B448:U448,"A")</f>
        <v>0</v>
      </c>
      <c r="W448" s="622">
        <f t="shared" ref="W448" si="847">COUNTIF(B448:U448,"B")</f>
        <v>0</v>
      </c>
      <c r="X448" s="622">
        <f t="shared" ref="X448" si="848">COUNTIF(B448:U448,"C")</f>
        <v>0</v>
      </c>
      <c r="Y448" s="330"/>
      <c r="Z448" s="623">
        <v>7</v>
      </c>
      <c r="AA448" s="622" t="str">
        <f>IF(NOT(ISBLANK('A-RACHNATMAK'!AD479)),"A",IF(NOT(ISBLANK('A-RACHNATMAK'!AD478)),"B",IF(NOT(ISBLANK('A-RACHNATMAK'!AD477)),"C","")))</f>
        <v/>
      </c>
      <c r="AB448" s="622" t="str">
        <f>IF(NOT(ISBLANK('A-RACHNATMAK'!AE479)),"A",IF(NOT(ISBLANK('A-RACHNATMAK'!AE478)),"B",IF(NOT(ISBLANK('A-RACHNATMAK'!AE477)),"C","")))</f>
        <v/>
      </c>
      <c r="AC448" s="622" t="str">
        <f>IF(NOT(ISBLANK('A-RACHNATMAK'!AF479)),"A",IF(NOT(ISBLANK('A-RACHNATMAK'!AF478)),"B",IF(NOT(ISBLANK('A-RACHNATMAK'!AF477)),"C","")))</f>
        <v/>
      </c>
      <c r="AD448" s="622" t="str">
        <f>IF(NOT(ISBLANK('A-RACHNATMAK'!AG479)),"A",IF(NOT(ISBLANK('A-RACHNATMAK'!AG478)),"B",IF(NOT(ISBLANK('A-RACHNATMAK'!AG477)),"C","")))</f>
        <v/>
      </c>
      <c r="AE448" s="622" t="str">
        <f>IF(NOT(ISBLANK('A-RACHNATMAK'!AH479)),"A",IF(NOT(ISBLANK('A-RACHNATMAK'!AH478)),"B",IF(NOT(ISBLANK('A-RACHNATMAK'!AH477)),"C","")))</f>
        <v/>
      </c>
      <c r="AF448" s="622" t="str">
        <f>IF(NOT(ISBLANK('A-RACHNATMAK'!AI479)),"A",IF(NOT(ISBLANK('A-RACHNATMAK'!AI478)),"B",IF(NOT(ISBLANK('A-RACHNATMAK'!AI477)),"C","")))</f>
        <v/>
      </c>
      <c r="AG448" s="622" t="str">
        <f>IF(NOT(ISBLANK('A-RACHNATMAK'!AJ479)),"A",IF(NOT(ISBLANK('A-RACHNATMAK'!AJ478)),"B",IF(NOT(ISBLANK('A-RACHNATMAK'!AJ477)),"C","")))</f>
        <v/>
      </c>
      <c r="AH448" s="622" t="str">
        <f>IF(NOT(ISBLANK('A-RACHNATMAK'!AK479)),"A",IF(NOT(ISBLANK('A-RACHNATMAK'!AK478)),"B",IF(NOT(ISBLANK('A-RACHNATMAK'!AK477)),"C","")))</f>
        <v/>
      </c>
      <c r="AI448" s="622" t="str">
        <f>IF(NOT(ISBLANK('A-RACHNATMAK'!AL479)),"A",IF(NOT(ISBLANK('A-RACHNATMAK'!AL478)),"B",IF(NOT(ISBLANK('A-RACHNATMAK'!AL477)),"C","")))</f>
        <v/>
      </c>
      <c r="AJ448" s="622" t="str">
        <f>IF(NOT(ISBLANK('A-RACHNATMAK'!AM479)),"A",IF(NOT(ISBLANK('A-RACHNATMAK'!AM478)),"B",IF(NOT(ISBLANK('A-RACHNATMAK'!AM477)),"C","")))</f>
        <v/>
      </c>
      <c r="AK448" s="622" t="str">
        <f>IF(NOT(ISBLANK('A-RACHNATMAK'!AN479)),"A",IF(NOT(ISBLANK('A-RACHNATMAK'!AN478)),"B",IF(NOT(ISBLANK('A-RACHNATMAK'!AN477)),"C","")))</f>
        <v/>
      </c>
      <c r="AL448" s="622" t="str">
        <f>IF(NOT(ISBLANK('A-RACHNATMAK'!AO479)),"A",IF(NOT(ISBLANK('A-RACHNATMAK'!AO478)),"B",IF(NOT(ISBLANK('A-RACHNATMAK'!AO477)),"C","")))</f>
        <v/>
      </c>
      <c r="AM448" s="622" t="str">
        <f>IF(NOT(ISBLANK('A-RACHNATMAK'!AP479)),"A",IF(NOT(ISBLANK('A-RACHNATMAK'!AP478)),"B",IF(NOT(ISBLANK('A-RACHNATMAK'!AP477)),"C","")))</f>
        <v/>
      </c>
      <c r="AN448" s="622" t="str">
        <f>IF(NOT(ISBLANK('A-RACHNATMAK'!AQ479)),"A",IF(NOT(ISBLANK('A-RACHNATMAK'!AQ478)),"B",IF(NOT(ISBLANK('A-RACHNATMAK'!AQ477)),"C","")))</f>
        <v/>
      </c>
      <c r="AO448" s="622" t="str">
        <f>IF(NOT(ISBLANK('A-RACHNATMAK'!AR479)),"A",IF(NOT(ISBLANK('A-RACHNATMAK'!AR478)),"B",IF(NOT(ISBLANK('A-RACHNATMAK'!AR477)),"C","")))</f>
        <v/>
      </c>
      <c r="AP448" s="622" t="str">
        <f>IF(NOT(ISBLANK('A-RACHNATMAK'!AS479)),"A",IF(NOT(ISBLANK('A-RACHNATMAK'!AS478)),"B",IF(NOT(ISBLANK('A-RACHNATMAK'!AS477)),"C","")))</f>
        <v/>
      </c>
      <c r="AQ448" s="622" t="str">
        <f>IF(NOT(ISBLANK('A-RACHNATMAK'!AT479)),"A",IF(NOT(ISBLANK('A-RACHNATMAK'!AT478)),"B",IF(NOT(ISBLANK('A-RACHNATMAK'!AT477)),"C","")))</f>
        <v/>
      </c>
      <c r="AR448" s="622" t="str">
        <f>IF(NOT(ISBLANK('A-RACHNATMAK'!AU479)),"A",IF(NOT(ISBLANK('A-RACHNATMAK'!AU478)),"B",IF(NOT(ISBLANK('A-RACHNATMAK'!AU477)),"C","")))</f>
        <v/>
      </c>
      <c r="AS448" s="622" t="str">
        <f>IF(NOT(ISBLANK('A-RACHNATMAK'!AV479)),"A",IF(NOT(ISBLANK('A-RACHNATMAK'!AV478)),"B",IF(NOT(ISBLANK('A-RACHNATMAK'!AV477)),"C","")))</f>
        <v/>
      </c>
      <c r="AT448" s="622" t="str">
        <f>IF(NOT(ISBLANK('A-RACHNATMAK'!AW479)),"A",IF(NOT(ISBLANK('A-RACHNATMAK'!AW478)),"B",IF(NOT(ISBLANK('A-RACHNATMAK'!AW477)),"C","")))</f>
        <v/>
      </c>
      <c r="AU448" s="622">
        <f t="shared" ref="AU448" si="849">COUNTIF(AA448:AT448,"A")</f>
        <v>0</v>
      </c>
      <c r="AV448" s="622">
        <f t="shared" ref="AV448" si="850">COUNTIF(AA448:AT448,"B")</f>
        <v>0</v>
      </c>
      <c r="AW448" s="622">
        <f t="shared" ref="AW448" si="851">COUNTIF(AA448:AT448,"C")</f>
        <v>0</v>
      </c>
    </row>
    <row r="449" spans="1:49" ht="7.5" customHeight="1">
      <c r="A449" s="623"/>
      <c r="B449" s="622"/>
      <c r="C449" s="622"/>
      <c r="D449" s="622"/>
      <c r="E449" s="622"/>
      <c r="F449" s="622"/>
      <c r="G449" s="622"/>
      <c r="H449" s="622"/>
      <c r="I449" s="622"/>
      <c r="J449" s="622"/>
      <c r="K449" s="622"/>
      <c r="L449" s="622"/>
      <c r="M449" s="622"/>
      <c r="N449" s="622"/>
      <c r="O449" s="622"/>
      <c r="P449" s="622"/>
      <c r="Q449" s="622"/>
      <c r="R449" s="622"/>
      <c r="S449" s="622"/>
      <c r="T449" s="622"/>
      <c r="U449" s="622"/>
      <c r="V449" s="622"/>
      <c r="W449" s="622"/>
      <c r="X449" s="622"/>
      <c r="Y449" s="330"/>
      <c r="Z449" s="623"/>
      <c r="AA449" s="622"/>
      <c r="AB449" s="622"/>
      <c r="AC449" s="622"/>
      <c r="AD449" s="622"/>
      <c r="AE449" s="622"/>
      <c r="AF449" s="622"/>
      <c r="AG449" s="622"/>
      <c r="AH449" s="622"/>
      <c r="AI449" s="622"/>
      <c r="AJ449" s="622"/>
      <c r="AK449" s="622"/>
      <c r="AL449" s="622"/>
      <c r="AM449" s="622"/>
      <c r="AN449" s="622"/>
      <c r="AO449" s="622"/>
      <c r="AP449" s="622"/>
      <c r="AQ449" s="622"/>
      <c r="AR449" s="622"/>
      <c r="AS449" s="622"/>
      <c r="AT449" s="622"/>
      <c r="AU449" s="622"/>
      <c r="AV449" s="622"/>
      <c r="AW449" s="622"/>
    </row>
    <row r="450" spans="1:49" ht="7.5" customHeight="1">
      <c r="A450" s="623"/>
      <c r="B450" s="622"/>
      <c r="C450" s="622"/>
      <c r="D450" s="622"/>
      <c r="E450" s="622"/>
      <c r="F450" s="622"/>
      <c r="G450" s="622"/>
      <c r="H450" s="622"/>
      <c r="I450" s="622"/>
      <c r="J450" s="622"/>
      <c r="K450" s="622"/>
      <c r="L450" s="622"/>
      <c r="M450" s="622"/>
      <c r="N450" s="622"/>
      <c r="O450" s="622"/>
      <c r="P450" s="622"/>
      <c r="Q450" s="622"/>
      <c r="R450" s="622"/>
      <c r="S450" s="622"/>
      <c r="T450" s="622"/>
      <c r="U450" s="622"/>
      <c r="V450" s="622"/>
      <c r="W450" s="622"/>
      <c r="X450" s="622"/>
      <c r="Y450" s="330"/>
      <c r="Z450" s="623"/>
      <c r="AA450" s="622"/>
      <c r="AB450" s="622"/>
      <c r="AC450" s="622"/>
      <c r="AD450" s="622"/>
      <c r="AE450" s="622"/>
      <c r="AF450" s="622"/>
      <c r="AG450" s="622"/>
      <c r="AH450" s="622"/>
      <c r="AI450" s="622"/>
      <c r="AJ450" s="622"/>
      <c r="AK450" s="622"/>
      <c r="AL450" s="622"/>
      <c r="AM450" s="622"/>
      <c r="AN450" s="622"/>
      <c r="AO450" s="622"/>
      <c r="AP450" s="622"/>
      <c r="AQ450" s="622"/>
      <c r="AR450" s="622"/>
      <c r="AS450" s="622"/>
      <c r="AT450" s="622"/>
      <c r="AU450" s="622"/>
      <c r="AV450" s="622"/>
      <c r="AW450" s="622"/>
    </row>
    <row r="451" spans="1:49" ht="7.5" customHeight="1">
      <c r="A451" s="623">
        <v>8</v>
      </c>
      <c r="B451" s="622" t="str">
        <f>IF(NOT(ISBLANK('A-RACHNATMAK'!C482)),"A",IF(NOT(ISBLANK('A-RACHNATMAK'!C481)),"B",IF(NOT(ISBLANK('A-RACHNATMAK'!C480)),"C","")))</f>
        <v/>
      </c>
      <c r="C451" s="622" t="str">
        <f>IF(NOT(ISBLANK('A-RACHNATMAK'!D482)),"A",IF(NOT(ISBLANK('A-RACHNATMAK'!D481)),"B",IF(NOT(ISBLANK('A-RACHNATMAK'!D480)),"C","")))</f>
        <v/>
      </c>
      <c r="D451" s="622" t="str">
        <f>IF(NOT(ISBLANK('A-RACHNATMAK'!E482)),"A",IF(NOT(ISBLANK('A-RACHNATMAK'!E481)),"B",IF(NOT(ISBLANK('A-RACHNATMAK'!E480)),"C","")))</f>
        <v/>
      </c>
      <c r="E451" s="622" t="str">
        <f>IF(NOT(ISBLANK('A-RACHNATMAK'!F482)),"A",IF(NOT(ISBLANK('A-RACHNATMAK'!F481)),"B",IF(NOT(ISBLANK('A-RACHNATMAK'!F480)),"C","")))</f>
        <v/>
      </c>
      <c r="F451" s="622" t="str">
        <f>IF(NOT(ISBLANK('A-RACHNATMAK'!G482)),"A",IF(NOT(ISBLANK('A-RACHNATMAK'!G481)),"B",IF(NOT(ISBLANK('A-RACHNATMAK'!G480)),"C","")))</f>
        <v/>
      </c>
      <c r="G451" s="622" t="str">
        <f>IF(NOT(ISBLANK('A-RACHNATMAK'!H482)),"A",IF(NOT(ISBLANK('A-RACHNATMAK'!H481)),"B",IF(NOT(ISBLANK('A-RACHNATMAK'!H480)),"C","")))</f>
        <v/>
      </c>
      <c r="H451" s="622" t="str">
        <f>IF(NOT(ISBLANK('A-RACHNATMAK'!I482)),"A",IF(NOT(ISBLANK('A-RACHNATMAK'!I481)),"B",IF(NOT(ISBLANK('A-RACHNATMAK'!I480)),"C","")))</f>
        <v/>
      </c>
      <c r="I451" s="622" t="str">
        <f>IF(NOT(ISBLANK('A-RACHNATMAK'!J482)),"A",IF(NOT(ISBLANK('A-RACHNATMAK'!J481)),"B",IF(NOT(ISBLANK('A-RACHNATMAK'!J480)),"C","")))</f>
        <v/>
      </c>
      <c r="J451" s="622" t="str">
        <f>IF(NOT(ISBLANK('A-RACHNATMAK'!K482)),"A",IF(NOT(ISBLANK('A-RACHNATMAK'!K481)),"B",IF(NOT(ISBLANK('A-RACHNATMAK'!K480)),"C","")))</f>
        <v/>
      </c>
      <c r="K451" s="622" t="str">
        <f>IF(NOT(ISBLANK('A-RACHNATMAK'!L482)),"A",IF(NOT(ISBLANK('A-RACHNATMAK'!L481)),"B",IF(NOT(ISBLANK('A-RACHNATMAK'!L480)),"C","")))</f>
        <v/>
      </c>
      <c r="L451" s="622" t="str">
        <f>IF(NOT(ISBLANK('A-RACHNATMAK'!M482)),"A",IF(NOT(ISBLANK('A-RACHNATMAK'!M481)),"B",IF(NOT(ISBLANK('A-RACHNATMAK'!M480)),"C","")))</f>
        <v/>
      </c>
      <c r="M451" s="622" t="str">
        <f>IF(NOT(ISBLANK('A-RACHNATMAK'!N482)),"A",IF(NOT(ISBLANK('A-RACHNATMAK'!N481)),"B",IF(NOT(ISBLANK('A-RACHNATMAK'!N480)),"C","")))</f>
        <v/>
      </c>
      <c r="N451" s="622" t="str">
        <f>IF(NOT(ISBLANK('A-RACHNATMAK'!O482)),"A",IF(NOT(ISBLANK('A-RACHNATMAK'!O481)),"B",IF(NOT(ISBLANK('A-RACHNATMAK'!O480)),"C","")))</f>
        <v/>
      </c>
      <c r="O451" s="622" t="str">
        <f>IF(NOT(ISBLANK('A-RACHNATMAK'!P482)),"A",IF(NOT(ISBLANK('A-RACHNATMAK'!P481)),"B",IF(NOT(ISBLANK('A-RACHNATMAK'!P480)),"C","")))</f>
        <v/>
      </c>
      <c r="P451" s="622" t="str">
        <f>IF(NOT(ISBLANK('A-RACHNATMAK'!Q482)),"A",IF(NOT(ISBLANK('A-RACHNATMAK'!Q481)),"B",IF(NOT(ISBLANK('A-RACHNATMAK'!Q480)),"C","")))</f>
        <v/>
      </c>
      <c r="Q451" s="622" t="str">
        <f>IF(NOT(ISBLANK('A-RACHNATMAK'!R482)),"A",IF(NOT(ISBLANK('A-RACHNATMAK'!R481)),"B",IF(NOT(ISBLANK('A-RACHNATMAK'!R480)),"C","")))</f>
        <v/>
      </c>
      <c r="R451" s="622" t="str">
        <f>IF(NOT(ISBLANK('A-RACHNATMAK'!S482)),"A",IF(NOT(ISBLANK('A-RACHNATMAK'!S481)),"B",IF(NOT(ISBLANK('A-RACHNATMAK'!S480)),"C","")))</f>
        <v/>
      </c>
      <c r="S451" s="622" t="str">
        <f>IF(NOT(ISBLANK('A-RACHNATMAK'!T482)),"A",IF(NOT(ISBLANK('A-RACHNATMAK'!T481)),"B",IF(NOT(ISBLANK('A-RACHNATMAK'!T480)),"C","")))</f>
        <v/>
      </c>
      <c r="T451" s="622" t="str">
        <f>IF(NOT(ISBLANK('A-RACHNATMAK'!U482)),"A",IF(NOT(ISBLANK('A-RACHNATMAK'!U481)),"B",IF(NOT(ISBLANK('A-RACHNATMAK'!U480)),"C","")))</f>
        <v/>
      </c>
      <c r="U451" s="622" t="str">
        <f>IF(NOT(ISBLANK('A-RACHNATMAK'!V482)),"A",IF(NOT(ISBLANK('A-RACHNATMAK'!V481)),"B",IF(NOT(ISBLANK('A-RACHNATMAK'!V480)),"C","")))</f>
        <v/>
      </c>
      <c r="V451" s="622">
        <f t="shared" ref="V451" si="852">COUNTIF(B451:U451,"A")</f>
        <v>0</v>
      </c>
      <c r="W451" s="622">
        <f t="shared" ref="W451" si="853">COUNTIF(B451:U451,"B")</f>
        <v>0</v>
      </c>
      <c r="X451" s="622">
        <f t="shared" ref="X451" si="854">COUNTIF(B451:U451,"C")</f>
        <v>0</v>
      </c>
      <c r="Y451" s="330"/>
      <c r="Z451" s="623">
        <v>8</v>
      </c>
      <c r="AA451" s="622" t="str">
        <f>IF(NOT(ISBLANK('A-RACHNATMAK'!AD482)),"A",IF(NOT(ISBLANK('A-RACHNATMAK'!AD481)),"B",IF(NOT(ISBLANK('A-RACHNATMAK'!AD480)),"C","")))</f>
        <v/>
      </c>
      <c r="AB451" s="622" t="str">
        <f>IF(NOT(ISBLANK('A-RACHNATMAK'!AE482)),"A",IF(NOT(ISBLANK('A-RACHNATMAK'!AE481)),"B",IF(NOT(ISBLANK('A-RACHNATMAK'!AE480)),"C","")))</f>
        <v/>
      </c>
      <c r="AC451" s="622" t="str">
        <f>IF(NOT(ISBLANK('A-RACHNATMAK'!AF482)),"A",IF(NOT(ISBLANK('A-RACHNATMAK'!AF481)),"B",IF(NOT(ISBLANK('A-RACHNATMAK'!AF480)),"C","")))</f>
        <v/>
      </c>
      <c r="AD451" s="622" t="str">
        <f>IF(NOT(ISBLANK('A-RACHNATMAK'!AG482)),"A",IF(NOT(ISBLANK('A-RACHNATMAK'!AG481)),"B",IF(NOT(ISBLANK('A-RACHNATMAK'!AG480)),"C","")))</f>
        <v/>
      </c>
      <c r="AE451" s="622" t="str">
        <f>IF(NOT(ISBLANK('A-RACHNATMAK'!AH482)),"A",IF(NOT(ISBLANK('A-RACHNATMAK'!AH481)),"B",IF(NOT(ISBLANK('A-RACHNATMAK'!AH480)),"C","")))</f>
        <v/>
      </c>
      <c r="AF451" s="622" t="str">
        <f>IF(NOT(ISBLANK('A-RACHNATMAK'!AI482)),"A",IF(NOT(ISBLANK('A-RACHNATMAK'!AI481)),"B",IF(NOT(ISBLANK('A-RACHNATMAK'!AI480)),"C","")))</f>
        <v/>
      </c>
      <c r="AG451" s="622" t="str">
        <f>IF(NOT(ISBLANK('A-RACHNATMAK'!AJ482)),"A",IF(NOT(ISBLANK('A-RACHNATMAK'!AJ481)),"B",IF(NOT(ISBLANK('A-RACHNATMAK'!AJ480)),"C","")))</f>
        <v/>
      </c>
      <c r="AH451" s="622" t="str">
        <f>IF(NOT(ISBLANK('A-RACHNATMAK'!AK482)),"A",IF(NOT(ISBLANK('A-RACHNATMAK'!AK481)),"B",IF(NOT(ISBLANK('A-RACHNATMAK'!AK480)),"C","")))</f>
        <v/>
      </c>
      <c r="AI451" s="622" t="str">
        <f>IF(NOT(ISBLANK('A-RACHNATMAK'!AL482)),"A",IF(NOT(ISBLANK('A-RACHNATMAK'!AL481)),"B",IF(NOT(ISBLANK('A-RACHNATMAK'!AL480)),"C","")))</f>
        <v/>
      </c>
      <c r="AJ451" s="622" t="str">
        <f>IF(NOT(ISBLANK('A-RACHNATMAK'!AM482)),"A",IF(NOT(ISBLANK('A-RACHNATMAK'!AM481)),"B",IF(NOT(ISBLANK('A-RACHNATMAK'!AM480)),"C","")))</f>
        <v/>
      </c>
      <c r="AK451" s="622" t="str">
        <f>IF(NOT(ISBLANK('A-RACHNATMAK'!AN482)),"A",IF(NOT(ISBLANK('A-RACHNATMAK'!AN481)),"B",IF(NOT(ISBLANK('A-RACHNATMAK'!AN480)),"C","")))</f>
        <v/>
      </c>
      <c r="AL451" s="622" t="str">
        <f>IF(NOT(ISBLANK('A-RACHNATMAK'!AO482)),"A",IF(NOT(ISBLANK('A-RACHNATMAK'!AO481)),"B",IF(NOT(ISBLANK('A-RACHNATMAK'!AO480)),"C","")))</f>
        <v/>
      </c>
      <c r="AM451" s="622" t="str">
        <f>IF(NOT(ISBLANK('A-RACHNATMAK'!AP482)),"A",IF(NOT(ISBLANK('A-RACHNATMAK'!AP481)),"B",IF(NOT(ISBLANK('A-RACHNATMAK'!AP480)),"C","")))</f>
        <v/>
      </c>
      <c r="AN451" s="622" t="str">
        <f>IF(NOT(ISBLANK('A-RACHNATMAK'!AQ482)),"A",IF(NOT(ISBLANK('A-RACHNATMAK'!AQ481)),"B",IF(NOT(ISBLANK('A-RACHNATMAK'!AQ480)),"C","")))</f>
        <v/>
      </c>
      <c r="AO451" s="622" t="str">
        <f>IF(NOT(ISBLANK('A-RACHNATMAK'!AR482)),"A",IF(NOT(ISBLANK('A-RACHNATMAK'!AR481)),"B",IF(NOT(ISBLANK('A-RACHNATMAK'!AR480)),"C","")))</f>
        <v/>
      </c>
      <c r="AP451" s="622" t="str">
        <f>IF(NOT(ISBLANK('A-RACHNATMAK'!AS482)),"A",IF(NOT(ISBLANK('A-RACHNATMAK'!AS481)),"B",IF(NOT(ISBLANK('A-RACHNATMAK'!AS480)),"C","")))</f>
        <v/>
      </c>
      <c r="AQ451" s="622" t="str">
        <f>IF(NOT(ISBLANK('A-RACHNATMAK'!AT482)),"A",IF(NOT(ISBLANK('A-RACHNATMAK'!AT481)),"B",IF(NOT(ISBLANK('A-RACHNATMAK'!AT480)),"C","")))</f>
        <v/>
      </c>
      <c r="AR451" s="622" t="str">
        <f>IF(NOT(ISBLANK('A-RACHNATMAK'!AU482)),"A",IF(NOT(ISBLANK('A-RACHNATMAK'!AU481)),"B",IF(NOT(ISBLANK('A-RACHNATMAK'!AU480)),"C","")))</f>
        <v/>
      </c>
      <c r="AS451" s="622" t="str">
        <f>IF(NOT(ISBLANK('A-RACHNATMAK'!AV482)),"A",IF(NOT(ISBLANK('A-RACHNATMAK'!AV481)),"B",IF(NOT(ISBLANK('A-RACHNATMAK'!AV480)),"C","")))</f>
        <v/>
      </c>
      <c r="AT451" s="622" t="str">
        <f>IF(NOT(ISBLANK('A-RACHNATMAK'!AW482)),"A",IF(NOT(ISBLANK('A-RACHNATMAK'!AW481)),"B",IF(NOT(ISBLANK('A-RACHNATMAK'!AW480)),"C","")))</f>
        <v/>
      </c>
      <c r="AU451" s="622">
        <f t="shared" ref="AU451" si="855">COUNTIF(AA451:AT451,"A")</f>
        <v>0</v>
      </c>
      <c r="AV451" s="622">
        <f t="shared" ref="AV451" si="856">COUNTIF(AA451:AT451,"B")</f>
        <v>0</v>
      </c>
      <c r="AW451" s="622">
        <f t="shared" ref="AW451" si="857">COUNTIF(AA451:AT451,"C")</f>
        <v>0</v>
      </c>
    </row>
    <row r="452" spans="1:49" ht="7.5" customHeight="1">
      <c r="A452" s="623"/>
      <c r="B452" s="622"/>
      <c r="C452" s="622"/>
      <c r="D452" s="622"/>
      <c r="E452" s="622"/>
      <c r="F452" s="622"/>
      <c r="G452" s="622"/>
      <c r="H452" s="622"/>
      <c r="I452" s="622"/>
      <c r="J452" s="622"/>
      <c r="K452" s="622"/>
      <c r="L452" s="622"/>
      <c r="M452" s="622"/>
      <c r="N452" s="622"/>
      <c r="O452" s="622"/>
      <c r="P452" s="622"/>
      <c r="Q452" s="622"/>
      <c r="R452" s="622"/>
      <c r="S452" s="622"/>
      <c r="T452" s="622"/>
      <c r="U452" s="622"/>
      <c r="V452" s="622"/>
      <c r="W452" s="622"/>
      <c r="X452" s="622"/>
      <c r="Y452" s="330"/>
      <c r="Z452" s="623"/>
      <c r="AA452" s="622"/>
      <c r="AB452" s="622"/>
      <c r="AC452" s="622"/>
      <c r="AD452" s="622"/>
      <c r="AE452" s="622"/>
      <c r="AF452" s="622"/>
      <c r="AG452" s="622"/>
      <c r="AH452" s="622"/>
      <c r="AI452" s="622"/>
      <c r="AJ452" s="622"/>
      <c r="AK452" s="622"/>
      <c r="AL452" s="622"/>
      <c r="AM452" s="622"/>
      <c r="AN452" s="622"/>
      <c r="AO452" s="622"/>
      <c r="AP452" s="622"/>
      <c r="AQ452" s="622"/>
      <c r="AR452" s="622"/>
      <c r="AS452" s="622"/>
      <c r="AT452" s="622"/>
      <c r="AU452" s="622"/>
      <c r="AV452" s="622"/>
      <c r="AW452" s="622"/>
    </row>
    <row r="453" spans="1:49" ht="7.5" customHeight="1">
      <c r="A453" s="623"/>
      <c r="B453" s="622"/>
      <c r="C453" s="622"/>
      <c r="D453" s="622"/>
      <c r="E453" s="622"/>
      <c r="F453" s="622"/>
      <c r="G453" s="622"/>
      <c r="H453" s="622"/>
      <c r="I453" s="622"/>
      <c r="J453" s="622"/>
      <c r="K453" s="622"/>
      <c r="L453" s="622"/>
      <c r="M453" s="622"/>
      <c r="N453" s="622"/>
      <c r="O453" s="622"/>
      <c r="P453" s="622"/>
      <c r="Q453" s="622"/>
      <c r="R453" s="622"/>
      <c r="S453" s="622"/>
      <c r="T453" s="622"/>
      <c r="U453" s="622"/>
      <c r="V453" s="622"/>
      <c r="W453" s="622"/>
      <c r="X453" s="622"/>
      <c r="Y453" s="330"/>
      <c r="Z453" s="623"/>
      <c r="AA453" s="622"/>
      <c r="AB453" s="622"/>
      <c r="AC453" s="622"/>
      <c r="AD453" s="622"/>
      <c r="AE453" s="622"/>
      <c r="AF453" s="622"/>
      <c r="AG453" s="622"/>
      <c r="AH453" s="622"/>
      <c r="AI453" s="622"/>
      <c r="AJ453" s="622"/>
      <c r="AK453" s="622"/>
      <c r="AL453" s="622"/>
      <c r="AM453" s="622"/>
      <c r="AN453" s="622"/>
      <c r="AO453" s="622"/>
      <c r="AP453" s="622"/>
      <c r="AQ453" s="622"/>
      <c r="AR453" s="622"/>
      <c r="AS453" s="622"/>
      <c r="AT453" s="622"/>
      <c r="AU453" s="622"/>
      <c r="AV453" s="622"/>
      <c r="AW453" s="622"/>
    </row>
    <row r="454" spans="1:49" ht="7.5" customHeight="1">
      <c r="A454" s="623">
        <v>9</v>
      </c>
      <c r="B454" s="622" t="str">
        <f>IF(NOT(ISBLANK('A-RACHNATMAK'!C485)),"A",IF(NOT(ISBLANK('A-RACHNATMAK'!C484)),"B",IF(NOT(ISBLANK('A-RACHNATMAK'!C483)),"C","")))</f>
        <v/>
      </c>
      <c r="C454" s="622" t="str">
        <f>IF(NOT(ISBLANK('A-RACHNATMAK'!D485)),"A",IF(NOT(ISBLANK('A-RACHNATMAK'!D484)),"B",IF(NOT(ISBLANK('A-RACHNATMAK'!D483)),"C","")))</f>
        <v/>
      </c>
      <c r="D454" s="622" t="str">
        <f>IF(NOT(ISBLANK('A-RACHNATMAK'!E485)),"A",IF(NOT(ISBLANK('A-RACHNATMAK'!E484)),"B",IF(NOT(ISBLANK('A-RACHNATMAK'!E483)),"C","")))</f>
        <v/>
      </c>
      <c r="E454" s="622" t="str">
        <f>IF(NOT(ISBLANK('A-RACHNATMAK'!F485)),"A",IF(NOT(ISBLANK('A-RACHNATMAK'!F484)),"B",IF(NOT(ISBLANK('A-RACHNATMAK'!F483)),"C","")))</f>
        <v/>
      </c>
      <c r="F454" s="622" t="str">
        <f>IF(NOT(ISBLANK('A-RACHNATMAK'!G485)),"A",IF(NOT(ISBLANK('A-RACHNATMAK'!G484)),"B",IF(NOT(ISBLANK('A-RACHNATMAK'!G483)),"C","")))</f>
        <v/>
      </c>
      <c r="G454" s="622" t="str">
        <f>IF(NOT(ISBLANK('A-RACHNATMAK'!H485)),"A",IF(NOT(ISBLANK('A-RACHNATMAK'!H484)),"B",IF(NOT(ISBLANK('A-RACHNATMAK'!H483)),"C","")))</f>
        <v/>
      </c>
      <c r="H454" s="622" t="str">
        <f>IF(NOT(ISBLANK('A-RACHNATMAK'!I485)),"A",IF(NOT(ISBLANK('A-RACHNATMAK'!I484)),"B",IF(NOT(ISBLANK('A-RACHNATMAK'!I483)),"C","")))</f>
        <v/>
      </c>
      <c r="I454" s="622" t="str">
        <f>IF(NOT(ISBLANK('A-RACHNATMAK'!J485)),"A",IF(NOT(ISBLANK('A-RACHNATMAK'!J484)),"B",IF(NOT(ISBLANK('A-RACHNATMAK'!J483)),"C","")))</f>
        <v/>
      </c>
      <c r="J454" s="622" t="str">
        <f>IF(NOT(ISBLANK('A-RACHNATMAK'!K485)),"A",IF(NOT(ISBLANK('A-RACHNATMAK'!K484)),"B",IF(NOT(ISBLANK('A-RACHNATMAK'!K483)),"C","")))</f>
        <v/>
      </c>
      <c r="K454" s="622" t="str">
        <f>IF(NOT(ISBLANK('A-RACHNATMAK'!L485)),"A",IF(NOT(ISBLANK('A-RACHNATMAK'!L484)),"B",IF(NOT(ISBLANK('A-RACHNATMAK'!L483)),"C","")))</f>
        <v/>
      </c>
      <c r="L454" s="622" t="str">
        <f>IF(NOT(ISBLANK('A-RACHNATMAK'!M485)),"A",IF(NOT(ISBLANK('A-RACHNATMAK'!M484)),"B",IF(NOT(ISBLANK('A-RACHNATMAK'!M483)),"C","")))</f>
        <v/>
      </c>
      <c r="M454" s="622" t="str">
        <f>IF(NOT(ISBLANK('A-RACHNATMAK'!N485)),"A",IF(NOT(ISBLANK('A-RACHNATMAK'!N484)),"B",IF(NOT(ISBLANK('A-RACHNATMAK'!N483)),"C","")))</f>
        <v/>
      </c>
      <c r="N454" s="622" t="str">
        <f>IF(NOT(ISBLANK('A-RACHNATMAK'!O485)),"A",IF(NOT(ISBLANK('A-RACHNATMAK'!O484)),"B",IF(NOT(ISBLANK('A-RACHNATMAK'!O483)),"C","")))</f>
        <v/>
      </c>
      <c r="O454" s="622" t="str">
        <f>IF(NOT(ISBLANK('A-RACHNATMAK'!P485)),"A",IF(NOT(ISBLANK('A-RACHNATMAK'!P484)),"B",IF(NOT(ISBLANK('A-RACHNATMAK'!P483)),"C","")))</f>
        <v/>
      </c>
      <c r="P454" s="622" t="str">
        <f>IF(NOT(ISBLANK('A-RACHNATMAK'!Q485)),"A",IF(NOT(ISBLANK('A-RACHNATMAK'!Q484)),"B",IF(NOT(ISBLANK('A-RACHNATMAK'!Q483)),"C","")))</f>
        <v/>
      </c>
      <c r="Q454" s="622" t="str">
        <f>IF(NOT(ISBLANK('A-RACHNATMAK'!R485)),"A",IF(NOT(ISBLANK('A-RACHNATMAK'!R484)),"B",IF(NOT(ISBLANK('A-RACHNATMAK'!R483)),"C","")))</f>
        <v/>
      </c>
      <c r="R454" s="622" t="str">
        <f>IF(NOT(ISBLANK('A-RACHNATMAK'!S485)),"A",IF(NOT(ISBLANK('A-RACHNATMAK'!S484)),"B",IF(NOT(ISBLANK('A-RACHNATMAK'!S483)),"C","")))</f>
        <v/>
      </c>
      <c r="S454" s="622" t="str">
        <f>IF(NOT(ISBLANK('A-RACHNATMAK'!T485)),"A",IF(NOT(ISBLANK('A-RACHNATMAK'!T484)),"B",IF(NOT(ISBLANK('A-RACHNATMAK'!T483)),"C","")))</f>
        <v/>
      </c>
      <c r="T454" s="622" t="str">
        <f>IF(NOT(ISBLANK('A-RACHNATMAK'!U485)),"A",IF(NOT(ISBLANK('A-RACHNATMAK'!U484)),"B",IF(NOT(ISBLANK('A-RACHNATMAK'!U483)),"C","")))</f>
        <v/>
      </c>
      <c r="U454" s="622" t="str">
        <f>IF(NOT(ISBLANK('A-RACHNATMAK'!V485)),"A",IF(NOT(ISBLANK('A-RACHNATMAK'!V484)),"B",IF(NOT(ISBLANK('A-RACHNATMAK'!V483)),"C","")))</f>
        <v/>
      </c>
      <c r="V454" s="622">
        <f t="shared" ref="V454" si="858">COUNTIF(B454:U454,"A")</f>
        <v>0</v>
      </c>
      <c r="W454" s="622">
        <f t="shared" ref="W454" si="859">COUNTIF(B454:U454,"B")</f>
        <v>0</v>
      </c>
      <c r="X454" s="622">
        <f t="shared" ref="X454" si="860">COUNTIF(B454:U454,"C")</f>
        <v>0</v>
      </c>
      <c r="Y454" s="330"/>
      <c r="Z454" s="623">
        <v>9</v>
      </c>
      <c r="AA454" s="622" t="str">
        <f>IF(NOT(ISBLANK('A-RACHNATMAK'!AD485)),"A",IF(NOT(ISBLANK('A-RACHNATMAK'!AD484)),"B",IF(NOT(ISBLANK('A-RACHNATMAK'!AD483)),"C","")))</f>
        <v/>
      </c>
      <c r="AB454" s="622" t="str">
        <f>IF(NOT(ISBLANK('A-RACHNATMAK'!AE485)),"A",IF(NOT(ISBLANK('A-RACHNATMAK'!AE484)),"B",IF(NOT(ISBLANK('A-RACHNATMAK'!AE483)),"C","")))</f>
        <v/>
      </c>
      <c r="AC454" s="622" t="str">
        <f>IF(NOT(ISBLANK('A-RACHNATMAK'!AF485)),"A",IF(NOT(ISBLANK('A-RACHNATMAK'!AF484)),"B",IF(NOT(ISBLANK('A-RACHNATMAK'!AF483)),"C","")))</f>
        <v/>
      </c>
      <c r="AD454" s="622" t="str">
        <f>IF(NOT(ISBLANK('A-RACHNATMAK'!AG485)),"A",IF(NOT(ISBLANK('A-RACHNATMAK'!AG484)),"B",IF(NOT(ISBLANK('A-RACHNATMAK'!AG483)),"C","")))</f>
        <v/>
      </c>
      <c r="AE454" s="622" t="str">
        <f>IF(NOT(ISBLANK('A-RACHNATMAK'!AH485)),"A",IF(NOT(ISBLANK('A-RACHNATMAK'!AH484)),"B",IF(NOT(ISBLANK('A-RACHNATMAK'!AH483)),"C","")))</f>
        <v/>
      </c>
      <c r="AF454" s="622" t="str">
        <f>IF(NOT(ISBLANK('A-RACHNATMAK'!AI485)),"A",IF(NOT(ISBLANK('A-RACHNATMAK'!AI484)),"B",IF(NOT(ISBLANK('A-RACHNATMAK'!AI483)),"C","")))</f>
        <v/>
      </c>
      <c r="AG454" s="622" t="str">
        <f>IF(NOT(ISBLANK('A-RACHNATMAK'!AJ485)),"A",IF(NOT(ISBLANK('A-RACHNATMAK'!AJ484)),"B",IF(NOT(ISBLANK('A-RACHNATMAK'!AJ483)),"C","")))</f>
        <v/>
      </c>
      <c r="AH454" s="622" t="str">
        <f>IF(NOT(ISBLANK('A-RACHNATMAK'!AK485)),"A",IF(NOT(ISBLANK('A-RACHNATMAK'!AK484)),"B",IF(NOT(ISBLANK('A-RACHNATMAK'!AK483)),"C","")))</f>
        <v/>
      </c>
      <c r="AI454" s="622" t="str">
        <f>IF(NOT(ISBLANK('A-RACHNATMAK'!AL485)),"A",IF(NOT(ISBLANK('A-RACHNATMAK'!AL484)),"B",IF(NOT(ISBLANK('A-RACHNATMAK'!AL483)),"C","")))</f>
        <v/>
      </c>
      <c r="AJ454" s="622" t="str">
        <f>IF(NOT(ISBLANK('A-RACHNATMAK'!AM485)),"A",IF(NOT(ISBLANK('A-RACHNATMAK'!AM484)),"B",IF(NOT(ISBLANK('A-RACHNATMAK'!AM483)),"C","")))</f>
        <v/>
      </c>
      <c r="AK454" s="622" t="str">
        <f>IF(NOT(ISBLANK('A-RACHNATMAK'!AN485)),"A",IF(NOT(ISBLANK('A-RACHNATMAK'!AN484)),"B",IF(NOT(ISBLANK('A-RACHNATMAK'!AN483)),"C","")))</f>
        <v/>
      </c>
      <c r="AL454" s="622" t="str">
        <f>IF(NOT(ISBLANK('A-RACHNATMAK'!AO485)),"A",IF(NOT(ISBLANK('A-RACHNATMAK'!AO484)),"B",IF(NOT(ISBLANK('A-RACHNATMAK'!AO483)),"C","")))</f>
        <v/>
      </c>
      <c r="AM454" s="622" t="str">
        <f>IF(NOT(ISBLANK('A-RACHNATMAK'!AP485)),"A",IF(NOT(ISBLANK('A-RACHNATMAK'!AP484)),"B",IF(NOT(ISBLANK('A-RACHNATMAK'!AP483)),"C","")))</f>
        <v/>
      </c>
      <c r="AN454" s="622" t="str">
        <f>IF(NOT(ISBLANK('A-RACHNATMAK'!AQ485)),"A",IF(NOT(ISBLANK('A-RACHNATMAK'!AQ484)),"B",IF(NOT(ISBLANK('A-RACHNATMAK'!AQ483)),"C","")))</f>
        <v/>
      </c>
      <c r="AO454" s="622" t="str">
        <f>IF(NOT(ISBLANK('A-RACHNATMAK'!AR485)),"A",IF(NOT(ISBLANK('A-RACHNATMAK'!AR484)),"B",IF(NOT(ISBLANK('A-RACHNATMAK'!AR483)),"C","")))</f>
        <v/>
      </c>
      <c r="AP454" s="622" t="str">
        <f>IF(NOT(ISBLANK('A-RACHNATMAK'!AS485)),"A",IF(NOT(ISBLANK('A-RACHNATMAK'!AS484)),"B",IF(NOT(ISBLANK('A-RACHNATMAK'!AS483)),"C","")))</f>
        <v/>
      </c>
      <c r="AQ454" s="622" t="str">
        <f>IF(NOT(ISBLANK('A-RACHNATMAK'!AT485)),"A",IF(NOT(ISBLANK('A-RACHNATMAK'!AT484)),"B",IF(NOT(ISBLANK('A-RACHNATMAK'!AT483)),"C","")))</f>
        <v/>
      </c>
      <c r="AR454" s="622" t="str">
        <f>IF(NOT(ISBLANK('A-RACHNATMAK'!AU485)),"A",IF(NOT(ISBLANK('A-RACHNATMAK'!AU484)),"B",IF(NOT(ISBLANK('A-RACHNATMAK'!AU483)),"C","")))</f>
        <v/>
      </c>
      <c r="AS454" s="622" t="str">
        <f>IF(NOT(ISBLANK('A-RACHNATMAK'!AV485)),"A",IF(NOT(ISBLANK('A-RACHNATMAK'!AV484)),"B",IF(NOT(ISBLANK('A-RACHNATMAK'!AV483)),"C","")))</f>
        <v/>
      </c>
      <c r="AT454" s="622" t="str">
        <f>IF(NOT(ISBLANK('A-RACHNATMAK'!AW485)),"A",IF(NOT(ISBLANK('A-RACHNATMAK'!AW484)),"B",IF(NOT(ISBLANK('A-RACHNATMAK'!AW483)),"C","")))</f>
        <v/>
      </c>
      <c r="AU454" s="622">
        <f t="shared" ref="AU454" si="861">COUNTIF(AA454:AT454,"A")</f>
        <v>0</v>
      </c>
      <c r="AV454" s="622">
        <f t="shared" ref="AV454" si="862">COUNTIF(AA454:AT454,"B")</f>
        <v>0</v>
      </c>
      <c r="AW454" s="622">
        <f t="shared" ref="AW454" si="863">COUNTIF(AA454:AT454,"C")</f>
        <v>0</v>
      </c>
    </row>
    <row r="455" spans="1:49" ht="7.5" customHeight="1">
      <c r="A455" s="623"/>
      <c r="B455" s="622"/>
      <c r="C455" s="622"/>
      <c r="D455" s="622"/>
      <c r="E455" s="622"/>
      <c r="F455" s="622"/>
      <c r="G455" s="622"/>
      <c r="H455" s="622"/>
      <c r="I455" s="622"/>
      <c r="J455" s="622"/>
      <c r="K455" s="622"/>
      <c r="L455" s="622"/>
      <c r="M455" s="622"/>
      <c r="N455" s="622"/>
      <c r="O455" s="622"/>
      <c r="P455" s="622"/>
      <c r="Q455" s="622"/>
      <c r="R455" s="622"/>
      <c r="S455" s="622"/>
      <c r="T455" s="622"/>
      <c r="U455" s="622"/>
      <c r="V455" s="622"/>
      <c r="W455" s="622"/>
      <c r="X455" s="622"/>
      <c r="Y455" s="330"/>
      <c r="Z455" s="623"/>
      <c r="AA455" s="622"/>
      <c r="AB455" s="622"/>
      <c r="AC455" s="622"/>
      <c r="AD455" s="622"/>
      <c r="AE455" s="622"/>
      <c r="AF455" s="622"/>
      <c r="AG455" s="622"/>
      <c r="AH455" s="622"/>
      <c r="AI455" s="622"/>
      <c r="AJ455" s="622"/>
      <c r="AK455" s="622"/>
      <c r="AL455" s="622"/>
      <c r="AM455" s="622"/>
      <c r="AN455" s="622"/>
      <c r="AO455" s="622"/>
      <c r="AP455" s="622"/>
      <c r="AQ455" s="622"/>
      <c r="AR455" s="622"/>
      <c r="AS455" s="622"/>
      <c r="AT455" s="622"/>
      <c r="AU455" s="622"/>
      <c r="AV455" s="622"/>
      <c r="AW455" s="622"/>
    </row>
    <row r="456" spans="1:49" ht="7.5" customHeight="1">
      <c r="A456" s="623"/>
      <c r="B456" s="622"/>
      <c r="C456" s="622"/>
      <c r="D456" s="622"/>
      <c r="E456" s="622"/>
      <c r="F456" s="622"/>
      <c r="G456" s="622"/>
      <c r="H456" s="622"/>
      <c r="I456" s="622"/>
      <c r="J456" s="622"/>
      <c r="K456" s="622"/>
      <c r="L456" s="622"/>
      <c r="M456" s="622"/>
      <c r="N456" s="622"/>
      <c r="O456" s="622"/>
      <c r="P456" s="622"/>
      <c r="Q456" s="622"/>
      <c r="R456" s="622"/>
      <c r="S456" s="622"/>
      <c r="T456" s="622"/>
      <c r="U456" s="622"/>
      <c r="V456" s="622"/>
      <c r="W456" s="622"/>
      <c r="X456" s="622"/>
      <c r="Y456" s="330"/>
      <c r="Z456" s="623"/>
      <c r="AA456" s="622"/>
      <c r="AB456" s="622"/>
      <c r="AC456" s="622"/>
      <c r="AD456" s="622"/>
      <c r="AE456" s="622"/>
      <c r="AF456" s="622"/>
      <c r="AG456" s="622"/>
      <c r="AH456" s="622"/>
      <c r="AI456" s="622"/>
      <c r="AJ456" s="622"/>
      <c r="AK456" s="622"/>
      <c r="AL456" s="622"/>
      <c r="AM456" s="622"/>
      <c r="AN456" s="622"/>
      <c r="AO456" s="622"/>
      <c r="AP456" s="622"/>
      <c r="AQ456" s="622"/>
      <c r="AR456" s="622"/>
      <c r="AS456" s="622"/>
      <c r="AT456" s="622"/>
      <c r="AU456" s="622"/>
      <c r="AV456" s="622"/>
      <c r="AW456" s="622"/>
    </row>
    <row r="457" spans="1:49" ht="7.5" customHeight="1">
      <c r="A457" s="623">
        <v>10</v>
      </c>
      <c r="B457" s="622" t="str">
        <f>IF(NOT(ISBLANK('A-RACHNATMAK'!C488)),"A",IF(NOT(ISBLANK('A-RACHNATMAK'!C487)),"B",IF(NOT(ISBLANK('A-RACHNATMAK'!C486)),"C","")))</f>
        <v/>
      </c>
      <c r="C457" s="622" t="str">
        <f>IF(NOT(ISBLANK('A-RACHNATMAK'!D488)),"A",IF(NOT(ISBLANK('A-RACHNATMAK'!D487)),"B",IF(NOT(ISBLANK('A-RACHNATMAK'!D486)),"C","")))</f>
        <v/>
      </c>
      <c r="D457" s="622" t="str">
        <f>IF(NOT(ISBLANK('A-RACHNATMAK'!E488)),"A",IF(NOT(ISBLANK('A-RACHNATMAK'!E487)),"B",IF(NOT(ISBLANK('A-RACHNATMAK'!E486)),"C","")))</f>
        <v/>
      </c>
      <c r="E457" s="622" t="str">
        <f>IF(NOT(ISBLANK('A-RACHNATMAK'!F488)),"A",IF(NOT(ISBLANK('A-RACHNATMAK'!F487)),"B",IF(NOT(ISBLANK('A-RACHNATMAK'!F486)),"C","")))</f>
        <v/>
      </c>
      <c r="F457" s="622" t="str">
        <f>IF(NOT(ISBLANK('A-RACHNATMAK'!G488)),"A",IF(NOT(ISBLANK('A-RACHNATMAK'!G487)),"B",IF(NOT(ISBLANK('A-RACHNATMAK'!G486)),"C","")))</f>
        <v/>
      </c>
      <c r="G457" s="622" t="str">
        <f>IF(NOT(ISBLANK('A-RACHNATMAK'!H488)),"A",IF(NOT(ISBLANK('A-RACHNATMAK'!H487)),"B",IF(NOT(ISBLANK('A-RACHNATMAK'!H486)),"C","")))</f>
        <v/>
      </c>
      <c r="H457" s="622" t="str">
        <f>IF(NOT(ISBLANK('A-RACHNATMAK'!I488)),"A",IF(NOT(ISBLANK('A-RACHNATMAK'!I487)),"B",IF(NOT(ISBLANK('A-RACHNATMAK'!I486)),"C","")))</f>
        <v/>
      </c>
      <c r="I457" s="622" t="str">
        <f>IF(NOT(ISBLANK('A-RACHNATMAK'!J488)),"A",IF(NOT(ISBLANK('A-RACHNATMAK'!J487)),"B",IF(NOT(ISBLANK('A-RACHNATMAK'!J486)),"C","")))</f>
        <v/>
      </c>
      <c r="J457" s="622" t="str">
        <f>IF(NOT(ISBLANK('A-RACHNATMAK'!K488)),"A",IF(NOT(ISBLANK('A-RACHNATMAK'!K487)),"B",IF(NOT(ISBLANK('A-RACHNATMAK'!K486)),"C","")))</f>
        <v/>
      </c>
      <c r="K457" s="622" t="str">
        <f>IF(NOT(ISBLANK('A-RACHNATMAK'!L488)),"A",IF(NOT(ISBLANK('A-RACHNATMAK'!L487)),"B",IF(NOT(ISBLANK('A-RACHNATMAK'!L486)),"C","")))</f>
        <v/>
      </c>
      <c r="L457" s="622" t="str">
        <f>IF(NOT(ISBLANK('A-RACHNATMAK'!M488)),"A",IF(NOT(ISBLANK('A-RACHNATMAK'!M487)),"B",IF(NOT(ISBLANK('A-RACHNATMAK'!M486)),"C","")))</f>
        <v/>
      </c>
      <c r="M457" s="622" t="str">
        <f>IF(NOT(ISBLANK('A-RACHNATMAK'!N488)),"A",IF(NOT(ISBLANK('A-RACHNATMAK'!N487)),"B",IF(NOT(ISBLANK('A-RACHNATMAK'!N486)),"C","")))</f>
        <v/>
      </c>
      <c r="N457" s="622" t="str">
        <f>IF(NOT(ISBLANK('A-RACHNATMAK'!O488)),"A",IF(NOT(ISBLANK('A-RACHNATMAK'!O487)),"B",IF(NOT(ISBLANK('A-RACHNATMAK'!O486)),"C","")))</f>
        <v/>
      </c>
      <c r="O457" s="622" t="str">
        <f>IF(NOT(ISBLANK('A-RACHNATMAK'!P488)),"A",IF(NOT(ISBLANK('A-RACHNATMAK'!P487)),"B",IF(NOT(ISBLANK('A-RACHNATMAK'!P486)),"C","")))</f>
        <v/>
      </c>
      <c r="P457" s="622" t="str">
        <f>IF(NOT(ISBLANK('A-RACHNATMAK'!Q488)),"A",IF(NOT(ISBLANK('A-RACHNATMAK'!Q487)),"B",IF(NOT(ISBLANK('A-RACHNATMAK'!Q486)),"C","")))</f>
        <v/>
      </c>
      <c r="Q457" s="622" t="str">
        <f>IF(NOT(ISBLANK('A-RACHNATMAK'!R488)),"A",IF(NOT(ISBLANK('A-RACHNATMAK'!R487)),"B",IF(NOT(ISBLANK('A-RACHNATMAK'!R486)),"C","")))</f>
        <v/>
      </c>
      <c r="R457" s="622" t="str">
        <f>IF(NOT(ISBLANK('A-RACHNATMAK'!S488)),"A",IF(NOT(ISBLANK('A-RACHNATMAK'!S487)),"B",IF(NOT(ISBLANK('A-RACHNATMAK'!S486)),"C","")))</f>
        <v/>
      </c>
      <c r="S457" s="622" t="str">
        <f>IF(NOT(ISBLANK('A-RACHNATMAK'!T488)),"A",IF(NOT(ISBLANK('A-RACHNATMAK'!T487)),"B",IF(NOT(ISBLANK('A-RACHNATMAK'!T486)),"C","")))</f>
        <v/>
      </c>
      <c r="T457" s="622" t="str">
        <f>IF(NOT(ISBLANK('A-RACHNATMAK'!U488)),"A",IF(NOT(ISBLANK('A-RACHNATMAK'!U487)),"B",IF(NOT(ISBLANK('A-RACHNATMAK'!U486)),"C","")))</f>
        <v/>
      </c>
      <c r="U457" s="622" t="str">
        <f>IF(NOT(ISBLANK('A-RACHNATMAK'!V488)),"A",IF(NOT(ISBLANK('A-RACHNATMAK'!V487)),"B",IF(NOT(ISBLANK('A-RACHNATMAK'!V486)),"C","")))</f>
        <v/>
      </c>
      <c r="V457" s="622">
        <f t="shared" ref="V457" si="864">COUNTIF(B457:U457,"A")</f>
        <v>0</v>
      </c>
      <c r="W457" s="622">
        <f t="shared" ref="W457" si="865">COUNTIF(B457:U457,"B")</f>
        <v>0</v>
      </c>
      <c r="X457" s="622">
        <f t="shared" ref="X457" si="866">COUNTIF(B457:U457,"C")</f>
        <v>0</v>
      </c>
      <c r="Y457" s="330"/>
      <c r="Z457" s="623">
        <v>10</v>
      </c>
      <c r="AA457" s="622" t="str">
        <f>IF(NOT(ISBLANK('A-RACHNATMAK'!AD488)),"A",IF(NOT(ISBLANK('A-RACHNATMAK'!AD487)),"B",IF(NOT(ISBLANK('A-RACHNATMAK'!AD486)),"C","")))</f>
        <v/>
      </c>
      <c r="AB457" s="622" t="str">
        <f>IF(NOT(ISBLANK('A-RACHNATMAK'!AE488)),"A",IF(NOT(ISBLANK('A-RACHNATMAK'!AE487)),"B",IF(NOT(ISBLANK('A-RACHNATMAK'!AE486)),"C","")))</f>
        <v/>
      </c>
      <c r="AC457" s="622" t="str">
        <f>IF(NOT(ISBLANK('A-RACHNATMAK'!AF488)),"A",IF(NOT(ISBLANK('A-RACHNATMAK'!AF487)),"B",IF(NOT(ISBLANK('A-RACHNATMAK'!AF486)),"C","")))</f>
        <v/>
      </c>
      <c r="AD457" s="622" t="str">
        <f>IF(NOT(ISBLANK('A-RACHNATMAK'!AG488)),"A",IF(NOT(ISBLANK('A-RACHNATMAK'!AG487)),"B",IF(NOT(ISBLANK('A-RACHNATMAK'!AG486)),"C","")))</f>
        <v/>
      </c>
      <c r="AE457" s="622" t="str">
        <f>IF(NOT(ISBLANK('A-RACHNATMAK'!AH488)),"A",IF(NOT(ISBLANK('A-RACHNATMAK'!AH487)),"B",IF(NOT(ISBLANK('A-RACHNATMAK'!AH486)),"C","")))</f>
        <v/>
      </c>
      <c r="AF457" s="622" t="str">
        <f>IF(NOT(ISBLANK('A-RACHNATMAK'!AI488)),"A",IF(NOT(ISBLANK('A-RACHNATMAK'!AI487)),"B",IF(NOT(ISBLANK('A-RACHNATMAK'!AI486)),"C","")))</f>
        <v/>
      </c>
      <c r="AG457" s="622" t="str">
        <f>IF(NOT(ISBLANK('A-RACHNATMAK'!AJ488)),"A",IF(NOT(ISBLANK('A-RACHNATMAK'!AJ487)),"B",IF(NOT(ISBLANK('A-RACHNATMAK'!AJ486)),"C","")))</f>
        <v/>
      </c>
      <c r="AH457" s="622" t="str">
        <f>IF(NOT(ISBLANK('A-RACHNATMAK'!AK488)),"A",IF(NOT(ISBLANK('A-RACHNATMAK'!AK487)),"B",IF(NOT(ISBLANK('A-RACHNATMAK'!AK486)),"C","")))</f>
        <v/>
      </c>
      <c r="AI457" s="622" t="str">
        <f>IF(NOT(ISBLANK('A-RACHNATMAK'!AL488)),"A",IF(NOT(ISBLANK('A-RACHNATMAK'!AL487)),"B",IF(NOT(ISBLANK('A-RACHNATMAK'!AL486)),"C","")))</f>
        <v/>
      </c>
      <c r="AJ457" s="622" t="str">
        <f>IF(NOT(ISBLANK('A-RACHNATMAK'!AM488)),"A",IF(NOT(ISBLANK('A-RACHNATMAK'!AM487)),"B",IF(NOT(ISBLANK('A-RACHNATMAK'!AM486)),"C","")))</f>
        <v/>
      </c>
      <c r="AK457" s="622" t="str">
        <f>IF(NOT(ISBLANK('A-RACHNATMAK'!AN488)),"A",IF(NOT(ISBLANK('A-RACHNATMAK'!AN487)),"B",IF(NOT(ISBLANK('A-RACHNATMAK'!AN486)),"C","")))</f>
        <v/>
      </c>
      <c r="AL457" s="622" t="str">
        <f>IF(NOT(ISBLANK('A-RACHNATMAK'!AO488)),"A",IF(NOT(ISBLANK('A-RACHNATMAK'!AO487)),"B",IF(NOT(ISBLANK('A-RACHNATMAK'!AO486)),"C","")))</f>
        <v/>
      </c>
      <c r="AM457" s="622" t="str">
        <f>IF(NOT(ISBLANK('A-RACHNATMAK'!AP488)),"A",IF(NOT(ISBLANK('A-RACHNATMAK'!AP487)),"B",IF(NOT(ISBLANK('A-RACHNATMAK'!AP486)),"C","")))</f>
        <v/>
      </c>
      <c r="AN457" s="622" t="str">
        <f>IF(NOT(ISBLANK('A-RACHNATMAK'!AQ488)),"A",IF(NOT(ISBLANK('A-RACHNATMAK'!AQ487)),"B",IF(NOT(ISBLANK('A-RACHNATMAK'!AQ486)),"C","")))</f>
        <v/>
      </c>
      <c r="AO457" s="622" t="str">
        <f>IF(NOT(ISBLANK('A-RACHNATMAK'!AR488)),"A",IF(NOT(ISBLANK('A-RACHNATMAK'!AR487)),"B",IF(NOT(ISBLANK('A-RACHNATMAK'!AR486)),"C","")))</f>
        <v/>
      </c>
      <c r="AP457" s="622" t="str">
        <f>IF(NOT(ISBLANK('A-RACHNATMAK'!AS488)),"A",IF(NOT(ISBLANK('A-RACHNATMAK'!AS487)),"B",IF(NOT(ISBLANK('A-RACHNATMAK'!AS486)),"C","")))</f>
        <v/>
      </c>
      <c r="AQ457" s="622" t="str">
        <f>IF(NOT(ISBLANK('A-RACHNATMAK'!AT488)),"A",IF(NOT(ISBLANK('A-RACHNATMAK'!AT487)),"B",IF(NOT(ISBLANK('A-RACHNATMAK'!AT486)),"C","")))</f>
        <v/>
      </c>
      <c r="AR457" s="622" t="str">
        <f>IF(NOT(ISBLANK('A-RACHNATMAK'!AU488)),"A",IF(NOT(ISBLANK('A-RACHNATMAK'!AU487)),"B",IF(NOT(ISBLANK('A-RACHNATMAK'!AU486)),"C","")))</f>
        <v/>
      </c>
      <c r="AS457" s="622" t="str">
        <f>IF(NOT(ISBLANK('A-RACHNATMAK'!AV488)),"A",IF(NOT(ISBLANK('A-RACHNATMAK'!AV487)),"B",IF(NOT(ISBLANK('A-RACHNATMAK'!AV486)),"C","")))</f>
        <v/>
      </c>
      <c r="AT457" s="622" t="str">
        <f>IF(NOT(ISBLANK('A-RACHNATMAK'!AW488)),"A",IF(NOT(ISBLANK('A-RACHNATMAK'!AW487)),"B",IF(NOT(ISBLANK('A-RACHNATMAK'!AW486)),"C","")))</f>
        <v/>
      </c>
      <c r="AU457" s="622">
        <f t="shared" ref="AU457" si="867">COUNTIF(AA457:AT457,"A")</f>
        <v>0</v>
      </c>
      <c r="AV457" s="622">
        <f t="shared" ref="AV457" si="868">COUNTIF(AA457:AT457,"B")</f>
        <v>0</v>
      </c>
      <c r="AW457" s="622">
        <f t="shared" ref="AW457" si="869">COUNTIF(AA457:AT457,"C")</f>
        <v>0</v>
      </c>
    </row>
    <row r="458" spans="1:49" ht="7.5" customHeight="1">
      <c r="A458" s="623"/>
      <c r="B458" s="622"/>
      <c r="C458" s="622"/>
      <c r="D458" s="622"/>
      <c r="E458" s="622"/>
      <c r="F458" s="622"/>
      <c r="G458" s="622"/>
      <c r="H458" s="622"/>
      <c r="I458" s="622"/>
      <c r="J458" s="622"/>
      <c r="K458" s="622"/>
      <c r="L458" s="622"/>
      <c r="M458" s="622"/>
      <c r="N458" s="622"/>
      <c r="O458" s="622"/>
      <c r="P458" s="622"/>
      <c r="Q458" s="622"/>
      <c r="R458" s="622"/>
      <c r="S458" s="622"/>
      <c r="T458" s="622"/>
      <c r="U458" s="622"/>
      <c r="V458" s="622"/>
      <c r="W458" s="622"/>
      <c r="X458" s="622"/>
      <c r="Y458" s="330"/>
      <c r="Z458" s="623"/>
      <c r="AA458" s="622"/>
      <c r="AB458" s="622"/>
      <c r="AC458" s="622"/>
      <c r="AD458" s="622"/>
      <c r="AE458" s="622"/>
      <c r="AF458" s="622"/>
      <c r="AG458" s="622"/>
      <c r="AH458" s="622"/>
      <c r="AI458" s="622"/>
      <c r="AJ458" s="622"/>
      <c r="AK458" s="622"/>
      <c r="AL458" s="622"/>
      <c r="AM458" s="622"/>
      <c r="AN458" s="622"/>
      <c r="AO458" s="622"/>
      <c r="AP458" s="622"/>
      <c r="AQ458" s="622"/>
      <c r="AR458" s="622"/>
      <c r="AS458" s="622"/>
      <c r="AT458" s="622"/>
      <c r="AU458" s="622"/>
      <c r="AV458" s="622"/>
      <c r="AW458" s="622"/>
    </row>
    <row r="459" spans="1:49" ht="7.5" customHeight="1">
      <c r="A459" s="623"/>
      <c r="B459" s="622"/>
      <c r="C459" s="622"/>
      <c r="D459" s="622"/>
      <c r="E459" s="622"/>
      <c r="F459" s="622"/>
      <c r="G459" s="622"/>
      <c r="H459" s="622"/>
      <c r="I459" s="622"/>
      <c r="J459" s="622"/>
      <c r="K459" s="622"/>
      <c r="L459" s="622"/>
      <c r="M459" s="622"/>
      <c r="N459" s="622"/>
      <c r="O459" s="622"/>
      <c r="P459" s="622"/>
      <c r="Q459" s="622"/>
      <c r="R459" s="622"/>
      <c r="S459" s="622"/>
      <c r="T459" s="622"/>
      <c r="U459" s="622"/>
      <c r="V459" s="622"/>
      <c r="W459" s="622"/>
      <c r="X459" s="622"/>
      <c r="Y459" s="330"/>
      <c r="Z459" s="623"/>
      <c r="AA459" s="622"/>
      <c r="AB459" s="622"/>
      <c r="AC459" s="622"/>
      <c r="AD459" s="622"/>
      <c r="AE459" s="622"/>
      <c r="AF459" s="622"/>
      <c r="AG459" s="622"/>
      <c r="AH459" s="622"/>
      <c r="AI459" s="622"/>
      <c r="AJ459" s="622"/>
      <c r="AK459" s="622"/>
      <c r="AL459" s="622"/>
      <c r="AM459" s="622"/>
      <c r="AN459" s="622"/>
      <c r="AO459" s="622"/>
      <c r="AP459" s="622"/>
      <c r="AQ459" s="622"/>
      <c r="AR459" s="622"/>
      <c r="AS459" s="622"/>
      <c r="AT459" s="622"/>
      <c r="AU459" s="622"/>
      <c r="AV459" s="622"/>
      <c r="AW459" s="622"/>
    </row>
    <row r="460" spans="1:49" ht="7.5" customHeight="1">
      <c r="A460" s="623">
        <v>11</v>
      </c>
      <c r="B460" s="622" t="str">
        <f>IF(NOT(ISBLANK('A-RACHNATMAK'!C491)),"A",IF(NOT(ISBLANK('A-RACHNATMAK'!C490)),"B",IF(NOT(ISBLANK('A-RACHNATMAK'!C489)),"C","")))</f>
        <v/>
      </c>
      <c r="C460" s="622" t="str">
        <f>IF(NOT(ISBLANK('A-RACHNATMAK'!D491)),"A",IF(NOT(ISBLANK('A-RACHNATMAK'!D490)),"B",IF(NOT(ISBLANK('A-RACHNATMAK'!D489)),"C","")))</f>
        <v/>
      </c>
      <c r="D460" s="622" t="str">
        <f>IF(NOT(ISBLANK('A-RACHNATMAK'!E491)),"A",IF(NOT(ISBLANK('A-RACHNATMAK'!E490)),"B",IF(NOT(ISBLANK('A-RACHNATMAK'!E489)),"C","")))</f>
        <v/>
      </c>
      <c r="E460" s="622" t="str">
        <f>IF(NOT(ISBLANK('A-RACHNATMAK'!F491)),"A",IF(NOT(ISBLANK('A-RACHNATMAK'!F490)),"B",IF(NOT(ISBLANK('A-RACHNATMAK'!F489)),"C","")))</f>
        <v/>
      </c>
      <c r="F460" s="622" t="str">
        <f>IF(NOT(ISBLANK('A-RACHNATMAK'!G491)),"A",IF(NOT(ISBLANK('A-RACHNATMAK'!G490)),"B",IF(NOT(ISBLANK('A-RACHNATMAK'!G489)),"C","")))</f>
        <v/>
      </c>
      <c r="G460" s="622" t="str">
        <f>IF(NOT(ISBLANK('A-RACHNATMAK'!H491)),"A",IF(NOT(ISBLANK('A-RACHNATMAK'!H490)),"B",IF(NOT(ISBLANK('A-RACHNATMAK'!H489)),"C","")))</f>
        <v/>
      </c>
      <c r="H460" s="622" t="str">
        <f>IF(NOT(ISBLANK('A-RACHNATMAK'!I491)),"A",IF(NOT(ISBLANK('A-RACHNATMAK'!I490)),"B",IF(NOT(ISBLANK('A-RACHNATMAK'!I489)),"C","")))</f>
        <v/>
      </c>
      <c r="I460" s="622" t="str">
        <f>IF(NOT(ISBLANK('A-RACHNATMAK'!J491)),"A",IF(NOT(ISBLANK('A-RACHNATMAK'!J490)),"B",IF(NOT(ISBLANK('A-RACHNATMAK'!J489)),"C","")))</f>
        <v/>
      </c>
      <c r="J460" s="622" t="str">
        <f>IF(NOT(ISBLANK('A-RACHNATMAK'!K491)),"A",IF(NOT(ISBLANK('A-RACHNATMAK'!K490)),"B",IF(NOT(ISBLANK('A-RACHNATMAK'!K489)),"C","")))</f>
        <v/>
      </c>
      <c r="K460" s="622" t="str">
        <f>IF(NOT(ISBLANK('A-RACHNATMAK'!L491)),"A",IF(NOT(ISBLANK('A-RACHNATMAK'!L490)),"B",IF(NOT(ISBLANK('A-RACHNATMAK'!L489)),"C","")))</f>
        <v/>
      </c>
      <c r="L460" s="622" t="str">
        <f>IF(NOT(ISBLANK('A-RACHNATMAK'!M491)),"A",IF(NOT(ISBLANK('A-RACHNATMAK'!M490)),"B",IF(NOT(ISBLANK('A-RACHNATMAK'!M489)),"C","")))</f>
        <v/>
      </c>
      <c r="M460" s="622" t="str">
        <f>IF(NOT(ISBLANK('A-RACHNATMAK'!N491)),"A",IF(NOT(ISBLANK('A-RACHNATMAK'!N490)),"B",IF(NOT(ISBLANK('A-RACHNATMAK'!N489)),"C","")))</f>
        <v/>
      </c>
      <c r="N460" s="622" t="str">
        <f>IF(NOT(ISBLANK('A-RACHNATMAK'!O491)),"A",IF(NOT(ISBLANK('A-RACHNATMAK'!O490)),"B",IF(NOT(ISBLANK('A-RACHNATMAK'!O489)),"C","")))</f>
        <v/>
      </c>
      <c r="O460" s="622" t="str">
        <f>IF(NOT(ISBLANK('A-RACHNATMAK'!P491)),"A",IF(NOT(ISBLANK('A-RACHNATMAK'!P490)),"B",IF(NOT(ISBLANK('A-RACHNATMAK'!P489)),"C","")))</f>
        <v/>
      </c>
      <c r="P460" s="622" t="str">
        <f>IF(NOT(ISBLANK('A-RACHNATMAK'!Q491)),"A",IF(NOT(ISBLANK('A-RACHNATMAK'!Q490)),"B",IF(NOT(ISBLANK('A-RACHNATMAK'!Q489)),"C","")))</f>
        <v/>
      </c>
      <c r="Q460" s="622" t="str">
        <f>IF(NOT(ISBLANK('A-RACHNATMAK'!R491)),"A",IF(NOT(ISBLANK('A-RACHNATMAK'!R490)),"B",IF(NOT(ISBLANK('A-RACHNATMAK'!R489)),"C","")))</f>
        <v/>
      </c>
      <c r="R460" s="622" t="str">
        <f>IF(NOT(ISBLANK('A-RACHNATMAK'!S491)),"A",IF(NOT(ISBLANK('A-RACHNATMAK'!S490)),"B",IF(NOT(ISBLANK('A-RACHNATMAK'!S489)),"C","")))</f>
        <v/>
      </c>
      <c r="S460" s="622" t="str">
        <f>IF(NOT(ISBLANK('A-RACHNATMAK'!T491)),"A",IF(NOT(ISBLANK('A-RACHNATMAK'!T490)),"B",IF(NOT(ISBLANK('A-RACHNATMAK'!T489)),"C","")))</f>
        <v/>
      </c>
      <c r="T460" s="622" t="str">
        <f>IF(NOT(ISBLANK('A-RACHNATMAK'!U491)),"A",IF(NOT(ISBLANK('A-RACHNATMAK'!U490)),"B",IF(NOT(ISBLANK('A-RACHNATMAK'!U489)),"C","")))</f>
        <v/>
      </c>
      <c r="U460" s="622" t="str">
        <f>IF(NOT(ISBLANK('A-RACHNATMAK'!V491)),"A",IF(NOT(ISBLANK('A-RACHNATMAK'!V490)),"B",IF(NOT(ISBLANK('A-RACHNATMAK'!V489)),"C","")))</f>
        <v/>
      </c>
      <c r="V460" s="622">
        <f t="shared" ref="V460" si="870">COUNTIF(B460:U460,"A")</f>
        <v>0</v>
      </c>
      <c r="W460" s="622">
        <f t="shared" ref="W460" si="871">COUNTIF(B460:U460,"B")</f>
        <v>0</v>
      </c>
      <c r="X460" s="622">
        <f t="shared" ref="X460" si="872">COUNTIF(B460:U460,"C")</f>
        <v>0</v>
      </c>
      <c r="Y460" s="330"/>
      <c r="Z460" s="623">
        <v>11</v>
      </c>
      <c r="AA460" s="622" t="str">
        <f>IF(NOT(ISBLANK('A-RACHNATMAK'!AD491)),"A",IF(NOT(ISBLANK('A-RACHNATMAK'!AD490)),"B",IF(NOT(ISBLANK('A-RACHNATMAK'!AD489)),"C","")))</f>
        <v/>
      </c>
      <c r="AB460" s="622" t="str">
        <f>IF(NOT(ISBLANK('A-RACHNATMAK'!AE491)),"A",IF(NOT(ISBLANK('A-RACHNATMAK'!AE490)),"B",IF(NOT(ISBLANK('A-RACHNATMAK'!AE489)),"C","")))</f>
        <v/>
      </c>
      <c r="AC460" s="622" t="str">
        <f>IF(NOT(ISBLANK('A-RACHNATMAK'!AF491)),"A",IF(NOT(ISBLANK('A-RACHNATMAK'!AF490)),"B",IF(NOT(ISBLANK('A-RACHNATMAK'!AF489)),"C","")))</f>
        <v/>
      </c>
      <c r="AD460" s="622" t="str">
        <f>IF(NOT(ISBLANK('A-RACHNATMAK'!AG491)),"A",IF(NOT(ISBLANK('A-RACHNATMAK'!AG490)),"B",IF(NOT(ISBLANK('A-RACHNATMAK'!AG489)),"C","")))</f>
        <v/>
      </c>
      <c r="AE460" s="622" t="str">
        <f>IF(NOT(ISBLANK('A-RACHNATMAK'!AH491)),"A",IF(NOT(ISBLANK('A-RACHNATMAK'!AH490)),"B",IF(NOT(ISBLANK('A-RACHNATMAK'!AH489)),"C","")))</f>
        <v/>
      </c>
      <c r="AF460" s="622" t="str">
        <f>IF(NOT(ISBLANK('A-RACHNATMAK'!AI491)),"A",IF(NOT(ISBLANK('A-RACHNATMAK'!AI490)),"B",IF(NOT(ISBLANK('A-RACHNATMAK'!AI489)),"C","")))</f>
        <v/>
      </c>
      <c r="AG460" s="622" t="str">
        <f>IF(NOT(ISBLANK('A-RACHNATMAK'!AJ491)),"A",IF(NOT(ISBLANK('A-RACHNATMAK'!AJ490)),"B",IF(NOT(ISBLANK('A-RACHNATMAK'!AJ489)),"C","")))</f>
        <v/>
      </c>
      <c r="AH460" s="622" t="str">
        <f>IF(NOT(ISBLANK('A-RACHNATMAK'!AK491)),"A",IF(NOT(ISBLANK('A-RACHNATMAK'!AK490)),"B",IF(NOT(ISBLANK('A-RACHNATMAK'!AK489)),"C","")))</f>
        <v/>
      </c>
      <c r="AI460" s="622" t="str">
        <f>IF(NOT(ISBLANK('A-RACHNATMAK'!AL491)),"A",IF(NOT(ISBLANK('A-RACHNATMAK'!AL490)),"B",IF(NOT(ISBLANK('A-RACHNATMAK'!AL489)),"C","")))</f>
        <v/>
      </c>
      <c r="AJ460" s="622" t="str">
        <f>IF(NOT(ISBLANK('A-RACHNATMAK'!AM491)),"A",IF(NOT(ISBLANK('A-RACHNATMAK'!AM490)),"B",IF(NOT(ISBLANK('A-RACHNATMAK'!AM489)),"C","")))</f>
        <v/>
      </c>
      <c r="AK460" s="622" t="str">
        <f>IF(NOT(ISBLANK('A-RACHNATMAK'!AN491)),"A",IF(NOT(ISBLANK('A-RACHNATMAK'!AN490)),"B",IF(NOT(ISBLANK('A-RACHNATMAK'!AN489)),"C","")))</f>
        <v/>
      </c>
      <c r="AL460" s="622" t="str">
        <f>IF(NOT(ISBLANK('A-RACHNATMAK'!AO491)),"A",IF(NOT(ISBLANK('A-RACHNATMAK'!AO490)),"B",IF(NOT(ISBLANK('A-RACHNATMAK'!AO489)),"C","")))</f>
        <v/>
      </c>
      <c r="AM460" s="622" t="str">
        <f>IF(NOT(ISBLANK('A-RACHNATMAK'!AP491)),"A",IF(NOT(ISBLANK('A-RACHNATMAK'!AP490)),"B",IF(NOT(ISBLANK('A-RACHNATMAK'!AP489)),"C","")))</f>
        <v/>
      </c>
      <c r="AN460" s="622" t="str">
        <f>IF(NOT(ISBLANK('A-RACHNATMAK'!AQ491)),"A",IF(NOT(ISBLANK('A-RACHNATMAK'!AQ490)),"B",IF(NOT(ISBLANK('A-RACHNATMAK'!AQ489)),"C","")))</f>
        <v/>
      </c>
      <c r="AO460" s="622" t="str">
        <f>IF(NOT(ISBLANK('A-RACHNATMAK'!AR491)),"A",IF(NOT(ISBLANK('A-RACHNATMAK'!AR490)),"B",IF(NOT(ISBLANK('A-RACHNATMAK'!AR489)),"C","")))</f>
        <v/>
      </c>
      <c r="AP460" s="622" t="str">
        <f>IF(NOT(ISBLANK('A-RACHNATMAK'!AS491)),"A",IF(NOT(ISBLANK('A-RACHNATMAK'!AS490)),"B",IF(NOT(ISBLANK('A-RACHNATMAK'!AS489)),"C","")))</f>
        <v/>
      </c>
      <c r="AQ460" s="622" t="str">
        <f>IF(NOT(ISBLANK('A-RACHNATMAK'!AT491)),"A",IF(NOT(ISBLANK('A-RACHNATMAK'!AT490)),"B",IF(NOT(ISBLANK('A-RACHNATMAK'!AT489)),"C","")))</f>
        <v/>
      </c>
      <c r="AR460" s="622" t="str">
        <f>IF(NOT(ISBLANK('A-RACHNATMAK'!AU491)),"A",IF(NOT(ISBLANK('A-RACHNATMAK'!AU490)),"B",IF(NOT(ISBLANK('A-RACHNATMAK'!AU489)),"C","")))</f>
        <v/>
      </c>
      <c r="AS460" s="622" t="str">
        <f>IF(NOT(ISBLANK('A-RACHNATMAK'!AV491)),"A",IF(NOT(ISBLANK('A-RACHNATMAK'!AV490)),"B",IF(NOT(ISBLANK('A-RACHNATMAK'!AV489)),"C","")))</f>
        <v/>
      </c>
      <c r="AT460" s="622" t="str">
        <f>IF(NOT(ISBLANK('A-RACHNATMAK'!AW491)),"A",IF(NOT(ISBLANK('A-RACHNATMAK'!AW490)),"B",IF(NOT(ISBLANK('A-RACHNATMAK'!AW489)),"C","")))</f>
        <v/>
      </c>
      <c r="AU460" s="622">
        <f t="shared" ref="AU460" si="873">COUNTIF(AA460:AT460,"A")</f>
        <v>0</v>
      </c>
      <c r="AV460" s="622">
        <f t="shared" ref="AV460" si="874">COUNTIF(AA460:AT460,"B")</f>
        <v>0</v>
      </c>
      <c r="AW460" s="622">
        <f t="shared" ref="AW460" si="875">COUNTIF(AA460:AT460,"C")</f>
        <v>0</v>
      </c>
    </row>
    <row r="461" spans="1:49" ht="7.5" customHeight="1">
      <c r="A461" s="623"/>
      <c r="B461" s="622"/>
      <c r="C461" s="622"/>
      <c r="D461" s="622"/>
      <c r="E461" s="622"/>
      <c r="F461" s="622"/>
      <c r="G461" s="622"/>
      <c r="H461" s="622"/>
      <c r="I461" s="622"/>
      <c r="J461" s="622"/>
      <c r="K461" s="622"/>
      <c r="L461" s="622"/>
      <c r="M461" s="622"/>
      <c r="N461" s="622"/>
      <c r="O461" s="622"/>
      <c r="P461" s="622"/>
      <c r="Q461" s="622"/>
      <c r="R461" s="622"/>
      <c r="S461" s="622"/>
      <c r="T461" s="622"/>
      <c r="U461" s="622"/>
      <c r="V461" s="622"/>
      <c r="W461" s="622"/>
      <c r="X461" s="622"/>
      <c r="Y461" s="330"/>
      <c r="Z461" s="623"/>
      <c r="AA461" s="622"/>
      <c r="AB461" s="622"/>
      <c r="AC461" s="622"/>
      <c r="AD461" s="622"/>
      <c r="AE461" s="622"/>
      <c r="AF461" s="622"/>
      <c r="AG461" s="622"/>
      <c r="AH461" s="622"/>
      <c r="AI461" s="622"/>
      <c r="AJ461" s="622"/>
      <c r="AK461" s="622"/>
      <c r="AL461" s="622"/>
      <c r="AM461" s="622"/>
      <c r="AN461" s="622"/>
      <c r="AO461" s="622"/>
      <c r="AP461" s="622"/>
      <c r="AQ461" s="622"/>
      <c r="AR461" s="622"/>
      <c r="AS461" s="622"/>
      <c r="AT461" s="622"/>
      <c r="AU461" s="622"/>
      <c r="AV461" s="622"/>
      <c r="AW461" s="622"/>
    </row>
    <row r="462" spans="1:49" ht="7.5" customHeight="1">
      <c r="A462" s="623"/>
      <c r="B462" s="622"/>
      <c r="C462" s="622"/>
      <c r="D462" s="622"/>
      <c r="E462" s="622"/>
      <c r="F462" s="622"/>
      <c r="G462" s="622"/>
      <c r="H462" s="622"/>
      <c r="I462" s="622"/>
      <c r="J462" s="622"/>
      <c r="K462" s="622"/>
      <c r="L462" s="622"/>
      <c r="M462" s="622"/>
      <c r="N462" s="622"/>
      <c r="O462" s="622"/>
      <c r="P462" s="622"/>
      <c r="Q462" s="622"/>
      <c r="R462" s="622"/>
      <c r="S462" s="622"/>
      <c r="T462" s="622"/>
      <c r="U462" s="622"/>
      <c r="V462" s="622"/>
      <c r="W462" s="622"/>
      <c r="X462" s="622"/>
      <c r="Y462" s="330"/>
      <c r="Z462" s="623"/>
      <c r="AA462" s="622"/>
      <c r="AB462" s="622"/>
      <c r="AC462" s="622"/>
      <c r="AD462" s="622"/>
      <c r="AE462" s="622"/>
      <c r="AF462" s="622"/>
      <c r="AG462" s="622"/>
      <c r="AH462" s="622"/>
      <c r="AI462" s="622"/>
      <c r="AJ462" s="622"/>
      <c r="AK462" s="622"/>
      <c r="AL462" s="622"/>
      <c r="AM462" s="622"/>
      <c r="AN462" s="622"/>
      <c r="AO462" s="622"/>
      <c r="AP462" s="622"/>
      <c r="AQ462" s="622"/>
      <c r="AR462" s="622"/>
      <c r="AS462" s="622"/>
      <c r="AT462" s="622"/>
      <c r="AU462" s="622"/>
      <c r="AV462" s="622"/>
      <c r="AW462" s="622"/>
    </row>
    <row r="463" spans="1:49" ht="7.5" customHeight="1">
      <c r="A463" s="623">
        <v>12</v>
      </c>
      <c r="B463" s="622" t="str">
        <f>IF(NOT(ISBLANK('A-RACHNATMAK'!C494)),"A",IF(NOT(ISBLANK('A-RACHNATMAK'!C493)),"B",IF(NOT(ISBLANK('A-RACHNATMAK'!C492)),"C","")))</f>
        <v/>
      </c>
      <c r="C463" s="622" t="str">
        <f>IF(NOT(ISBLANK('A-RACHNATMAK'!D494)),"A",IF(NOT(ISBLANK('A-RACHNATMAK'!D493)),"B",IF(NOT(ISBLANK('A-RACHNATMAK'!D492)),"C","")))</f>
        <v/>
      </c>
      <c r="D463" s="622" t="str">
        <f>IF(NOT(ISBLANK('A-RACHNATMAK'!E494)),"A",IF(NOT(ISBLANK('A-RACHNATMAK'!E493)),"B",IF(NOT(ISBLANK('A-RACHNATMAK'!E492)),"C","")))</f>
        <v/>
      </c>
      <c r="E463" s="622" t="str">
        <f>IF(NOT(ISBLANK('A-RACHNATMAK'!F494)),"A",IF(NOT(ISBLANK('A-RACHNATMAK'!F493)),"B",IF(NOT(ISBLANK('A-RACHNATMAK'!F492)),"C","")))</f>
        <v/>
      </c>
      <c r="F463" s="622" t="str">
        <f>IF(NOT(ISBLANK('A-RACHNATMAK'!G494)),"A",IF(NOT(ISBLANK('A-RACHNATMAK'!G493)),"B",IF(NOT(ISBLANK('A-RACHNATMAK'!G492)),"C","")))</f>
        <v/>
      </c>
      <c r="G463" s="622" t="str">
        <f>IF(NOT(ISBLANK('A-RACHNATMAK'!H494)),"A",IF(NOT(ISBLANK('A-RACHNATMAK'!H493)),"B",IF(NOT(ISBLANK('A-RACHNATMAK'!H492)),"C","")))</f>
        <v/>
      </c>
      <c r="H463" s="622" t="str">
        <f>IF(NOT(ISBLANK('A-RACHNATMAK'!I494)),"A",IF(NOT(ISBLANK('A-RACHNATMAK'!I493)),"B",IF(NOT(ISBLANK('A-RACHNATMAK'!I492)),"C","")))</f>
        <v/>
      </c>
      <c r="I463" s="622" t="str">
        <f>IF(NOT(ISBLANK('A-RACHNATMAK'!J494)),"A",IF(NOT(ISBLANK('A-RACHNATMAK'!J493)),"B",IF(NOT(ISBLANK('A-RACHNATMAK'!J492)),"C","")))</f>
        <v/>
      </c>
      <c r="J463" s="622" t="str">
        <f>IF(NOT(ISBLANK('A-RACHNATMAK'!K494)),"A",IF(NOT(ISBLANK('A-RACHNATMAK'!K493)),"B",IF(NOT(ISBLANK('A-RACHNATMAK'!K492)),"C","")))</f>
        <v/>
      </c>
      <c r="K463" s="622" t="str">
        <f>IF(NOT(ISBLANK('A-RACHNATMAK'!L494)),"A",IF(NOT(ISBLANK('A-RACHNATMAK'!L493)),"B",IF(NOT(ISBLANK('A-RACHNATMAK'!L492)),"C","")))</f>
        <v/>
      </c>
      <c r="L463" s="622" t="str">
        <f>IF(NOT(ISBLANK('A-RACHNATMAK'!M494)),"A",IF(NOT(ISBLANK('A-RACHNATMAK'!M493)),"B",IF(NOT(ISBLANK('A-RACHNATMAK'!M492)),"C","")))</f>
        <v/>
      </c>
      <c r="M463" s="622" t="str">
        <f>IF(NOT(ISBLANK('A-RACHNATMAK'!N494)),"A",IF(NOT(ISBLANK('A-RACHNATMAK'!N493)),"B",IF(NOT(ISBLANK('A-RACHNATMAK'!N492)),"C","")))</f>
        <v/>
      </c>
      <c r="N463" s="622" t="str">
        <f>IF(NOT(ISBLANK('A-RACHNATMAK'!O494)),"A",IF(NOT(ISBLANK('A-RACHNATMAK'!O493)),"B",IF(NOT(ISBLANK('A-RACHNATMAK'!O492)),"C","")))</f>
        <v/>
      </c>
      <c r="O463" s="622" t="str">
        <f>IF(NOT(ISBLANK('A-RACHNATMAK'!P494)),"A",IF(NOT(ISBLANK('A-RACHNATMAK'!P493)),"B",IF(NOT(ISBLANK('A-RACHNATMAK'!P492)),"C","")))</f>
        <v/>
      </c>
      <c r="P463" s="622" t="str">
        <f>IF(NOT(ISBLANK('A-RACHNATMAK'!Q494)),"A",IF(NOT(ISBLANK('A-RACHNATMAK'!Q493)),"B",IF(NOT(ISBLANK('A-RACHNATMAK'!Q492)),"C","")))</f>
        <v/>
      </c>
      <c r="Q463" s="622" t="str">
        <f>IF(NOT(ISBLANK('A-RACHNATMAK'!R494)),"A",IF(NOT(ISBLANK('A-RACHNATMAK'!R493)),"B",IF(NOT(ISBLANK('A-RACHNATMAK'!R492)),"C","")))</f>
        <v/>
      </c>
      <c r="R463" s="622" t="str">
        <f>IF(NOT(ISBLANK('A-RACHNATMAK'!S494)),"A",IF(NOT(ISBLANK('A-RACHNATMAK'!S493)),"B",IF(NOT(ISBLANK('A-RACHNATMAK'!S492)),"C","")))</f>
        <v/>
      </c>
      <c r="S463" s="622" t="str">
        <f>IF(NOT(ISBLANK('A-RACHNATMAK'!T494)),"A",IF(NOT(ISBLANK('A-RACHNATMAK'!T493)),"B",IF(NOT(ISBLANK('A-RACHNATMAK'!T492)),"C","")))</f>
        <v/>
      </c>
      <c r="T463" s="622" t="str">
        <f>IF(NOT(ISBLANK('A-RACHNATMAK'!U494)),"A",IF(NOT(ISBLANK('A-RACHNATMAK'!U493)),"B",IF(NOT(ISBLANK('A-RACHNATMAK'!U492)),"C","")))</f>
        <v/>
      </c>
      <c r="U463" s="622" t="str">
        <f>IF(NOT(ISBLANK('A-RACHNATMAK'!V494)),"A",IF(NOT(ISBLANK('A-RACHNATMAK'!V493)),"B",IF(NOT(ISBLANK('A-RACHNATMAK'!V492)),"C","")))</f>
        <v/>
      </c>
      <c r="V463" s="622">
        <f t="shared" ref="V463" si="876">COUNTIF(B463:U463,"A")</f>
        <v>0</v>
      </c>
      <c r="W463" s="622">
        <f t="shared" ref="W463" si="877">COUNTIF(B463:U463,"B")</f>
        <v>0</v>
      </c>
      <c r="X463" s="622">
        <f t="shared" ref="X463" si="878">COUNTIF(B463:U463,"C")</f>
        <v>0</v>
      </c>
      <c r="Y463" s="330"/>
      <c r="Z463" s="623">
        <v>12</v>
      </c>
      <c r="AA463" s="622" t="str">
        <f>IF(NOT(ISBLANK('A-RACHNATMAK'!AD494)),"A",IF(NOT(ISBLANK('A-RACHNATMAK'!AD493)),"B",IF(NOT(ISBLANK('A-RACHNATMAK'!AD492)),"C","")))</f>
        <v/>
      </c>
      <c r="AB463" s="622" t="str">
        <f>IF(NOT(ISBLANK('A-RACHNATMAK'!AE494)),"A",IF(NOT(ISBLANK('A-RACHNATMAK'!AE493)),"B",IF(NOT(ISBLANK('A-RACHNATMAK'!AE492)),"C","")))</f>
        <v/>
      </c>
      <c r="AC463" s="622" t="str">
        <f>IF(NOT(ISBLANK('A-RACHNATMAK'!AF494)),"A",IF(NOT(ISBLANK('A-RACHNATMAK'!AF493)),"B",IF(NOT(ISBLANK('A-RACHNATMAK'!AF492)),"C","")))</f>
        <v/>
      </c>
      <c r="AD463" s="622" t="str">
        <f>IF(NOT(ISBLANK('A-RACHNATMAK'!AG494)),"A",IF(NOT(ISBLANK('A-RACHNATMAK'!AG493)),"B",IF(NOT(ISBLANK('A-RACHNATMAK'!AG492)),"C","")))</f>
        <v/>
      </c>
      <c r="AE463" s="622" t="str">
        <f>IF(NOT(ISBLANK('A-RACHNATMAK'!AH494)),"A",IF(NOT(ISBLANK('A-RACHNATMAK'!AH493)),"B",IF(NOT(ISBLANK('A-RACHNATMAK'!AH492)),"C","")))</f>
        <v/>
      </c>
      <c r="AF463" s="622" t="str">
        <f>IF(NOT(ISBLANK('A-RACHNATMAK'!AI494)),"A",IF(NOT(ISBLANK('A-RACHNATMAK'!AI493)),"B",IF(NOT(ISBLANK('A-RACHNATMAK'!AI492)),"C","")))</f>
        <v/>
      </c>
      <c r="AG463" s="622" t="str">
        <f>IF(NOT(ISBLANK('A-RACHNATMAK'!AJ494)),"A",IF(NOT(ISBLANK('A-RACHNATMAK'!AJ493)),"B",IF(NOT(ISBLANK('A-RACHNATMAK'!AJ492)),"C","")))</f>
        <v/>
      </c>
      <c r="AH463" s="622" t="str">
        <f>IF(NOT(ISBLANK('A-RACHNATMAK'!AK494)),"A",IF(NOT(ISBLANK('A-RACHNATMAK'!AK493)),"B",IF(NOT(ISBLANK('A-RACHNATMAK'!AK492)),"C","")))</f>
        <v/>
      </c>
      <c r="AI463" s="622" t="str">
        <f>IF(NOT(ISBLANK('A-RACHNATMAK'!AL494)),"A",IF(NOT(ISBLANK('A-RACHNATMAK'!AL493)),"B",IF(NOT(ISBLANK('A-RACHNATMAK'!AL492)),"C","")))</f>
        <v/>
      </c>
      <c r="AJ463" s="622" t="str">
        <f>IF(NOT(ISBLANK('A-RACHNATMAK'!AM494)),"A",IF(NOT(ISBLANK('A-RACHNATMAK'!AM493)),"B",IF(NOT(ISBLANK('A-RACHNATMAK'!AM492)),"C","")))</f>
        <v/>
      </c>
      <c r="AK463" s="622" t="str">
        <f>IF(NOT(ISBLANK('A-RACHNATMAK'!AN494)),"A",IF(NOT(ISBLANK('A-RACHNATMAK'!AN493)),"B",IF(NOT(ISBLANK('A-RACHNATMAK'!AN492)),"C","")))</f>
        <v/>
      </c>
      <c r="AL463" s="622" t="str">
        <f>IF(NOT(ISBLANK('A-RACHNATMAK'!AO494)),"A",IF(NOT(ISBLANK('A-RACHNATMAK'!AO493)),"B",IF(NOT(ISBLANK('A-RACHNATMAK'!AO492)),"C","")))</f>
        <v/>
      </c>
      <c r="AM463" s="622" t="str">
        <f>IF(NOT(ISBLANK('A-RACHNATMAK'!AP494)),"A",IF(NOT(ISBLANK('A-RACHNATMAK'!AP493)),"B",IF(NOT(ISBLANK('A-RACHNATMAK'!AP492)),"C","")))</f>
        <v/>
      </c>
      <c r="AN463" s="622" t="str">
        <f>IF(NOT(ISBLANK('A-RACHNATMAK'!AQ494)),"A",IF(NOT(ISBLANK('A-RACHNATMAK'!AQ493)),"B",IF(NOT(ISBLANK('A-RACHNATMAK'!AQ492)),"C","")))</f>
        <v/>
      </c>
      <c r="AO463" s="622" t="str">
        <f>IF(NOT(ISBLANK('A-RACHNATMAK'!AR494)),"A",IF(NOT(ISBLANK('A-RACHNATMAK'!AR493)),"B",IF(NOT(ISBLANK('A-RACHNATMAK'!AR492)),"C","")))</f>
        <v/>
      </c>
      <c r="AP463" s="622" t="str">
        <f>IF(NOT(ISBLANK('A-RACHNATMAK'!AS494)),"A",IF(NOT(ISBLANK('A-RACHNATMAK'!AS493)),"B",IF(NOT(ISBLANK('A-RACHNATMAK'!AS492)),"C","")))</f>
        <v/>
      </c>
      <c r="AQ463" s="622" t="str">
        <f>IF(NOT(ISBLANK('A-RACHNATMAK'!AT494)),"A",IF(NOT(ISBLANK('A-RACHNATMAK'!AT493)),"B",IF(NOT(ISBLANK('A-RACHNATMAK'!AT492)),"C","")))</f>
        <v/>
      </c>
      <c r="AR463" s="622" t="str">
        <f>IF(NOT(ISBLANK('A-RACHNATMAK'!AU494)),"A",IF(NOT(ISBLANK('A-RACHNATMAK'!AU493)),"B",IF(NOT(ISBLANK('A-RACHNATMAK'!AU492)),"C","")))</f>
        <v/>
      </c>
      <c r="AS463" s="622" t="str">
        <f>IF(NOT(ISBLANK('A-RACHNATMAK'!AV494)),"A",IF(NOT(ISBLANK('A-RACHNATMAK'!AV493)),"B",IF(NOT(ISBLANK('A-RACHNATMAK'!AV492)),"C","")))</f>
        <v/>
      </c>
      <c r="AT463" s="622" t="str">
        <f>IF(NOT(ISBLANK('A-RACHNATMAK'!AW494)),"A",IF(NOT(ISBLANK('A-RACHNATMAK'!AW493)),"B",IF(NOT(ISBLANK('A-RACHNATMAK'!AW492)),"C","")))</f>
        <v/>
      </c>
      <c r="AU463" s="622">
        <f t="shared" ref="AU463" si="879">COUNTIF(AA463:AT463,"A")</f>
        <v>0</v>
      </c>
      <c r="AV463" s="622">
        <f t="shared" ref="AV463" si="880">COUNTIF(AA463:AT463,"B")</f>
        <v>0</v>
      </c>
      <c r="AW463" s="622">
        <f t="shared" ref="AW463" si="881">COUNTIF(AA463:AT463,"C")</f>
        <v>0</v>
      </c>
    </row>
    <row r="464" spans="1:49" ht="7.5" customHeight="1">
      <c r="A464" s="623"/>
      <c r="B464" s="622"/>
      <c r="C464" s="622"/>
      <c r="D464" s="622"/>
      <c r="E464" s="622"/>
      <c r="F464" s="622"/>
      <c r="G464" s="622"/>
      <c r="H464" s="622"/>
      <c r="I464" s="622"/>
      <c r="J464" s="622"/>
      <c r="K464" s="622"/>
      <c r="L464" s="622"/>
      <c r="M464" s="622"/>
      <c r="N464" s="622"/>
      <c r="O464" s="622"/>
      <c r="P464" s="622"/>
      <c r="Q464" s="622"/>
      <c r="R464" s="622"/>
      <c r="S464" s="622"/>
      <c r="T464" s="622"/>
      <c r="U464" s="622"/>
      <c r="V464" s="622"/>
      <c r="W464" s="622"/>
      <c r="X464" s="622"/>
      <c r="Y464" s="330"/>
      <c r="Z464" s="623"/>
      <c r="AA464" s="622"/>
      <c r="AB464" s="622"/>
      <c r="AC464" s="622"/>
      <c r="AD464" s="622"/>
      <c r="AE464" s="622"/>
      <c r="AF464" s="622"/>
      <c r="AG464" s="622"/>
      <c r="AH464" s="622"/>
      <c r="AI464" s="622"/>
      <c r="AJ464" s="622"/>
      <c r="AK464" s="622"/>
      <c r="AL464" s="622"/>
      <c r="AM464" s="622"/>
      <c r="AN464" s="622"/>
      <c r="AO464" s="622"/>
      <c r="AP464" s="622"/>
      <c r="AQ464" s="622"/>
      <c r="AR464" s="622"/>
      <c r="AS464" s="622"/>
      <c r="AT464" s="622"/>
      <c r="AU464" s="622"/>
      <c r="AV464" s="622"/>
      <c r="AW464" s="622"/>
    </row>
    <row r="465" spans="1:49" ht="7.5" customHeight="1">
      <c r="A465" s="623"/>
      <c r="B465" s="622"/>
      <c r="C465" s="622"/>
      <c r="D465" s="622"/>
      <c r="E465" s="622"/>
      <c r="F465" s="622"/>
      <c r="G465" s="622"/>
      <c r="H465" s="622"/>
      <c r="I465" s="622"/>
      <c r="J465" s="622"/>
      <c r="K465" s="622"/>
      <c r="L465" s="622"/>
      <c r="M465" s="622"/>
      <c r="N465" s="622"/>
      <c r="O465" s="622"/>
      <c r="P465" s="622"/>
      <c r="Q465" s="622"/>
      <c r="R465" s="622"/>
      <c r="S465" s="622"/>
      <c r="T465" s="622"/>
      <c r="U465" s="622"/>
      <c r="V465" s="622"/>
      <c r="W465" s="622"/>
      <c r="X465" s="622"/>
      <c r="Y465" s="330"/>
      <c r="Z465" s="623"/>
      <c r="AA465" s="622"/>
      <c r="AB465" s="622"/>
      <c r="AC465" s="622"/>
      <c r="AD465" s="622"/>
      <c r="AE465" s="622"/>
      <c r="AF465" s="622"/>
      <c r="AG465" s="622"/>
      <c r="AH465" s="622"/>
      <c r="AI465" s="622"/>
      <c r="AJ465" s="622"/>
      <c r="AK465" s="622"/>
      <c r="AL465" s="622"/>
      <c r="AM465" s="622"/>
      <c r="AN465" s="622"/>
      <c r="AO465" s="622"/>
      <c r="AP465" s="622"/>
      <c r="AQ465" s="622"/>
      <c r="AR465" s="622"/>
      <c r="AS465" s="622"/>
      <c r="AT465" s="622"/>
      <c r="AU465" s="622"/>
      <c r="AV465" s="622"/>
      <c r="AW465" s="622"/>
    </row>
    <row r="466" spans="1:49" ht="7.5" customHeight="1">
      <c r="A466" s="623">
        <v>13</v>
      </c>
      <c r="B466" s="622" t="str">
        <f>IF(NOT(ISBLANK('A-RACHNATMAK'!C497)),"A",IF(NOT(ISBLANK('A-RACHNATMAK'!C496)),"B",IF(NOT(ISBLANK('A-RACHNATMAK'!C495)),"C","")))</f>
        <v/>
      </c>
      <c r="C466" s="622" t="str">
        <f>IF(NOT(ISBLANK('A-RACHNATMAK'!D497)),"A",IF(NOT(ISBLANK('A-RACHNATMAK'!D496)),"B",IF(NOT(ISBLANK('A-RACHNATMAK'!D495)),"C","")))</f>
        <v/>
      </c>
      <c r="D466" s="622" t="str">
        <f>IF(NOT(ISBLANK('A-RACHNATMAK'!E497)),"A",IF(NOT(ISBLANK('A-RACHNATMAK'!E496)),"B",IF(NOT(ISBLANK('A-RACHNATMAK'!E495)),"C","")))</f>
        <v/>
      </c>
      <c r="E466" s="622" t="str">
        <f>IF(NOT(ISBLANK('A-RACHNATMAK'!F497)),"A",IF(NOT(ISBLANK('A-RACHNATMAK'!F496)),"B",IF(NOT(ISBLANK('A-RACHNATMAK'!F495)),"C","")))</f>
        <v/>
      </c>
      <c r="F466" s="622" t="str">
        <f>IF(NOT(ISBLANK('A-RACHNATMAK'!G497)),"A",IF(NOT(ISBLANK('A-RACHNATMAK'!G496)),"B",IF(NOT(ISBLANK('A-RACHNATMAK'!G495)),"C","")))</f>
        <v/>
      </c>
      <c r="G466" s="622" t="str">
        <f>IF(NOT(ISBLANK('A-RACHNATMAK'!H497)),"A",IF(NOT(ISBLANK('A-RACHNATMAK'!H496)),"B",IF(NOT(ISBLANK('A-RACHNATMAK'!H495)),"C","")))</f>
        <v/>
      </c>
      <c r="H466" s="622" t="str">
        <f>IF(NOT(ISBLANK('A-RACHNATMAK'!I497)),"A",IF(NOT(ISBLANK('A-RACHNATMAK'!I496)),"B",IF(NOT(ISBLANK('A-RACHNATMAK'!I495)),"C","")))</f>
        <v/>
      </c>
      <c r="I466" s="622" t="str">
        <f>IF(NOT(ISBLANK('A-RACHNATMAK'!J497)),"A",IF(NOT(ISBLANK('A-RACHNATMAK'!J496)),"B",IF(NOT(ISBLANK('A-RACHNATMAK'!J495)),"C","")))</f>
        <v/>
      </c>
      <c r="J466" s="622" t="str">
        <f>IF(NOT(ISBLANK('A-RACHNATMAK'!K497)),"A",IF(NOT(ISBLANK('A-RACHNATMAK'!K496)),"B",IF(NOT(ISBLANK('A-RACHNATMAK'!K495)),"C","")))</f>
        <v/>
      </c>
      <c r="K466" s="622" t="str">
        <f>IF(NOT(ISBLANK('A-RACHNATMAK'!L497)),"A",IF(NOT(ISBLANK('A-RACHNATMAK'!L496)),"B",IF(NOT(ISBLANK('A-RACHNATMAK'!L495)),"C","")))</f>
        <v/>
      </c>
      <c r="L466" s="622" t="str">
        <f>IF(NOT(ISBLANK('A-RACHNATMAK'!M497)),"A",IF(NOT(ISBLANK('A-RACHNATMAK'!M496)),"B",IF(NOT(ISBLANK('A-RACHNATMAK'!M495)),"C","")))</f>
        <v/>
      </c>
      <c r="M466" s="622" t="str">
        <f>IF(NOT(ISBLANK('A-RACHNATMAK'!N497)),"A",IF(NOT(ISBLANK('A-RACHNATMAK'!N496)),"B",IF(NOT(ISBLANK('A-RACHNATMAK'!N495)),"C","")))</f>
        <v/>
      </c>
      <c r="N466" s="622" t="str">
        <f>IF(NOT(ISBLANK('A-RACHNATMAK'!O497)),"A",IF(NOT(ISBLANK('A-RACHNATMAK'!O496)),"B",IF(NOT(ISBLANK('A-RACHNATMAK'!O495)),"C","")))</f>
        <v/>
      </c>
      <c r="O466" s="622" t="str">
        <f>IF(NOT(ISBLANK('A-RACHNATMAK'!P497)),"A",IF(NOT(ISBLANK('A-RACHNATMAK'!P496)),"B",IF(NOT(ISBLANK('A-RACHNATMAK'!P495)),"C","")))</f>
        <v/>
      </c>
      <c r="P466" s="622" t="str">
        <f>IF(NOT(ISBLANK('A-RACHNATMAK'!Q497)),"A",IF(NOT(ISBLANK('A-RACHNATMAK'!Q496)),"B",IF(NOT(ISBLANK('A-RACHNATMAK'!Q495)),"C","")))</f>
        <v/>
      </c>
      <c r="Q466" s="622" t="str">
        <f>IF(NOT(ISBLANK('A-RACHNATMAK'!R497)),"A",IF(NOT(ISBLANK('A-RACHNATMAK'!R496)),"B",IF(NOT(ISBLANK('A-RACHNATMAK'!R495)),"C","")))</f>
        <v/>
      </c>
      <c r="R466" s="622" t="str">
        <f>IF(NOT(ISBLANK('A-RACHNATMAK'!S497)),"A",IF(NOT(ISBLANK('A-RACHNATMAK'!S496)),"B",IF(NOT(ISBLANK('A-RACHNATMAK'!S495)),"C","")))</f>
        <v/>
      </c>
      <c r="S466" s="622" t="str">
        <f>IF(NOT(ISBLANK('A-RACHNATMAK'!T497)),"A",IF(NOT(ISBLANK('A-RACHNATMAK'!T496)),"B",IF(NOT(ISBLANK('A-RACHNATMAK'!T495)),"C","")))</f>
        <v/>
      </c>
      <c r="T466" s="622" t="str">
        <f>IF(NOT(ISBLANK('A-RACHNATMAK'!U497)),"A",IF(NOT(ISBLANK('A-RACHNATMAK'!U496)),"B",IF(NOT(ISBLANK('A-RACHNATMAK'!U495)),"C","")))</f>
        <v/>
      </c>
      <c r="U466" s="622" t="str">
        <f>IF(NOT(ISBLANK('A-RACHNATMAK'!V497)),"A",IF(NOT(ISBLANK('A-RACHNATMAK'!V496)),"B",IF(NOT(ISBLANK('A-RACHNATMAK'!V495)),"C","")))</f>
        <v/>
      </c>
      <c r="V466" s="622">
        <f t="shared" ref="V466" si="882">COUNTIF(B466:U466,"A")</f>
        <v>0</v>
      </c>
      <c r="W466" s="622">
        <f t="shared" ref="W466" si="883">COUNTIF(B466:U466,"B")</f>
        <v>0</v>
      </c>
      <c r="X466" s="622">
        <f t="shared" ref="X466" si="884">COUNTIF(B466:U466,"C")</f>
        <v>0</v>
      </c>
      <c r="Y466" s="330"/>
      <c r="Z466" s="623">
        <v>13</v>
      </c>
      <c r="AA466" s="622" t="str">
        <f>IF(NOT(ISBLANK('A-RACHNATMAK'!AD497)),"A",IF(NOT(ISBLANK('A-RACHNATMAK'!AD496)),"B",IF(NOT(ISBLANK('A-RACHNATMAK'!AD495)),"C","")))</f>
        <v/>
      </c>
      <c r="AB466" s="622" t="str">
        <f>IF(NOT(ISBLANK('A-RACHNATMAK'!AE497)),"A",IF(NOT(ISBLANK('A-RACHNATMAK'!AE496)),"B",IF(NOT(ISBLANK('A-RACHNATMAK'!AE495)),"C","")))</f>
        <v/>
      </c>
      <c r="AC466" s="622" t="str">
        <f>IF(NOT(ISBLANK('A-RACHNATMAK'!AF497)),"A",IF(NOT(ISBLANK('A-RACHNATMAK'!AF496)),"B",IF(NOT(ISBLANK('A-RACHNATMAK'!AF495)),"C","")))</f>
        <v/>
      </c>
      <c r="AD466" s="622" t="str">
        <f>IF(NOT(ISBLANK('A-RACHNATMAK'!AG497)),"A",IF(NOT(ISBLANK('A-RACHNATMAK'!AG496)),"B",IF(NOT(ISBLANK('A-RACHNATMAK'!AG495)),"C","")))</f>
        <v/>
      </c>
      <c r="AE466" s="622" t="str">
        <f>IF(NOT(ISBLANK('A-RACHNATMAK'!AH497)),"A",IF(NOT(ISBLANK('A-RACHNATMAK'!AH496)),"B",IF(NOT(ISBLANK('A-RACHNATMAK'!AH495)),"C","")))</f>
        <v/>
      </c>
      <c r="AF466" s="622" t="str">
        <f>IF(NOT(ISBLANK('A-RACHNATMAK'!AI497)),"A",IF(NOT(ISBLANK('A-RACHNATMAK'!AI496)),"B",IF(NOT(ISBLANK('A-RACHNATMAK'!AI495)),"C","")))</f>
        <v/>
      </c>
      <c r="AG466" s="622" t="str">
        <f>IF(NOT(ISBLANK('A-RACHNATMAK'!AJ497)),"A",IF(NOT(ISBLANK('A-RACHNATMAK'!AJ496)),"B",IF(NOT(ISBLANK('A-RACHNATMAK'!AJ495)),"C","")))</f>
        <v/>
      </c>
      <c r="AH466" s="622" t="str">
        <f>IF(NOT(ISBLANK('A-RACHNATMAK'!AK497)),"A",IF(NOT(ISBLANK('A-RACHNATMAK'!AK496)),"B",IF(NOT(ISBLANK('A-RACHNATMAK'!AK495)),"C","")))</f>
        <v/>
      </c>
      <c r="AI466" s="622" t="str">
        <f>IF(NOT(ISBLANK('A-RACHNATMAK'!AL497)),"A",IF(NOT(ISBLANK('A-RACHNATMAK'!AL496)),"B",IF(NOT(ISBLANK('A-RACHNATMAK'!AL495)),"C","")))</f>
        <v/>
      </c>
      <c r="AJ466" s="622" t="str">
        <f>IF(NOT(ISBLANK('A-RACHNATMAK'!AM497)),"A",IF(NOT(ISBLANK('A-RACHNATMAK'!AM496)),"B",IF(NOT(ISBLANK('A-RACHNATMAK'!AM495)),"C","")))</f>
        <v/>
      </c>
      <c r="AK466" s="622" t="str">
        <f>IF(NOT(ISBLANK('A-RACHNATMAK'!AN497)),"A",IF(NOT(ISBLANK('A-RACHNATMAK'!AN496)),"B",IF(NOT(ISBLANK('A-RACHNATMAK'!AN495)),"C","")))</f>
        <v/>
      </c>
      <c r="AL466" s="622" t="str">
        <f>IF(NOT(ISBLANK('A-RACHNATMAK'!AO497)),"A",IF(NOT(ISBLANK('A-RACHNATMAK'!AO496)),"B",IF(NOT(ISBLANK('A-RACHNATMAK'!AO495)),"C","")))</f>
        <v/>
      </c>
      <c r="AM466" s="622" t="str">
        <f>IF(NOT(ISBLANK('A-RACHNATMAK'!AP497)),"A",IF(NOT(ISBLANK('A-RACHNATMAK'!AP496)),"B",IF(NOT(ISBLANK('A-RACHNATMAK'!AP495)),"C","")))</f>
        <v/>
      </c>
      <c r="AN466" s="622" t="str">
        <f>IF(NOT(ISBLANK('A-RACHNATMAK'!AQ497)),"A",IF(NOT(ISBLANK('A-RACHNATMAK'!AQ496)),"B",IF(NOT(ISBLANK('A-RACHNATMAK'!AQ495)),"C","")))</f>
        <v/>
      </c>
      <c r="AO466" s="622" t="str">
        <f>IF(NOT(ISBLANK('A-RACHNATMAK'!AR497)),"A",IF(NOT(ISBLANK('A-RACHNATMAK'!AR496)),"B",IF(NOT(ISBLANK('A-RACHNATMAK'!AR495)),"C","")))</f>
        <v/>
      </c>
      <c r="AP466" s="622" t="str">
        <f>IF(NOT(ISBLANK('A-RACHNATMAK'!AS497)),"A",IF(NOT(ISBLANK('A-RACHNATMAK'!AS496)),"B",IF(NOT(ISBLANK('A-RACHNATMAK'!AS495)),"C","")))</f>
        <v/>
      </c>
      <c r="AQ466" s="622" t="str">
        <f>IF(NOT(ISBLANK('A-RACHNATMAK'!AT497)),"A",IF(NOT(ISBLANK('A-RACHNATMAK'!AT496)),"B",IF(NOT(ISBLANK('A-RACHNATMAK'!AT495)),"C","")))</f>
        <v/>
      </c>
      <c r="AR466" s="622" t="str">
        <f>IF(NOT(ISBLANK('A-RACHNATMAK'!AU497)),"A",IF(NOT(ISBLANK('A-RACHNATMAK'!AU496)),"B",IF(NOT(ISBLANK('A-RACHNATMAK'!AU495)),"C","")))</f>
        <v/>
      </c>
      <c r="AS466" s="622" t="str">
        <f>IF(NOT(ISBLANK('A-RACHNATMAK'!AV497)),"A",IF(NOT(ISBLANK('A-RACHNATMAK'!AV496)),"B",IF(NOT(ISBLANK('A-RACHNATMAK'!AV495)),"C","")))</f>
        <v/>
      </c>
      <c r="AT466" s="622" t="str">
        <f>IF(NOT(ISBLANK('A-RACHNATMAK'!AW497)),"A",IF(NOT(ISBLANK('A-RACHNATMAK'!AW496)),"B",IF(NOT(ISBLANK('A-RACHNATMAK'!AW495)),"C","")))</f>
        <v/>
      </c>
      <c r="AU466" s="622">
        <f t="shared" ref="AU466" si="885">COUNTIF(AA466:AT466,"A")</f>
        <v>0</v>
      </c>
      <c r="AV466" s="622">
        <f t="shared" ref="AV466" si="886">COUNTIF(AA466:AT466,"B")</f>
        <v>0</v>
      </c>
      <c r="AW466" s="622">
        <f t="shared" ref="AW466" si="887">COUNTIF(AA466:AT466,"C")</f>
        <v>0</v>
      </c>
    </row>
    <row r="467" spans="1:49" ht="7.5" customHeight="1">
      <c r="A467" s="623"/>
      <c r="B467" s="622"/>
      <c r="C467" s="622"/>
      <c r="D467" s="622"/>
      <c r="E467" s="622"/>
      <c r="F467" s="622"/>
      <c r="G467" s="622"/>
      <c r="H467" s="622"/>
      <c r="I467" s="622"/>
      <c r="J467" s="622"/>
      <c r="K467" s="622"/>
      <c r="L467" s="622"/>
      <c r="M467" s="622"/>
      <c r="N467" s="622"/>
      <c r="O467" s="622"/>
      <c r="P467" s="622"/>
      <c r="Q467" s="622"/>
      <c r="R467" s="622"/>
      <c r="S467" s="622"/>
      <c r="T467" s="622"/>
      <c r="U467" s="622"/>
      <c r="V467" s="622"/>
      <c r="W467" s="622"/>
      <c r="X467" s="622"/>
      <c r="Y467" s="330"/>
      <c r="Z467" s="623"/>
      <c r="AA467" s="622"/>
      <c r="AB467" s="622"/>
      <c r="AC467" s="622"/>
      <c r="AD467" s="622"/>
      <c r="AE467" s="622"/>
      <c r="AF467" s="622"/>
      <c r="AG467" s="622"/>
      <c r="AH467" s="622"/>
      <c r="AI467" s="622"/>
      <c r="AJ467" s="622"/>
      <c r="AK467" s="622"/>
      <c r="AL467" s="622"/>
      <c r="AM467" s="622"/>
      <c r="AN467" s="622"/>
      <c r="AO467" s="622"/>
      <c r="AP467" s="622"/>
      <c r="AQ467" s="622"/>
      <c r="AR467" s="622"/>
      <c r="AS467" s="622"/>
      <c r="AT467" s="622"/>
      <c r="AU467" s="622"/>
      <c r="AV467" s="622"/>
      <c r="AW467" s="622"/>
    </row>
    <row r="468" spans="1:49" ht="7.5" customHeight="1">
      <c r="A468" s="623"/>
      <c r="B468" s="622"/>
      <c r="C468" s="622"/>
      <c r="D468" s="622"/>
      <c r="E468" s="622"/>
      <c r="F468" s="622"/>
      <c r="G468" s="622"/>
      <c r="H468" s="622"/>
      <c r="I468" s="622"/>
      <c r="J468" s="622"/>
      <c r="K468" s="622"/>
      <c r="L468" s="622"/>
      <c r="M468" s="622"/>
      <c r="N468" s="622"/>
      <c r="O468" s="622"/>
      <c r="P468" s="622"/>
      <c r="Q468" s="622"/>
      <c r="R468" s="622"/>
      <c r="S468" s="622"/>
      <c r="T468" s="622"/>
      <c r="U468" s="622"/>
      <c r="V468" s="622"/>
      <c r="W468" s="622"/>
      <c r="X468" s="622"/>
      <c r="Y468" s="330"/>
      <c r="Z468" s="623"/>
      <c r="AA468" s="622"/>
      <c r="AB468" s="622"/>
      <c r="AC468" s="622"/>
      <c r="AD468" s="622"/>
      <c r="AE468" s="622"/>
      <c r="AF468" s="622"/>
      <c r="AG468" s="622"/>
      <c r="AH468" s="622"/>
      <c r="AI468" s="622"/>
      <c r="AJ468" s="622"/>
      <c r="AK468" s="622"/>
      <c r="AL468" s="622"/>
      <c r="AM468" s="622"/>
      <c r="AN468" s="622"/>
      <c r="AO468" s="622"/>
      <c r="AP468" s="622"/>
      <c r="AQ468" s="622"/>
      <c r="AR468" s="622"/>
      <c r="AS468" s="622"/>
      <c r="AT468" s="622"/>
      <c r="AU468" s="622"/>
      <c r="AV468" s="622"/>
      <c r="AW468" s="622"/>
    </row>
    <row r="469" spans="1:49" ht="7.5" customHeight="1">
      <c r="A469" s="623">
        <v>14</v>
      </c>
      <c r="B469" s="622" t="str">
        <f>IF(NOT(ISBLANK('A-RACHNATMAK'!C500)),"A",IF(NOT(ISBLANK('A-RACHNATMAK'!C499)),"B",IF(NOT(ISBLANK('A-RACHNATMAK'!C498)),"C","")))</f>
        <v/>
      </c>
      <c r="C469" s="622" t="str">
        <f>IF(NOT(ISBLANK('A-RACHNATMAK'!D500)),"A",IF(NOT(ISBLANK('A-RACHNATMAK'!D499)),"B",IF(NOT(ISBLANK('A-RACHNATMAK'!D498)),"C","")))</f>
        <v/>
      </c>
      <c r="D469" s="622" t="str">
        <f>IF(NOT(ISBLANK('A-RACHNATMAK'!E500)),"A",IF(NOT(ISBLANK('A-RACHNATMAK'!E499)),"B",IF(NOT(ISBLANK('A-RACHNATMAK'!E498)),"C","")))</f>
        <v/>
      </c>
      <c r="E469" s="622" t="str">
        <f>IF(NOT(ISBLANK('A-RACHNATMAK'!F500)),"A",IF(NOT(ISBLANK('A-RACHNATMAK'!F499)),"B",IF(NOT(ISBLANK('A-RACHNATMAK'!F498)),"C","")))</f>
        <v/>
      </c>
      <c r="F469" s="622" t="str">
        <f>IF(NOT(ISBLANK('A-RACHNATMAK'!G500)),"A",IF(NOT(ISBLANK('A-RACHNATMAK'!G499)),"B",IF(NOT(ISBLANK('A-RACHNATMAK'!G498)),"C","")))</f>
        <v/>
      </c>
      <c r="G469" s="622" t="str">
        <f>IF(NOT(ISBLANK('A-RACHNATMAK'!H500)),"A",IF(NOT(ISBLANK('A-RACHNATMAK'!H499)),"B",IF(NOT(ISBLANK('A-RACHNATMAK'!H498)),"C","")))</f>
        <v/>
      </c>
      <c r="H469" s="622" t="str">
        <f>IF(NOT(ISBLANK('A-RACHNATMAK'!I500)),"A",IF(NOT(ISBLANK('A-RACHNATMAK'!I499)),"B",IF(NOT(ISBLANK('A-RACHNATMAK'!I498)),"C","")))</f>
        <v/>
      </c>
      <c r="I469" s="622" t="str">
        <f>IF(NOT(ISBLANK('A-RACHNATMAK'!J500)),"A",IF(NOT(ISBLANK('A-RACHNATMAK'!J499)),"B",IF(NOT(ISBLANK('A-RACHNATMAK'!J498)),"C","")))</f>
        <v/>
      </c>
      <c r="J469" s="622" t="str">
        <f>IF(NOT(ISBLANK('A-RACHNATMAK'!K500)),"A",IF(NOT(ISBLANK('A-RACHNATMAK'!K499)),"B",IF(NOT(ISBLANK('A-RACHNATMAK'!K498)),"C","")))</f>
        <v/>
      </c>
      <c r="K469" s="622" t="str">
        <f>IF(NOT(ISBLANK('A-RACHNATMAK'!L500)),"A",IF(NOT(ISBLANK('A-RACHNATMAK'!L499)),"B",IF(NOT(ISBLANK('A-RACHNATMAK'!L498)),"C","")))</f>
        <v/>
      </c>
      <c r="L469" s="622" t="str">
        <f>IF(NOT(ISBLANK('A-RACHNATMAK'!M500)),"A",IF(NOT(ISBLANK('A-RACHNATMAK'!M499)),"B",IF(NOT(ISBLANK('A-RACHNATMAK'!M498)),"C","")))</f>
        <v/>
      </c>
      <c r="M469" s="622" t="str">
        <f>IF(NOT(ISBLANK('A-RACHNATMAK'!N500)),"A",IF(NOT(ISBLANK('A-RACHNATMAK'!N499)),"B",IF(NOT(ISBLANK('A-RACHNATMAK'!N498)),"C","")))</f>
        <v/>
      </c>
      <c r="N469" s="622" t="str">
        <f>IF(NOT(ISBLANK('A-RACHNATMAK'!O500)),"A",IF(NOT(ISBLANK('A-RACHNATMAK'!O499)),"B",IF(NOT(ISBLANK('A-RACHNATMAK'!O498)),"C","")))</f>
        <v/>
      </c>
      <c r="O469" s="622" t="str">
        <f>IF(NOT(ISBLANK('A-RACHNATMAK'!P500)),"A",IF(NOT(ISBLANK('A-RACHNATMAK'!P499)),"B",IF(NOT(ISBLANK('A-RACHNATMAK'!P498)),"C","")))</f>
        <v/>
      </c>
      <c r="P469" s="622" t="str">
        <f>IF(NOT(ISBLANK('A-RACHNATMAK'!Q500)),"A",IF(NOT(ISBLANK('A-RACHNATMAK'!Q499)),"B",IF(NOT(ISBLANK('A-RACHNATMAK'!Q498)),"C","")))</f>
        <v/>
      </c>
      <c r="Q469" s="622" t="str">
        <f>IF(NOT(ISBLANK('A-RACHNATMAK'!R500)),"A",IF(NOT(ISBLANK('A-RACHNATMAK'!R499)),"B",IF(NOT(ISBLANK('A-RACHNATMAK'!R498)),"C","")))</f>
        <v/>
      </c>
      <c r="R469" s="622" t="str">
        <f>IF(NOT(ISBLANK('A-RACHNATMAK'!S500)),"A",IF(NOT(ISBLANK('A-RACHNATMAK'!S499)),"B",IF(NOT(ISBLANK('A-RACHNATMAK'!S498)),"C","")))</f>
        <v/>
      </c>
      <c r="S469" s="622" t="str">
        <f>IF(NOT(ISBLANK('A-RACHNATMAK'!T500)),"A",IF(NOT(ISBLANK('A-RACHNATMAK'!T499)),"B",IF(NOT(ISBLANK('A-RACHNATMAK'!T498)),"C","")))</f>
        <v/>
      </c>
      <c r="T469" s="622" t="str">
        <f>IF(NOT(ISBLANK('A-RACHNATMAK'!U500)),"A",IF(NOT(ISBLANK('A-RACHNATMAK'!U499)),"B",IF(NOT(ISBLANK('A-RACHNATMAK'!U498)),"C","")))</f>
        <v/>
      </c>
      <c r="U469" s="622" t="str">
        <f>IF(NOT(ISBLANK('A-RACHNATMAK'!V500)),"A",IF(NOT(ISBLANK('A-RACHNATMAK'!V499)),"B",IF(NOT(ISBLANK('A-RACHNATMAK'!V498)),"C","")))</f>
        <v/>
      </c>
      <c r="V469" s="622">
        <f t="shared" ref="V469" si="888">COUNTIF(B469:U469,"A")</f>
        <v>0</v>
      </c>
      <c r="W469" s="622">
        <f t="shared" ref="W469" si="889">COUNTIF(B469:U469,"B")</f>
        <v>0</v>
      </c>
      <c r="X469" s="622">
        <f t="shared" ref="X469" si="890">COUNTIF(B469:U469,"C")</f>
        <v>0</v>
      </c>
      <c r="Y469" s="330"/>
      <c r="Z469" s="623">
        <v>14</v>
      </c>
      <c r="AA469" s="622" t="str">
        <f>IF(NOT(ISBLANK('A-RACHNATMAK'!AD500)),"A",IF(NOT(ISBLANK('A-RACHNATMAK'!AD499)),"B",IF(NOT(ISBLANK('A-RACHNATMAK'!AD498)),"C","")))</f>
        <v/>
      </c>
      <c r="AB469" s="622" t="str">
        <f>IF(NOT(ISBLANK('A-RACHNATMAK'!AE500)),"A",IF(NOT(ISBLANK('A-RACHNATMAK'!AE499)),"B",IF(NOT(ISBLANK('A-RACHNATMAK'!AE498)),"C","")))</f>
        <v/>
      </c>
      <c r="AC469" s="622" t="str">
        <f>IF(NOT(ISBLANK('A-RACHNATMAK'!AF500)),"A",IF(NOT(ISBLANK('A-RACHNATMAK'!AF499)),"B",IF(NOT(ISBLANK('A-RACHNATMAK'!AF498)),"C","")))</f>
        <v/>
      </c>
      <c r="AD469" s="622" t="str">
        <f>IF(NOT(ISBLANK('A-RACHNATMAK'!AG500)),"A",IF(NOT(ISBLANK('A-RACHNATMAK'!AG499)),"B",IF(NOT(ISBLANK('A-RACHNATMAK'!AG498)),"C","")))</f>
        <v/>
      </c>
      <c r="AE469" s="622" t="str">
        <f>IF(NOT(ISBLANK('A-RACHNATMAK'!AH500)),"A",IF(NOT(ISBLANK('A-RACHNATMAK'!AH499)),"B",IF(NOT(ISBLANK('A-RACHNATMAK'!AH498)),"C","")))</f>
        <v/>
      </c>
      <c r="AF469" s="622" t="str">
        <f>IF(NOT(ISBLANK('A-RACHNATMAK'!AI500)),"A",IF(NOT(ISBLANK('A-RACHNATMAK'!AI499)),"B",IF(NOT(ISBLANK('A-RACHNATMAK'!AI498)),"C","")))</f>
        <v/>
      </c>
      <c r="AG469" s="622" t="str">
        <f>IF(NOT(ISBLANK('A-RACHNATMAK'!AJ500)),"A",IF(NOT(ISBLANK('A-RACHNATMAK'!AJ499)),"B",IF(NOT(ISBLANK('A-RACHNATMAK'!AJ498)),"C","")))</f>
        <v/>
      </c>
      <c r="AH469" s="622" t="str">
        <f>IF(NOT(ISBLANK('A-RACHNATMAK'!AK500)),"A",IF(NOT(ISBLANK('A-RACHNATMAK'!AK499)),"B",IF(NOT(ISBLANK('A-RACHNATMAK'!AK498)),"C","")))</f>
        <v/>
      </c>
      <c r="AI469" s="622" t="str">
        <f>IF(NOT(ISBLANK('A-RACHNATMAK'!AL500)),"A",IF(NOT(ISBLANK('A-RACHNATMAK'!AL499)),"B",IF(NOT(ISBLANK('A-RACHNATMAK'!AL498)),"C","")))</f>
        <v/>
      </c>
      <c r="AJ469" s="622" t="str">
        <f>IF(NOT(ISBLANK('A-RACHNATMAK'!AM500)),"A",IF(NOT(ISBLANK('A-RACHNATMAK'!AM499)),"B",IF(NOT(ISBLANK('A-RACHNATMAK'!AM498)),"C","")))</f>
        <v/>
      </c>
      <c r="AK469" s="622" t="str">
        <f>IF(NOT(ISBLANK('A-RACHNATMAK'!AN500)),"A",IF(NOT(ISBLANK('A-RACHNATMAK'!AN499)),"B",IF(NOT(ISBLANK('A-RACHNATMAK'!AN498)),"C","")))</f>
        <v/>
      </c>
      <c r="AL469" s="622" t="str">
        <f>IF(NOT(ISBLANK('A-RACHNATMAK'!AO500)),"A",IF(NOT(ISBLANK('A-RACHNATMAK'!AO499)),"B",IF(NOT(ISBLANK('A-RACHNATMAK'!AO498)),"C","")))</f>
        <v/>
      </c>
      <c r="AM469" s="622" t="str">
        <f>IF(NOT(ISBLANK('A-RACHNATMAK'!AP500)),"A",IF(NOT(ISBLANK('A-RACHNATMAK'!AP499)),"B",IF(NOT(ISBLANK('A-RACHNATMAK'!AP498)),"C","")))</f>
        <v/>
      </c>
      <c r="AN469" s="622" t="str">
        <f>IF(NOT(ISBLANK('A-RACHNATMAK'!AQ500)),"A",IF(NOT(ISBLANK('A-RACHNATMAK'!AQ499)),"B",IF(NOT(ISBLANK('A-RACHNATMAK'!AQ498)),"C","")))</f>
        <v/>
      </c>
      <c r="AO469" s="622" t="str">
        <f>IF(NOT(ISBLANK('A-RACHNATMAK'!AR500)),"A",IF(NOT(ISBLANK('A-RACHNATMAK'!AR499)),"B",IF(NOT(ISBLANK('A-RACHNATMAK'!AR498)),"C","")))</f>
        <v/>
      </c>
      <c r="AP469" s="622" t="str">
        <f>IF(NOT(ISBLANK('A-RACHNATMAK'!AS500)),"A",IF(NOT(ISBLANK('A-RACHNATMAK'!AS499)),"B",IF(NOT(ISBLANK('A-RACHNATMAK'!AS498)),"C","")))</f>
        <v/>
      </c>
      <c r="AQ469" s="622" t="str">
        <f>IF(NOT(ISBLANK('A-RACHNATMAK'!AT500)),"A",IF(NOT(ISBLANK('A-RACHNATMAK'!AT499)),"B",IF(NOT(ISBLANK('A-RACHNATMAK'!AT498)),"C","")))</f>
        <v/>
      </c>
      <c r="AR469" s="622" t="str">
        <f>IF(NOT(ISBLANK('A-RACHNATMAK'!AU500)),"A",IF(NOT(ISBLANK('A-RACHNATMAK'!AU499)),"B",IF(NOT(ISBLANK('A-RACHNATMAK'!AU498)),"C","")))</f>
        <v/>
      </c>
      <c r="AS469" s="622" t="str">
        <f>IF(NOT(ISBLANK('A-RACHNATMAK'!AV500)),"A",IF(NOT(ISBLANK('A-RACHNATMAK'!AV499)),"B",IF(NOT(ISBLANK('A-RACHNATMAK'!AV498)),"C","")))</f>
        <v/>
      </c>
      <c r="AT469" s="622" t="str">
        <f>IF(NOT(ISBLANK('A-RACHNATMAK'!AW500)),"A",IF(NOT(ISBLANK('A-RACHNATMAK'!AW499)),"B",IF(NOT(ISBLANK('A-RACHNATMAK'!AW498)),"C","")))</f>
        <v/>
      </c>
      <c r="AU469" s="622">
        <f t="shared" ref="AU469" si="891">COUNTIF(AA469:AT469,"A")</f>
        <v>0</v>
      </c>
      <c r="AV469" s="622">
        <f t="shared" ref="AV469" si="892">COUNTIF(AA469:AT469,"B")</f>
        <v>0</v>
      </c>
      <c r="AW469" s="622">
        <f t="shared" ref="AW469" si="893">COUNTIF(AA469:AT469,"C")</f>
        <v>0</v>
      </c>
    </row>
    <row r="470" spans="1:49" ht="7.5" customHeight="1">
      <c r="A470" s="623"/>
      <c r="B470" s="622"/>
      <c r="C470" s="622"/>
      <c r="D470" s="622"/>
      <c r="E470" s="622"/>
      <c r="F470" s="622"/>
      <c r="G470" s="622"/>
      <c r="H470" s="622"/>
      <c r="I470" s="622"/>
      <c r="J470" s="622"/>
      <c r="K470" s="622"/>
      <c r="L470" s="622"/>
      <c r="M470" s="622"/>
      <c r="N470" s="622"/>
      <c r="O470" s="622"/>
      <c r="P470" s="622"/>
      <c r="Q470" s="622"/>
      <c r="R470" s="622"/>
      <c r="S470" s="622"/>
      <c r="T470" s="622"/>
      <c r="U470" s="622"/>
      <c r="V470" s="622"/>
      <c r="W470" s="622"/>
      <c r="X470" s="622"/>
      <c r="Y470" s="330"/>
      <c r="Z470" s="623"/>
      <c r="AA470" s="622"/>
      <c r="AB470" s="622"/>
      <c r="AC470" s="622"/>
      <c r="AD470" s="622"/>
      <c r="AE470" s="622"/>
      <c r="AF470" s="622"/>
      <c r="AG470" s="622"/>
      <c r="AH470" s="622"/>
      <c r="AI470" s="622"/>
      <c r="AJ470" s="622"/>
      <c r="AK470" s="622"/>
      <c r="AL470" s="622"/>
      <c r="AM470" s="622"/>
      <c r="AN470" s="622"/>
      <c r="AO470" s="622"/>
      <c r="AP470" s="622"/>
      <c r="AQ470" s="622"/>
      <c r="AR470" s="622"/>
      <c r="AS470" s="622"/>
      <c r="AT470" s="622"/>
      <c r="AU470" s="622"/>
      <c r="AV470" s="622"/>
      <c r="AW470" s="622"/>
    </row>
    <row r="471" spans="1:49" ht="7.5" customHeight="1">
      <c r="A471" s="623"/>
      <c r="B471" s="622"/>
      <c r="C471" s="622"/>
      <c r="D471" s="622"/>
      <c r="E471" s="622"/>
      <c r="F471" s="622"/>
      <c r="G471" s="622"/>
      <c r="H471" s="622"/>
      <c r="I471" s="622"/>
      <c r="J471" s="622"/>
      <c r="K471" s="622"/>
      <c r="L471" s="622"/>
      <c r="M471" s="622"/>
      <c r="N471" s="622"/>
      <c r="O471" s="622"/>
      <c r="P471" s="622"/>
      <c r="Q471" s="622"/>
      <c r="R471" s="622"/>
      <c r="S471" s="622"/>
      <c r="T471" s="622"/>
      <c r="U471" s="622"/>
      <c r="V471" s="622"/>
      <c r="W471" s="622"/>
      <c r="X471" s="622"/>
      <c r="Y471" s="330"/>
      <c r="Z471" s="623"/>
      <c r="AA471" s="622"/>
      <c r="AB471" s="622"/>
      <c r="AC471" s="622"/>
      <c r="AD471" s="622"/>
      <c r="AE471" s="622"/>
      <c r="AF471" s="622"/>
      <c r="AG471" s="622"/>
      <c r="AH471" s="622"/>
      <c r="AI471" s="622"/>
      <c r="AJ471" s="622"/>
      <c r="AK471" s="622"/>
      <c r="AL471" s="622"/>
      <c r="AM471" s="622"/>
      <c r="AN471" s="622"/>
      <c r="AO471" s="622"/>
      <c r="AP471" s="622"/>
      <c r="AQ471" s="622"/>
      <c r="AR471" s="622"/>
      <c r="AS471" s="622"/>
      <c r="AT471" s="622"/>
      <c r="AU471" s="622"/>
      <c r="AV471" s="622"/>
      <c r="AW471" s="622"/>
    </row>
    <row r="472" spans="1:49" ht="7.5" customHeight="1">
      <c r="A472" s="623">
        <v>15</v>
      </c>
      <c r="B472" s="622" t="str">
        <f>IF(NOT(ISBLANK('A-RACHNATMAK'!C503)),"A",IF(NOT(ISBLANK('A-RACHNATMAK'!C502)),"B",IF(NOT(ISBLANK('A-RACHNATMAK'!C501)),"C","")))</f>
        <v/>
      </c>
      <c r="C472" s="622" t="str">
        <f>IF(NOT(ISBLANK('A-RACHNATMAK'!D503)),"A",IF(NOT(ISBLANK('A-RACHNATMAK'!D502)),"B",IF(NOT(ISBLANK('A-RACHNATMAK'!D501)),"C","")))</f>
        <v/>
      </c>
      <c r="D472" s="622" t="str">
        <f>IF(NOT(ISBLANK('A-RACHNATMAK'!E503)),"A",IF(NOT(ISBLANK('A-RACHNATMAK'!E502)),"B",IF(NOT(ISBLANK('A-RACHNATMAK'!E501)),"C","")))</f>
        <v/>
      </c>
      <c r="E472" s="622" t="str">
        <f>IF(NOT(ISBLANK('A-RACHNATMAK'!F503)),"A",IF(NOT(ISBLANK('A-RACHNATMAK'!F502)),"B",IF(NOT(ISBLANK('A-RACHNATMAK'!F501)),"C","")))</f>
        <v/>
      </c>
      <c r="F472" s="622" t="str">
        <f>IF(NOT(ISBLANK('A-RACHNATMAK'!G503)),"A",IF(NOT(ISBLANK('A-RACHNATMAK'!G502)),"B",IF(NOT(ISBLANK('A-RACHNATMAK'!G501)),"C","")))</f>
        <v/>
      </c>
      <c r="G472" s="622" t="str">
        <f>IF(NOT(ISBLANK('A-RACHNATMAK'!H503)),"A",IF(NOT(ISBLANK('A-RACHNATMAK'!H502)),"B",IF(NOT(ISBLANK('A-RACHNATMAK'!H501)),"C","")))</f>
        <v/>
      </c>
      <c r="H472" s="622" t="str">
        <f>IF(NOT(ISBLANK('A-RACHNATMAK'!I503)),"A",IF(NOT(ISBLANK('A-RACHNATMAK'!I502)),"B",IF(NOT(ISBLANK('A-RACHNATMAK'!I501)),"C","")))</f>
        <v/>
      </c>
      <c r="I472" s="622" t="str">
        <f>IF(NOT(ISBLANK('A-RACHNATMAK'!J503)),"A",IF(NOT(ISBLANK('A-RACHNATMAK'!J502)),"B",IF(NOT(ISBLANK('A-RACHNATMAK'!J501)),"C","")))</f>
        <v/>
      </c>
      <c r="J472" s="622" t="str">
        <f>IF(NOT(ISBLANK('A-RACHNATMAK'!K503)),"A",IF(NOT(ISBLANK('A-RACHNATMAK'!K502)),"B",IF(NOT(ISBLANK('A-RACHNATMAK'!K501)),"C","")))</f>
        <v/>
      </c>
      <c r="K472" s="622" t="str">
        <f>IF(NOT(ISBLANK('A-RACHNATMAK'!L503)),"A",IF(NOT(ISBLANK('A-RACHNATMAK'!L502)),"B",IF(NOT(ISBLANK('A-RACHNATMAK'!L501)),"C","")))</f>
        <v/>
      </c>
      <c r="L472" s="622" t="str">
        <f>IF(NOT(ISBLANK('A-RACHNATMAK'!M503)),"A",IF(NOT(ISBLANK('A-RACHNATMAK'!M502)),"B",IF(NOT(ISBLANK('A-RACHNATMAK'!M501)),"C","")))</f>
        <v/>
      </c>
      <c r="M472" s="622" t="str">
        <f>IF(NOT(ISBLANK('A-RACHNATMAK'!N503)),"A",IF(NOT(ISBLANK('A-RACHNATMAK'!N502)),"B",IF(NOT(ISBLANK('A-RACHNATMAK'!N501)),"C","")))</f>
        <v/>
      </c>
      <c r="N472" s="622" t="str">
        <f>IF(NOT(ISBLANK('A-RACHNATMAK'!O503)),"A",IF(NOT(ISBLANK('A-RACHNATMAK'!O502)),"B",IF(NOT(ISBLANK('A-RACHNATMAK'!O501)),"C","")))</f>
        <v/>
      </c>
      <c r="O472" s="622" t="str">
        <f>IF(NOT(ISBLANK('A-RACHNATMAK'!P503)),"A",IF(NOT(ISBLANK('A-RACHNATMAK'!P502)),"B",IF(NOT(ISBLANK('A-RACHNATMAK'!P501)),"C","")))</f>
        <v/>
      </c>
      <c r="P472" s="622" t="str">
        <f>IF(NOT(ISBLANK('A-RACHNATMAK'!Q503)),"A",IF(NOT(ISBLANK('A-RACHNATMAK'!Q502)),"B",IF(NOT(ISBLANK('A-RACHNATMAK'!Q501)),"C","")))</f>
        <v/>
      </c>
      <c r="Q472" s="622" t="str">
        <f>IF(NOT(ISBLANK('A-RACHNATMAK'!R503)),"A",IF(NOT(ISBLANK('A-RACHNATMAK'!R502)),"B",IF(NOT(ISBLANK('A-RACHNATMAK'!R501)),"C","")))</f>
        <v/>
      </c>
      <c r="R472" s="622" t="str">
        <f>IF(NOT(ISBLANK('A-RACHNATMAK'!S503)),"A",IF(NOT(ISBLANK('A-RACHNATMAK'!S502)),"B",IF(NOT(ISBLANK('A-RACHNATMAK'!S501)),"C","")))</f>
        <v/>
      </c>
      <c r="S472" s="622" t="str">
        <f>IF(NOT(ISBLANK('A-RACHNATMAK'!T503)),"A",IF(NOT(ISBLANK('A-RACHNATMAK'!T502)),"B",IF(NOT(ISBLANK('A-RACHNATMAK'!T501)),"C","")))</f>
        <v/>
      </c>
      <c r="T472" s="622" t="str">
        <f>IF(NOT(ISBLANK('A-RACHNATMAK'!U503)),"A",IF(NOT(ISBLANK('A-RACHNATMAK'!U502)),"B",IF(NOT(ISBLANK('A-RACHNATMAK'!U501)),"C","")))</f>
        <v/>
      </c>
      <c r="U472" s="622" t="str">
        <f>IF(NOT(ISBLANK('A-RACHNATMAK'!V503)),"A",IF(NOT(ISBLANK('A-RACHNATMAK'!V502)),"B",IF(NOT(ISBLANK('A-RACHNATMAK'!V501)),"C","")))</f>
        <v/>
      </c>
      <c r="V472" s="622">
        <f t="shared" ref="V472" si="894">COUNTIF(B472:U472,"A")</f>
        <v>0</v>
      </c>
      <c r="W472" s="622">
        <f t="shared" ref="W472" si="895">COUNTIF(B472:U472,"B")</f>
        <v>0</v>
      </c>
      <c r="X472" s="622">
        <f t="shared" ref="X472" si="896">COUNTIF(B472:U472,"C")</f>
        <v>0</v>
      </c>
      <c r="Y472" s="330"/>
      <c r="Z472" s="623">
        <v>15</v>
      </c>
      <c r="AA472" s="622" t="str">
        <f>IF(NOT(ISBLANK('A-RACHNATMAK'!AD503)),"A",IF(NOT(ISBLANK('A-RACHNATMAK'!AD502)),"B",IF(NOT(ISBLANK('A-RACHNATMAK'!AD501)),"C","")))</f>
        <v/>
      </c>
      <c r="AB472" s="622" t="str">
        <f>IF(NOT(ISBLANK('A-RACHNATMAK'!AE503)),"A",IF(NOT(ISBLANK('A-RACHNATMAK'!AE502)),"B",IF(NOT(ISBLANK('A-RACHNATMAK'!AE501)),"C","")))</f>
        <v/>
      </c>
      <c r="AC472" s="622" t="str">
        <f>IF(NOT(ISBLANK('A-RACHNATMAK'!AF503)),"A",IF(NOT(ISBLANK('A-RACHNATMAK'!AF502)),"B",IF(NOT(ISBLANK('A-RACHNATMAK'!AF501)),"C","")))</f>
        <v/>
      </c>
      <c r="AD472" s="622" t="str">
        <f>IF(NOT(ISBLANK('A-RACHNATMAK'!AG503)),"A",IF(NOT(ISBLANK('A-RACHNATMAK'!AG502)),"B",IF(NOT(ISBLANK('A-RACHNATMAK'!AG501)),"C","")))</f>
        <v/>
      </c>
      <c r="AE472" s="622" t="str">
        <f>IF(NOT(ISBLANK('A-RACHNATMAK'!AH503)),"A",IF(NOT(ISBLANK('A-RACHNATMAK'!AH502)),"B",IF(NOT(ISBLANK('A-RACHNATMAK'!AH501)),"C","")))</f>
        <v/>
      </c>
      <c r="AF472" s="622" t="str">
        <f>IF(NOT(ISBLANK('A-RACHNATMAK'!AI503)),"A",IF(NOT(ISBLANK('A-RACHNATMAK'!AI502)),"B",IF(NOT(ISBLANK('A-RACHNATMAK'!AI501)),"C","")))</f>
        <v/>
      </c>
      <c r="AG472" s="622" t="str">
        <f>IF(NOT(ISBLANK('A-RACHNATMAK'!AJ503)),"A",IF(NOT(ISBLANK('A-RACHNATMAK'!AJ502)),"B",IF(NOT(ISBLANK('A-RACHNATMAK'!AJ501)),"C","")))</f>
        <v/>
      </c>
      <c r="AH472" s="622" t="str">
        <f>IF(NOT(ISBLANK('A-RACHNATMAK'!AK503)),"A",IF(NOT(ISBLANK('A-RACHNATMAK'!AK502)),"B",IF(NOT(ISBLANK('A-RACHNATMAK'!AK501)),"C","")))</f>
        <v/>
      </c>
      <c r="AI472" s="622" t="str">
        <f>IF(NOT(ISBLANK('A-RACHNATMAK'!AL503)),"A",IF(NOT(ISBLANK('A-RACHNATMAK'!AL502)),"B",IF(NOT(ISBLANK('A-RACHNATMAK'!AL501)),"C","")))</f>
        <v/>
      </c>
      <c r="AJ472" s="622" t="str">
        <f>IF(NOT(ISBLANK('A-RACHNATMAK'!AM503)),"A",IF(NOT(ISBLANK('A-RACHNATMAK'!AM502)),"B",IF(NOT(ISBLANK('A-RACHNATMAK'!AM501)),"C","")))</f>
        <v/>
      </c>
      <c r="AK472" s="622" t="str">
        <f>IF(NOT(ISBLANK('A-RACHNATMAK'!AN503)),"A",IF(NOT(ISBLANK('A-RACHNATMAK'!AN502)),"B",IF(NOT(ISBLANK('A-RACHNATMAK'!AN501)),"C","")))</f>
        <v/>
      </c>
      <c r="AL472" s="622" t="str">
        <f>IF(NOT(ISBLANK('A-RACHNATMAK'!AO503)),"A",IF(NOT(ISBLANK('A-RACHNATMAK'!AO502)),"B",IF(NOT(ISBLANK('A-RACHNATMAK'!AO501)),"C","")))</f>
        <v/>
      </c>
      <c r="AM472" s="622" t="str">
        <f>IF(NOT(ISBLANK('A-RACHNATMAK'!AP503)),"A",IF(NOT(ISBLANK('A-RACHNATMAK'!AP502)),"B",IF(NOT(ISBLANK('A-RACHNATMAK'!AP501)),"C","")))</f>
        <v/>
      </c>
      <c r="AN472" s="622" t="str">
        <f>IF(NOT(ISBLANK('A-RACHNATMAK'!AQ503)),"A",IF(NOT(ISBLANK('A-RACHNATMAK'!AQ502)),"B",IF(NOT(ISBLANK('A-RACHNATMAK'!AQ501)),"C","")))</f>
        <v/>
      </c>
      <c r="AO472" s="622" t="str">
        <f>IF(NOT(ISBLANK('A-RACHNATMAK'!AR503)),"A",IF(NOT(ISBLANK('A-RACHNATMAK'!AR502)),"B",IF(NOT(ISBLANK('A-RACHNATMAK'!AR501)),"C","")))</f>
        <v/>
      </c>
      <c r="AP472" s="622" t="str">
        <f>IF(NOT(ISBLANK('A-RACHNATMAK'!AS503)),"A",IF(NOT(ISBLANK('A-RACHNATMAK'!AS502)),"B",IF(NOT(ISBLANK('A-RACHNATMAK'!AS501)),"C","")))</f>
        <v/>
      </c>
      <c r="AQ472" s="622" t="str">
        <f>IF(NOT(ISBLANK('A-RACHNATMAK'!AT503)),"A",IF(NOT(ISBLANK('A-RACHNATMAK'!AT502)),"B",IF(NOT(ISBLANK('A-RACHNATMAK'!AT501)),"C","")))</f>
        <v/>
      </c>
      <c r="AR472" s="622" t="str">
        <f>IF(NOT(ISBLANK('A-RACHNATMAK'!AU503)),"A",IF(NOT(ISBLANK('A-RACHNATMAK'!AU502)),"B",IF(NOT(ISBLANK('A-RACHNATMAK'!AU501)),"C","")))</f>
        <v/>
      </c>
      <c r="AS472" s="622" t="str">
        <f>IF(NOT(ISBLANK('A-RACHNATMAK'!AV503)),"A",IF(NOT(ISBLANK('A-RACHNATMAK'!AV502)),"B",IF(NOT(ISBLANK('A-RACHNATMAK'!AV501)),"C","")))</f>
        <v/>
      </c>
      <c r="AT472" s="622" t="str">
        <f>IF(NOT(ISBLANK('A-RACHNATMAK'!AW503)),"A",IF(NOT(ISBLANK('A-RACHNATMAK'!AW502)),"B",IF(NOT(ISBLANK('A-RACHNATMAK'!AW501)),"C","")))</f>
        <v/>
      </c>
      <c r="AU472" s="622">
        <f t="shared" ref="AU472" si="897">COUNTIF(AA472:AT472,"A")</f>
        <v>0</v>
      </c>
      <c r="AV472" s="622">
        <f t="shared" ref="AV472" si="898">COUNTIF(AA472:AT472,"B")</f>
        <v>0</v>
      </c>
      <c r="AW472" s="622">
        <f t="shared" ref="AW472" si="899">COUNTIF(AA472:AT472,"C")</f>
        <v>0</v>
      </c>
    </row>
    <row r="473" spans="1:49" ht="7.5" customHeight="1">
      <c r="A473" s="623"/>
      <c r="B473" s="622"/>
      <c r="C473" s="622"/>
      <c r="D473" s="622"/>
      <c r="E473" s="622"/>
      <c r="F473" s="622"/>
      <c r="G473" s="622"/>
      <c r="H473" s="622"/>
      <c r="I473" s="622"/>
      <c r="J473" s="622"/>
      <c r="K473" s="622"/>
      <c r="L473" s="622"/>
      <c r="M473" s="622"/>
      <c r="N473" s="622"/>
      <c r="O473" s="622"/>
      <c r="P473" s="622"/>
      <c r="Q473" s="622"/>
      <c r="R473" s="622"/>
      <c r="S473" s="622"/>
      <c r="T473" s="622"/>
      <c r="U473" s="622"/>
      <c r="V473" s="622"/>
      <c r="W473" s="622"/>
      <c r="X473" s="622"/>
      <c r="Y473" s="330"/>
      <c r="Z473" s="623"/>
      <c r="AA473" s="622"/>
      <c r="AB473" s="622"/>
      <c r="AC473" s="622"/>
      <c r="AD473" s="622"/>
      <c r="AE473" s="622"/>
      <c r="AF473" s="622"/>
      <c r="AG473" s="622"/>
      <c r="AH473" s="622"/>
      <c r="AI473" s="622"/>
      <c r="AJ473" s="622"/>
      <c r="AK473" s="622"/>
      <c r="AL473" s="622"/>
      <c r="AM473" s="622"/>
      <c r="AN473" s="622"/>
      <c r="AO473" s="622"/>
      <c r="AP473" s="622"/>
      <c r="AQ473" s="622"/>
      <c r="AR473" s="622"/>
      <c r="AS473" s="622"/>
      <c r="AT473" s="622"/>
      <c r="AU473" s="622"/>
      <c r="AV473" s="622"/>
      <c r="AW473" s="622"/>
    </row>
    <row r="474" spans="1:49" ht="7.5" customHeight="1">
      <c r="A474" s="623"/>
      <c r="B474" s="622"/>
      <c r="C474" s="622"/>
      <c r="D474" s="622"/>
      <c r="E474" s="622"/>
      <c r="F474" s="622"/>
      <c r="G474" s="622"/>
      <c r="H474" s="622"/>
      <c r="I474" s="622"/>
      <c r="J474" s="622"/>
      <c r="K474" s="622"/>
      <c r="L474" s="622"/>
      <c r="M474" s="622"/>
      <c r="N474" s="622"/>
      <c r="O474" s="622"/>
      <c r="P474" s="622"/>
      <c r="Q474" s="622"/>
      <c r="R474" s="622"/>
      <c r="S474" s="622"/>
      <c r="T474" s="622"/>
      <c r="U474" s="622"/>
      <c r="V474" s="622"/>
      <c r="W474" s="622"/>
      <c r="X474" s="622"/>
      <c r="Y474" s="330"/>
      <c r="Z474" s="623"/>
      <c r="AA474" s="622"/>
      <c r="AB474" s="622"/>
      <c r="AC474" s="622"/>
      <c r="AD474" s="622"/>
      <c r="AE474" s="622"/>
      <c r="AF474" s="622"/>
      <c r="AG474" s="622"/>
      <c r="AH474" s="622"/>
      <c r="AI474" s="622"/>
      <c r="AJ474" s="622"/>
      <c r="AK474" s="622"/>
      <c r="AL474" s="622"/>
      <c r="AM474" s="622"/>
      <c r="AN474" s="622"/>
      <c r="AO474" s="622"/>
      <c r="AP474" s="622"/>
      <c r="AQ474" s="622"/>
      <c r="AR474" s="622"/>
      <c r="AS474" s="622"/>
      <c r="AT474" s="622"/>
      <c r="AU474" s="622"/>
      <c r="AV474" s="622"/>
      <c r="AW474" s="622"/>
    </row>
    <row r="475" spans="1:49" ht="7.5" customHeight="1">
      <c r="A475" s="623">
        <v>16</v>
      </c>
      <c r="B475" s="622" t="str">
        <f>IF(NOT(ISBLANK('A-RACHNATMAK'!C506)),"A",IF(NOT(ISBLANK('A-RACHNATMAK'!C505)),"B",IF(NOT(ISBLANK('A-RACHNATMAK'!C504)),"C","")))</f>
        <v/>
      </c>
      <c r="C475" s="622" t="str">
        <f>IF(NOT(ISBLANK('A-RACHNATMAK'!D506)),"A",IF(NOT(ISBLANK('A-RACHNATMAK'!D505)),"B",IF(NOT(ISBLANK('A-RACHNATMAK'!D504)),"C","")))</f>
        <v/>
      </c>
      <c r="D475" s="622" t="str">
        <f>IF(NOT(ISBLANK('A-RACHNATMAK'!E506)),"A",IF(NOT(ISBLANK('A-RACHNATMAK'!E505)),"B",IF(NOT(ISBLANK('A-RACHNATMAK'!E504)),"C","")))</f>
        <v/>
      </c>
      <c r="E475" s="622" t="str">
        <f>IF(NOT(ISBLANK('A-RACHNATMAK'!F506)),"A",IF(NOT(ISBLANK('A-RACHNATMAK'!F505)),"B",IF(NOT(ISBLANK('A-RACHNATMAK'!F504)),"C","")))</f>
        <v/>
      </c>
      <c r="F475" s="622" t="str">
        <f>IF(NOT(ISBLANK('A-RACHNATMAK'!G506)),"A",IF(NOT(ISBLANK('A-RACHNATMAK'!G505)),"B",IF(NOT(ISBLANK('A-RACHNATMAK'!G504)),"C","")))</f>
        <v/>
      </c>
      <c r="G475" s="622" t="str">
        <f>IF(NOT(ISBLANK('A-RACHNATMAK'!H506)),"A",IF(NOT(ISBLANK('A-RACHNATMAK'!H505)),"B",IF(NOT(ISBLANK('A-RACHNATMAK'!H504)),"C","")))</f>
        <v/>
      </c>
      <c r="H475" s="622" t="str">
        <f>IF(NOT(ISBLANK('A-RACHNATMAK'!I506)),"A",IF(NOT(ISBLANK('A-RACHNATMAK'!I505)),"B",IF(NOT(ISBLANK('A-RACHNATMAK'!I504)),"C","")))</f>
        <v/>
      </c>
      <c r="I475" s="622" t="str">
        <f>IF(NOT(ISBLANK('A-RACHNATMAK'!J506)),"A",IF(NOT(ISBLANK('A-RACHNATMAK'!J505)),"B",IF(NOT(ISBLANK('A-RACHNATMAK'!J504)),"C","")))</f>
        <v/>
      </c>
      <c r="J475" s="622" t="str">
        <f>IF(NOT(ISBLANK('A-RACHNATMAK'!K506)),"A",IF(NOT(ISBLANK('A-RACHNATMAK'!K505)),"B",IF(NOT(ISBLANK('A-RACHNATMAK'!K504)),"C","")))</f>
        <v/>
      </c>
      <c r="K475" s="622" t="str">
        <f>IF(NOT(ISBLANK('A-RACHNATMAK'!L506)),"A",IF(NOT(ISBLANK('A-RACHNATMAK'!L505)),"B",IF(NOT(ISBLANK('A-RACHNATMAK'!L504)),"C","")))</f>
        <v/>
      </c>
      <c r="L475" s="622" t="str">
        <f>IF(NOT(ISBLANK('A-RACHNATMAK'!M506)),"A",IF(NOT(ISBLANK('A-RACHNATMAK'!M505)),"B",IF(NOT(ISBLANK('A-RACHNATMAK'!M504)),"C","")))</f>
        <v/>
      </c>
      <c r="M475" s="622" t="str">
        <f>IF(NOT(ISBLANK('A-RACHNATMAK'!N506)),"A",IF(NOT(ISBLANK('A-RACHNATMAK'!N505)),"B",IF(NOT(ISBLANK('A-RACHNATMAK'!N504)),"C","")))</f>
        <v/>
      </c>
      <c r="N475" s="622" t="str">
        <f>IF(NOT(ISBLANK('A-RACHNATMAK'!O506)),"A",IF(NOT(ISBLANK('A-RACHNATMAK'!O505)),"B",IF(NOT(ISBLANK('A-RACHNATMAK'!O504)),"C","")))</f>
        <v/>
      </c>
      <c r="O475" s="622" t="str">
        <f>IF(NOT(ISBLANK('A-RACHNATMAK'!P506)),"A",IF(NOT(ISBLANK('A-RACHNATMAK'!P505)),"B",IF(NOT(ISBLANK('A-RACHNATMAK'!P504)),"C","")))</f>
        <v/>
      </c>
      <c r="P475" s="622" t="str">
        <f>IF(NOT(ISBLANK('A-RACHNATMAK'!Q506)),"A",IF(NOT(ISBLANK('A-RACHNATMAK'!Q505)),"B",IF(NOT(ISBLANK('A-RACHNATMAK'!Q504)),"C","")))</f>
        <v/>
      </c>
      <c r="Q475" s="622" t="str">
        <f>IF(NOT(ISBLANK('A-RACHNATMAK'!R506)),"A",IF(NOT(ISBLANK('A-RACHNATMAK'!R505)),"B",IF(NOT(ISBLANK('A-RACHNATMAK'!R504)),"C","")))</f>
        <v/>
      </c>
      <c r="R475" s="622" t="str">
        <f>IF(NOT(ISBLANK('A-RACHNATMAK'!S506)),"A",IF(NOT(ISBLANK('A-RACHNATMAK'!S505)),"B",IF(NOT(ISBLANK('A-RACHNATMAK'!S504)),"C","")))</f>
        <v/>
      </c>
      <c r="S475" s="622" t="str">
        <f>IF(NOT(ISBLANK('A-RACHNATMAK'!T506)),"A",IF(NOT(ISBLANK('A-RACHNATMAK'!T505)),"B",IF(NOT(ISBLANK('A-RACHNATMAK'!T504)),"C","")))</f>
        <v/>
      </c>
      <c r="T475" s="622" t="str">
        <f>IF(NOT(ISBLANK('A-RACHNATMAK'!U506)),"A",IF(NOT(ISBLANK('A-RACHNATMAK'!U505)),"B",IF(NOT(ISBLANK('A-RACHNATMAK'!U504)),"C","")))</f>
        <v/>
      </c>
      <c r="U475" s="622" t="str">
        <f>IF(NOT(ISBLANK('A-RACHNATMAK'!V506)),"A",IF(NOT(ISBLANK('A-RACHNATMAK'!V505)),"B",IF(NOT(ISBLANK('A-RACHNATMAK'!V504)),"C","")))</f>
        <v/>
      </c>
      <c r="V475" s="622">
        <f t="shared" ref="V475" si="900">COUNTIF(B475:U475,"A")</f>
        <v>0</v>
      </c>
      <c r="W475" s="622">
        <f t="shared" ref="W475" si="901">COUNTIF(B475:U475,"B")</f>
        <v>0</v>
      </c>
      <c r="X475" s="622">
        <f t="shared" ref="X475" si="902">COUNTIF(B475:U475,"C")</f>
        <v>0</v>
      </c>
      <c r="Y475" s="330"/>
      <c r="Z475" s="623">
        <v>16</v>
      </c>
      <c r="AA475" s="622" t="str">
        <f>IF(NOT(ISBLANK('A-RACHNATMAK'!AD506)),"A",IF(NOT(ISBLANK('A-RACHNATMAK'!AD505)),"B",IF(NOT(ISBLANK('A-RACHNATMAK'!AD504)),"C","")))</f>
        <v/>
      </c>
      <c r="AB475" s="622" t="str">
        <f>IF(NOT(ISBLANK('A-RACHNATMAK'!AE506)),"A",IF(NOT(ISBLANK('A-RACHNATMAK'!AE505)),"B",IF(NOT(ISBLANK('A-RACHNATMAK'!AE504)),"C","")))</f>
        <v/>
      </c>
      <c r="AC475" s="622" t="str">
        <f>IF(NOT(ISBLANK('A-RACHNATMAK'!AF506)),"A",IF(NOT(ISBLANK('A-RACHNATMAK'!AF505)),"B",IF(NOT(ISBLANK('A-RACHNATMAK'!AF504)),"C","")))</f>
        <v/>
      </c>
      <c r="AD475" s="622" t="str">
        <f>IF(NOT(ISBLANK('A-RACHNATMAK'!AG506)),"A",IF(NOT(ISBLANK('A-RACHNATMAK'!AG505)),"B",IF(NOT(ISBLANK('A-RACHNATMAK'!AG504)),"C","")))</f>
        <v/>
      </c>
      <c r="AE475" s="622" t="str">
        <f>IF(NOT(ISBLANK('A-RACHNATMAK'!AH506)),"A",IF(NOT(ISBLANK('A-RACHNATMAK'!AH505)),"B",IF(NOT(ISBLANK('A-RACHNATMAK'!AH504)),"C","")))</f>
        <v/>
      </c>
      <c r="AF475" s="622" t="str">
        <f>IF(NOT(ISBLANK('A-RACHNATMAK'!AI506)),"A",IF(NOT(ISBLANK('A-RACHNATMAK'!AI505)),"B",IF(NOT(ISBLANK('A-RACHNATMAK'!AI504)),"C","")))</f>
        <v/>
      </c>
      <c r="AG475" s="622" t="str">
        <f>IF(NOT(ISBLANK('A-RACHNATMAK'!AJ506)),"A",IF(NOT(ISBLANK('A-RACHNATMAK'!AJ505)),"B",IF(NOT(ISBLANK('A-RACHNATMAK'!AJ504)),"C","")))</f>
        <v/>
      </c>
      <c r="AH475" s="622" t="str">
        <f>IF(NOT(ISBLANK('A-RACHNATMAK'!AK506)),"A",IF(NOT(ISBLANK('A-RACHNATMAK'!AK505)),"B",IF(NOT(ISBLANK('A-RACHNATMAK'!AK504)),"C","")))</f>
        <v/>
      </c>
      <c r="AI475" s="622" t="str">
        <f>IF(NOT(ISBLANK('A-RACHNATMAK'!AL506)),"A",IF(NOT(ISBLANK('A-RACHNATMAK'!AL505)),"B",IF(NOT(ISBLANK('A-RACHNATMAK'!AL504)),"C","")))</f>
        <v/>
      </c>
      <c r="AJ475" s="622" t="str">
        <f>IF(NOT(ISBLANK('A-RACHNATMAK'!AM506)),"A",IF(NOT(ISBLANK('A-RACHNATMAK'!AM505)),"B",IF(NOT(ISBLANK('A-RACHNATMAK'!AM504)),"C","")))</f>
        <v/>
      </c>
      <c r="AK475" s="622" t="str">
        <f>IF(NOT(ISBLANK('A-RACHNATMAK'!AN506)),"A",IF(NOT(ISBLANK('A-RACHNATMAK'!AN505)),"B",IF(NOT(ISBLANK('A-RACHNATMAK'!AN504)),"C","")))</f>
        <v/>
      </c>
      <c r="AL475" s="622" t="str">
        <f>IF(NOT(ISBLANK('A-RACHNATMAK'!AO506)),"A",IF(NOT(ISBLANK('A-RACHNATMAK'!AO505)),"B",IF(NOT(ISBLANK('A-RACHNATMAK'!AO504)),"C","")))</f>
        <v/>
      </c>
      <c r="AM475" s="622" t="str">
        <f>IF(NOT(ISBLANK('A-RACHNATMAK'!AP506)),"A",IF(NOT(ISBLANK('A-RACHNATMAK'!AP505)),"B",IF(NOT(ISBLANK('A-RACHNATMAK'!AP504)),"C","")))</f>
        <v/>
      </c>
      <c r="AN475" s="622" t="str">
        <f>IF(NOT(ISBLANK('A-RACHNATMAK'!AQ506)),"A",IF(NOT(ISBLANK('A-RACHNATMAK'!AQ505)),"B",IF(NOT(ISBLANK('A-RACHNATMAK'!AQ504)),"C","")))</f>
        <v/>
      </c>
      <c r="AO475" s="622" t="str">
        <f>IF(NOT(ISBLANK('A-RACHNATMAK'!AR506)),"A",IF(NOT(ISBLANK('A-RACHNATMAK'!AR505)),"B",IF(NOT(ISBLANK('A-RACHNATMAK'!AR504)),"C","")))</f>
        <v/>
      </c>
      <c r="AP475" s="622" t="str">
        <f>IF(NOT(ISBLANK('A-RACHNATMAK'!AS506)),"A",IF(NOT(ISBLANK('A-RACHNATMAK'!AS505)),"B",IF(NOT(ISBLANK('A-RACHNATMAK'!AS504)),"C","")))</f>
        <v/>
      </c>
      <c r="AQ475" s="622" t="str">
        <f>IF(NOT(ISBLANK('A-RACHNATMAK'!AT506)),"A",IF(NOT(ISBLANK('A-RACHNATMAK'!AT505)),"B",IF(NOT(ISBLANK('A-RACHNATMAK'!AT504)),"C","")))</f>
        <v/>
      </c>
      <c r="AR475" s="622" t="str">
        <f>IF(NOT(ISBLANK('A-RACHNATMAK'!AU506)),"A",IF(NOT(ISBLANK('A-RACHNATMAK'!AU505)),"B",IF(NOT(ISBLANK('A-RACHNATMAK'!AU504)),"C","")))</f>
        <v/>
      </c>
      <c r="AS475" s="622" t="str">
        <f>IF(NOT(ISBLANK('A-RACHNATMAK'!AV506)),"A",IF(NOT(ISBLANK('A-RACHNATMAK'!AV505)),"B",IF(NOT(ISBLANK('A-RACHNATMAK'!AV504)),"C","")))</f>
        <v/>
      </c>
      <c r="AT475" s="622" t="str">
        <f>IF(NOT(ISBLANK('A-RACHNATMAK'!AW506)),"A",IF(NOT(ISBLANK('A-RACHNATMAK'!AW505)),"B",IF(NOT(ISBLANK('A-RACHNATMAK'!AW504)),"C","")))</f>
        <v/>
      </c>
      <c r="AU475" s="622">
        <f t="shared" ref="AU475" si="903">COUNTIF(AA475:AT475,"A")</f>
        <v>0</v>
      </c>
      <c r="AV475" s="622">
        <f t="shared" ref="AV475" si="904">COUNTIF(AA475:AT475,"B")</f>
        <v>0</v>
      </c>
      <c r="AW475" s="622">
        <f t="shared" ref="AW475" si="905">COUNTIF(AA475:AT475,"C")</f>
        <v>0</v>
      </c>
    </row>
    <row r="476" spans="1:49" ht="7.5" customHeight="1">
      <c r="A476" s="623"/>
      <c r="B476" s="622"/>
      <c r="C476" s="622"/>
      <c r="D476" s="622"/>
      <c r="E476" s="622"/>
      <c r="F476" s="622"/>
      <c r="G476" s="622"/>
      <c r="H476" s="622"/>
      <c r="I476" s="622"/>
      <c r="J476" s="622"/>
      <c r="K476" s="622"/>
      <c r="L476" s="622"/>
      <c r="M476" s="622"/>
      <c r="N476" s="622"/>
      <c r="O476" s="622"/>
      <c r="P476" s="622"/>
      <c r="Q476" s="622"/>
      <c r="R476" s="622"/>
      <c r="S476" s="622"/>
      <c r="T476" s="622"/>
      <c r="U476" s="622"/>
      <c r="V476" s="622"/>
      <c r="W476" s="622"/>
      <c r="X476" s="622"/>
      <c r="Y476" s="330"/>
      <c r="Z476" s="623"/>
      <c r="AA476" s="622"/>
      <c r="AB476" s="622"/>
      <c r="AC476" s="622"/>
      <c r="AD476" s="622"/>
      <c r="AE476" s="622"/>
      <c r="AF476" s="622"/>
      <c r="AG476" s="622"/>
      <c r="AH476" s="622"/>
      <c r="AI476" s="622"/>
      <c r="AJ476" s="622"/>
      <c r="AK476" s="622"/>
      <c r="AL476" s="622"/>
      <c r="AM476" s="622"/>
      <c r="AN476" s="622"/>
      <c r="AO476" s="622"/>
      <c r="AP476" s="622"/>
      <c r="AQ476" s="622"/>
      <c r="AR476" s="622"/>
      <c r="AS476" s="622"/>
      <c r="AT476" s="622"/>
      <c r="AU476" s="622"/>
      <c r="AV476" s="622"/>
      <c r="AW476" s="622"/>
    </row>
    <row r="477" spans="1:49" ht="7.5" customHeight="1">
      <c r="A477" s="623"/>
      <c r="B477" s="622"/>
      <c r="C477" s="622"/>
      <c r="D477" s="622"/>
      <c r="E477" s="622"/>
      <c r="F477" s="622"/>
      <c r="G477" s="622"/>
      <c r="H477" s="622"/>
      <c r="I477" s="622"/>
      <c r="J477" s="622"/>
      <c r="K477" s="622"/>
      <c r="L477" s="622"/>
      <c r="M477" s="622"/>
      <c r="N477" s="622"/>
      <c r="O477" s="622"/>
      <c r="P477" s="622"/>
      <c r="Q477" s="622"/>
      <c r="R477" s="622"/>
      <c r="S477" s="622"/>
      <c r="T477" s="622"/>
      <c r="U477" s="622"/>
      <c r="V477" s="622"/>
      <c r="W477" s="622"/>
      <c r="X477" s="622"/>
      <c r="Y477" s="330"/>
      <c r="Z477" s="623"/>
      <c r="AA477" s="622"/>
      <c r="AB477" s="622"/>
      <c r="AC477" s="622"/>
      <c r="AD477" s="622"/>
      <c r="AE477" s="622"/>
      <c r="AF477" s="622"/>
      <c r="AG477" s="622"/>
      <c r="AH477" s="622"/>
      <c r="AI477" s="622"/>
      <c r="AJ477" s="622"/>
      <c r="AK477" s="622"/>
      <c r="AL477" s="622"/>
      <c r="AM477" s="622"/>
      <c r="AN477" s="622"/>
      <c r="AO477" s="622"/>
      <c r="AP477" s="622"/>
      <c r="AQ477" s="622"/>
      <c r="AR477" s="622"/>
      <c r="AS477" s="622"/>
      <c r="AT477" s="622"/>
      <c r="AU477" s="622"/>
      <c r="AV477" s="622"/>
      <c r="AW477" s="622"/>
    </row>
    <row r="478" spans="1:49" ht="7.5" customHeight="1">
      <c r="A478" s="623">
        <v>17</v>
      </c>
      <c r="B478" s="622" t="str">
        <f>IF(NOT(ISBLANK('A-RACHNATMAK'!C509)),"A",IF(NOT(ISBLANK('A-RACHNATMAK'!C508)),"B",IF(NOT(ISBLANK('A-RACHNATMAK'!C507)),"C","")))</f>
        <v/>
      </c>
      <c r="C478" s="622" t="str">
        <f>IF(NOT(ISBLANK('A-RACHNATMAK'!D509)),"A",IF(NOT(ISBLANK('A-RACHNATMAK'!D508)),"B",IF(NOT(ISBLANK('A-RACHNATMAK'!D507)),"C","")))</f>
        <v/>
      </c>
      <c r="D478" s="622" t="str">
        <f>IF(NOT(ISBLANK('A-RACHNATMAK'!E509)),"A",IF(NOT(ISBLANK('A-RACHNATMAK'!E508)),"B",IF(NOT(ISBLANK('A-RACHNATMAK'!E507)),"C","")))</f>
        <v/>
      </c>
      <c r="E478" s="622" t="str">
        <f>IF(NOT(ISBLANK('A-RACHNATMAK'!F509)),"A",IF(NOT(ISBLANK('A-RACHNATMAK'!F508)),"B",IF(NOT(ISBLANK('A-RACHNATMAK'!F507)),"C","")))</f>
        <v/>
      </c>
      <c r="F478" s="622" t="str">
        <f>IF(NOT(ISBLANK('A-RACHNATMAK'!G509)),"A",IF(NOT(ISBLANK('A-RACHNATMAK'!G508)),"B",IF(NOT(ISBLANK('A-RACHNATMAK'!G507)),"C","")))</f>
        <v/>
      </c>
      <c r="G478" s="622" t="str">
        <f>IF(NOT(ISBLANK('A-RACHNATMAK'!H509)),"A",IF(NOT(ISBLANK('A-RACHNATMAK'!H508)),"B",IF(NOT(ISBLANK('A-RACHNATMAK'!H507)),"C","")))</f>
        <v/>
      </c>
      <c r="H478" s="622" t="str">
        <f>IF(NOT(ISBLANK('A-RACHNATMAK'!I509)),"A",IF(NOT(ISBLANK('A-RACHNATMAK'!I508)),"B",IF(NOT(ISBLANK('A-RACHNATMAK'!I507)),"C","")))</f>
        <v/>
      </c>
      <c r="I478" s="622" t="str">
        <f>IF(NOT(ISBLANK('A-RACHNATMAK'!J509)),"A",IF(NOT(ISBLANK('A-RACHNATMAK'!J508)),"B",IF(NOT(ISBLANK('A-RACHNATMAK'!J507)),"C","")))</f>
        <v/>
      </c>
      <c r="J478" s="622" t="str">
        <f>IF(NOT(ISBLANK('A-RACHNATMAK'!K509)),"A",IF(NOT(ISBLANK('A-RACHNATMAK'!K508)),"B",IF(NOT(ISBLANK('A-RACHNATMAK'!K507)),"C","")))</f>
        <v/>
      </c>
      <c r="K478" s="622" t="str">
        <f>IF(NOT(ISBLANK('A-RACHNATMAK'!L509)),"A",IF(NOT(ISBLANK('A-RACHNATMAK'!L508)),"B",IF(NOT(ISBLANK('A-RACHNATMAK'!L507)),"C","")))</f>
        <v/>
      </c>
      <c r="L478" s="622" t="str">
        <f>IF(NOT(ISBLANK('A-RACHNATMAK'!M509)),"A",IF(NOT(ISBLANK('A-RACHNATMAK'!M508)),"B",IF(NOT(ISBLANK('A-RACHNATMAK'!M507)),"C","")))</f>
        <v/>
      </c>
      <c r="M478" s="622" t="str">
        <f>IF(NOT(ISBLANK('A-RACHNATMAK'!N509)),"A",IF(NOT(ISBLANK('A-RACHNATMAK'!N508)),"B",IF(NOT(ISBLANK('A-RACHNATMAK'!N507)),"C","")))</f>
        <v/>
      </c>
      <c r="N478" s="622" t="str">
        <f>IF(NOT(ISBLANK('A-RACHNATMAK'!O509)),"A",IF(NOT(ISBLANK('A-RACHNATMAK'!O508)),"B",IF(NOT(ISBLANK('A-RACHNATMAK'!O507)),"C","")))</f>
        <v/>
      </c>
      <c r="O478" s="622" t="str">
        <f>IF(NOT(ISBLANK('A-RACHNATMAK'!P509)),"A",IF(NOT(ISBLANK('A-RACHNATMAK'!P508)),"B",IF(NOT(ISBLANK('A-RACHNATMAK'!P507)),"C","")))</f>
        <v/>
      </c>
      <c r="P478" s="622" t="str">
        <f>IF(NOT(ISBLANK('A-RACHNATMAK'!Q509)),"A",IF(NOT(ISBLANK('A-RACHNATMAK'!Q508)),"B",IF(NOT(ISBLANK('A-RACHNATMAK'!Q507)),"C","")))</f>
        <v/>
      </c>
      <c r="Q478" s="622" t="str">
        <f>IF(NOT(ISBLANK('A-RACHNATMAK'!R509)),"A",IF(NOT(ISBLANK('A-RACHNATMAK'!R508)),"B",IF(NOT(ISBLANK('A-RACHNATMAK'!R507)),"C","")))</f>
        <v/>
      </c>
      <c r="R478" s="622" t="str">
        <f>IF(NOT(ISBLANK('A-RACHNATMAK'!S509)),"A",IF(NOT(ISBLANK('A-RACHNATMAK'!S508)),"B",IF(NOT(ISBLANK('A-RACHNATMAK'!S507)),"C","")))</f>
        <v/>
      </c>
      <c r="S478" s="622" t="str">
        <f>IF(NOT(ISBLANK('A-RACHNATMAK'!T509)),"A",IF(NOT(ISBLANK('A-RACHNATMAK'!T508)),"B",IF(NOT(ISBLANK('A-RACHNATMAK'!T507)),"C","")))</f>
        <v/>
      </c>
      <c r="T478" s="622" t="str">
        <f>IF(NOT(ISBLANK('A-RACHNATMAK'!U509)),"A",IF(NOT(ISBLANK('A-RACHNATMAK'!U508)),"B",IF(NOT(ISBLANK('A-RACHNATMAK'!U507)),"C","")))</f>
        <v/>
      </c>
      <c r="U478" s="622" t="str">
        <f>IF(NOT(ISBLANK('A-RACHNATMAK'!V509)),"A",IF(NOT(ISBLANK('A-RACHNATMAK'!V508)),"B",IF(NOT(ISBLANK('A-RACHNATMAK'!V507)),"C","")))</f>
        <v/>
      </c>
      <c r="V478" s="622">
        <f t="shared" ref="V478" si="906">COUNTIF(B478:U478,"A")</f>
        <v>0</v>
      </c>
      <c r="W478" s="622">
        <f t="shared" ref="W478" si="907">COUNTIF(B478:U478,"B")</f>
        <v>0</v>
      </c>
      <c r="X478" s="622">
        <f t="shared" ref="X478" si="908">COUNTIF(B478:U478,"C")</f>
        <v>0</v>
      </c>
      <c r="Y478" s="330"/>
      <c r="Z478" s="623">
        <v>17</v>
      </c>
      <c r="AA478" s="622" t="str">
        <f>IF(NOT(ISBLANK('A-RACHNATMAK'!AD509)),"A",IF(NOT(ISBLANK('A-RACHNATMAK'!AD508)),"B",IF(NOT(ISBLANK('A-RACHNATMAK'!AD507)),"C","")))</f>
        <v/>
      </c>
      <c r="AB478" s="622" t="str">
        <f>IF(NOT(ISBLANK('A-RACHNATMAK'!AE509)),"A",IF(NOT(ISBLANK('A-RACHNATMAK'!AE508)),"B",IF(NOT(ISBLANK('A-RACHNATMAK'!AE507)),"C","")))</f>
        <v/>
      </c>
      <c r="AC478" s="622" t="str">
        <f>IF(NOT(ISBLANK('A-RACHNATMAK'!AF509)),"A",IF(NOT(ISBLANK('A-RACHNATMAK'!AF508)),"B",IF(NOT(ISBLANK('A-RACHNATMAK'!AF507)),"C","")))</f>
        <v/>
      </c>
      <c r="AD478" s="622" t="str">
        <f>IF(NOT(ISBLANK('A-RACHNATMAK'!AG509)),"A",IF(NOT(ISBLANK('A-RACHNATMAK'!AG508)),"B",IF(NOT(ISBLANK('A-RACHNATMAK'!AG507)),"C","")))</f>
        <v/>
      </c>
      <c r="AE478" s="622" t="str">
        <f>IF(NOT(ISBLANK('A-RACHNATMAK'!AH509)),"A",IF(NOT(ISBLANK('A-RACHNATMAK'!AH508)),"B",IF(NOT(ISBLANK('A-RACHNATMAK'!AH507)),"C","")))</f>
        <v/>
      </c>
      <c r="AF478" s="622" t="str">
        <f>IF(NOT(ISBLANK('A-RACHNATMAK'!AI509)),"A",IF(NOT(ISBLANK('A-RACHNATMAK'!AI508)),"B",IF(NOT(ISBLANK('A-RACHNATMAK'!AI507)),"C","")))</f>
        <v/>
      </c>
      <c r="AG478" s="622" t="str">
        <f>IF(NOT(ISBLANK('A-RACHNATMAK'!AJ509)),"A",IF(NOT(ISBLANK('A-RACHNATMAK'!AJ508)),"B",IF(NOT(ISBLANK('A-RACHNATMAK'!AJ507)),"C","")))</f>
        <v/>
      </c>
      <c r="AH478" s="622" t="str">
        <f>IF(NOT(ISBLANK('A-RACHNATMAK'!AK509)),"A",IF(NOT(ISBLANK('A-RACHNATMAK'!AK508)),"B",IF(NOT(ISBLANK('A-RACHNATMAK'!AK507)),"C","")))</f>
        <v/>
      </c>
      <c r="AI478" s="622" t="str">
        <f>IF(NOT(ISBLANK('A-RACHNATMAK'!AL509)),"A",IF(NOT(ISBLANK('A-RACHNATMAK'!AL508)),"B",IF(NOT(ISBLANK('A-RACHNATMAK'!AL507)),"C","")))</f>
        <v/>
      </c>
      <c r="AJ478" s="622" t="str">
        <f>IF(NOT(ISBLANK('A-RACHNATMAK'!AM509)),"A",IF(NOT(ISBLANK('A-RACHNATMAK'!AM508)),"B",IF(NOT(ISBLANK('A-RACHNATMAK'!AM507)),"C","")))</f>
        <v/>
      </c>
      <c r="AK478" s="622" t="str">
        <f>IF(NOT(ISBLANK('A-RACHNATMAK'!AN509)),"A",IF(NOT(ISBLANK('A-RACHNATMAK'!AN508)),"B",IF(NOT(ISBLANK('A-RACHNATMAK'!AN507)),"C","")))</f>
        <v/>
      </c>
      <c r="AL478" s="622" t="str">
        <f>IF(NOT(ISBLANK('A-RACHNATMAK'!AO509)),"A",IF(NOT(ISBLANK('A-RACHNATMAK'!AO508)),"B",IF(NOT(ISBLANK('A-RACHNATMAK'!AO507)),"C","")))</f>
        <v/>
      </c>
      <c r="AM478" s="622" t="str">
        <f>IF(NOT(ISBLANK('A-RACHNATMAK'!AP509)),"A",IF(NOT(ISBLANK('A-RACHNATMAK'!AP508)),"B",IF(NOT(ISBLANK('A-RACHNATMAK'!AP507)),"C","")))</f>
        <v/>
      </c>
      <c r="AN478" s="622" t="str">
        <f>IF(NOT(ISBLANK('A-RACHNATMAK'!AQ509)),"A",IF(NOT(ISBLANK('A-RACHNATMAK'!AQ508)),"B",IF(NOT(ISBLANK('A-RACHNATMAK'!AQ507)),"C","")))</f>
        <v/>
      </c>
      <c r="AO478" s="622" t="str">
        <f>IF(NOT(ISBLANK('A-RACHNATMAK'!AR509)),"A",IF(NOT(ISBLANK('A-RACHNATMAK'!AR508)),"B",IF(NOT(ISBLANK('A-RACHNATMAK'!AR507)),"C","")))</f>
        <v/>
      </c>
      <c r="AP478" s="622" t="str">
        <f>IF(NOT(ISBLANK('A-RACHNATMAK'!AS509)),"A",IF(NOT(ISBLANK('A-RACHNATMAK'!AS508)),"B",IF(NOT(ISBLANK('A-RACHNATMAK'!AS507)),"C","")))</f>
        <v/>
      </c>
      <c r="AQ478" s="622" t="str">
        <f>IF(NOT(ISBLANK('A-RACHNATMAK'!AT509)),"A",IF(NOT(ISBLANK('A-RACHNATMAK'!AT508)),"B",IF(NOT(ISBLANK('A-RACHNATMAK'!AT507)),"C","")))</f>
        <v/>
      </c>
      <c r="AR478" s="622" t="str">
        <f>IF(NOT(ISBLANK('A-RACHNATMAK'!AU509)),"A",IF(NOT(ISBLANK('A-RACHNATMAK'!AU508)),"B",IF(NOT(ISBLANK('A-RACHNATMAK'!AU507)),"C","")))</f>
        <v/>
      </c>
      <c r="AS478" s="622" t="str">
        <f>IF(NOT(ISBLANK('A-RACHNATMAK'!AV509)),"A",IF(NOT(ISBLANK('A-RACHNATMAK'!AV508)),"B",IF(NOT(ISBLANK('A-RACHNATMAK'!AV507)),"C","")))</f>
        <v/>
      </c>
      <c r="AT478" s="622" t="str">
        <f>IF(NOT(ISBLANK('A-RACHNATMAK'!AW509)),"A",IF(NOT(ISBLANK('A-RACHNATMAK'!AW508)),"B",IF(NOT(ISBLANK('A-RACHNATMAK'!AW507)),"C","")))</f>
        <v/>
      </c>
      <c r="AU478" s="622">
        <f t="shared" ref="AU478" si="909">COUNTIF(AA478:AT478,"A")</f>
        <v>0</v>
      </c>
      <c r="AV478" s="622">
        <f t="shared" ref="AV478" si="910">COUNTIF(AA478:AT478,"B")</f>
        <v>0</v>
      </c>
      <c r="AW478" s="622">
        <f t="shared" ref="AW478" si="911">COUNTIF(AA478:AT478,"C")</f>
        <v>0</v>
      </c>
    </row>
    <row r="479" spans="1:49" ht="7.5" customHeight="1">
      <c r="A479" s="623"/>
      <c r="B479" s="622"/>
      <c r="C479" s="622"/>
      <c r="D479" s="622"/>
      <c r="E479" s="622"/>
      <c r="F479" s="622"/>
      <c r="G479" s="622"/>
      <c r="H479" s="622"/>
      <c r="I479" s="622"/>
      <c r="J479" s="622"/>
      <c r="K479" s="622"/>
      <c r="L479" s="622"/>
      <c r="M479" s="622"/>
      <c r="N479" s="622"/>
      <c r="O479" s="622"/>
      <c r="P479" s="622"/>
      <c r="Q479" s="622"/>
      <c r="R479" s="622"/>
      <c r="S479" s="622"/>
      <c r="T479" s="622"/>
      <c r="U479" s="622"/>
      <c r="V479" s="622"/>
      <c r="W479" s="622"/>
      <c r="X479" s="622"/>
      <c r="Y479" s="330"/>
      <c r="Z479" s="623"/>
      <c r="AA479" s="622"/>
      <c r="AB479" s="622"/>
      <c r="AC479" s="622"/>
      <c r="AD479" s="622"/>
      <c r="AE479" s="622"/>
      <c r="AF479" s="622"/>
      <c r="AG479" s="622"/>
      <c r="AH479" s="622"/>
      <c r="AI479" s="622"/>
      <c r="AJ479" s="622"/>
      <c r="AK479" s="622"/>
      <c r="AL479" s="622"/>
      <c r="AM479" s="622"/>
      <c r="AN479" s="622"/>
      <c r="AO479" s="622"/>
      <c r="AP479" s="622"/>
      <c r="AQ479" s="622"/>
      <c r="AR479" s="622"/>
      <c r="AS479" s="622"/>
      <c r="AT479" s="622"/>
      <c r="AU479" s="622"/>
      <c r="AV479" s="622"/>
      <c r="AW479" s="622"/>
    </row>
    <row r="480" spans="1:49" ht="7.5" customHeight="1">
      <c r="A480" s="623"/>
      <c r="B480" s="622"/>
      <c r="C480" s="622"/>
      <c r="D480" s="622"/>
      <c r="E480" s="622"/>
      <c r="F480" s="622"/>
      <c r="G480" s="622"/>
      <c r="H480" s="622"/>
      <c r="I480" s="622"/>
      <c r="J480" s="622"/>
      <c r="K480" s="622"/>
      <c r="L480" s="622"/>
      <c r="M480" s="622"/>
      <c r="N480" s="622"/>
      <c r="O480" s="622"/>
      <c r="P480" s="622"/>
      <c r="Q480" s="622"/>
      <c r="R480" s="622"/>
      <c r="S480" s="622"/>
      <c r="T480" s="622"/>
      <c r="U480" s="622"/>
      <c r="V480" s="622"/>
      <c r="W480" s="622"/>
      <c r="X480" s="622"/>
      <c r="Y480" s="330"/>
      <c r="Z480" s="623"/>
      <c r="AA480" s="622"/>
      <c r="AB480" s="622"/>
      <c r="AC480" s="622"/>
      <c r="AD480" s="622"/>
      <c r="AE480" s="622"/>
      <c r="AF480" s="622"/>
      <c r="AG480" s="622"/>
      <c r="AH480" s="622"/>
      <c r="AI480" s="622"/>
      <c r="AJ480" s="622"/>
      <c r="AK480" s="622"/>
      <c r="AL480" s="622"/>
      <c r="AM480" s="622"/>
      <c r="AN480" s="622"/>
      <c r="AO480" s="622"/>
      <c r="AP480" s="622"/>
      <c r="AQ480" s="622"/>
      <c r="AR480" s="622"/>
      <c r="AS480" s="622"/>
      <c r="AT480" s="622"/>
      <c r="AU480" s="622"/>
      <c r="AV480" s="622"/>
      <c r="AW480" s="622"/>
    </row>
    <row r="481" spans="1:49" ht="7.5" customHeight="1">
      <c r="A481" s="623">
        <v>18</v>
      </c>
      <c r="B481" s="622" t="str">
        <f>IF(NOT(ISBLANK('A-RACHNATMAK'!C512)),"A",IF(NOT(ISBLANK('A-RACHNATMAK'!C511)),"B",IF(NOT(ISBLANK('A-RACHNATMAK'!C510)),"C","")))</f>
        <v/>
      </c>
      <c r="C481" s="622" t="str">
        <f>IF(NOT(ISBLANK('A-RACHNATMAK'!D512)),"A",IF(NOT(ISBLANK('A-RACHNATMAK'!D511)),"B",IF(NOT(ISBLANK('A-RACHNATMAK'!D510)),"C","")))</f>
        <v/>
      </c>
      <c r="D481" s="622" t="str">
        <f>IF(NOT(ISBLANK('A-RACHNATMAK'!E512)),"A",IF(NOT(ISBLANK('A-RACHNATMAK'!E511)),"B",IF(NOT(ISBLANK('A-RACHNATMAK'!E510)),"C","")))</f>
        <v/>
      </c>
      <c r="E481" s="622" t="str">
        <f>IF(NOT(ISBLANK('A-RACHNATMAK'!F512)),"A",IF(NOT(ISBLANK('A-RACHNATMAK'!F511)),"B",IF(NOT(ISBLANK('A-RACHNATMAK'!F510)),"C","")))</f>
        <v/>
      </c>
      <c r="F481" s="622" t="str">
        <f>IF(NOT(ISBLANK('A-RACHNATMAK'!G512)),"A",IF(NOT(ISBLANK('A-RACHNATMAK'!G511)),"B",IF(NOT(ISBLANK('A-RACHNATMAK'!G510)),"C","")))</f>
        <v/>
      </c>
      <c r="G481" s="622" t="str">
        <f>IF(NOT(ISBLANK('A-RACHNATMAK'!H512)),"A",IF(NOT(ISBLANK('A-RACHNATMAK'!H511)),"B",IF(NOT(ISBLANK('A-RACHNATMAK'!H510)),"C","")))</f>
        <v/>
      </c>
      <c r="H481" s="622" t="str">
        <f>IF(NOT(ISBLANK('A-RACHNATMAK'!I512)),"A",IF(NOT(ISBLANK('A-RACHNATMAK'!I511)),"B",IF(NOT(ISBLANK('A-RACHNATMAK'!I510)),"C","")))</f>
        <v/>
      </c>
      <c r="I481" s="622" t="str">
        <f>IF(NOT(ISBLANK('A-RACHNATMAK'!J512)),"A",IF(NOT(ISBLANK('A-RACHNATMAK'!J511)),"B",IF(NOT(ISBLANK('A-RACHNATMAK'!J510)),"C","")))</f>
        <v/>
      </c>
      <c r="J481" s="622" t="str">
        <f>IF(NOT(ISBLANK('A-RACHNATMAK'!K512)),"A",IF(NOT(ISBLANK('A-RACHNATMAK'!K511)),"B",IF(NOT(ISBLANK('A-RACHNATMAK'!K510)),"C","")))</f>
        <v/>
      </c>
      <c r="K481" s="622" t="str">
        <f>IF(NOT(ISBLANK('A-RACHNATMAK'!L512)),"A",IF(NOT(ISBLANK('A-RACHNATMAK'!L511)),"B",IF(NOT(ISBLANK('A-RACHNATMAK'!L510)),"C","")))</f>
        <v/>
      </c>
      <c r="L481" s="622" t="str">
        <f>IF(NOT(ISBLANK('A-RACHNATMAK'!M512)),"A",IF(NOT(ISBLANK('A-RACHNATMAK'!M511)),"B",IF(NOT(ISBLANK('A-RACHNATMAK'!M510)),"C","")))</f>
        <v/>
      </c>
      <c r="M481" s="622" t="str">
        <f>IF(NOT(ISBLANK('A-RACHNATMAK'!N512)),"A",IF(NOT(ISBLANK('A-RACHNATMAK'!N511)),"B",IF(NOT(ISBLANK('A-RACHNATMAK'!N510)),"C","")))</f>
        <v/>
      </c>
      <c r="N481" s="622" t="str">
        <f>IF(NOT(ISBLANK('A-RACHNATMAK'!O512)),"A",IF(NOT(ISBLANK('A-RACHNATMAK'!O511)),"B",IF(NOT(ISBLANK('A-RACHNATMAK'!O510)),"C","")))</f>
        <v/>
      </c>
      <c r="O481" s="622" t="str">
        <f>IF(NOT(ISBLANK('A-RACHNATMAK'!P512)),"A",IF(NOT(ISBLANK('A-RACHNATMAK'!P511)),"B",IF(NOT(ISBLANK('A-RACHNATMAK'!P510)),"C","")))</f>
        <v/>
      </c>
      <c r="P481" s="622" t="str">
        <f>IF(NOT(ISBLANK('A-RACHNATMAK'!Q512)),"A",IF(NOT(ISBLANK('A-RACHNATMAK'!Q511)),"B",IF(NOT(ISBLANK('A-RACHNATMAK'!Q510)),"C","")))</f>
        <v/>
      </c>
      <c r="Q481" s="622" t="str">
        <f>IF(NOT(ISBLANK('A-RACHNATMAK'!R512)),"A",IF(NOT(ISBLANK('A-RACHNATMAK'!R511)),"B",IF(NOT(ISBLANK('A-RACHNATMAK'!R510)),"C","")))</f>
        <v/>
      </c>
      <c r="R481" s="622" t="str">
        <f>IF(NOT(ISBLANK('A-RACHNATMAK'!S512)),"A",IF(NOT(ISBLANK('A-RACHNATMAK'!S511)),"B",IF(NOT(ISBLANK('A-RACHNATMAK'!S510)),"C","")))</f>
        <v/>
      </c>
      <c r="S481" s="622" t="str">
        <f>IF(NOT(ISBLANK('A-RACHNATMAK'!T512)),"A",IF(NOT(ISBLANK('A-RACHNATMAK'!T511)),"B",IF(NOT(ISBLANK('A-RACHNATMAK'!T510)),"C","")))</f>
        <v/>
      </c>
      <c r="T481" s="622" t="str">
        <f>IF(NOT(ISBLANK('A-RACHNATMAK'!U512)),"A",IF(NOT(ISBLANK('A-RACHNATMAK'!U511)),"B",IF(NOT(ISBLANK('A-RACHNATMAK'!U510)),"C","")))</f>
        <v/>
      </c>
      <c r="U481" s="622" t="str">
        <f>IF(NOT(ISBLANK('A-RACHNATMAK'!V512)),"A",IF(NOT(ISBLANK('A-RACHNATMAK'!V511)),"B",IF(NOT(ISBLANK('A-RACHNATMAK'!V510)),"C","")))</f>
        <v/>
      </c>
      <c r="V481" s="622">
        <f t="shared" ref="V481" si="912">COUNTIF(B481:U481,"A")</f>
        <v>0</v>
      </c>
      <c r="W481" s="622">
        <f t="shared" ref="W481" si="913">COUNTIF(B481:U481,"B")</f>
        <v>0</v>
      </c>
      <c r="X481" s="622">
        <f t="shared" ref="X481" si="914">COUNTIF(B481:U481,"C")</f>
        <v>0</v>
      </c>
      <c r="Y481" s="330"/>
      <c r="Z481" s="623">
        <v>18</v>
      </c>
      <c r="AA481" s="622" t="str">
        <f>IF(NOT(ISBLANK('A-RACHNATMAK'!AD512)),"A",IF(NOT(ISBLANK('A-RACHNATMAK'!AD511)),"B",IF(NOT(ISBLANK('A-RACHNATMAK'!AD510)),"C","")))</f>
        <v/>
      </c>
      <c r="AB481" s="622" t="str">
        <f>IF(NOT(ISBLANK('A-RACHNATMAK'!AE512)),"A",IF(NOT(ISBLANK('A-RACHNATMAK'!AE511)),"B",IF(NOT(ISBLANK('A-RACHNATMAK'!AE510)),"C","")))</f>
        <v/>
      </c>
      <c r="AC481" s="622" t="str">
        <f>IF(NOT(ISBLANK('A-RACHNATMAK'!AF512)),"A",IF(NOT(ISBLANK('A-RACHNATMAK'!AF511)),"B",IF(NOT(ISBLANK('A-RACHNATMAK'!AF510)),"C","")))</f>
        <v/>
      </c>
      <c r="AD481" s="622" t="str">
        <f>IF(NOT(ISBLANK('A-RACHNATMAK'!AG512)),"A",IF(NOT(ISBLANK('A-RACHNATMAK'!AG511)),"B",IF(NOT(ISBLANK('A-RACHNATMAK'!AG510)),"C","")))</f>
        <v/>
      </c>
      <c r="AE481" s="622" t="str">
        <f>IF(NOT(ISBLANK('A-RACHNATMAK'!AH512)),"A",IF(NOT(ISBLANK('A-RACHNATMAK'!AH511)),"B",IF(NOT(ISBLANK('A-RACHNATMAK'!AH510)),"C","")))</f>
        <v/>
      </c>
      <c r="AF481" s="622" t="str">
        <f>IF(NOT(ISBLANK('A-RACHNATMAK'!AI512)),"A",IF(NOT(ISBLANK('A-RACHNATMAK'!AI511)),"B",IF(NOT(ISBLANK('A-RACHNATMAK'!AI510)),"C","")))</f>
        <v/>
      </c>
      <c r="AG481" s="622" t="str">
        <f>IF(NOT(ISBLANK('A-RACHNATMAK'!AJ512)),"A",IF(NOT(ISBLANK('A-RACHNATMAK'!AJ511)),"B",IF(NOT(ISBLANK('A-RACHNATMAK'!AJ510)),"C","")))</f>
        <v/>
      </c>
      <c r="AH481" s="622" t="str">
        <f>IF(NOT(ISBLANK('A-RACHNATMAK'!AK512)),"A",IF(NOT(ISBLANK('A-RACHNATMAK'!AK511)),"B",IF(NOT(ISBLANK('A-RACHNATMAK'!AK510)),"C","")))</f>
        <v/>
      </c>
      <c r="AI481" s="622" t="str">
        <f>IF(NOT(ISBLANK('A-RACHNATMAK'!AL512)),"A",IF(NOT(ISBLANK('A-RACHNATMAK'!AL511)),"B",IF(NOT(ISBLANK('A-RACHNATMAK'!AL510)),"C","")))</f>
        <v/>
      </c>
      <c r="AJ481" s="622" t="str">
        <f>IF(NOT(ISBLANK('A-RACHNATMAK'!AM512)),"A",IF(NOT(ISBLANK('A-RACHNATMAK'!AM511)),"B",IF(NOT(ISBLANK('A-RACHNATMAK'!AM510)),"C","")))</f>
        <v/>
      </c>
      <c r="AK481" s="622" t="str">
        <f>IF(NOT(ISBLANK('A-RACHNATMAK'!AN512)),"A",IF(NOT(ISBLANK('A-RACHNATMAK'!AN511)),"B",IF(NOT(ISBLANK('A-RACHNATMAK'!AN510)),"C","")))</f>
        <v/>
      </c>
      <c r="AL481" s="622" t="str">
        <f>IF(NOT(ISBLANK('A-RACHNATMAK'!AO512)),"A",IF(NOT(ISBLANK('A-RACHNATMAK'!AO511)),"B",IF(NOT(ISBLANK('A-RACHNATMAK'!AO510)),"C","")))</f>
        <v/>
      </c>
      <c r="AM481" s="622" t="str">
        <f>IF(NOT(ISBLANK('A-RACHNATMAK'!AP512)),"A",IF(NOT(ISBLANK('A-RACHNATMAK'!AP511)),"B",IF(NOT(ISBLANK('A-RACHNATMAK'!AP510)),"C","")))</f>
        <v/>
      </c>
      <c r="AN481" s="622" t="str">
        <f>IF(NOT(ISBLANK('A-RACHNATMAK'!AQ512)),"A",IF(NOT(ISBLANK('A-RACHNATMAK'!AQ511)),"B",IF(NOT(ISBLANK('A-RACHNATMAK'!AQ510)),"C","")))</f>
        <v/>
      </c>
      <c r="AO481" s="622" t="str">
        <f>IF(NOT(ISBLANK('A-RACHNATMAK'!AR512)),"A",IF(NOT(ISBLANK('A-RACHNATMAK'!AR511)),"B",IF(NOT(ISBLANK('A-RACHNATMAK'!AR510)),"C","")))</f>
        <v/>
      </c>
      <c r="AP481" s="622" t="str">
        <f>IF(NOT(ISBLANK('A-RACHNATMAK'!AS512)),"A",IF(NOT(ISBLANK('A-RACHNATMAK'!AS511)),"B",IF(NOT(ISBLANK('A-RACHNATMAK'!AS510)),"C","")))</f>
        <v/>
      </c>
      <c r="AQ481" s="622" t="str">
        <f>IF(NOT(ISBLANK('A-RACHNATMAK'!AT512)),"A",IF(NOT(ISBLANK('A-RACHNATMAK'!AT511)),"B",IF(NOT(ISBLANK('A-RACHNATMAK'!AT510)),"C","")))</f>
        <v/>
      </c>
      <c r="AR481" s="622" t="str">
        <f>IF(NOT(ISBLANK('A-RACHNATMAK'!AU512)),"A",IF(NOT(ISBLANK('A-RACHNATMAK'!AU511)),"B",IF(NOT(ISBLANK('A-RACHNATMAK'!AU510)),"C","")))</f>
        <v/>
      </c>
      <c r="AS481" s="622" t="str">
        <f>IF(NOT(ISBLANK('A-RACHNATMAK'!AV512)),"A",IF(NOT(ISBLANK('A-RACHNATMAK'!AV511)),"B",IF(NOT(ISBLANK('A-RACHNATMAK'!AV510)),"C","")))</f>
        <v/>
      </c>
      <c r="AT481" s="622" t="str">
        <f>IF(NOT(ISBLANK('A-RACHNATMAK'!AW512)),"A",IF(NOT(ISBLANK('A-RACHNATMAK'!AW511)),"B",IF(NOT(ISBLANK('A-RACHNATMAK'!AW510)),"C","")))</f>
        <v/>
      </c>
      <c r="AU481" s="622">
        <f t="shared" ref="AU481" si="915">COUNTIF(AA481:AT481,"A")</f>
        <v>0</v>
      </c>
      <c r="AV481" s="622">
        <f t="shared" ref="AV481" si="916">COUNTIF(AA481:AT481,"B")</f>
        <v>0</v>
      </c>
      <c r="AW481" s="622">
        <f t="shared" ref="AW481" si="917">COUNTIF(AA481:AT481,"C")</f>
        <v>0</v>
      </c>
    </row>
    <row r="482" spans="1:49" ht="7.5" customHeight="1">
      <c r="A482" s="623"/>
      <c r="B482" s="622"/>
      <c r="C482" s="622"/>
      <c r="D482" s="622"/>
      <c r="E482" s="622"/>
      <c r="F482" s="622"/>
      <c r="G482" s="622"/>
      <c r="H482" s="622"/>
      <c r="I482" s="622"/>
      <c r="J482" s="622"/>
      <c r="K482" s="622"/>
      <c r="L482" s="622"/>
      <c r="M482" s="622"/>
      <c r="N482" s="622"/>
      <c r="O482" s="622"/>
      <c r="P482" s="622"/>
      <c r="Q482" s="622"/>
      <c r="R482" s="622"/>
      <c r="S482" s="622"/>
      <c r="T482" s="622"/>
      <c r="U482" s="622"/>
      <c r="V482" s="622"/>
      <c r="W482" s="622"/>
      <c r="X482" s="622"/>
      <c r="Y482" s="330"/>
      <c r="Z482" s="623"/>
      <c r="AA482" s="622"/>
      <c r="AB482" s="622"/>
      <c r="AC482" s="622"/>
      <c r="AD482" s="622"/>
      <c r="AE482" s="622"/>
      <c r="AF482" s="622"/>
      <c r="AG482" s="622"/>
      <c r="AH482" s="622"/>
      <c r="AI482" s="622"/>
      <c r="AJ482" s="622"/>
      <c r="AK482" s="622"/>
      <c r="AL482" s="622"/>
      <c r="AM482" s="622"/>
      <c r="AN482" s="622"/>
      <c r="AO482" s="622"/>
      <c r="AP482" s="622"/>
      <c r="AQ482" s="622"/>
      <c r="AR482" s="622"/>
      <c r="AS482" s="622"/>
      <c r="AT482" s="622"/>
      <c r="AU482" s="622"/>
      <c r="AV482" s="622"/>
      <c r="AW482" s="622"/>
    </row>
    <row r="483" spans="1:49" ht="7.5" customHeight="1">
      <c r="A483" s="623"/>
      <c r="B483" s="622"/>
      <c r="C483" s="622"/>
      <c r="D483" s="622"/>
      <c r="E483" s="622"/>
      <c r="F483" s="622"/>
      <c r="G483" s="622"/>
      <c r="H483" s="622"/>
      <c r="I483" s="622"/>
      <c r="J483" s="622"/>
      <c r="K483" s="622"/>
      <c r="L483" s="622"/>
      <c r="M483" s="622"/>
      <c r="N483" s="622"/>
      <c r="O483" s="622"/>
      <c r="P483" s="622"/>
      <c r="Q483" s="622"/>
      <c r="R483" s="622"/>
      <c r="S483" s="622"/>
      <c r="T483" s="622"/>
      <c r="U483" s="622"/>
      <c r="V483" s="622"/>
      <c r="W483" s="622"/>
      <c r="X483" s="622"/>
      <c r="Y483" s="330"/>
      <c r="Z483" s="623"/>
      <c r="AA483" s="622"/>
      <c r="AB483" s="622"/>
      <c r="AC483" s="622"/>
      <c r="AD483" s="622"/>
      <c r="AE483" s="622"/>
      <c r="AF483" s="622"/>
      <c r="AG483" s="622"/>
      <c r="AH483" s="622"/>
      <c r="AI483" s="622"/>
      <c r="AJ483" s="622"/>
      <c r="AK483" s="622"/>
      <c r="AL483" s="622"/>
      <c r="AM483" s="622"/>
      <c r="AN483" s="622"/>
      <c r="AO483" s="622"/>
      <c r="AP483" s="622"/>
      <c r="AQ483" s="622"/>
      <c r="AR483" s="622"/>
      <c r="AS483" s="622"/>
      <c r="AT483" s="622"/>
      <c r="AU483" s="622"/>
      <c r="AV483" s="622"/>
      <c r="AW483" s="622"/>
    </row>
    <row r="484" spans="1:49" ht="7.5" customHeight="1">
      <c r="A484" s="623">
        <v>19</v>
      </c>
      <c r="B484" s="622" t="str">
        <f>IF(NOT(ISBLANK('A-RACHNATMAK'!C515)),"A",IF(NOT(ISBLANK('A-RACHNATMAK'!C514)),"B",IF(NOT(ISBLANK('A-RACHNATMAK'!C513)),"C","")))</f>
        <v/>
      </c>
      <c r="C484" s="622" t="str">
        <f>IF(NOT(ISBLANK('A-RACHNATMAK'!D515)),"A",IF(NOT(ISBLANK('A-RACHNATMAK'!D514)),"B",IF(NOT(ISBLANK('A-RACHNATMAK'!D513)),"C","")))</f>
        <v/>
      </c>
      <c r="D484" s="622" t="str">
        <f>IF(NOT(ISBLANK('A-RACHNATMAK'!E515)),"A",IF(NOT(ISBLANK('A-RACHNATMAK'!E514)),"B",IF(NOT(ISBLANK('A-RACHNATMAK'!E513)),"C","")))</f>
        <v/>
      </c>
      <c r="E484" s="622" t="str">
        <f>IF(NOT(ISBLANK('A-RACHNATMAK'!F515)),"A",IF(NOT(ISBLANK('A-RACHNATMAK'!F514)),"B",IF(NOT(ISBLANK('A-RACHNATMAK'!F513)),"C","")))</f>
        <v/>
      </c>
      <c r="F484" s="622" t="str">
        <f>IF(NOT(ISBLANK('A-RACHNATMAK'!G515)),"A",IF(NOT(ISBLANK('A-RACHNATMAK'!G514)),"B",IF(NOT(ISBLANK('A-RACHNATMAK'!G513)),"C","")))</f>
        <v/>
      </c>
      <c r="G484" s="622" t="str">
        <f>IF(NOT(ISBLANK('A-RACHNATMAK'!H515)),"A",IF(NOT(ISBLANK('A-RACHNATMAK'!H514)),"B",IF(NOT(ISBLANK('A-RACHNATMAK'!H513)),"C","")))</f>
        <v/>
      </c>
      <c r="H484" s="622" t="str">
        <f>IF(NOT(ISBLANK('A-RACHNATMAK'!I515)),"A",IF(NOT(ISBLANK('A-RACHNATMAK'!I514)),"B",IF(NOT(ISBLANK('A-RACHNATMAK'!I513)),"C","")))</f>
        <v/>
      </c>
      <c r="I484" s="622" t="str">
        <f>IF(NOT(ISBLANK('A-RACHNATMAK'!J515)),"A",IF(NOT(ISBLANK('A-RACHNATMAK'!J514)),"B",IF(NOT(ISBLANK('A-RACHNATMAK'!J513)),"C","")))</f>
        <v/>
      </c>
      <c r="J484" s="622" t="str">
        <f>IF(NOT(ISBLANK('A-RACHNATMAK'!K515)),"A",IF(NOT(ISBLANK('A-RACHNATMAK'!K514)),"B",IF(NOT(ISBLANK('A-RACHNATMAK'!K513)),"C","")))</f>
        <v/>
      </c>
      <c r="K484" s="622" t="str">
        <f>IF(NOT(ISBLANK('A-RACHNATMAK'!L515)),"A",IF(NOT(ISBLANK('A-RACHNATMAK'!L514)),"B",IF(NOT(ISBLANK('A-RACHNATMAK'!L513)),"C","")))</f>
        <v/>
      </c>
      <c r="L484" s="622" t="str">
        <f>IF(NOT(ISBLANK('A-RACHNATMAK'!M515)),"A",IF(NOT(ISBLANK('A-RACHNATMAK'!M514)),"B",IF(NOT(ISBLANK('A-RACHNATMAK'!M513)),"C","")))</f>
        <v/>
      </c>
      <c r="M484" s="622" t="str">
        <f>IF(NOT(ISBLANK('A-RACHNATMAK'!N515)),"A",IF(NOT(ISBLANK('A-RACHNATMAK'!N514)),"B",IF(NOT(ISBLANK('A-RACHNATMAK'!N513)),"C","")))</f>
        <v/>
      </c>
      <c r="N484" s="622" t="str">
        <f>IF(NOT(ISBLANK('A-RACHNATMAK'!O515)),"A",IF(NOT(ISBLANK('A-RACHNATMAK'!O514)),"B",IF(NOT(ISBLANK('A-RACHNATMAK'!O513)),"C","")))</f>
        <v/>
      </c>
      <c r="O484" s="622" t="str">
        <f>IF(NOT(ISBLANK('A-RACHNATMAK'!P515)),"A",IF(NOT(ISBLANK('A-RACHNATMAK'!P514)),"B",IF(NOT(ISBLANK('A-RACHNATMAK'!P513)),"C","")))</f>
        <v/>
      </c>
      <c r="P484" s="622" t="str">
        <f>IF(NOT(ISBLANK('A-RACHNATMAK'!Q515)),"A",IF(NOT(ISBLANK('A-RACHNATMAK'!Q514)),"B",IF(NOT(ISBLANK('A-RACHNATMAK'!Q513)),"C","")))</f>
        <v/>
      </c>
      <c r="Q484" s="622" t="str">
        <f>IF(NOT(ISBLANK('A-RACHNATMAK'!R515)),"A",IF(NOT(ISBLANK('A-RACHNATMAK'!R514)),"B",IF(NOT(ISBLANK('A-RACHNATMAK'!R513)),"C","")))</f>
        <v/>
      </c>
      <c r="R484" s="622" t="str">
        <f>IF(NOT(ISBLANK('A-RACHNATMAK'!S515)),"A",IF(NOT(ISBLANK('A-RACHNATMAK'!S514)),"B",IF(NOT(ISBLANK('A-RACHNATMAK'!S513)),"C","")))</f>
        <v/>
      </c>
      <c r="S484" s="622" t="str">
        <f>IF(NOT(ISBLANK('A-RACHNATMAK'!T515)),"A",IF(NOT(ISBLANK('A-RACHNATMAK'!T514)),"B",IF(NOT(ISBLANK('A-RACHNATMAK'!T513)),"C","")))</f>
        <v/>
      </c>
      <c r="T484" s="622" t="str">
        <f>IF(NOT(ISBLANK('A-RACHNATMAK'!U515)),"A",IF(NOT(ISBLANK('A-RACHNATMAK'!U514)),"B",IF(NOT(ISBLANK('A-RACHNATMAK'!U513)),"C","")))</f>
        <v/>
      </c>
      <c r="U484" s="622" t="str">
        <f>IF(NOT(ISBLANK('A-RACHNATMAK'!V515)),"A",IF(NOT(ISBLANK('A-RACHNATMAK'!V514)),"B",IF(NOT(ISBLANK('A-RACHNATMAK'!V513)),"C","")))</f>
        <v/>
      </c>
      <c r="V484" s="622">
        <f t="shared" ref="V484" si="918">COUNTIF(B484:U484,"A")</f>
        <v>0</v>
      </c>
      <c r="W484" s="622">
        <f t="shared" ref="W484" si="919">COUNTIF(B484:U484,"B")</f>
        <v>0</v>
      </c>
      <c r="X484" s="622">
        <f t="shared" ref="X484" si="920">COUNTIF(B484:U484,"C")</f>
        <v>0</v>
      </c>
      <c r="Y484" s="330"/>
      <c r="Z484" s="623">
        <v>19</v>
      </c>
      <c r="AA484" s="622" t="str">
        <f>IF(NOT(ISBLANK('A-RACHNATMAK'!AD515)),"A",IF(NOT(ISBLANK('A-RACHNATMAK'!AD514)),"B",IF(NOT(ISBLANK('A-RACHNATMAK'!AD513)),"C","")))</f>
        <v/>
      </c>
      <c r="AB484" s="622" t="str">
        <f>IF(NOT(ISBLANK('A-RACHNATMAK'!AE515)),"A",IF(NOT(ISBLANK('A-RACHNATMAK'!AE514)),"B",IF(NOT(ISBLANK('A-RACHNATMAK'!AE513)),"C","")))</f>
        <v/>
      </c>
      <c r="AC484" s="622" t="str">
        <f>IF(NOT(ISBLANK('A-RACHNATMAK'!AF515)),"A",IF(NOT(ISBLANK('A-RACHNATMAK'!AF514)),"B",IF(NOT(ISBLANK('A-RACHNATMAK'!AF513)),"C","")))</f>
        <v/>
      </c>
      <c r="AD484" s="622" t="str">
        <f>IF(NOT(ISBLANK('A-RACHNATMAK'!AG515)),"A",IF(NOT(ISBLANK('A-RACHNATMAK'!AG514)),"B",IF(NOT(ISBLANK('A-RACHNATMAK'!AG513)),"C","")))</f>
        <v/>
      </c>
      <c r="AE484" s="622" t="str">
        <f>IF(NOT(ISBLANK('A-RACHNATMAK'!AH515)),"A",IF(NOT(ISBLANK('A-RACHNATMAK'!AH514)),"B",IF(NOT(ISBLANK('A-RACHNATMAK'!AH513)),"C","")))</f>
        <v/>
      </c>
      <c r="AF484" s="622" t="str">
        <f>IF(NOT(ISBLANK('A-RACHNATMAK'!AI515)),"A",IF(NOT(ISBLANK('A-RACHNATMAK'!AI514)),"B",IF(NOT(ISBLANK('A-RACHNATMAK'!AI513)),"C","")))</f>
        <v/>
      </c>
      <c r="AG484" s="622" t="str">
        <f>IF(NOT(ISBLANK('A-RACHNATMAK'!AJ515)),"A",IF(NOT(ISBLANK('A-RACHNATMAK'!AJ514)),"B",IF(NOT(ISBLANK('A-RACHNATMAK'!AJ513)),"C","")))</f>
        <v/>
      </c>
      <c r="AH484" s="622" t="str">
        <f>IF(NOT(ISBLANK('A-RACHNATMAK'!AK515)),"A",IF(NOT(ISBLANK('A-RACHNATMAK'!AK514)),"B",IF(NOT(ISBLANK('A-RACHNATMAK'!AK513)),"C","")))</f>
        <v/>
      </c>
      <c r="AI484" s="622" t="str">
        <f>IF(NOT(ISBLANK('A-RACHNATMAK'!AL515)),"A",IF(NOT(ISBLANK('A-RACHNATMAK'!AL514)),"B",IF(NOT(ISBLANK('A-RACHNATMAK'!AL513)),"C","")))</f>
        <v/>
      </c>
      <c r="AJ484" s="622" t="str">
        <f>IF(NOT(ISBLANK('A-RACHNATMAK'!AM515)),"A",IF(NOT(ISBLANK('A-RACHNATMAK'!AM514)),"B",IF(NOT(ISBLANK('A-RACHNATMAK'!AM513)),"C","")))</f>
        <v/>
      </c>
      <c r="AK484" s="622" t="str">
        <f>IF(NOT(ISBLANK('A-RACHNATMAK'!AN515)),"A",IF(NOT(ISBLANK('A-RACHNATMAK'!AN514)),"B",IF(NOT(ISBLANK('A-RACHNATMAK'!AN513)),"C","")))</f>
        <v/>
      </c>
      <c r="AL484" s="622" t="str">
        <f>IF(NOT(ISBLANK('A-RACHNATMAK'!AO515)),"A",IF(NOT(ISBLANK('A-RACHNATMAK'!AO514)),"B",IF(NOT(ISBLANK('A-RACHNATMAK'!AO513)),"C","")))</f>
        <v/>
      </c>
      <c r="AM484" s="622" t="str">
        <f>IF(NOT(ISBLANK('A-RACHNATMAK'!AP515)),"A",IF(NOT(ISBLANK('A-RACHNATMAK'!AP514)),"B",IF(NOT(ISBLANK('A-RACHNATMAK'!AP513)),"C","")))</f>
        <v/>
      </c>
      <c r="AN484" s="622" t="str">
        <f>IF(NOT(ISBLANK('A-RACHNATMAK'!AQ515)),"A",IF(NOT(ISBLANK('A-RACHNATMAK'!AQ514)),"B",IF(NOT(ISBLANK('A-RACHNATMAK'!AQ513)),"C","")))</f>
        <v/>
      </c>
      <c r="AO484" s="622" t="str">
        <f>IF(NOT(ISBLANK('A-RACHNATMAK'!AR515)),"A",IF(NOT(ISBLANK('A-RACHNATMAK'!AR514)),"B",IF(NOT(ISBLANK('A-RACHNATMAK'!AR513)),"C","")))</f>
        <v/>
      </c>
      <c r="AP484" s="622" t="str">
        <f>IF(NOT(ISBLANK('A-RACHNATMAK'!AS515)),"A",IF(NOT(ISBLANK('A-RACHNATMAK'!AS514)),"B",IF(NOT(ISBLANK('A-RACHNATMAK'!AS513)),"C","")))</f>
        <v/>
      </c>
      <c r="AQ484" s="622" t="str">
        <f>IF(NOT(ISBLANK('A-RACHNATMAK'!AT515)),"A",IF(NOT(ISBLANK('A-RACHNATMAK'!AT514)),"B",IF(NOT(ISBLANK('A-RACHNATMAK'!AT513)),"C","")))</f>
        <v/>
      </c>
      <c r="AR484" s="622" t="str">
        <f>IF(NOT(ISBLANK('A-RACHNATMAK'!AU515)),"A",IF(NOT(ISBLANK('A-RACHNATMAK'!AU514)),"B",IF(NOT(ISBLANK('A-RACHNATMAK'!AU513)),"C","")))</f>
        <v/>
      </c>
      <c r="AS484" s="622" t="str">
        <f>IF(NOT(ISBLANK('A-RACHNATMAK'!AV515)),"A",IF(NOT(ISBLANK('A-RACHNATMAK'!AV514)),"B",IF(NOT(ISBLANK('A-RACHNATMAK'!AV513)),"C","")))</f>
        <v/>
      </c>
      <c r="AT484" s="622" t="str">
        <f>IF(NOT(ISBLANK('A-RACHNATMAK'!AW515)),"A",IF(NOT(ISBLANK('A-RACHNATMAK'!AW514)),"B",IF(NOT(ISBLANK('A-RACHNATMAK'!AW513)),"C","")))</f>
        <v/>
      </c>
      <c r="AU484" s="622">
        <f t="shared" ref="AU484" si="921">COUNTIF(AA484:AT484,"A")</f>
        <v>0</v>
      </c>
      <c r="AV484" s="622">
        <f t="shared" ref="AV484" si="922">COUNTIF(AA484:AT484,"B")</f>
        <v>0</v>
      </c>
      <c r="AW484" s="622">
        <f t="shared" ref="AW484" si="923">COUNTIF(AA484:AT484,"C")</f>
        <v>0</v>
      </c>
    </row>
    <row r="485" spans="1:49" ht="7.5" customHeight="1">
      <c r="A485" s="623"/>
      <c r="B485" s="622"/>
      <c r="C485" s="622"/>
      <c r="D485" s="622"/>
      <c r="E485" s="622"/>
      <c r="F485" s="622"/>
      <c r="G485" s="622"/>
      <c r="H485" s="622"/>
      <c r="I485" s="622"/>
      <c r="J485" s="622"/>
      <c r="K485" s="622"/>
      <c r="L485" s="622"/>
      <c r="M485" s="622"/>
      <c r="N485" s="622"/>
      <c r="O485" s="622"/>
      <c r="P485" s="622"/>
      <c r="Q485" s="622"/>
      <c r="R485" s="622"/>
      <c r="S485" s="622"/>
      <c r="T485" s="622"/>
      <c r="U485" s="622"/>
      <c r="V485" s="622"/>
      <c r="W485" s="622"/>
      <c r="X485" s="622"/>
      <c r="Y485" s="330"/>
      <c r="Z485" s="623"/>
      <c r="AA485" s="622"/>
      <c r="AB485" s="622"/>
      <c r="AC485" s="622"/>
      <c r="AD485" s="622"/>
      <c r="AE485" s="622"/>
      <c r="AF485" s="622"/>
      <c r="AG485" s="622"/>
      <c r="AH485" s="622"/>
      <c r="AI485" s="622"/>
      <c r="AJ485" s="622"/>
      <c r="AK485" s="622"/>
      <c r="AL485" s="622"/>
      <c r="AM485" s="622"/>
      <c r="AN485" s="622"/>
      <c r="AO485" s="622"/>
      <c r="AP485" s="622"/>
      <c r="AQ485" s="622"/>
      <c r="AR485" s="622"/>
      <c r="AS485" s="622"/>
      <c r="AT485" s="622"/>
      <c r="AU485" s="622"/>
      <c r="AV485" s="622"/>
      <c r="AW485" s="622"/>
    </row>
    <row r="486" spans="1:49" ht="7.5" customHeight="1">
      <c r="A486" s="623"/>
      <c r="B486" s="622"/>
      <c r="C486" s="622"/>
      <c r="D486" s="622"/>
      <c r="E486" s="622"/>
      <c r="F486" s="622"/>
      <c r="G486" s="622"/>
      <c r="H486" s="622"/>
      <c r="I486" s="622"/>
      <c r="J486" s="622"/>
      <c r="K486" s="622"/>
      <c r="L486" s="622"/>
      <c r="M486" s="622"/>
      <c r="N486" s="622"/>
      <c r="O486" s="622"/>
      <c r="P486" s="622"/>
      <c r="Q486" s="622"/>
      <c r="R486" s="622"/>
      <c r="S486" s="622"/>
      <c r="T486" s="622"/>
      <c r="U486" s="622"/>
      <c r="V486" s="622"/>
      <c r="W486" s="622"/>
      <c r="X486" s="622"/>
      <c r="Y486" s="330"/>
      <c r="Z486" s="623"/>
      <c r="AA486" s="622"/>
      <c r="AB486" s="622"/>
      <c r="AC486" s="622"/>
      <c r="AD486" s="622"/>
      <c r="AE486" s="622"/>
      <c r="AF486" s="622"/>
      <c r="AG486" s="622"/>
      <c r="AH486" s="622"/>
      <c r="AI486" s="622"/>
      <c r="AJ486" s="622"/>
      <c r="AK486" s="622"/>
      <c r="AL486" s="622"/>
      <c r="AM486" s="622"/>
      <c r="AN486" s="622"/>
      <c r="AO486" s="622"/>
      <c r="AP486" s="622"/>
      <c r="AQ486" s="622"/>
      <c r="AR486" s="622"/>
      <c r="AS486" s="622"/>
      <c r="AT486" s="622"/>
      <c r="AU486" s="622"/>
      <c r="AV486" s="622"/>
      <c r="AW486" s="622"/>
    </row>
    <row r="487" spans="1:49" ht="7.5" customHeight="1">
      <c r="A487" s="623">
        <v>20</v>
      </c>
      <c r="B487" s="622" t="str">
        <f>IF(NOT(ISBLANK('A-RACHNATMAK'!C518)),"A",IF(NOT(ISBLANK('A-RACHNATMAK'!C517)),"B",IF(NOT(ISBLANK('A-RACHNATMAK'!C516)),"C","")))</f>
        <v/>
      </c>
      <c r="C487" s="622" t="str">
        <f>IF(NOT(ISBLANK('A-RACHNATMAK'!D518)),"A",IF(NOT(ISBLANK('A-RACHNATMAK'!D517)),"B",IF(NOT(ISBLANK('A-RACHNATMAK'!D516)),"C","")))</f>
        <v/>
      </c>
      <c r="D487" s="622" t="str">
        <f>IF(NOT(ISBLANK('A-RACHNATMAK'!E518)),"A",IF(NOT(ISBLANK('A-RACHNATMAK'!E517)),"B",IF(NOT(ISBLANK('A-RACHNATMAK'!E516)),"C","")))</f>
        <v/>
      </c>
      <c r="E487" s="622" t="str">
        <f>IF(NOT(ISBLANK('A-RACHNATMAK'!F518)),"A",IF(NOT(ISBLANK('A-RACHNATMAK'!F517)),"B",IF(NOT(ISBLANK('A-RACHNATMAK'!F516)),"C","")))</f>
        <v/>
      </c>
      <c r="F487" s="622" t="str">
        <f>IF(NOT(ISBLANK('A-RACHNATMAK'!G518)),"A",IF(NOT(ISBLANK('A-RACHNATMAK'!G517)),"B",IF(NOT(ISBLANK('A-RACHNATMAK'!G516)),"C","")))</f>
        <v/>
      </c>
      <c r="G487" s="622" t="str">
        <f>IF(NOT(ISBLANK('A-RACHNATMAK'!H518)),"A",IF(NOT(ISBLANK('A-RACHNATMAK'!H517)),"B",IF(NOT(ISBLANK('A-RACHNATMAK'!H516)),"C","")))</f>
        <v/>
      </c>
      <c r="H487" s="622" t="str">
        <f>IF(NOT(ISBLANK('A-RACHNATMAK'!I518)),"A",IF(NOT(ISBLANK('A-RACHNATMAK'!I517)),"B",IF(NOT(ISBLANK('A-RACHNATMAK'!I516)),"C","")))</f>
        <v/>
      </c>
      <c r="I487" s="622" t="str">
        <f>IF(NOT(ISBLANK('A-RACHNATMAK'!J518)),"A",IF(NOT(ISBLANK('A-RACHNATMAK'!J517)),"B",IF(NOT(ISBLANK('A-RACHNATMAK'!J516)),"C","")))</f>
        <v/>
      </c>
      <c r="J487" s="622" t="str">
        <f>IF(NOT(ISBLANK('A-RACHNATMAK'!K518)),"A",IF(NOT(ISBLANK('A-RACHNATMAK'!K517)),"B",IF(NOT(ISBLANK('A-RACHNATMAK'!K516)),"C","")))</f>
        <v/>
      </c>
      <c r="K487" s="622" t="str">
        <f>IF(NOT(ISBLANK('A-RACHNATMAK'!L518)),"A",IF(NOT(ISBLANK('A-RACHNATMAK'!L517)),"B",IF(NOT(ISBLANK('A-RACHNATMAK'!L516)),"C","")))</f>
        <v/>
      </c>
      <c r="L487" s="622" t="str">
        <f>IF(NOT(ISBLANK('A-RACHNATMAK'!M518)),"A",IF(NOT(ISBLANK('A-RACHNATMAK'!M517)),"B",IF(NOT(ISBLANK('A-RACHNATMAK'!M516)),"C","")))</f>
        <v/>
      </c>
      <c r="M487" s="622" t="str">
        <f>IF(NOT(ISBLANK('A-RACHNATMAK'!N518)),"A",IF(NOT(ISBLANK('A-RACHNATMAK'!N517)),"B",IF(NOT(ISBLANK('A-RACHNATMAK'!N516)),"C","")))</f>
        <v/>
      </c>
      <c r="N487" s="622" t="str">
        <f>IF(NOT(ISBLANK('A-RACHNATMAK'!O518)),"A",IF(NOT(ISBLANK('A-RACHNATMAK'!O517)),"B",IF(NOT(ISBLANK('A-RACHNATMAK'!O516)),"C","")))</f>
        <v/>
      </c>
      <c r="O487" s="622" t="str">
        <f>IF(NOT(ISBLANK('A-RACHNATMAK'!P518)),"A",IF(NOT(ISBLANK('A-RACHNATMAK'!P517)),"B",IF(NOT(ISBLANK('A-RACHNATMAK'!P516)),"C","")))</f>
        <v/>
      </c>
      <c r="P487" s="622" t="str">
        <f>IF(NOT(ISBLANK('A-RACHNATMAK'!Q518)),"A",IF(NOT(ISBLANK('A-RACHNATMAK'!Q517)),"B",IF(NOT(ISBLANK('A-RACHNATMAK'!Q516)),"C","")))</f>
        <v/>
      </c>
      <c r="Q487" s="622" t="str">
        <f>IF(NOT(ISBLANK('A-RACHNATMAK'!R518)),"A",IF(NOT(ISBLANK('A-RACHNATMAK'!R517)),"B",IF(NOT(ISBLANK('A-RACHNATMAK'!R516)),"C","")))</f>
        <v/>
      </c>
      <c r="R487" s="622" t="str">
        <f>IF(NOT(ISBLANK('A-RACHNATMAK'!S518)),"A",IF(NOT(ISBLANK('A-RACHNATMAK'!S517)),"B",IF(NOT(ISBLANK('A-RACHNATMAK'!S516)),"C","")))</f>
        <v/>
      </c>
      <c r="S487" s="622" t="str">
        <f>IF(NOT(ISBLANK('A-RACHNATMAK'!T518)),"A",IF(NOT(ISBLANK('A-RACHNATMAK'!T517)),"B",IF(NOT(ISBLANK('A-RACHNATMAK'!T516)),"C","")))</f>
        <v/>
      </c>
      <c r="T487" s="622" t="str">
        <f>IF(NOT(ISBLANK('A-RACHNATMAK'!U518)),"A",IF(NOT(ISBLANK('A-RACHNATMAK'!U517)),"B",IF(NOT(ISBLANK('A-RACHNATMAK'!U516)),"C","")))</f>
        <v/>
      </c>
      <c r="U487" s="622" t="str">
        <f>IF(NOT(ISBLANK('A-RACHNATMAK'!V518)),"A",IF(NOT(ISBLANK('A-RACHNATMAK'!V517)),"B",IF(NOT(ISBLANK('A-RACHNATMAK'!V516)),"C","")))</f>
        <v/>
      </c>
      <c r="V487" s="622">
        <f t="shared" ref="V487" si="924">COUNTIF(B487:U487,"A")</f>
        <v>0</v>
      </c>
      <c r="W487" s="622">
        <f t="shared" ref="W487" si="925">COUNTIF(B487:U487,"B")</f>
        <v>0</v>
      </c>
      <c r="X487" s="622">
        <f t="shared" ref="X487" si="926">COUNTIF(B487:U487,"C")</f>
        <v>0</v>
      </c>
      <c r="Y487" s="330"/>
      <c r="Z487" s="623">
        <v>20</v>
      </c>
      <c r="AA487" s="622" t="str">
        <f>IF(NOT(ISBLANK('A-RACHNATMAK'!AD518)),"A",IF(NOT(ISBLANK('A-RACHNATMAK'!AD517)),"B",IF(NOT(ISBLANK('A-RACHNATMAK'!AD516)),"C","")))</f>
        <v/>
      </c>
      <c r="AB487" s="622" t="str">
        <f>IF(NOT(ISBLANK('A-RACHNATMAK'!AE518)),"A",IF(NOT(ISBLANK('A-RACHNATMAK'!AE517)),"B",IF(NOT(ISBLANK('A-RACHNATMAK'!AE516)),"C","")))</f>
        <v/>
      </c>
      <c r="AC487" s="622" t="str">
        <f>IF(NOT(ISBLANK('A-RACHNATMAK'!AF518)),"A",IF(NOT(ISBLANK('A-RACHNATMAK'!AF517)),"B",IF(NOT(ISBLANK('A-RACHNATMAK'!AF516)),"C","")))</f>
        <v/>
      </c>
      <c r="AD487" s="622" t="str">
        <f>IF(NOT(ISBLANK('A-RACHNATMAK'!AG518)),"A",IF(NOT(ISBLANK('A-RACHNATMAK'!AG517)),"B",IF(NOT(ISBLANK('A-RACHNATMAK'!AG516)),"C","")))</f>
        <v/>
      </c>
      <c r="AE487" s="622" t="str">
        <f>IF(NOT(ISBLANK('A-RACHNATMAK'!AH518)),"A",IF(NOT(ISBLANK('A-RACHNATMAK'!AH517)),"B",IF(NOT(ISBLANK('A-RACHNATMAK'!AH516)),"C","")))</f>
        <v/>
      </c>
      <c r="AF487" s="622" t="str">
        <f>IF(NOT(ISBLANK('A-RACHNATMAK'!AI518)),"A",IF(NOT(ISBLANK('A-RACHNATMAK'!AI517)),"B",IF(NOT(ISBLANK('A-RACHNATMAK'!AI516)),"C","")))</f>
        <v/>
      </c>
      <c r="AG487" s="622" t="str">
        <f>IF(NOT(ISBLANK('A-RACHNATMAK'!AJ518)),"A",IF(NOT(ISBLANK('A-RACHNATMAK'!AJ517)),"B",IF(NOT(ISBLANK('A-RACHNATMAK'!AJ516)),"C","")))</f>
        <v/>
      </c>
      <c r="AH487" s="622" t="str">
        <f>IF(NOT(ISBLANK('A-RACHNATMAK'!AK518)),"A",IF(NOT(ISBLANK('A-RACHNATMAK'!AK517)),"B",IF(NOT(ISBLANK('A-RACHNATMAK'!AK516)),"C","")))</f>
        <v/>
      </c>
      <c r="AI487" s="622" t="str">
        <f>IF(NOT(ISBLANK('A-RACHNATMAK'!AL518)),"A",IF(NOT(ISBLANK('A-RACHNATMAK'!AL517)),"B",IF(NOT(ISBLANK('A-RACHNATMAK'!AL516)),"C","")))</f>
        <v/>
      </c>
      <c r="AJ487" s="622" t="str">
        <f>IF(NOT(ISBLANK('A-RACHNATMAK'!AM518)),"A",IF(NOT(ISBLANK('A-RACHNATMAK'!AM517)),"B",IF(NOT(ISBLANK('A-RACHNATMAK'!AM516)),"C","")))</f>
        <v/>
      </c>
      <c r="AK487" s="622" t="str">
        <f>IF(NOT(ISBLANK('A-RACHNATMAK'!AN518)),"A",IF(NOT(ISBLANK('A-RACHNATMAK'!AN517)),"B",IF(NOT(ISBLANK('A-RACHNATMAK'!AN516)),"C","")))</f>
        <v/>
      </c>
      <c r="AL487" s="622" t="str">
        <f>IF(NOT(ISBLANK('A-RACHNATMAK'!AO518)),"A",IF(NOT(ISBLANK('A-RACHNATMAK'!AO517)),"B",IF(NOT(ISBLANK('A-RACHNATMAK'!AO516)),"C","")))</f>
        <v/>
      </c>
      <c r="AM487" s="622" t="str">
        <f>IF(NOT(ISBLANK('A-RACHNATMAK'!AP518)),"A",IF(NOT(ISBLANK('A-RACHNATMAK'!AP517)),"B",IF(NOT(ISBLANK('A-RACHNATMAK'!AP516)),"C","")))</f>
        <v/>
      </c>
      <c r="AN487" s="622" t="str">
        <f>IF(NOT(ISBLANK('A-RACHNATMAK'!AQ518)),"A",IF(NOT(ISBLANK('A-RACHNATMAK'!AQ517)),"B",IF(NOT(ISBLANK('A-RACHNATMAK'!AQ516)),"C","")))</f>
        <v/>
      </c>
      <c r="AO487" s="622" t="str">
        <f>IF(NOT(ISBLANK('A-RACHNATMAK'!AR518)),"A",IF(NOT(ISBLANK('A-RACHNATMAK'!AR517)),"B",IF(NOT(ISBLANK('A-RACHNATMAK'!AR516)),"C","")))</f>
        <v/>
      </c>
      <c r="AP487" s="622" t="str">
        <f>IF(NOT(ISBLANK('A-RACHNATMAK'!AS518)),"A",IF(NOT(ISBLANK('A-RACHNATMAK'!AS517)),"B",IF(NOT(ISBLANK('A-RACHNATMAK'!AS516)),"C","")))</f>
        <v/>
      </c>
      <c r="AQ487" s="622" t="str">
        <f>IF(NOT(ISBLANK('A-RACHNATMAK'!AT518)),"A",IF(NOT(ISBLANK('A-RACHNATMAK'!AT517)),"B",IF(NOT(ISBLANK('A-RACHNATMAK'!AT516)),"C","")))</f>
        <v/>
      </c>
      <c r="AR487" s="622" t="str">
        <f>IF(NOT(ISBLANK('A-RACHNATMAK'!AU518)),"A",IF(NOT(ISBLANK('A-RACHNATMAK'!AU517)),"B",IF(NOT(ISBLANK('A-RACHNATMAK'!AU516)),"C","")))</f>
        <v/>
      </c>
      <c r="AS487" s="622" t="str">
        <f>IF(NOT(ISBLANK('A-RACHNATMAK'!AV518)),"A",IF(NOT(ISBLANK('A-RACHNATMAK'!AV517)),"B",IF(NOT(ISBLANK('A-RACHNATMAK'!AV516)),"C","")))</f>
        <v/>
      </c>
      <c r="AT487" s="622" t="str">
        <f>IF(NOT(ISBLANK('A-RACHNATMAK'!AW518)),"A",IF(NOT(ISBLANK('A-RACHNATMAK'!AW517)),"B",IF(NOT(ISBLANK('A-RACHNATMAK'!AW516)),"C","")))</f>
        <v/>
      </c>
      <c r="AU487" s="622">
        <f t="shared" ref="AU487" si="927">COUNTIF(AA487:AT487,"A")</f>
        <v>0</v>
      </c>
      <c r="AV487" s="622">
        <f t="shared" ref="AV487" si="928">COUNTIF(AA487:AT487,"B")</f>
        <v>0</v>
      </c>
      <c r="AW487" s="622">
        <f t="shared" ref="AW487" si="929">COUNTIF(AA487:AT487,"C")</f>
        <v>0</v>
      </c>
    </row>
    <row r="488" spans="1:49" ht="7.5" customHeight="1">
      <c r="A488" s="623"/>
      <c r="B488" s="622"/>
      <c r="C488" s="622"/>
      <c r="D488" s="622"/>
      <c r="E488" s="622"/>
      <c r="F488" s="622"/>
      <c r="G488" s="622"/>
      <c r="H488" s="622"/>
      <c r="I488" s="622"/>
      <c r="J488" s="622"/>
      <c r="K488" s="622"/>
      <c r="L488" s="622"/>
      <c r="M488" s="622"/>
      <c r="N488" s="622"/>
      <c r="O488" s="622"/>
      <c r="P488" s="622"/>
      <c r="Q488" s="622"/>
      <c r="R488" s="622"/>
      <c r="S488" s="622"/>
      <c r="T488" s="622"/>
      <c r="U488" s="622"/>
      <c r="V488" s="622"/>
      <c r="W488" s="622"/>
      <c r="X488" s="622"/>
      <c r="Y488" s="330"/>
      <c r="Z488" s="623"/>
      <c r="AA488" s="622"/>
      <c r="AB488" s="622"/>
      <c r="AC488" s="622"/>
      <c r="AD488" s="622"/>
      <c r="AE488" s="622"/>
      <c r="AF488" s="622"/>
      <c r="AG488" s="622"/>
      <c r="AH488" s="622"/>
      <c r="AI488" s="622"/>
      <c r="AJ488" s="622"/>
      <c r="AK488" s="622"/>
      <c r="AL488" s="622"/>
      <c r="AM488" s="622"/>
      <c r="AN488" s="622"/>
      <c r="AO488" s="622"/>
      <c r="AP488" s="622"/>
      <c r="AQ488" s="622"/>
      <c r="AR488" s="622"/>
      <c r="AS488" s="622"/>
      <c r="AT488" s="622"/>
      <c r="AU488" s="622"/>
      <c r="AV488" s="622"/>
      <c r="AW488" s="622"/>
    </row>
    <row r="489" spans="1:49" ht="7.5" customHeight="1">
      <c r="A489" s="623"/>
      <c r="B489" s="622"/>
      <c r="C489" s="622"/>
      <c r="D489" s="622"/>
      <c r="E489" s="622"/>
      <c r="F489" s="622"/>
      <c r="G489" s="622"/>
      <c r="H489" s="622"/>
      <c r="I489" s="622"/>
      <c r="J489" s="622"/>
      <c r="K489" s="622"/>
      <c r="L489" s="622"/>
      <c r="M489" s="622"/>
      <c r="N489" s="622"/>
      <c r="O489" s="622"/>
      <c r="P489" s="622"/>
      <c r="Q489" s="622"/>
      <c r="R489" s="622"/>
      <c r="S489" s="622"/>
      <c r="T489" s="622"/>
      <c r="U489" s="622"/>
      <c r="V489" s="622"/>
      <c r="W489" s="622"/>
      <c r="X489" s="622"/>
      <c r="Y489" s="330"/>
      <c r="Z489" s="623"/>
      <c r="AA489" s="622"/>
      <c r="AB489" s="622"/>
      <c r="AC489" s="622"/>
      <c r="AD489" s="622"/>
      <c r="AE489" s="622"/>
      <c r="AF489" s="622"/>
      <c r="AG489" s="622"/>
      <c r="AH489" s="622"/>
      <c r="AI489" s="622"/>
      <c r="AJ489" s="622"/>
      <c r="AK489" s="622"/>
      <c r="AL489" s="622"/>
      <c r="AM489" s="622"/>
      <c r="AN489" s="622"/>
      <c r="AO489" s="622"/>
      <c r="AP489" s="622"/>
      <c r="AQ489" s="622"/>
      <c r="AR489" s="622"/>
      <c r="AS489" s="622"/>
      <c r="AT489" s="622"/>
      <c r="AU489" s="622"/>
      <c r="AV489" s="622"/>
      <c r="AW489" s="622"/>
    </row>
    <row r="490" spans="1:49" ht="7.5" customHeight="1">
      <c r="A490" s="623">
        <v>21</v>
      </c>
      <c r="B490" s="622" t="str">
        <f>IF(NOT(ISBLANK('A-RACHNATMAK'!C521)),"A",IF(NOT(ISBLANK('A-RACHNATMAK'!C520)),"B",IF(NOT(ISBLANK('A-RACHNATMAK'!C519)),"C","")))</f>
        <v/>
      </c>
      <c r="C490" s="622" t="str">
        <f>IF(NOT(ISBLANK('A-RACHNATMAK'!D521)),"A",IF(NOT(ISBLANK('A-RACHNATMAK'!D520)),"B",IF(NOT(ISBLANK('A-RACHNATMAK'!D519)),"C","")))</f>
        <v/>
      </c>
      <c r="D490" s="622" t="str">
        <f>IF(NOT(ISBLANK('A-RACHNATMAK'!E521)),"A",IF(NOT(ISBLANK('A-RACHNATMAK'!E520)),"B",IF(NOT(ISBLANK('A-RACHNATMAK'!E519)),"C","")))</f>
        <v/>
      </c>
      <c r="E490" s="622" t="str">
        <f>IF(NOT(ISBLANK('A-RACHNATMAK'!F521)),"A",IF(NOT(ISBLANK('A-RACHNATMAK'!F520)),"B",IF(NOT(ISBLANK('A-RACHNATMAK'!F519)),"C","")))</f>
        <v/>
      </c>
      <c r="F490" s="622" t="str">
        <f>IF(NOT(ISBLANK('A-RACHNATMAK'!G521)),"A",IF(NOT(ISBLANK('A-RACHNATMAK'!G520)),"B",IF(NOT(ISBLANK('A-RACHNATMAK'!G519)),"C","")))</f>
        <v/>
      </c>
      <c r="G490" s="622" t="str">
        <f>IF(NOT(ISBLANK('A-RACHNATMAK'!H521)),"A",IF(NOT(ISBLANK('A-RACHNATMAK'!H520)),"B",IF(NOT(ISBLANK('A-RACHNATMAK'!H519)),"C","")))</f>
        <v/>
      </c>
      <c r="H490" s="622" t="str">
        <f>IF(NOT(ISBLANK('A-RACHNATMAK'!I521)),"A",IF(NOT(ISBLANK('A-RACHNATMAK'!I520)),"B",IF(NOT(ISBLANK('A-RACHNATMAK'!I519)),"C","")))</f>
        <v/>
      </c>
      <c r="I490" s="622" t="str">
        <f>IF(NOT(ISBLANK('A-RACHNATMAK'!J521)),"A",IF(NOT(ISBLANK('A-RACHNATMAK'!J520)),"B",IF(NOT(ISBLANK('A-RACHNATMAK'!J519)),"C","")))</f>
        <v/>
      </c>
      <c r="J490" s="622" t="str">
        <f>IF(NOT(ISBLANK('A-RACHNATMAK'!K521)),"A",IF(NOT(ISBLANK('A-RACHNATMAK'!K520)),"B",IF(NOT(ISBLANK('A-RACHNATMAK'!K519)),"C","")))</f>
        <v/>
      </c>
      <c r="K490" s="622" t="str">
        <f>IF(NOT(ISBLANK('A-RACHNATMAK'!L521)),"A",IF(NOT(ISBLANK('A-RACHNATMAK'!L520)),"B",IF(NOT(ISBLANK('A-RACHNATMAK'!L519)),"C","")))</f>
        <v/>
      </c>
      <c r="L490" s="622" t="str">
        <f>IF(NOT(ISBLANK('A-RACHNATMAK'!M521)),"A",IF(NOT(ISBLANK('A-RACHNATMAK'!M520)),"B",IF(NOT(ISBLANK('A-RACHNATMAK'!M519)),"C","")))</f>
        <v/>
      </c>
      <c r="M490" s="622" t="str">
        <f>IF(NOT(ISBLANK('A-RACHNATMAK'!N521)),"A",IF(NOT(ISBLANK('A-RACHNATMAK'!N520)),"B",IF(NOT(ISBLANK('A-RACHNATMAK'!N519)),"C","")))</f>
        <v/>
      </c>
      <c r="N490" s="622" t="str">
        <f>IF(NOT(ISBLANK('A-RACHNATMAK'!O521)),"A",IF(NOT(ISBLANK('A-RACHNATMAK'!O520)),"B",IF(NOT(ISBLANK('A-RACHNATMAK'!O519)),"C","")))</f>
        <v/>
      </c>
      <c r="O490" s="622" t="str">
        <f>IF(NOT(ISBLANK('A-RACHNATMAK'!P521)),"A",IF(NOT(ISBLANK('A-RACHNATMAK'!P520)),"B",IF(NOT(ISBLANK('A-RACHNATMAK'!P519)),"C","")))</f>
        <v/>
      </c>
      <c r="P490" s="622" t="str">
        <f>IF(NOT(ISBLANK('A-RACHNATMAK'!Q521)),"A",IF(NOT(ISBLANK('A-RACHNATMAK'!Q520)),"B",IF(NOT(ISBLANK('A-RACHNATMAK'!Q519)),"C","")))</f>
        <v/>
      </c>
      <c r="Q490" s="622" t="str">
        <f>IF(NOT(ISBLANK('A-RACHNATMAK'!R521)),"A",IF(NOT(ISBLANK('A-RACHNATMAK'!R520)),"B",IF(NOT(ISBLANK('A-RACHNATMAK'!R519)),"C","")))</f>
        <v/>
      </c>
      <c r="R490" s="622" t="str">
        <f>IF(NOT(ISBLANK('A-RACHNATMAK'!S521)),"A",IF(NOT(ISBLANK('A-RACHNATMAK'!S520)),"B",IF(NOT(ISBLANK('A-RACHNATMAK'!S519)),"C","")))</f>
        <v/>
      </c>
      <c r="S490" s="622" t="str">
        <f>IF(NOT(ISBLANK('A-RACHNATMAK'!T521)),"A",IF(NOT(ISBLANK('A-RACHNATMAK'!T520)),"B",IF(NOT(ISBLANK('A-RACHNATMAK'!T519)),"C","")))</f>
        <v/>
      </c>
      <c r="T490" s="622" t="str">
        <f>IF(NOT(ISBLANK('A-RACHNATMAK'!U521)),"A",IF(NOT(ISBLANK('A-RACHNATMAK'!U520)),"B",IF(NOT(ISBLANK('A-RACHNATMAK'!U519)),"C","")))</f>
        <v/>
      </c>
      <c r="U490" s="622" t="str">
        <f>IF(NOT(ISBLANK('A-RACHNATMAK'!V521)),"A",IF(NOT(ISBLANK('A-RACHNATMAK'!V520)),"B",IF(NOT(ISBLANK('A-RACHNATMAK'!V519)),"C","")))</f>
        <v/>
      </c>
      <c r="V490" s="622">
        <f t="shared" ref="V490" si="930">COUNTIF(B490:U490,"A")</f>
        <v>0</v>
      </c>
      <c r="W490" s="622">
        <f t="shared" ref="W490" si="931">COUNTIF(B490:U490,"B")</f>
        <v>0</v>
      </c>
      <c r="X490" s="622">
        <f t="shared" ref="X490" si="932">COUNTIF(B490:U490,"C")</f>
        <v>0</v>
      </c>
      <c r="Y490" s="330"/>
      <c r="Z490" s="623">
        <v>21</v>
      </c>
      <c r="AA490" s="622" t="str">
        <f>IF(NOT(ISBLANK('A-RACHNATMAK'!AD521)),"A",IF(NOT(ISBLANK('A-RACHNATMAK'!AD520)),"B",IF(NOT(ISBLANK('A-RACHNATMAK'!AD519)),"C","")))</f>
        <v/>
      </c>
      <c r="AB490" s="622" t="str">
        <f>IF(NOT(ISBLANK('A-RACHNATMAK'!AE521)),"A",IF(NOT(ISBLANK('A-RACHNATMAK'!AE520)),"B",IF(NOT(ISBLANK('A-RACHNATMAK'!AE519)),"C","")))</f>
        <v/>
      </c>
      <c r="AC490" s="622" t="str">
        <f>IF(NOT(ISBLANK('A-RACHNATMAK'!AF521)),"A",IF(NOT(ISBLANK('A-RACHNATMAK'!AF520)),"B",IF(NOT(ISBLANK('A-RACHNATMAK'!AF519)),"C","")))</f>
        <v/>
      </c>
      <c r="AD490" s="622" t="str">
        <f>IF(NOT(ISBLANK('A-RACHNATMAK'!AG521)),"A",IF(NOT(ISBLANK('A-RACHNATMAK'!AG520)),"B",IF(NOT(ISBLANK('A-RACHNATMAK'!AG519)),"C","")))</f>
        <v/>
      </c>
      <c r="AE490" s="622" t="str">
        <f>IF(NOT(ISBLANK('A-RACHNATMAK'!AH521)),"A",IF(NOT(ISBLANK('A-RACHNATMAK'!AH520)),"B",IF(NOT(ISBLANK('A-RACHNATMAK'!AH519)),"C","")))</f>
        <v/>
      </c>
      <c r="AF490" s="622" t="str">
        <f>IF(NOT(ISBLANK('A-RACHNATMAK'!AI521)),"A",IF(NOT(ISBLANK('A-RACHNATMAK'!AI520)),"B",IF(NOT(ISBLANK('A-RACHNATMAK'!AI519)),"C","")))</f>
        <v/>
      </c>
      <c r="AG490" s="622" t="str">
        <f>IF(NOT(ISBLANK('A-RACHNATMAK'!AJ521)),"A",IF(NOT(ISBLANK('A-RACHNATMAK'!AJ520)),"B",IF(NOT(ISBLANK('A-RACHNATMAK'!AJ519)),"C","")))</f>
        <v/>
      </c>
      <c r="AH490" s="622" t="str">
        <f>IF(NOT(ISBLANK('A-RACHNATMAK'!AK521)),"A",IF(NOT(ISBLANK('A-RACHNATMAK'!AK520)),"B",IF(NOT(ISBLANK('A-RACHNATMAK'!AK519)),"C","")))</f>
        <v/>
      </c>
      <c r="AI490" s="622" t="str">
        <f>IF(NOT(ISBLANK('A-RACHNATMAK'!AL521)),"A",IF(NOT(ISBLANK('A-RACHNATMAK'!AL520)),"B",IF(NOT(ISBLANK('A-RACHNATMAK'!AL519)),"C","")))</f>
        <v/>
      </c>
      <c r="AJ490" s="622" t="str">
        <f>IF(NOT(ISBLANK('A-RACHNATMAK'!AM521)),"A",IF(NOT(ISBLANK('A-RACHNATMAK'!AM520)),"B",IF(NOT(ISBLANK('A-RACHNATMAK'!AM519)),"C","")))</f>
        <v/>
      </c>
      <c r="AK490" s="622" t="str">
        <f>IF(NOT(ISBLANK('A-RACHNATMAK'!AN521)),"A",IF(NOT(ISBLANK('A-RACHNATMAK'!AN520)),"B",IF(NOT(ISBLANK('A-RACHNATMAK'!AN519)),"C","")))</f>
        <v/>
      </c>
      <c r="AL490" s="622" t="str">
        <f>IF(NOT(ISBLANK('A-RACHNATMAK'!AO521)),"A",IF(NOT(ISBLANK('A-RACHNATMAK'!AO520)),"B",IF(NOT(ISBLANK('A-RACHNATMAK'!AO519)),"C","")))</f>
        <v/>
      </c>
      <c r="AM490" s="622" t="str">
        <f>IF(NOT(ISBLANK('A-RACHNATMAK'!AP521)),"A",IF(NOT(ISBLANK('A-RACHNATMAK'!AP520)),"B",IF(NOT(ISBLANK('A-RACHNATMAK'!AP519)),"C","")))</f>
        <v/>
      </c>
      <c r="AN490" s="622" t="str">
        <f>IF(NOT(ISBLANK('A-RACHNATMAK'!AQ521)),"A",IF(NOT(ISBLANK('A-RACHNATMAK'!AQ520)),"B",IF(NOT(ISBLANK('A-RACHNATMAK'!AQ519)),"C","")))</f>
        <v/>
      </c>
      <c r="AO490" s="622" t="str">
        <f>IF(NOT(ISBLANK('A-RACHNATMAK'!AR521)),"A",IF(NOT(ISBLANK('A-RACHNATMAK'!AR520)),"B",IF(NOT(ISBLANK('A-RACHNATMAK'!AR519)),"C","")))</f>
        <v/>
      </c>
      <c r="AP490" s="622" t="str">
        <f>IF(NOT(ISBLANK('A-RACHNATMAK'!AS521)),"A",IF(NOT(ISBLANK('A-RACHNATMAK'!AS520)),"B",IF(NOT(ISBLANK('A-RACHNATMAK'!AS519)),"C","")))</f>
        <v/>
      </c>
      <c r="AQ490" s="622" t="str">
        <f>IF(NOT(ISBLANK('A-RACHNATMAK'!AT521)),"A",IF(NOT(ISBLANK('A-RACHNATMAK'!AT520)),"B",IF(NOT(ISBLANK('A-RACHNATMAK'!AT519)),"C","")))</f>
        <v/>
      </c>
      <c r="AR490" s="622" t="str">
        <f>IF(NOT(ISBLANK('A-RACHNATMAK'!AU521)),"A",IF(NOT(ISBLANK('A-RACHNATMAK'!AU520)),"B",IF(NOT(ISBLANK('A-RACHNATMAK'!AU519)),"C","")))</f>
        <v/>
      </c>
      <c r="AS490" s="622" t="str">
        <f>IF(NOT(ISBLANK('A-RACHNATMAK'!AV521)),"A",IF(NOT(ISBLANK('A-RACHNATMAK'!AV520)),"B",IF(NOT(ISBLANK('A-RACHNATMAK'!AV519)),"C","")))</f>
        <v/>
      </c>
      <c r="AT490" s="622" t="str">
        <f>IF(NOT(ISBLANK('A-RACHNATMAK'!AW521)),"A",IF(NOT(ISBLANK('A-RACHNATMAK'!AW520)),"B",IF(NOT(ISBLANK('A-RACHNATMAK'!AW519)),"C","")))</f>
        <v/>
      </c>
      <c r="AU490" s="622">
        <f t="shared" ref="AU490" si="933">COUNTIF(AA490:AT490,"A")</f>
        <v>0</v>
      </c>
      <c r="AV490" s="622">
        <f t="shared" ref="AV490" si="934">COUNTIF(AA490:AT490,"B")</f>
        <v>0</v>
      </c>
      <c r="AW490" s="622">
        <f t="shared" ref="AW490" si="935">COUNTIF(AA490:AT490,"C")</f>
        <v>0</v>
      </c>
    </row>
    <row r="491" spans="1:49" ht="7.5" customHeight="1">
      <c r="A491" s="623"/>
      <c r="B491" s="622"/>
      <c r="C491" s="622"/>
      <c r="D491" s="622"/>
      <c r="E491" s="622"/>
      <c r="F491" s="622"/>
      <c r="G491" s="622"/>
      <c r="H491" s="622"/>
      <c r="I491" s="622"/>
      <c r="J491" s="622"/>
      <c r="K491" s="622"/>
      <c r="L491" s="622"/>
      <c r="M491" s="622"/>
      <c r="N491" s="622"/>
      <c r="O491" s="622"/>
      <c r="P491" s="622"/>
      <c r="Q491" s="622"/>
      <c r="R491" s="622"/>
      <c r="S491" s="622"/>
      <c r="T491" s="622"/>
      <c r="U491" s="622"/>
      <c r="V491" s="622"/>
      <c r="W491" s="622"/>
      <c r="X491" s="622"/>
      <c r="Y491" s="330"/>
      <c r="Z491" s="623"/>
      <c r="AA491" s="622"/>
      <c r="AB491" s="622"/>
      <c r="AC491" s="622"/>
      <c r="AD491" s="622"/>
      <c r="AE491" s="622"/>
      <c r="AF491" s="622"/>
      <c r="AG491" s="622"/>
      <c r="AH491" s="622"/>
      <c r="AI491" s="622"/>
      <c r="AJ491" s="622"/>
      <c r="AK491" s="622"/>
      <c r="AL491" s="622"/>
      <c r="AM491" s="622"/>
      <c r="AN491" s="622"/>
      <c r="AO491" s="622"/>
      <c r="AP491" s="622"/>
      <c r="AQ491" s="622"/>
      <c r="AR491" s="622"/>
      <c r="AS491" s="622"/>
      <c r="AT491" s="622"/>
      <c r="AU491" s="622"/>
      <c r="AV491" s="622"/>
      <c r="AW491" s="622"/>
    </row>
    <row r="492" spans="1:49" ht="7.5" customHeight="1">
      <c r="A492" s="623"/>
      <c r="B492" s="622"/>
      <c r="C492" s="622"/>
      <c r="D492" s="622"/>
      <c r="E492" s="622"/>
      <c r="F492" s="622"/>
      <c r="G492" s="622"/>
      <c r="H492" s="622"/>
      <c r="I492" s="622"/>
      <c r="J492" s="622"/>
      <c r="K492" s="622"/>
      <c r="L492" s="622"/>
      <c r="M492" s="622"/>
      <c r="N492" s="622"/>
      <c r="O492" s="622"/>
      <c r="P492" s="622"/>
      <c r="Q492" s="622"/>
      <c r="R492" s="622"/>
      <c r="S492" s="622"/>
      <c r="T492" s="622"/>
      <c r="U492" s="622"/>
      <c r="V492" s="622"/>
      <c r="W492" s="622"/>
      <c r="X492" s="622"/>
      <c r="Y492" s="330"/>
      <c r="Z492" s="623"/>
      <c r="AA492" s="622"/>
      <c r="AB492" s="622"/>
      <c r="AC492" s="622"/>
      <c r="AD492" s="622"/>
      <c r="AE492" s="622"/>
      <c r="AF492" s="622"/>
      <c r="AG492" s="622"/>
      <c r="AH492" s="622"/>
      <c r="AI492" s="622"/>
      <c r="AJ492" s="622"/>
      <c r="AK492" s="622"/>
      <c r="AL492" s="622"/>
      <c r="AM492" s="622"/>
      <c r="AN492" s="622"/>
      <c r="AO492" s="622"/>
      <c r="AP492" s="622"/>
      <c r="AQ492" s="622"/>
      <c r="AR492" s="622"/>
      <c r="AS492" s="622"/>
      <c r="AT492" s="622"/>
      <c r="AU492" s="622"/>
      <c r="AV492" s="622"/>
      <c r="AW492" s="622"/>
    </row>
    <row r="493" spans="1:49" ht="7.5" customHeight="1">
      <c r="A493" s="623">
        <v>22</v>
      </c>
      <c r="B493" s="622" t="str">
        <f>IF(NOT(ISBLANK('A-RACHNATMAK'!C524)),"A",IF(NOT(ISBLANK('A-RACHNATMAK'!C523)),"B",IF(NOT(ISBLANK('A-RACHNATMAK'!C522)),"C","")))</f>
        <v/>
      </c>
      <c r="C493" s="622" t="str">
        <f>IF(NOT(ISBLANK('A-RACHNATMAK'!D524)),"A",IF(NOT(ISBLANK('A-RACHNATMAK'!D523)),"B",IF(NOT(ISBLANK('A-RACHNATMAK'!D522)),"C","")))</f>
        <v/>
      </c>
      <c r="D493" s="622" t="str">
        <f>IF(NOT(ISBLANK('A-RACHNATMAK'!E524)),"A",IF(NOT(ISBLANK('A-RACHNATMAK'!E523)),"B",IF(NOT(ISBLANK('A-RACHNATMAK'!E522)),"C","")))</f>
        <v/>
      </c>
      <c r="E493" s="622" t="str">
        <f>IF(NOT(ISBLANK('A-RACHNATMAK'!F524)),"A",IF(NOT(ISBLANK('A-RACHNATMAK'!F523)),"B",IF(NOT(ISBLANK('A-RACHNATMAK'!F522)),"C","")))</f>
        <v/>
      </c>
      <c r="F493" s="622" t="str">
        <f>IF(NOT(ISBLANK('A-RACHNATMAK'!G524)),"A",IF(NOT(ISBLANK('A-RACHNATMAK'!G523)),"B",IF(NOT(ISBLANK('A-RACHNATMAK'!G522)),"C","")))</f>
        <v/>
      </c>
      <c r="G493" s="622" t="str">
        <f>IF(NOT(ISBLANK('A-RACHNATMAK'!H524)),"A",IF(NOT(ISBLANK('A-RACHNATMAK'!H523)),"B",IF(NOT(ISBLANK('A-RACHNATMAK'!H522)),"C","")))</f>
        <v/>
      </c>
      <c r="H493" s="622" t="str">
        <f>IF(NOT(ISBLANK('A-RACHNATMAK'!I524)),"A",IF(NOT(ISBLANK('A-RACHNATMAK'!I523)),"B",IF(NOT(ISBLANK('A-RACHNATMAK'!I522)),"C","")))</f>
        <v/>
      </c>
      <c r="I493" s="622" t="str">
        <f>IF(NOT(ISBLANK('A-RACHNATMAK'!J524)),"A",IF(NOT(ISBLANK('A-RACHNATMAK'!J523)),"B",IF(NOT(ISBLANK('A-RACHNATMAK'!J522)),"C","")))</f>
        <v/>
      </c>
      <c r="J493" s="622" t="str">
        <f>IF(NOT(ISBLANK('A-RACHNATMAK'!K524)),"A",IF(NOT(ISBLANK('A-RACHNATMAK'!K523)),"B",IF(NOT(ISBLANK('A-RACHNATMAK'!K522)),"C","")))</f>
        <v/>
      </c>
      <c r="K493" s="622" t="str">
        <f>IF(NOT(ISBLANK('A-RACHNATMAK'!L524)),"A",IF(NOT(ISBLANK('A-RACHNATMAK'!L523)),"B",IF(NOT(ISBLANK('A-RACHNATMAK'!L522)),"C","")))</f>
        <v/>
      </c>
      <c r="L493" s="622" t="str">
        <f>IF(NOT(ISBLANK('A-RACHNATMAK'!M524)),"A",IF(NOT(ISBLANK('A-RACHNATMAK'!M523)),"B",IF(NOT(ISBLANK('A-RACHNATMAK'!M522)),"C","")))</f>
        <v/>
      </c>
      <c r="M493" s="622" t="str">
        <f>IF(NOT(ISBLANK('A-RACHNATMAK'!N524)),"A",IF(NOT(ISBLANK('A-RACHNATMAK'!N523)),"B",IF(NOT(ISBLANK('A-RACHNATMAK'!N522)),"C","")))</f>
        <v/>
      </c>
      <c r="N493" s="622" t="str">
        <f>IF(NOT(ISBLANK('A-RACHNATMAK'!O524)),"A",IF(NOT(ISBLANK('A-RACHNATMAK'!O523)),"B",IF(NOT(ISBLANK('A-RACHNATMAK'!O522)),"C","")))</f>
        <v/>
      </c>
      <c r="O493" s="622" t="str">
        <f>IF(NOT(ISBLANK('A-RACHNATMAK'!P524)),"A",IF(NOT(ISBLANK('A-RACHNATMAK'!P523)),"B",IF(NOT(ISBLANK('A-RACHNATMAK'!P522)),"C","")))</f>
        <v/>
      </c>
      <c r="P493" s="622" t="str">
        <f>IF(NOT(ISBLANK('A-RACHNATMAK'!Q524)),"A",IF(NOT(ISBLANK('A-RACHNATMAK'!Q523)),"B",IF(NOT(ISBLANK('A-RACHNATMAK'!Q522)),"C","")))</f>
        <v/>
      </c>
      <c r="Q493" s="622" t="str">
        <f>IF(NOT(ISBLANK('A-RACHNATMAK'!R524)),"A",IF(NOT(ISBLANK('A-RACHNATMAK'!R523)),"B",IF(NOT(ISBLANK('A-RACHNATMAK'!R522)),"C","")))</f>
        <v/>
      </c>
      <c r="R493" s="622" t="str">
        <f>IF(NOT(ISBLANK('A-RACHNATMAK'!S524)),"A",IF(NOT(ISBLANK('A-RACHNATMAK'!S523)),"B",IF(NOT(ISBLANK('A-RACHNATMAK'!S522)),"C","")))</f>
        <v/>
      </c>
      <c r="S493" s="622" t="str">
        <f>IF(NOT(ISBLANK('A-RACHNATMAK'!T524)),"A",IF(NOT(ISBLANK('A-RACHNATMAK'!T523)),"B",IF(NOT(ISBLANK('A-RACHNATMAK'!T522)),"C","")))</f>
        <v/>
      </c>
      <c r="T493" s="622" t="str">
        <f>IF(NOT(ISBLANK('A-RACHNATMAK'!U524)),"A",IF(NOT(ISBLANK('A-RACHNATMAK'!U523)),"B",IF(NOT(ISBLANK('A-RACHNATMAK'!U522)),"C","")))</f>
        <v/>
      </c>
      <c r="U493" s="622" t="str">
        <f>IF(NOT(ISBLANK('A-RACHNATMAK'!V524)),"A",IF(NOT(ISBLANK('A-RACHNATMAK'!V523)),"B",IF(NOT(ISBLANK('A-RACHNATMAK'!V522)),"C","")))</f>
        <v/>
      </c>
      <c r="V493" s="622">
        <f t="shared" ref="V493" si="936">COUNTIF(B493:U493,"A")</f>
        <v>0</v>
      </c>
      <c r="W493" s="622">
        <f t="shared" ref="W493" si="937">COUNTIF(B493:U493,"B")</f>
        <v>0</v>
      </c>
      <c r="X493" s="622">
        <f t="shared" ref="X493" si="938">COUNTIF(B493:U493,"C")</f>
        <v>0</v>
      </c>
      <c r="Y493" s="330"/>
      <c r="Z493" s="623">
        <v>22</v>
      </c>
      <c r="AA493" s="622" t="str">
        <f>IF(NOT(ISBLANK('A-RACHNATMAK'!AD524)),"A",IF(NOT(ISBLANK('A-RACHNATMAK'!AD523)),"B",IF(NOT(ISBLANK('A-RACHNATMAK'!AD522)),"C","")))</f>
        <v/>
      </c>
      <c r="AB493" s="622" t="str">
        <f>IF(NOT(ISBLANK('A-RACHNATMAK'!AE524)),"A",IF(NOT(ISBLANK('A-RACHNATMAK'!AE523)),"B",IF(NOT(ISBLANK('A-RACHNATMAK'!AE522)),"C","")))</f>
        <v/>
      </c>
      <c r="AC493" s="622" t="str">
        <f>IF(NOT(ISBLANK('A-RACHNATMAK'!AF524)),"A",IF(NOT(ISBLANK('A-RACHNATMAK'!AF523)),"B",IF(NOT(ISBLANK('A-RACHNATMAK'!AF522)),"C","")))</f>
        <v/>
      </c>
      <c r="AD493" s="622" t="str">
        <f>IF(NOT(ISBLANK('A-RACHNATMAK'!AG524)),"A",IF(NOT(ISBLANK('A-RACHNATMAK'!AG523)),"B",IF(NOT(ISBLANK('A-RACHNATMAK'!AG522)),"C","")))</f>
        <v/>
      </c>
      <c r="AE493" s="622" t="str">
        <f>IF(NOT(ISBLANK('A-RACHNATMAK'!AH524)),"A",IF(NOT(ISBLANK('A-RACHNATMAK'!AH523)),"B",IF(NOT(ISBLANK('A-RACHNATMAK'!AH522)),"C","")))</f>
        <v/>
      </c>
      <c r="AF493" s="622" t="str">
        <f>IF(NOT(ISBLANK('A-RACHNATMAK'!AI524)),"A",IF(NOT(ISBLANK('A-RACHNATMAK'!AI523)),"B",IF(NOT(ISBLANK('A-RACHNATMAK'!AI522)),"C","")))</f>
        <v/>
      </c>
      <c r="AG493" s="622" t="str">
        <f>IF(NOT(ISBLANK('A-RACHNATMAK'!AJ524)),"A",IF(NOT(ISBLANK('A-RACHNATMAK'!AJ523)),"B",IF(NOT(ISBLANK('A-RACHNATMAK'!AJ522)),"C","")))</f>
        <v/>
      </c>
      <c r="AH493" s="622" t="str">
        <f>IF(NOT(ISBLANK('A-RACHNATMAK'!AK524)),"A",IF(NOT(ISBLANK('A-RACHNATMAK'!AK523)),"B",IF(NOT(ISBLANK('A-RACHNATMAK'!AK522)),"C","")))</f>
        <v/>
      </c>
      <c r="AI493" s="622" t="str">
        <f>IF(NOT(ISBLANK('A-RACHNATMAK'!AL524)),"A",IF(NOT(ISBLANK('A-RACHNATMAK'!AL523)),"B",IF(NOT(ISBLANK('A-RACHNATMAK'!AL522)),"C","")))</f>
        <v/>
      </c>
      <c r="AJ493" s="622" t="str">
        <f>IF(NOT(ISBLANK('A-RACHNATMAK'!AM524)),"A",IF(NOT(ISBLANK('A-RACHNATMAK'!AM523)),"B",IF(NOT(ISBLANK('A-RACHNATMAK'!AM522)),"C","")))</f>
        <v/>
      </c>
      <c r="AK493" s="622" t="str">
        <f>IF(NOT(ISBLANK('A-RACHNATMAK'!AN524)),"A",IF(NOT(ISBLANK('A-RACHNATMAK'!AN523)),"B",IF(NOT(ISBLANK('A-RACHNATMAK'!AN522)),"C","")))</f>
        <v/>
      </c>
      <c r="AL493" s="622" t="str">
        <f>IF(NOT(ISBLANK('A-RACHNATMAK'!AO524)),"A",IF(NOT(ISBLANK('A-RACHNATMAK'!AO523)),"B",IF(NOT(ISBLANK('A-RACHNATMAK'!AO522)),"C","")))</f>
        <v/>
      </c>
      <c r="AM493" s="622" t="str">
        <f>IF(NOT(ISBLANK('A-RACHNATMAK'!AP524)),"A",IF(NOT(ISBLANK('A-RACHNATMAK'!AP523)),"B",IF(NOT(ISBLANK('A-RACHNATMAK'!AP522)),"C","")))</f>
        <v/>
      </c>
      <c r="AN493" s="622" t="str">
        <f>IF(NOT(ISBLANK('A-RACHNATMAK'!AQ524)),"A",IF(NOT(ISBLANK('A-RACHNATMAK'!AQ523)),"B",IF(NOT(ISBLANK('A-RACHNATMAK'!AQ522)),"C","")))</f>
        <v/>
      </c>
      <c r="AO493" s="622" t="str">
        <f>IF(NOT(ISBLANK('A-RACHNATMAK'!AR524)),"A",IF(NOT(ISBLANK('A-RACHNATMAK'!AR523)),"B",IF(NOT(ISBLANK('A-RACHNATMAK'!AR522)),"C","")))</f>
        <v/>
      </c>
      <c r="AP493" s="622" t="str">
        <f>IF(NOT(ISBLANK('A-RACHNATMAK'!AS524)),"A",IF(NOT(ISBLANK('A-RACHNATMAK'!AS523)),"B",IF(NOT(ISBLANK('A-RACHNATMAK'!AS522)),"C","")))</f>
        <v/>
      </c>
      <c r="AQ493" s="622" t="str">
        <f>IF(NOT(ISBLANK('A-RACHNATMAK'!AT524)),"A",IF(NOT(ISBLANK('A-RACHNATMAK'!AT523)),"B",IF(NOT(ISBLANK('A-RACHNATMAK'!AT522)),"C","")))</f>
        <v/>
      </c>
      <c r="AR493" s="622" t="str">
        <f>IF(NOT(ISBLANK('A-RACHNATMAK'!AU524)),"A",IF(NOT(ISBLANK('A-RACHNATMAK'!AU523)),"B",IF(NOT(ISBLANK('A-RACHNATMAK'!AU522)),"C","")))</f>
        <v/>
      </c>
      <c r="AS493" s="622" t="str">
        <f>IF(NOT(ISBLANK('A-RACHNATMAK'!AV524)),"A",IF(NOT(ISBLANK('A-RACHNATMAK'!AV523)),"B",IF(NOT(ISBLANK('A-RACHNATMAK'!AV522)),"C","")))</f>
        <v/>
      </c>
      <c r="AT493" s="622" t="str">
        <f>IF(NOT(ISBLANK('A-RACHNATMAK'!AW524)),"A",IF(NOT(ISBLANK('A-RACHNATMAK'!AW523)),"B",IF(NOT(ISBLANK('A-RACHNATMAK'!AW522)),"C","")))</f>
        <v/>
      </c>
      <c r="AU493" s="622">
        <f t="shared" ref="AU493" si="939">COUNTIF(AA493:AT493,"A")</f>
        <v>0</v>
      </c>
      <c r="AV493" s="622">
        <f t="shared" ref="AV493" si="940">COUNTIF(AA493:AT493,"B")</f>
        <v>0</v>
      </c>
      <c r="AW493" s="622">
        <f t="shared" ref="AW493" si="941">COUNTIF(AA493:AT493,"C")</f>
        <v>0</v>
      </c>
    </row>
    <row r="494" spans="1:49" ht="7.5" customHeight="1">
      <c r="A494" s="623"/>
      <c r="B494" s="622"/>
      <c r="C494" s="622"/>
      <c r="D494" s="622"/>
      <c r="E494" s="622"/>
      <c r="F494" s="622"/>
      <c r="G494" s="622"/>
      <c r="H494" s="622"/>
      <c r="I494" s="622"/>
      <c r="J494" s="622"/>
      <c r="K494" s="622"/>
      <c r="L494" s="622"/>
      <c r="M494" s="622"/>
      <c r="N494" s="622"/>
      <c r="O494" s="622"/>
      <c r="P494" s="622"/>
      <c r="Q494" s="622"/>
      <c r="R494" s="622"/>
      <c r="S494" s="622"/>
      <c r="T494" s="622"/>
      <c r="U494" s="622"/>
      <c r="V494" s="622"/>
      <c r="W494" s="622"/>
      <c r="X494" s="622"/>
      <c r="Y494" s="330"/>
      <c r="Z494" s="623"/>
      <c r="AA494" s="622"/>
      <c r="AB494" s="622"/>
      <c r="AC494" s="622"/>
      <c r="AD494" s="622"/>
      <c r="AE494" s="622"/>
      <c r="AF494" s="622"/>
      <c r="AG494" s="622"/>
      <c r="AH494" s="622"/>
      <c r="AI494" s="622"/>
      <c r="AJ494" s="622"/>
      <c r="AK494" s="622"/>
      <c r="AL494" s="622"/>
      <c r="AM494" s="622"/>
      <c r="AN494" s="622"/>
      <c r="AO494" s="622"/>
      <c r="AP494" s="622"/>
      <c r="AQ494" s="622"/>
      <c r="AR494" s="622"/>
      <c r="AS494" s="622"/>
      <c r="AT494" s="622"/>
      <c r="AU494" s="622"/>
      <c r="AV494" s="622"/>
      <c r="AW494" s="622"/>
    </row>
    <row r="495" spans="1:49" ht="7.5" customHeight="1">
      <c r="A495" s="623"/>
      <c r="B495" s="622"/>
      <c r="C495" s="622"/>
      <c r="D495" s="622"/>
      <c r="E495" s="622"/>
      <c r="F495" s="622"/>
      <c r="G495" s="622"/>
      <c r="H495" s="622"/>
      <c r="I495" s="622"/>
      <c r="J495" s="622"/>
      <c r="K495" s="622"/>
      <c r="L495" s="622"/>
      <c r="M495" s="622"/>
      <c r="N495" s="622"/>
      <c r="O495" s="622"/>
      <c r="P495" s="622"/>
      <c r="Q495" s="622"/>
      <c r="R495" s="622"/>
      <c r="S495" s="622"/>
      <c r="T495" s="622"/>
      <c r="U495" s="622"/>
      <c r="V495" s="622"/>
      <c r="W495" s="622"/>
      <c r="X495" s="622"/>
      <c r="Y495" s="330"/>
      <c r="Z495" s="623"/>
      <c r="AA495" s="622"/>
      <c r="AB495" s="622"/>
      <c r="AC495" s="622"/>
      <c r="AD495" s="622"/>
      <c r="AE495" s="622"/>
      <c r="AF495" s="622"/>
      <c r="AG495" s="622"/>
      <c r="AH495" s="622"/>
      <c r="AI495" s="622"/>
      <c r="AJ495" s="622"/>
      <c r="AK495" s="622"/>
      <c r="AL495" s="622"/>
      <c r="AM495" s="622"/>
      <c r="AN495" s="622"/>
      <c r="AO495" s="622"/>
      <c r="AP495" s="622"/>
      <c r="AQ495" s="622"/>
      <c r="AR495" s="622"/>
      <c r="AS495" s="622"/>
      <c r="AT495" s="622"/>
      <c r="AU495" s="622"/>
      <c r="AV495" s="622"/>
      <c r="AW495" s="622"/>
    </row>
    <row r="496" spans="1:49" ht="7.5" customHeight="1">
      <c r="A496" s="623">
        <v>23</v>
      </c>
      <c r="B496" s="622" t="str">
        <f>IF(NOT(ISBLANK('A-RACHNATMAK'!C527)),"A",IF(NOT(ISBLANK('A-RACHNATMAK'!C526)),"B",IF(NOT(ISBLANK('A-RACHNATMAK'!C525)),"C","")))</f>
        <v/>
      </c>
      <c r="C496" s="622" t="str">
        <f>IF(NOT(ISBLANK('A-RACHNATMAK'!D527)),"A",IF(NOT(ISBLANK('A-RACHNATMAK'!D526)),"B",IF(NOT(ISBLANK('A-RACHNATMAK'!D525)),"C","")))</f>
        <v/>
      </c>
      <c r="D496" s="622" t="str">
        <f>IF(NOT(ISBLANK('A-RACHNATMAK'!E527)),"A",IF(NOT(ISBLANK('A-RACHNATMAK'!E526)),"B",IF(NOT(ISBLANK('A-RACHNATMAK'!E525)),"C","")))</f>
        <v/>
      </c>
      <c r="E496" s="622" t="str">
        <f>IF(NOT(ISBLANK('A-RACHNATMAK'!F527)),"A",IF(NOT(ISBLANK('A-RACHNATMAK'!F526)),"B",IF(NOT(ISBLANK('A-RACHNATMAK'!F525)),"C","")))</f>
        <v/>
      </c>
      <c r="F496" s="622" t="str">
        <f>IF(NOT(ISBLANK('A-RACHNATMAK'!G527)),"A",IF(NOT(ISBLANK('A-RACHNATMAK'!G526)),"B",IF(NOT(ISBLANK('A-RACHNATMAK'!G525)),"C","")))</f>
        <v/>
      </c>
      <c r="G496" s="622" t="str">
        <f>IF(NOT(ISBLANK('A-RACHNATMAK'!H527)),"A",IF(NOT(ISBLANK('A-RACHNATMAK'!H526)),"B",IF(NOT(ISBLANK('A-RACHNATMAK'!H525)),"C","")))</f>
        <v/>
      </c>
      <c r="H496" s="622" t="str">
        <f>IF(NOT(ISBLANK('A-RACHNATMAK'!I527)),"A",IF(NOT(ISBLANK('A-RACHNATMAK'!I526)),"B",IF(NOT(ISBLANK('A-RACHNATMAK'!I525)),"C","")))</f>
        <v/>
      </c>
      <c r="I496" s="622" t="str">
        <f>IF(NOT(ISBLANK('A-RACHNATMAK'!J527)),"A",IF(NOT(ISBLANK('A-RACHNATMAK'!J526)),"B",IF(NOT(ISBLANK('A-RACHNATMAK'!J525)),"C","")))</f>
        <v/>
      </c>
      <c r="J496" s="622" t="str">
        <f>IF(NOT(ISBLANK('A-RACHNATMAK'!K527)),"A",IF(NOT(ISBLANK('A-RACHNATMAK'!K526)),"B",IF(NOT(ISBLANK('A-RACHNATMAK'!K525)),"C","")))</f>
        <v/>
      </c>
      <c r="K496" s="622" t="str">
        <f>IF(NOT(ISBLANK('A-RACHNATMAK'!L527)),"A",IF(NOT(ISBLANK('A-RACHNATMAK'!L526)),"B",IF(NOT(ISBLANK('A-RACHNATMAK'!L525)),"C","")))</f>
        <v/>
      </c>
      <c r="L496" s="622" t="str">
        <f>IF(NOT(ISBLANK('A-RACHNATMAK'!M527)),"A",IF(NOT(ISBLANK('A-RACHNATMAK'!M526)),"B",IF(NOT(ISBLANK('A-RACHNATMAK'!M525)),"C","")))</f>
        <v/>
      </c>
      <c r="M496" s="622" t="str">
        <f>IF(NOT(ISBLANK('A-RACHNATMAK'!N527)),"A",IF(NOT(ISBLANK('A-RACHNATMAK'!N526)),"B",IF(NOT(ISBLANK('A-RACHNATMAK'!N525)),"C","")))</f>
        <v/>
      </c>
      <c r="N496" s="622" t="str">
        <f>IF(NOT(ISBLANK('A-RACHNATMAK'!O527)),"A",IF(NOT(ISBLANK('A-RACHNATMAK'!O526)),"B",IF(NOT(ISBLANK('A-RACHNATMAK'!O525)),"C","")))</f>
        <v/>
      </c>
      <c r="O496" s="622" t="str">
        <f>IF(NOT(ISBLANK('A-RACHNATMAK'!P527)),"A",IF(NOT(ISBLANK('A-RACHNATMAK'!P526)),"B",IF(NOT(ISBLANK('A-RACHNATMAK'!P525)),"C","")))</f>
        <v/>
      </c>
      <c r="P496" s="622" t="str">
        <f>IF(NOT(ISBLANK('A-RACHNATMAK'!Q527)),"A",IF(NOT(ISBLANK('A-RACHNATMAK'!Q526)),"B",IF(NOT(ISBLANK('A-RACHNATMAK'!Q525)),"C","")))</f>
        <v/>
      </c>
      <c r="Q496" s="622" t="str">
        <f>IF(NOT(ISBLANK('A-RACHNATMAK'!R527)),"A",IF(NOT(ISBLANK('A-RACHNATMAK'!R526)),"B",IF(NOT(ISBLANK('A-RACHNATMAK'!R525)),"C","")))</f>
        <v/>
      </c>
      <c r="R496" s="622" t="str">
        <f>IF(NOT(ISBLANK('A-RACHNATMAK'!S527)),"A",IF(NOT(ISBLANK('A-RACHNATMAK'!S526)),"B",IF(NOT(ISBLANK('A-RACHNATMAK'!S525)),"C","")))</f>
        <v/>
      </c>
      <c r="S496" s="622" t="str">
        <f>IF(NOT(ISBLANK('A-RACHNATMAK'!T527)),"A",IF(NOT(ISBLANK('A-RACHNATMAK'!T526)),"B",IF(NOT(ISBLANK('A-RACHNATMAK'!T525)),"C","")))</f>
        <v/>
      </c>
      <c r="T496" s="622" t="str">
        <f>IF(NOT(ISBLANK('A-RACHNATMAK'!U527)),"A",IF(NOT(ISBLANK('A-RACHNATMAK'!U526)),"B",IF(NOT(ISBLANK('A-RACHNATMAK'!U525)),"C","")))</f>
        <v/>
      </c>
      <c r="U496" s="622" t="str">
        <f>IF(NOT(ISBLANK('A-RACHNATMAK'!V527)),"A",IF(NOT(ISBLANK('A-RACHNATMAK'!V526)),"B",IF(NOT(ISBLANK('A-RACHNATMAK'!V525)),"C","")))</f>
        <v/>
      </c>
      <c r="V496" s="622">
        <f t="shared" ref="V496" si="942">COUNTIF(B496:U496,"A")</f>
        <v>0</v>
      </c>
      <c r="W496" s="622">
        <f t="shared" ref="W496" si="943">COUNTIF(B496:U496,"B")</f>
        <v>0</v>
      </c>
      <c r="X496" s="622">
        <f t="shared" ref="X496" si="944">COUNTIF(B496:U496,"C")</f>
        <v>0</v>
      </c>
      <c r="Y496" s="330"/>
      <c r="Z496" s="623">
        <v>23</v>
      </c>
      <c r="AA496" s="622" t="str">
        <f>IF(NOT(ISBLANK('A-RACHNATMAK'!AD527)),"A",IF(NOT(ISBLANK('A-RACHNATMAK'!AD526)),"B",IF(NOT(ISBLANK('A-RACHNATMAK'!AD525)),"C","")))</f>
        <v/>
      </c>
      <c r="AB496" s="622" t="str">
        <f>IF(NOT(ISBLANK('A-RACHNATMAK'!AE527)),"A",IF(NOT(ISBLANK('A-RACHNATMAK'!AE526)),"B",IF(NOT(ISBLANK('A-RACHNATMAK'!AE525)),"C","")))</f>
        <v/>
      </c>
      <c r="AC496" s="622" t="str">
        <f>IF(NOT(ISBLANK('A-RACHNATMAK'!AF527)),"A",IF(NOT(ISBLANK('A-RACHNATMAK'!AF526)),"B",IF(NOT(ISBLANK('A-RACHNATMAK'!AF525)),"C","")))</f>
        <v/>
      </c>
      <c r="AD496" s="622" t="str">
        <f>IF(NOT(ISBLANK('A-RACHNATMAK'!AG527)),"A",IF(NOT(ISBLANK('A-RACHNATMAK'!AG526)),"B",IF(NOT(ISBLANK('A-RACHNATMAK'!AG525)),"C","")))</f>
        <v/>
      </c>
      <c r="AE496" s="622" t="str">
        <f>IF(NOT(ISBLANK('A-RACHNATMAK'!AH527)),"A",IF(NOT(ISBLANK('A-RACHNATMAK'!AH526)),"B",IF(NOT(ISBLANK('A-RACHNATMAK'!AH525)),"C","")))</f>
        <v/>
      </c>
      <c r="AF496" s="622" t="str">
        <f>IF(NOT(ISBLANK('A-RACHNATMAK'!AI527)),"A",IF(NOT(ISBLANK('A-RACHNATMAK'!AI526)),"B",IF(NOT(ISBLANK('A-RACHNATMAK'!AI525)),"C","")))</f>
        <v/>
      </c>
      <c r="AG496" s="622" t="str">
        <f>IF(NOT(ISBLANK('A-RACHNATMAK'!AJ527)),"A",IF(NOT(ISBLANK('A-RACHNATMAK'!AJ526)),"B",IF(NOT(ISBLANK('A-RACHNATMAK'!AJ525)),"C","")))</f>
        <v/>
      </c>
      <c r="AH496" s="622" t="str">
        <f>IF(NOT(ISBLANK('A-RACHNATMAK'!AK527)),"A",IF(NOT(ISBLANK('A-RACHNATMAK'!AK526)),"B",IF(NOT(ISBLANK('A-RACHNATMAK'!AK525)),"C","")))</f>
        <v/>
      </c>
      <c r="AI496" s="622" t="str">
        <f>IF(NOT(ISBLANK('A-RACHNATMAK'!AL527)),"A",IF(NOT(ISBLANK('A-RACHNATMAK'!AL526)),"B",IF(NOT(ISBLANK('A-RACHNATMAK'!AL525)),"C","")))</f>
        <v/>
      </c>
      <c r="AJ496" s="622" t="str">
        <f>IF(NOT(ISBLANK('A-RACHNATMAK'!AM527)),"A",IF(NOT(ISBLANK('A-RACHNATMAK'!AM526)),"B",IF(NOT(ISBLANK('A-RACHNATMAK'!AM525)),"C","")))</f>
        <v/>
      </c>
      <c r="AK496" s="622" t="str">
        <f>IF(NOT(ISBLANK('A-RACHNATMAK'!AN527)),"A",IF(NOT(ISBLANK('A-RACHNATMAK'!AN526)),"B",IF(NOT(ISBLANK('A-RACHNATMAK'!AN525)),"C","")))</f>
        <v/>
      </c>
      <c r="AL496" s="622" t="str">
        <f>IF(NOT(ISBLANK('A-RACHNATMAK'!AO527)),"A",IF(NOT(ISBLANK('A-RACHNATMAK'!AO526)),"B",IF(NOT(ISBLANK('A-RACHNATMAK'!AO525)),"C","")))</f>
        <v/>
      </c>
      <c r="AM496" s="622" t="str">
        <f>IF(NOT(ISBLANK('A-RACHNATMAK'!AP527)),"A",IF(NOT(ISBLANK('A-RACHNATMAK'!AP526)),"B",IF(NOT(ISBLANK('A-RACHNATMAK'!AP525)),"C","")))</f>
        <v/>
      </c>
      <c r="AN496" s="622" t="str">
        <f>IF(NOT(ISBLANK('A-RACHNATMAK'!AQ527)),"A",IF(NOT(ISBLANK('A-RACHNATMAK'!AQ526)),"B",IF(NOT(ISBLANK('A-RACHNATMAK'!AQ525)),"C","")))</f>
        <v/>
      </c>
      <c r="AO496" s="622" t="str">
        <f>IF(NOT(ISBLANK('A-RACHNATMAK'!AR527)),"A",IF(NOT(ISBLANK('A-RACHNATMAK'!AR526)),"B",IF(NOT(ISBLANK('A-RACHNATMAK'!AR525)),"C","")))</f>
        <v/>
      </c>
      <c r="AP496" s="622" t="str">
        <f>IF(NOT(ISBLANK('A-RACHNATMAK'!AS527)),"A",IF(NOT(ISBLANK('A-RACHNATMAK'!AS526)),"B",IF(NOT(ISBLANK('A-RACHNATMAK'!AS525)),"C","")))</f>
        <v/>
      </c>
      <c r="AQ496" s="622" t="str">
        <f>IF(NOT(ISBLANK('A-RACHNATMAK'!AT527)),"A",IF(NOT(ISBLANK('A-RACHNATMAK'!AT526)),"B",IF(NOT(ISBLANK('A-RACHNATMAK'!AT525)),"C","")))</f>
        <v/>
      </c>
      <c r="AR496" s="622" t="str">
        <f>IF(NOT(ISBLANK('A-RACHNATMAK'!AU527)),"A",IF(NOT(ISBLANK('A-RACHNATMAK'!AU526)),"B",IF(NOT(ISBLANK('A-RACHNATMAK'!AU525)),"C","")))</f>
        <v/>
      </c>
      <c r="AS496" s="622" t="str">
        <f>IF(NOT(ISBLANK('A-RACHNATMAK'!AV527)),"A",IF(NOT(ISBLANK('A-RACHNATMAK'!AV526)),"B",IF(NOT(ISBLANK('A-RACHNATMAK'!AV525)),"C","")))</f>
        <v/>
      </c>
      <c r="AT496" s="622" t="str">
        <f>IF(NOT(ISBLANK('A-RACHNATMAK'!AW527)),"A",IF(NOT(ISBLANK('A-RACHNATMAK'!AW526)),"B",IF(NOT(ISBLANK('A-RACHNATMAK'!AW525)),"C","")))</f>
        <v/>
      </c>
      <c r="AU496" s="622">
        <f t="shared" ref="AU496" si="945">COUNTIF(AA496:AT496,"A")</f>
        <v>0</v>
      </c>
      <c r="AV496" s="622">
        <f t="shared" ref="AV496" si="946">COUNTIF(AA496:AT496,"B")</f>
        <v>0</v>
      </c>
      <c r="AW496" s="622">
        <f t="shared" ref="AW496" si="947">COUNTIF(AA496:AT496,"C")</f>
        <v>0</v>
      </c>
    </row>
    <row r="497" spans="1:49" ht="7.5" customHeight="1">
      <c r="A497" s="623"/>
      <c r="B497" s="622"/>
      <c r="C497" s="622"/>
      <c r="D497" s="622"/>
      <c r="E497" s="622"/>
      <c r="F497" s="622"/>
      <c r="G497" s="622"/>
      <c r="H497" s="622"/>
      <c r="I497" s="622"/>
      <c r="J497" s="622"/>
      <c r="K497" s="622"/>
      <c r="L497" s="622"/>
      <c r="M497" s="622"/>
      <c r="N497" s="622"/>
      <c r="O497" s="622"/>
      <c r="P497" s="622"/>
      <c r="Q497" s="622"/>
      <c r="R497" s="622"/>
      <c r="S497" s="622"/>
      <c r="T497" s="622"/>
      <c r="U497" s="622"/>
      <c r="V497" s="622"/>
      <c r="W497" s="622"/>
      <c r="X497" s="622"/>
      <c r="Y497" s="330"/>
      <c r="Z497" s="623"/>
      <c r="AA497" s="622"/>
      <c r="AB497" s="622"/>
      <c r="AC497" s="622"/>
      <c r="AD497" s="622"/>
      <c r="AE497" s="622"/>
      <c r="AF497" s="622"/>
      <c r="AG497" s="622"/>
      <c r="AH497" s="622"/>
      <c r="AI497" s="622"/>
      <c r="AJ497" s="622"/>
      <c r="AK497" s="622"/>
      <c r="AL497" s="622"/>
      <c r="AM497" s="622"/>
      <c r="AN497" s="622"/>
      <c r="AO497" s="622"/>
      <c r="AP497" s="622"/>
      <c r="AQ497" s="622"/>
      <c r="AR497" s="622"/>
      <c r="AS497" s="622"/>
      <c r="AT497" s="622"/>
      <c r="AU497" s="622"/>
      <c r="AV497" s="622"/>
      <c r="AW497" s="622"/>
    </row>
    <row r="498" spans="1:49" ht="7.5" customHeight="1">
      <c r="A498" s="623"/>
      <c r="B498" s="622"/>
      <c r="C498" s="622"/>
      <c r="D498" s="622"/>
      <c r="E498" s="622"/>
      <c r="F498" s="622"/>
      <c r="G498" s="622"/>
      <c r="H498" s="622"/>
      <c r="I498" s="622"/>
      <c r="J498" s="622"/>
      <c r="K498" s="622"/>
      <c r="L498" s="622"/>
      <c r="M498" s="622"/>
      <c r="N498" s="622"/>
      <c r="O498" s="622"/>
      <c r="P498" s="622"/>
      <c r="Q498" s="622"/>
      <c r="R498" s="622"/>
      <c r="S498" s="622"/>
      <c r="T498" s="622"/>
      <c r="U498" s="622"/>
      <c r="V498" s="622"/>
      <c r="W498" s="622"/>
      <c r="X498" s="622"/>
      <c r="Y498" s="330"/>
      <c r="Z498" s="623"/>
      <c r="AA498" s="622"/>
      <c r="AB498" s="622"/>
      <c r="AC498" s="622"/>
      <c r="AD498" s="622"/>
      <c r="AE498" s="622"/>
      <c r="AF498" s="622"/>
      <c r="AG498" s="622"/>
      <c r="AH498" s="622"/>
      <c r="AI498" s="622"/>
      <c r="AJ498" s="622"/>
      <c r="AK498" s="622"/>
      <c r="AL498" s="622"/>
      <c r="AM498" s="622"/>
      <c r="AN498" s="622"/>
      <c r="AO498" s="622"/>
      <c r="AP498" s="622"/>
      <c r="AQ498" s="622"/>
      <c r="AR498" s="622"/>
      <c r="AS498" s="622"/>
      <c r="AT498" s="622"/>
      <c r="AU498" s="622"/>
      <c r="AV498" s="622"/>
      <c r="AW498" s="622"/>
    </row>
    <row r="499" spans="1:49" ht="7.5" customHeight="1">
      <c r="A499" s="623">
        <v>24</v>
      </c>
      <c r="B499" s="622" t="str">
        <f>IF(NOT(ISBLANK('A-RACHNATMAK'!C530)),"A",IF(NOT(ISBLANK('A-RACHNATMAK'!C529)),"B",IF(NOT(ISBLANK('A-RACHNATMAK'!C528)),"C","")))</f>
        <v/>
      </c>
      <c r="C499" s="622" t="str">
        <f>IF(NOT(ISBLANK('A-RACHNATMAK'!D530)),"A",IF(NOT(ISBLANK('A-RACHNATMAK'!D529)),"B",IF(NOT(ISBLANK('A-RACHNATMAK'!D528)),"C","")))</f>
        <v/>
      </c>
      <c r="D499" s="622" t="str">
        <f>IF(NOT(ISBLANK('A-RACHNATMAK'!E530)),"A",IF(NOT(ISBLANK('A-RACHNATMAK'!E529)),"B",IF(NOT(ISBLANK('A-RACHNATMAK'!E528)),"C","")))</f>
        <v/>
      </c>
      <c r="E499" s="622" t="str">
        <f>IF(NOT(ISBLANK('A-RACHNATMAK'!F530)),"A",IF(NOT(ISBLANK('A-RACHNATMAK'!F529)),"B",IF(NOT(ISBLANK('A-RACHNATMAK'!F528)),"C","")))</f>
        <v/>
      </c>
      <c r="F499" s="622" t="str">
        <f>IF(NOT(ISBLANK('A-RACHNATMAK'!G530)),"A",IF(NOT(ISBLANK('A-RACHNATMAK'!G529)),"B",IF(NOT(ISBLANK('A-RACHNATMAK'!G528)),"C","")))</f>
        <v/>
      </c>
      <c r="G499" s="622" t="str">
        <f>IF(NOT(ISBLANK('A-RACHNATMAK'!H530)),"A",IF(NOT(ISBLANK('A-RACHNATMAK'!H529)),"B",IF(NOT(ISBLANK('A-RACHNATMAK'!H528)),"C","")))</f>
        <v/>
      </c>
      <c r="H499" s="622" t="str">
        <f>IF(NOT(ISBLANK('A-RACHNATMAK'!I530)),"A",IF(NOT(ISBLANK('A-RACHNATMAK'!I529)),"B",IF(NOT(ISBLANK('A-RACHNATMAK'!I528)),"C","")))</f>
        <v/>
      </c>
      <c r="I499" s="622" t="str">
        <f>IF(NOT(ISBLANK('A-RACHNATMAK'!J530)),"A",IF(NOT(ISBLANK('A-RACHNATMAK'!J529)),"B",IF(NOT(ISBLANK('A-RACHNATMAK'!J528)),"C","")))</f>
        <v/>
      </c>
      <c r="J499" s="622" t="str">
        <f>IF(NOT(ISBLANK('A-RACHNATMAK'!K530)),"A",IF(NOT(ISBLANK('A-RACHNATMAK'!K529)),"B",IF(NOT(ISBLANK('A-RACHNATMAK'!K528)),"C","")))</f>
        <v/>
      </c>
      <c r="K499" s="622" t="str">
        <f>IF(NOT(ISBLANK('A-RACHNATMAK'!L530)),"A",IF(NOT(ISBLANK('A-RACHNATMAK'!L529)),"B",IF(NOT(ISBLANK('A-RACHNATMAK'!L528)),"C","")))</f>
        <v/>
      </c>
      <c r="L499" s="622" t="str">
        <f>IF(NOT(ISBLANK('A-RACHNATMAK'!M530)),"A",IF(NOT(ISBLANK('A-RACHNATMAK'!M529)),"B",IF(NOT(ISBLANK('A-RACHNATMAK'!M528)),"C","")))</f>
        <v/>
      </c>
      <c r="M499" s="622" t="str">
        <f>IF(NOT(ISBLANK('A-RACHNATMAK'!N530)),"A",IF(NOT(ISBLANK('A-RACHNATMAK'!N529)),"B",IF(NOT(ISBLANK('A-RACHNATMAK'!N528)),"C","")))</f>
        <v/>
      </c>
      <c r="N499" s="622" t="str">
        <f>IF(NOT(ISBLANK('A-RACHNATMAK'!O530)),"A",IF(NOT(ISBLANK('A-RACHNATMAK'!O529)),"B",IF(NOT(ISBLANK('A-RACHNATMAK'!O528)),"C","")))</f>
        <v/>
      </c>
      <c r="O499" s="622" t="str">
        <f>IF(NOT(ISBLANK('A-RACHNATMAK'!P530)),"A",IF(NOT(ISBLANK('A-RACHNATMAK'!P529)),"B",IF(NOT(ISBLANK('A-RACHNATMAK'!P528)),"C","")))</f>
        <v/>
      </c>
      <c r="P499" s="622" t="str">
        <f>IF(NOT(ISBLANK('A-RACHNATMAK'!Q530)),"A",IF(NOT(ISBLANK('A-RACHNATMAK'!Q529)),"B",IF(NOT(ISBLANK('A-RACHNATMAK'!Q528)),"C","")))</f>
        <v/>
      </c>
      <c r="Q499" s="622" t="str">
        <f>IF(NOT(ISBLANK('A-RACHNATMAK'!R530)),"A",IF(NOT(ISBLANK('A-RACHNATMAK'!R529)),"B",IF(NOT(ISBLANK('A-RACHNATMAK'!R528)),"C","")))</f>
        <v/>
      </c>
      <c r="R499" s="622" t="str">
        <f>IF(NOT(ISBLANK('A-RACHNATMAK'!S530)),"A",IF(NOT(ISBLANK('A-RACHNATMAK'!S529)),"B",IF(NOT(ISBLANK('A-RACHNATMAK'!S528)),"C","")))</f>
        <v/>
      </c>
      <c r="S499" s="622" t="str">
        <f>IF(NOT(ISBLANK('A-RACHNATMAK'!T530)),"A",IF(NOT(ISBLANK('A-RACHNATMAK'!T529)),"B",IF(NOT(ISBLANK('A-RACHNATMAK'!T528)),"C","")))</f>
        <v/>
      </c>
      <c r="T499" s="622" t="str">
        <f>IF(NOT(ISBLANK('A-RACHNATMAK'!U530)),"A",IF(NOT(ISBLANK('A-RACHNATMAK'!U529)),"B",IF(NOT(ISBLANK('A-RACHNATMAK'!U528)),"C","")))</f>
        <v/>
      </c>
      <c r="U499" s="622" t="str">
        <f>IF(NOT(ISBLANK('A-RACHNATMAK'!V530)),"A",IF(NOT(ISBLANK('A-RACHNATMAK'!V529)),"B",IF(NOT(ISBLANK('A-RACHNATMAK'!V528)),"C","")))</f>
        <v/>
      </c>
      <c r="V499" s="622">
        <f t="shared" ref="V499" si="948">COUNTIF(B499:U499,"A")</f>
        <v>0</v>
      </c>
      <c r="W499" s="622">
        <f t="shared" ref="W499" si="949">COUNTIF(B499:U499,"B")</f>
        <v>0</v>
      </c>
      <c r="X499" s="622">
        <f t="shared" ref="X499" si="950">COUNTIF(B499:U499,"C")</f>
        <v>0</v>
      </c>
      <c r="Y499" s="330"/>
      <c r="Z499" s="623">
        <v>24</v>
      </c>
      <c r="AA499" s="622" t="str">
        <f>IF(NOT(ISBLANK('A-RACHNATMAK'!AD530)),"A",IF(NOT(ISBLANK('A-RACHNATMAK'!AD529)),"B",IF(NOT(ISBLANK('A-RACHNATMAK'!AD528)),"C","")))</f>
        <v/>
      </c>
      <c r="AB499" s="622" t="str">
        <f>IF(NOT(ISBLANK('A-RACHNATMAK'!AE530)),"A",IF(NOT(ISBLANK('A-RACHNATMAK'!AE529)),"B",IF(NOT(ISBLANK('A-RACHNATMAK'!AE528)),"C","")))</f>
        <v/>
      </c>
      <c r="AC499" s="622" t="str">
        <f>IF(NOT(ISBLANK('A-RACHNATMAK'!AF530)),"A",IF(NOT(ISBLANK('A-RACHNATMAK'!AF529)),"B",IF(NOT(ISBLANK('A-RACHNATMAK'!AF528)),"C","")))</f>
        <v/>
      </c>
      <c r="AD499" s="622" t="str">
        <f>IF(NOT(ISBLANK('A-RACHNATMAK'!AG530)),"A",IF(NOT(ISBLANK('A-RACHNATMAK'!AG529)),"B",IF(NOT(ISBLANK('A-RACHNATMAK'!AG528)),"C","")))</f>
        <v/>
      </c>
      <c r="AE499" s="622" t="str">
        <f>IF(NOT(ISBLANK('A-RACHNATMAK'!AH530)),"A",IF(NOT(ISBLANK('A-RACHNATMAK'!AH529)),"B",IF(NOT(ISBLANK('A-RACHNATMAK'!AH528)),"C","")))</f>
        <v/>
      </c>
      <c r="AF499" s="622" t="str">
        <f>IF(NOT(ISBLANK('A-RACHNATMAK'!AI530)),"A",IF(NOT(ISBLANK('A-RACHNATMAK'!AI529)),"B",IF(NOT(ISBLANK('A-RACHNATMAK'!AI528)),"C","")))</f>
        <v/>
      </c>
      <c r="AG499" s="622" t="str">
        <f>IF(NOT(ISBLANK('A-RACHNATMAK'!AJ530)),"A",IF(NOT(ISBLANK('A-RACHNATMAK'!AJ529)),"B",IF(NOT(ISBLANK('A-RACHNATMAK'!AJ528)),"C","")))</f>
        <v/>
      </c>
      <c r="AH499" s="622" t="str">
        <f>IF(NOT(ISBLANK('A-RACHNATMAK'!AK530)),"A",IF(NOT(ISBLANK('A-RACHNATMAK'!AK529)),"B",IF(NOT(ISBLANK('A-RACHNATMAK'!AK528)),"C","")))</f>
        <v/>
      </c>
      <c r="AI499" s="622" t="str">
        <f>IF(NOT(ISBLANK('A-RACHNATMAK'!AL530)),"A",IF(NOT(ISBLANK('A-RACHNATMAK'!AL529)),"B",IF(NOT(ISBLANK('A-RACHNATMAK'!AL528)),"C","")))</f>
        <v/>
      </c>
      <c r="AJ499" s="622" t="str">
        <f>IF(NOT(ISBLANK('A-RACHNATMAK'!AM530)),"A",IF(NOT(ISBLANK('A-RACHNATMAK'!AM529)),"B",IF(NOT(ISBLANK('A-RACHNATMAK'!AM528)),"C","")))</f>
        <v/>
      </c>
      <c r="AK499" s="622" t="str">
        <f>IF(NOT(ISBLANK('A-RACHNATMAK'!AN530)),"A",IF(NOT(ISBLANK('A-RACHNATMAK'!AN529)),"B",IF(NOT(ISBLANK('A-RACHNATMAK'!AN528)),"C","")))</f>
        <v/>
      </c>
      <c r="AL499" s="622" t="str">
        <f>IF(NOT(ISBLANK('A-RACHNATMAK'!AO530)),"A",IF(NOT(ISBLANK('A-RACHNATMAK'!AO529)),"B",IF(NOT(ISBLANK('A-RACHNATMAK'!AO528)),"C","")))</f>
        <v/>
      </c>
      <c r="AM499" s="622" t="str">
        <f>IF(NOT(ISBLANK('A-RACHNATMAK'!AP530)),"A",IF(NOT(ISBLANK('A-RACHNATMAK'!AP529)),"B",IF(NOT(ISBLANK('A-RACHNATMAK'!AP528)),"C","")))</f>
        <v/>
      </c>
      <c r="AN499" s="622" t="str">
        <f>IF(NOT(ISBLANK('A-RACHNATMAK'!AQ530)),"A",IF(NOT(ISBLANK('A-RACHNATMAK'!AQ529)),"B",IF(NOT(ISBLANK('A-RACHNATMAK'!AQ528)),"C","")))</f>
        <v/>
      </c>
      <c r="AO499" s="622" t="str">
        <f>IF(NOT(ISBLANK('A-RACHNATMAK'!AR530)),"A",IF(NOT(ISBLANK('A-RACHNATMAK'!AR529)),"B",IF(NOT(ISBLANK('A-RACHNATMAK'!AR528)),"C","")))</f>
        <v/>
      </c>
      <c r="AP499" s="622" t="str">
        <f>IF(NOT(ISBLANK('A-RACHNATMAK'!AS530)),"A",IF(NOT(ISBLANK('A-RACHNATMAK'!AS529)),"B",IF(NOT(ISBLANK('A-RACHNATMAK'!AS528)),"C","")))</f>
        <v/>
      </c>
      <c r="AQ499" s="622" t="str">
        <f>IF(NOT(ISBLANK('A-RACHNATMAK'!AT530)),"A",IF(NOT(ISBLANK('A-RACHNATMAK'!AT529)),"B",IF(NOT(ISBLANK('A-RACHNATMAK'!AT528)),"C","")))</f>
        <v/>
      </c>
      <c r="AR499" s="622" t="str">
        <f>IF(NOT(ISBLANK('A-RACHNATMAK'!AU530)),"A",IF(NOT(ISBLANK('A-RACHNATMAK'!AU529)),"B",IF(NOT(ISBLANK('A-RACHNATMAK'!AU528)),"C","")))</f>
        <v/>
      </c>
      <c r="AS499" s="622" t="str">
        <f>IF(NOT(ISBLANK('A-RACHNATMAK'!AV530)),"A",IF(NOT(ISBLANK('A-RACHNATMAK'!AV529)),"B",IF(NOT(ISBLANK('A-RACHNATMAK'!AV528)),"C","")))</f>
        <v/>
      </c>
      <c r="AT499" s="622" t="str">
        <f>IF(NOT(ISBLANK('A-RACHNATMAK'!AW530)),"A",IF(NOT(ISBLANK('A-RACHNATMAK'!AW529)),"B",IF(NOT(ISBLANK('A-RACHNATMAK'!AW528)),"C","")))</f>
        <v/>
      </c>
      <c r="AU499" s="622">
        <f t="shared" ref="AU499" si="951">COUNTIF(AA499:AT499,"A")</f>
        <v>0</v>
      </c>
      <c r="AV499" s="622">
        <f t="shared" ref="AV499" si="952">COUNTIF(AA499:AT499,"B")</f>
        <v>0</v>
      </c>
      <c r="AW499" s="622">
        <f t="shared" ref="AW499" si="953">COUNTIF(AA499:AT499,"C")</f>
        <v>0</v>
      </c>
    </row>
    <row r="500" spans="1:49" ht="7.5" customHeight="1">
      <c r="A500" s="623"/>
      <c r="B500" s="622"/>
      <c r="C500" s="622"/>
      <c r="D500" s="622"/>
      <c r="E500" s="622"/>
      <c r="F500" s="622"/>
      <c r="G500" s="622"/>
      <c r="H500" s="622"/>
      <c r="I500" s="622"/>
      <c r="J500" s="622"/>
      <c r="K500" s="622"/>
      <c r="L500" s="622"/>
      <c r="M500" s="622"/>
      <c r="N500" s="622"/>
      <c r="O500" s="622"/>
      <c r="P500" s="622"/>
      <c r="Q500" s="622"/>
      <c r="R500" s="622"/>
      <c r="S500" s="622"/>
      <c r="T500" s="622"/>
      <c r="U500" s="622"/>
      <c r="V500" s="622"/>
      <c r="W500" s="622"/>
      <c r="X500" s="622"/>
      <c r="Y500" s="330"/>
      <c r="Z500" s="623"/>
      <c r="AA500" s="622"/>
      <c r="AB500" s="622"/>
      <c r="AC500" s="622"/>
      <c r="AD500" s="622"/>
      <c r="AE500" s="622"/>
      <c r="AF500" s="622"/>
      <c r="AG500" s="622"/>
      <c r="AH500" s="622"/>
      <c r="AI500" s="622"/>
      <c r="AJ500" s="622"/>
      <c r="AK500" s="622"/>
      <c r="AL500" s="622"/>
      <c r="AM500" s="622"/>
      <c r="AN500" s="622"/>
      <c r="AO500" s="622"/>
      <c r="AP500" s="622"/>
      <c r="AQ500" s="622"/>
      <c r="AR500" s="622"/>
      <c r="AS500" s="622"/>
      <c r="AT500" s="622"/>
      <c r="AU500" s="622"/>
      <c r="AV500" s="622"/>
      <c r="AW500" s="622"/>
    </row>
    <row r="501" spans="1:49" ht="7.5" customHeight="1">
      <c r="A501" s="623"/>
      <c r="B501" s="622"/>
      <c r="C501" s="622"/>
      <c r="D501" s="622"/>
      <c r="E501" s="622"/>
      <c r="F501" s="622"/>
      <c r="G501" s="622"/>
      <c r="H501" s="622"/>
      <c r="I501" s="622"/>
      <c r="J501" s="622"/>
      <c r="K501" s="622"/>
      <c r="L501" s="622"/>
      <c r="M501" s="622"/>
      <c r="N501" s="622"/>
      <c r="O501" s="622"/>
      <c r="P501" s="622"/>
      <c r="Q501" s="622"/>
      <c r="R501" s="622"/>
      <c r="S501" s="622"/>
      <c r="T501" s="622"/>
      <c r="U501" s="622"/>
      <c r="V501" s="622"/>
      <c r="W501" s="622"/>
      <c r="X501" s="622"/>
      <c r="Y501" s="330"/>
      <c r="Z501" s="623"/>
      <c r="AA501" s="622"/>
      <c r="AB501" s="622"/>
      <c r="AC501" s="622"/>
      <c r="AD501" s="622"/>
      <c r="AE501" s="622"/>
      <c r="AF501" s="622"/>
      <c r="AG501" s="622"/>
      <c r="AH501" s="622"/>
      <c r="AI501" s="622"/>
      <c r="AJ501" s="622"/>
      <c r="AK501" s="622"/>
      <c r="AL501" s="622"/>
      <c r="AM501" s="622"/>
      <c r="AN501" s="622"/>
      <c r="AO501" s="622"/>
      <c r="AP501" s="622"/>
      <c r="AQ501" s="622"/>
      <c r="AR501" s="622"/>
      <c r="AS501" s="622"/>
      <c r="AT501" s="622"/>
      <c r="AU501" s="622"/>
      <c r="AV501" s="622"/>
      <c r="AW501" s="622"/>
    </row>
    <row r="502" spans="1:49" ht="7.5" customHeight="1">
      <c r="A502" s="623">
        <v>25</v>
      </c>
      <c r="B502" s="622" t="str">
        <f>IF(NOT(ISBLANK('A-RACHNATMAK'!C533)),"A",IF(NOT(ISBLANK('A-RACHNATMAK'!C532)),"B",IF(NOT(ISBLANK('A-RACHNATMAK'!C531)),"C","")))</f>
        <v/>
      </c>
      <c r="C502" s="622" t="str">
        <f>IF(NOT(ISBLANK('A-RACHNATMAK'!D533)),"A",IF(NOT(ISBLANK('A-RACHNATMAK'!D532)),"B",IF(NOT(ISBLANK('A-RACHNATMAK'!D531)),"C","")))</f>
        <v/>
      </c>
      <c r="D502" s="622" t="str">
        <f>IF(NOT(ISBLANK('A-RACHNATMAK'!E533)),"A",IF(NOT(ISBLANK('A-RACHNATMAK'!E532)),"B",IF(NOT(ISBLANK('A-RACHNATMAK'!E531)),"C","")))</f>
        <v/>
      </c>
      <c r="E502" s="622" t="str">
        <f>IF(NOT(ISBLANK('A-RACHNATMAK'!F533)),"A",IF(NOT(ISBLANK('A-RACHNATMAK'!F532)),"B",IF(NOT(ISBLANK('A-RACHNATMAK'!F531)),"C","")))</f>
        <v/>
      </c>
      <c r="F502" s="622" t="str">
        <f>IF(NOT(ISBLANK('A-RACHNATMAK'!G533)),"A",IF(NOT(ISBLANK('A-RACHNATMAK'!G532)),"B",IF(NOT(ISBLANK('A-RACHNATMAK'!G531)),"C","")))</f>
        <v/>
      </c>
      <c r="G502" s="622" t="str">
        <f>IF(NOT(ISBLANK('A-RACHNATMAK'!H533)),"A",IF(NOT(ISBLANK('A-RACHNATMAK'!H532)),"B",IF(NOT(ISBLANK('A-RACHNATMAK'!H531)),"C","")))</f>
        <v/>
      </c>
      <c r="H502" s="622" t="str">
        <f>IF(NOT(ISBLANK('A-RACHNATMAK'!I533)),"A",IF(NOT(ISBLANK('A-RACHNATMAK'!I532)),"B",IF(NOT(ISBLANK('A-RACHNATMAK'!I531)),"C","")))</f>
        <v/>
      </c>
      <c r="I502" s="622" t="str">
        <f>IF(NOT(ISBLANK('A-RACHNATMAK'!J533)),"A",IF(NOT(ISBLANK('A-RACHNATMAK'!J532)),"B",IF(NOT(ISBLANK('A-RACHNATMAK'!J531)),"C","")))</f>
        <v/>
      </c>
      <c r="J502" s="622" t="str">
        <f>IF(NOT(ISBLANK('A-RACHNATMAK'!K533)),"A",IF(NOT(ISBLANK('A-RACHNATMAK'!K532)),"B",IF(NOT(ISBLANK('A-RACHNATMAK'!K531)),"C","")))</f>
        <v/>
      </c>
      <c r="K502" s="622" t="str">
        <f>IF(NOT(ISBLANK('A-RACHNATMAK'!L533)),"A",IF(NOT(ISBLANK('A-RACHNATMAK'!L532)),"B",IF(NOT(ISBLANK('A-RACHNATMAK'!L531)),"C","")))</f>
        <v/>
      </c>
      <c r="L502" s="622" t="str">
        <f>IF(NOT(ISBLANK('A-RACHNATMAK'!M533)),"A",IF(NOT(ISBLANK('A-RACHNATMAK'!M532)),"B",IF(NOT(ISBLANK('A-RACHNATMAK'!M531)),"C","")))</f>
        <v/>
      </c>
      <c r="M502" s="622" t="str">
        <f>IF(NOT(ISBLANK('A-RACHNATMAK'!N533)),"A",IF(NOT(ISBLANK('A-RACHNATMAK'!N532)),"B",IF(NOT(ISBLANK('A-RACHNATMAK'!N531)),"C","")))</f>
        <v/>
      </c>
      <c r="N502" s="622" t="str">
        <f>IF(NOT(ISBLANK('A-RACHNATMAK'!O533)),"A",IF(NOT(ISBLANK('A-RACHNATMAK'!O532)),"B",IF(NOT(ISBLANK('A-RACHNATMAK'!O531)),"C","")))</f>
        <v/>
      </c>
      <c r="O502" s="622" t="str">
        <f>IF(NOT(ISBLANK('A-RACHNATMAK'!P533)),"A",IF(NOT(ISBLANK('A-RACHNATMAK'!P532)),"B",IF(NOT(ISBLANK('A-RACHNATMAK'!P531)),"C","")))</f>
        <v/>
      </c>
      <c r="P502" s="622" t="str">
        <f>IF(NOT(ISBLANK('A-RACHNATMAK'!Q533)),"A",IF(NOT(ISBLANK('A-RACHNATMAK'!Q532)),"B",IF(NOT(ISBLANK('A-RACHNATMAK'!Q531)),"C","")))</f>
        <v/>
      </c>
      <c r="Q502" s="622" t="str">
        <f>IF(NOT(ISBLANK('A-RACHNATMAK'!R533)),"A",IF(NOT(ISBLANK('A-RACHNATMAK'!R532)),"B",IF(NOT(ISBLANK('A-RACHNATMAK'!R531)),"C","")))</f>
        <v/>
      </c>
      <c r="R502" s="622" t="str">
        <f>IF(NOT(ISBLANK('A-RACHNATMAK'!S533)),"A",IF(NOT(ISBLANK('A-RACHNATMAK'!S532)),"B",IF(NOT(ISBLANK('A-RACHNATMAK'!S531)),"C","")))</f>
        <v/>
      </c>
      <c r="S502" s="622" t="str">
        <f>IF(NOT(ISBLANK('A-RACHNATMAK'!T533)),"A",IF(NOT(ISBLANK('A-RACHNATMAK'!T532)),"B",IF(NOT(ISBLANK('A-RACHNATMAK'!T531)),"C","")))</f>
        <v/>
      </c>
      <c r="T502" s="622" t="str">
        <f>IF(NOT(ISBLANK('A-RACHNATMAK'!U533)),"A",IF(NOT(ISBLANK('A-RACHNATMAK'!U532)),"B",IF(NOT(ISBLANK('A-RACHNATMAK'!U531)),"C","")))</f>
        <v/>
      </c>
      <c r="U502" s="622" t="str">
        <f>IF(NOT(ISBLANK('A-RACHNATMAK'!V533)),"A",IF(NOT(ISBLANK('A-RACHNATMAK'!V532)),"B",IF(NOT(ISBLANK('A-RACHNATMAK'!V531)),"C","")))</f>
        <v/>
      </c>
      <c r="V502" s="622">
        <f t="shared" ref="V502" si="954">COUNTIF(B502:U502,"A")</f>
        <v>0</v>
      </c>
      <c r="W502" s="622">
        <f t="shared" ref="W502" si="955">COUNTIF(B502:U502,"B")</f>
        <v>0</v>
      </c>
      <c r="X502" s="622">
        <f t="shared" ref="X502" si="956">COUNTIF(B502:U502,"C")</f>
        <v>0</v>
      </c>
      <c r="Y502" s="330"/>
      <c r="Z502" s="623">
        <v>25</v>
      </c>
      <c r="AA502" s="622" t="str">
        <f>IF(NOT(ISBLANK('A-RACHNATMAK'!AD533)),"A",IF(NOT(ISBLANK('A-RACHNATMAK'!AD532)),"B",IF(NOT(ISBLANK('A-RACHNATMAK'!AD531)),"C","")))</f>
        <v/>
      </c>
      <c r="AB502" s="622" t="str">
        <f>IF(NOT(ISBLANK('A-RACHNATMAK'!AE533)),"A",IF(NOT(ISBLANK('A-RACHNATMAK'!AE532)),"B",IF(NOT(ISBLANK('A-RACHNATMAK'!AE531)),"C","")))</f>
        <v/>
      </c>
      <c r="AC502" s="622" t="str">
        <f>IF(NOT(ISBLANK('A-RACHNATMAK'!AF533)),"A",IF(NOT(ISBLANK('A-RACHNATMAK'!AF532)),"B",IF(NOT(ISBLANK('A-RACHNATMAK'!AF531)),"C","")))</f>
        <v/>
      </c>
      <c r="AD502" s="622" t="str">
        <f>IF(NOT(ISBLANK('A-RACHNATMAK'!AG533)),"A",IF(NOT(ISBLANK('A-RACHNATMAK'!AG532)),"B",IF(NOT(ISBLANK('A-RACHNATMAK'!AG531)),"C","")))</f>
        <v/>
      </c>
      <c r="AE502" s="622" t="str">
        <f>IF(NOT(ISBLANK('A-RACHNATMAK'!AH533)),"A",IF(NOT(ISBLANK('A-RACHNATMAK'!AH532)),"B",IF(NOT(ISBLANK('A-RACHNATMAK'!AH531)),"C","")))</f>
        <v/>
      </c>
      <c r="AF502" s="622" t="str">
        <f>IF(NOT(ISBLANK('A-RACHNATMAK'!AI533)),"A",IF(NOT(ISBLANK('A-RACHNATMAK'!AI532)),"B",IF(NOT(ISBLANK('A-RACHNATMAK'!AI531)),"C","")))</f>
        <v/>
      </c>
      <c r="AG502" s="622" t="str">
        <f>IF(NOT(ISBLANK('A-RACHNATMAK'!AJ533)),"A",IF(NOT(ISBLANK('A-RACHNATMAK'!AJ532)),"B",IF(NOT(ISBLANK('A-RACHNATMAK'!AJ531)),"C","")))</f>
        <v/>
      </c>
      <c r="AH502" s="622" t="str">
        <f>IF(NOT(ISBLANK('A-RACHNATMAK'!AK533)),"A",IF(NOT(ISBLANK('A-RACHNATMAK'!AK532)),"B",IF(NOT(ISBLANK('A-RACHNATMAK'!AK531)),"C","")))</f>
        <v/>
      </c>
      <c r="AI502" s="622" t="str">
        <f>IF(NOT(ISBLANK('A-RACHNATMAK'!AL533)),"A",IF(NOT(ISBLANK('A-RACHNATMAK'!AL532)),"B",IF(NOT(ISBLANK('A-RACHNATMAK'!AL531)),"C","")))</f>
        <v/>
      </c>
      <c r="AJ502" s="622" t="str">
        <f>IF(NOT(ISBLANK('A-RACHNATMAK'!AM533)),"A",IF(NOT(ISBLANK('A-RACHNATMAK'!AM532)),"B",IF(NOT(ISBLANK('A-RACHNATMAK'!AM531)),"C","")))</f>
        <v/>
      </c>
      <c r="AK502" s="622" t="str">
        <f>IF(NOT(ISBLANK('A-RACHNATMAK'!AN533)),"A",IF(NOT(ISBLANK('A-RACHNATMAK'!AN532)),"B",IF(NOT(ISBLANK('A-RACHNATMAK'!AN531)),"C","")))</f>
        <v/>
      </c>
      <c r="AL502" s="622" t="str">
        <f>IF(NOT(ISBLANK('A-RACHNATMAK'!AO533)),"A",IF(NOT(ISBLANK('A-RACHNATMAK'!AO532)),"B",IF(NOT(ISBLANK('A-RACHNATMAK'!AO531)),"C","")))</f>
        <v/>
      </c>
      <c r="AM502" s="622" t="str">
        <f>IF(NOT(ISBLANK('A-RACHNATMAK'!AP533)),"A",IF(NOT(ISBLANK('A-RACHNATMAK'!AP532)),"B",IF(NOT(ISBLANK('A-RACHNATMAK'!AP531)),"C","")))</f>
        <v/>
      </c>
      <c r="AN502" s="622" t="str">
        <f>IF(NOT(ISBLANK('A-RACHNATMAK'!AQ533)),"A",IF(NOT(ISBLANK('A-RACHNATMAK'!AQ532)),"B",IF(NOT(ISBLANK('A-RACHNATMAK'!AQ531)),"C","")))</f>
        <v/>
      </c>
      <c r="AO502" s="622" t="str">
        <f>IF(NOT(ISBLANK('A-RACHNATMAK'!AR533)),"A",IF(NOT(ISBLANK('A-RACHNATMAK'!AR532)),"B",IF(NOT(ISBLANK('A-RACHNATMAK'!AR531)),"C","")))</f>
        <v/>
      </c>
      <c r="AP502" s="622" t="str">
        <f>IF(NOT(ISBLANK('A-RACHNATMAK'!AS533)),"A",IF(NOT(ISBLANK('A-RACHNATMAK'!AS532)),"B",IF(NOT(ISBLANK('A-RACHNATMAK'!AS531)),"C","")))</f>
        <v/>
      </c>
      <c r="AQ502" s="622" t="str">
        <f>IF(NOT(ISBLANK('A-RACHNATMAK'!AT533)),"A",IF(NOT(ISBLANK('A-RACHNATMAK'!AT532)),"B",IF(NOT(ISBLANK('A-RACHNATMAK'!AT531)),"C","")))</f>
        <v/>
      </c>
      <c r="AR502" s="622" t="str">
        <f>IF(NOT(ISBLANK('A-RACHNATMAK'!AU533)),"A",IF(NOT(ISBLANK('A-RACHNATMAK'!AU532)),"B",IF(NOT(ISBLANK('A-RACHNATMAK'!AU531)),"C","")))</f>
        <v/>
      </c>
      <c r="AS502" s="622" t="str">
        <f>IF(NOT(ISBLANK('A-RACHNATMAK'!AV533)),"A",IF(NOT(ISBLANK('A-RACHNATMAK'!AV532)),"B",IF(NOT(ISBLANK('A-RACHNATMAK'!AV531)),"C","")))</f>
        <v/>
      </c>
      <c r="AT502" s="622" t="str">
        <f>IF(NOT(ISBLANK('A-RACHNATMAK'!AW533)),"A",IF(NOT(ISBLANK('A-RACHNATMAK'!AW532)),"B",IF(NOT(ISBLANK('A-RACHNATMAK'!AW531)),"C","")))</f>
        <v/>
      </c>
      <c r="AU502" s="622">
        <f t="shared" ref="AU502" si="957">COUNTIF(AA502:AT502,"A")</f>
        <v>0</v>
      </c>
      <c r="AV502" s="622">
        <f t="shared" ref="AV502" si="958">COUNTIF(AA502:AT502,"B")</f>
        <v>0</v>
      </c>
      <c r="AW502" s="622">
        <f t="shared" ref="AW502" si="959">COUNTIF(AA502:AT502,"C")</f>
        <v>0</v>
      </c>
    </row>
    <row r="503" spans="1:49" ht="7.5" customHeight="1">
      <c r="A503" s="623"/>
      <c r="B503" s="622"/>
      <c r="C503" s="622"/>
      <c r="D503" s="622"/>
      <c r="E503" s="622"/>
      <c r="F503" s="622"/>
      <c r="G503" s="622"/>
      <c r="H503" s="622"/>
      <c r="I503" s="622"/>
      <c r="J503" s="622"/>
      <c r="K503" s="622"/>
      <c r="L503" s="622"/>
      <c r="M503" s="622"/>
      <c r="N503" s="622"/>
      <c r="O503" s="622"/>
      <c r="P503" s="622"/>
      <c r="Q503" s="622"/>
      <c r="R503" s="622"/>
      <c r="S503" s="622"/>
      <c r="T503" s="622"/>
      <c r="U503" s="622"/>
      <c r="V503" s="622"/>
      <c r="W503" s="622"/>
      <c r="X503" s="622"/>
      <c r="Y503" s="330"/>
      <c r="Z503" s="623"/>
      <c r="AA503" s="622"/>
      <c r="AB503" s="622"/>
      <c r="AC503" s="622"/>
      <c r="AD503" s="622"/>
      <c r="AE503" s="622"/>
      <c r="AF503" s="622"/>
      <c r="AG503" s="622"/>
      <c r="AH503" s="622"/>
      <c r="AI503" s="622"/>
      <c r="AJ503" s="622"/>
      <c r="AK503" s="622"/>
      <c r="AL503" s="622"/>
      <c r="AM503" s="622"/>
      <c r="AN503" s="622"/>
      <c r="AO503" s="622"/>
      <c r="AP503" s="622"/>
      <c r="AQ503" s="622"/>
      <c r="AR503" s="622"/>
      <c r="AS503" s="622"/>
      <c r="AT503" s="622"/>
      <c r="AU503" s="622"/>
      <c r="AV503" s="622"/>
      <c r="AW503" s="622"/>
    </row>
    <row r="504" spans="1:49" ht="7.5" customHeight="1">
      <c r="A504" s="623"/>
      <c r="B504" s="622"/>
      <c r="C504" s="622"/>
      <c r="D504" s="622"/>
      <c r="E504" s="622"/>
      <c r="F504" s="622"/>
      <c r="G504" s="622"/>
      <c r="H504" s="622"/>
      <c r="I504" s="622"/>
      <c r="J504" s="622"/>
      <c r="K504" s="622"/>
      <c r="L504" s="622"/>
      <c r="M504" s="622"/>
      <c r="N504" s="622"/>
      <c r="O504" s="622"/>
      <c r="P504" s="622"/>
      <c r="Q504" s="622"/>
      <c r="R504" s="622"/>
      <c r="S504" s="622"/>
      <c r="T504" s="622"/>
      <c r="U504" s="622"/>
      <c r="V504" s="622"/>
      <c r="W504" s="622"/>
      <c r="X504" s="622"/>
      <c r="Y504" s="330"/>
      <c r="Z504" s="623"/>
      <c r="AA504" s="622"/>
      <c r="AB504" s="622"/>
      <c r="AC504" s="622"/>
      <c r="AD504" s="622"/>
      <c r="AE504" s="622"/>
      <c r="AF504" s="622"/>
      <c r="AG504" s="622"/>
      <c r="AH504" s="622"/>
      <c r="AI504" s="622"/>
      <c r="AJ504" s="622"/>
      <c r="AK504" s="622"/>
      <c r="AL504" s="622"/>
      <c r="AM504" s="622"/>
      <c r="AN504" s="622"/>
      <c r="AO504" s="622"/>
      <c r="AP504" s="622"/>
      <c r="AQ504" s="622"/>
      <c r="AR504" s="622"/>
      <c r="AS504" s="622"/>
      <c r="AT504" s="622"/>
      <c r="AU504" s="622"/>
      <c r="AV504" s="622"/>
      <c r="AW504" s="622"/>
    </row>
    <row r="505" spans="1:49" ht="7.5" customHeight="1">
      <c r="A505" s="623">
        <v>26</v>
      </c>
      <c r="B505" s="622" t="str">
        <f>IF(NOT(ISBLANK('A-RACHNATMAK'!C536)),"A",IF(NOT(ISBLANK('A-RACHNATMAK'!C535)),"B",IF(NOT(ISBLANK('A-RACHNATMAK'!C534)),"C","")))</f>
        <v/>
      </c>
      <c r="C505" s="622" t="str">
        <f>IF(NOT(ISBLANK('A-RACHNATMAK'!D536)),"A",IF(NOT(ISBLANK('A-RACHNATMAK'!D535)),"B",IF(NOT(ISBLANK('A-RACHNATMAK'!D534)),"C","")))</f>
        <v/>
      </c>
      <c r="D505" s="622" t="str">
        <f>IF(NOT(ISBLANK('A-RACHNATMAK'!E536)),"A",IF(NOT(ISBLANK('A-RACHNATMAK'!E535)),"B",IF(NOT(ISBLANK('A-RACHNATMAK'!E534)),"C","")))</f>
        <v/>
      </c>
      <c r="E505" s="622" t="str">
        <f>IF(NOT(ISBLANK('A-RACHNATMAK'!F536)),"A",IF(NOT(ISBLANK('A-RACHNATMAK'!F535)),"B",IF(NOT(ISBLANK('A-RACHNATMAK'!F534)),"C","")))</f>
        <v/>
      </c>
      <c r="F505" s="622" t="str">
        <f>IF(NOT(ISBLANK('A-RACHNATMAK'!G536)),"A",IF(NOT(ISBLANK('A-RACHNATMAK'!G535)),"B",IF(NOT(ISBLANK('A-RACHNATMAK'!G534)),"C","")))</f>
        <v/>
      </c>
      <c r="G505" s="622" t="str">
        <f>IF(NOT(ISBLANK('A-RACHNATMAK'!H536)),"A",IF(NOT(ISBLANK('A-RACHNATMAK'!H535)),"B",IF(NOT(ISBLANK('A-RACHNATMAK'!H534)),"C","")))</f>
        <v/>
      </c>
      <c r="H505" s="622" t="str">
        <f>IF(NOT(ISBLANK('A-RACHNATMAK'!I536)),"A",IF(NOT(ISBLANK('A-RACHNATMAK'!I535)),"B",IF(NOT(ISBLANK('A-RACHNATMAK'!I534)),"C","")))</f>
        <v/>
      </c>
      <c r="I505" s="622" t="str">
        <f>IF(NOT(ISBLANK('A-RACHNATMAK'!J536)),"A",IF(NOT(ISBLANK('A-RACHNATMAK'!J535)),"B",IF(NOT(ISBLANK('A-RACHNATMAK'!J534)),"C","")))</f>
        <v>C</v>
      </c>
      <c r="J505" s="622" t="str">
        <f>IF(NOT(ISBLANK('A-RACHNATMAK'!K536)),"A",IF(NOT(ISBLANK('A-RACHNATMAK'!K535)),"B",IF(NOT(ISBLANK('A-RACHNATMAK'!K534)),"C","")))</f>
        <v/>
      </c>
      <c r="K505" s="622" t="str">
        <f>IF(NOT(ISBLANK('A-RACHNATMAK'!L536)),"A",IF(NOT(ISBLANK('A-RACHNATMAK'!L535)),"B",IF(NOT(ISBLANK('A-RACHNATMAK'!L534)),"C","")))</f>
        <v/>
      </c>
      <c r="L505" s="622" t="str">
        <f>IF(NOT(ISBLANK('A-RACHNATMAK'!M536)),"A",IF(NOT(ISBLANK('A-RACHNATMAK'!M535)),"B",IF(NOT(ISBLANK('A-RACHNATMAK'!M534)),"C","")))</f>
        <v/>
      </c>
      <c r="M505" s="622" t="str">
        <f>IF(NOT(ISBLANK('A-RACHNATMAK'!N536)),"A",IF(NOT(ISBLANK('A-RACHNATMAK'!N535)),"B",IF(NOT(ISBLANK('A-RACHNATMAK'!N534)),"C","")))</f>
        <v/>
      </c>
      <c r="N505" s="622" t="str">
        <f>IF(NOT(ISBLANK('A-RACHNATMAK'!O536)),"A",IF(NOT(ISBLANK('A-RACHNATMAK'!O535)),"B",IF(NOT(ISBLANK('A-RACHNATMAK'!O534)),"C","")))</f>
        <v/>
      </c>
      <c r="O505" s="622" t="str">
        <f>IF(NOT(ISBLANK('A-RACHNATMAK'!P536)),"A",IF(NOT(ISBLANK('A-RACHNATMAK'!P535)),"B",IF(NOT(ISBLANK('A-RACHNATMAK'!P534)),"C","")))</f>
        <v/>
      </c>
      <c r="P505" s="622" t="str">
        <f>IF(NOT(ISBLANK('A-RACHNATMAK'!Q536)),"A",IF(NOT(ISBLANK('A-RACHNATMAK'!Q535)),"B",IF(NOT(ISBLANK('A-RACHNATMAK'!Q534)),"C","")))</f>
        <v/>
      </c>
      <c r="Q505" s="622" t="str">
        <f>IF(NOT(ISBLANK('A-RACHNATMAK'!R536)),"A",IF(NOT(ISBLANK('A-RACHNATMAK'!R535)),"B",IF(NOT(ISBLANK('A-RACHNATMAK'!R534)),"C","")))</f>
        <v/>
      </c>
      <c r="R505" s="622" t="str">
        <f>IF(NOT(ISBLANK('A-RACHNATMAK'!S536)),"A",IF(NOT(ISBLANK('A-RACHNATMAK'!S535)),"B",IF(NOT(ISBLANK('A-RACHNATMAK'!S534)),"C","")))</f>
        <v/>
      </c>
      <c r="S505" s="622" t="str">
        <f>IF(NOT(ISBLANK('A-RACHNATMAK'!T536)),"A",IF(NOT(ISBLANK('A-RACHNATMAK'!T535)),"B",IF(NOT(ISBLANK('A-RACHNATMAK'!T534)),"C","")))</f>
        <v/>
      </c>
      <c r="T505" s="622" t="str">
        <f>IF(NOT(ISBLANK('A-RACHNATMAK'!U536)),"A",IF(NOT(ISBLANK('A-RACHNATMAK'!U535)),"B",IF(NOT(ISBLANK('A-RACHNATMAK'!U534)),"C","")))</f>
        <v/>
      </c>
      <c r="U505" s="622" t="str">
        <f>IF(NOT(ISBLANK('A-RACHNATMAK'!V536)),"A",IF(NOT(ISBLANK('A-RACHNATMAK'!V535)),"B",IF(NOT(ISBLANK('A-RACHNATMAK'!V534)),"C","")))</f>
        <v/>
      </c>
      <c r="V505" s="622">
        <f t="shared" ref="V505" si="960">COUNTIF(B505:U505,"A")</f>
        <v>0</v>
      </c>
      <c r="W505" s="622">
        <f t="shared" ref="W505" si="961">COUNTIF(B505:U505,"B")</f>
        <v>0</v>
      </c>
      <c r="X505" s="622">
        <f t="shared" ref="X505" si="962">COUNTIF(B505:U505,"C")</f>
        <v>1</v>
      </c>
      <c r="Y505" s="330"/>
      <c r="Z505" s="623">
        <v>26</v>
      </c>
      <c r="AA505" s="622" t="str">
        <f>IF(NOT(ISBLANK('A-RACHNATMAK'!AD536)),"A",IF(NOT(ISBLANK('A-RACHNATMAK'!AD535)),"B",IF(NOT(ISBLANK('A-RACHNATMAK'!AD534)),"C","")))</f>
        <v/>
      </c>
      <c r="AB505" s="622" t="str">
        <f>IF(NOT(ISBLANK('A-RACHNATMAK'!AE536)),"A",IF(NOT(ISBLANK('A-RACHNATMAK'!AE535)),"B",IF(NOT(ISBLANK('A-RACHNATMAK'!AE534)),"C","")))</f>
        <v/>
      </c>
      <c r="AC505" s="622" t="str">
        <f>IF(NOT(ISBLANK('A-RACHNATMAK'!AF536)),"A",IF(NOT(ISBLANK('A-RACHNATMAK'!AF535)),"B",IF(NOT(ISBLANK('A-RACHNATMAK'!AF534)),"C","")))</f>
        <v/>
      </c>
      <c r="AD505" s="622" t="str">
        <f>IF(NOT(ISBLANK('A-RACHNATMAK'!AG536)),"A",IF(NOT(ISBLANK('A-RACHNATMAK'!AG535)),"B",IF(NOT(ISBLANK('A-RACHNATMAK'!AG534)),"C","")))</f>
        <v>C</v>
      </c>
      <c r="AE505" s="622" t="str">
        <f>IF(NOT(ISBLANK('A-RACHNATMAK'!AH536)),"A",IF(NOT(ISBLANK('A-RACHNATMAK'!AH535)),"B",IF(NOT(ISBLANK('A-RACHNATMAK'!AH534)),"C","")))</f>
        <v>B</v>
      </c>
      <c r="AF505" s="622" t="str">
        <f>IF(NOT(ISBLANK('A-RACHNATMAK'!AI536)),"A",IF(NOT(ISBLANK('A-RACHNATMAK'!AI535)),"B",IF(NOT(ISBLANK('A-RACHNATMAK'!AI534)),"C","")))</f>
        <v>A</v>
      </c>
      <c r="AG505" s="622" t="str">
        <f>IF(NOT(ISBLANK('A-RACHNATMAK'!AJ536)),"A",IF(NOT(ISBLANK('A-RACHNATMAK'!AJ535)),"B",IF(NOT(ISBLANK('A-RACHNATMAK'!AJ534)),"C","")))</f>
        <v/>
      </c>
      <c r="AH505" s="622" t="str">
        <f>IF(NOT(ISBLANK('A-RACHNATMAK'!AK536)),"A",IF(NOT(ISBLANK('A-RACHNATMAK'!AK535)),"B",IF(NOT(ISBLANK('A-RACHNATMAK'!AK534)),"C","")))</f>
        <v/>
      </c>
      <c r="AI505" s="622" t="str">
        <f>IF(NOT(ISBLANK('A-RACHNATMAK'!AL536)),"A",IF(NOT(ISBLANK('A-RACHNATMAK'!AL535)),"B",IF(NOT(ISBLANK('A-RACHNATMAK'!AL534)),"C","")))</f>
        <v/>
      </c>
      <c r="AJ505" s="622" t="str">
        <f>IF(NOT(ISBLANK('A-RACHNATMAK'!AM536)),"A",IF(NOT(ISBLANK('A-RACHNATMAK'!AM535)),"B",IF(NOT(ISBLANK('A-RACHNATMAK'!AM534)),"C","")))</f>
        <v/>
      </c>
      <c r="AK505" s="622" t="str">
        <f>IF(NOT(ISBLANK('A-RACHNATMAK'!AN536)),"A",IF(NOT(ISBLANK('A-RACHNATMAK'!AN535)),"B",IF(NOT(ISBLANK('A-RACHNATMAK'!AN534)),"C","")))</f>
        <v/>
      </c>
      <c r="AL505" s="622" t="str">
        <f>IF(NOT(ISBLANK('A-RACHNATMAK'!AO536)),"A",IF(NOT(ISBLANK('A-RACHNATMAK'!AO535)),"B",IF(NOT(ISBLANK('A-RACHNATMAK'!AO534)),"C","")))</f>
        <v/>
      </c>
      <c r="AM505" s="622" t="str">
        <f>IF(NOT(ISBLANK('A-RACHNATMAK'!AP536)),"A",IF(NOT(ISBLANK('A-RACHNATMAK'!AP535)),"B",IF(NOT(ISBLANK('A-RACHNATMAK'!AP534)),"C","")))</f>
        <v/>
      </c>
      <c r="AN505" s="622" t="str">
        <f>IF(NOT(ISBLANK('A-RACHNATMAK'!AQ536)),"A",IF(NOT(ISBLANK('A-RACHNATMAK'!AQ535)),"B",IF(NOT(ISBLANK('A-RACHNATMAK'!AQ534)),"C","")))</f>
        <v/>
      </c>
      <c r="AO505" s="622" t="str">
        <f>IF(NOT(ISBLANK('A-RACHNATMAK'!AR536)),"A",IF(NOT(ISBLANK('A-RACHNATMAK'!AR535)),"B",IF(NOT(ISBLANK('A-RACHNATMAK'!AR534)),"C","")))</f>
        <v/>
      </c>
      <c r="AP505" s="622" t="str">
        <f>IF(NOT(ISBLANK('A-RACHNATMAK'!AS536)),"A",IF(NOT(ISBLANK('A-RACHNATMAK'!AS535)),"B",IF(NOT(ISBLANK('A-RACHNATMAK'!AS534)),"C","")))</f>
        <v/>
      </c>
      <c r="AQ505" s="622" t="str">
        <f>IF(NOT(ISBLANK('A-RACHNATMAK'!AT536)),"A",IF(NOT(ISBLANK('A-RACHNATMAK'!AT535)),"B",IF(NOT(ISBLANK('A-RACHNATMAK'!AT534)),"C","")))</f>
        <v/>
      </c>
      <c r="AR505" s="622" t="str">
        <f>IF(NOT(ISBLANK('A-RACHNATMAK'!AU536)),"A",IF(NOT(ISBLANK('A-RACHNATMAK'!AU535)),"B",IF(NOT(ISBLANK('A-RACHNATMAK'!AU534)),"C","")))</f>
        <v/>
      </c>
      <c r="AS505" s="622" t="str">
        <f>IF(NOT(ISBLANK('A-RACHNATMAK'!AV536)),"A",IF(NOT(ISBLANK('A-RACHNATMAK'!AV535)),"B",IF(NOT(ISBLANK('A-RACHNATMAK'!AV534)),"C","")))</f>
        <v/>
      </c>
      <c r="AT505" s="622" t="str">
        <f>IF(NOT(ISBLANK('A-RACHNATMAK'!AW536)),"A",IF(NOT(ISBLANK('A-RACHNATMAK'!AW535)),"B",IF(NOT(ISBLANK('A-RACHNATMAK'!AW534)),"C","")))</f>
        <v/>
      </c>
      <c r="AU505" s="622">
        <f t="shared" ref="AU505" si="963">COUNTIF(AA505:AT505,"A")</f>
        <v>1</v>
      </c>
      <c r="AV505" s="622">
        <f t="shared" ref="AV505" si="964">COUNTIF(AA505:AT505,"B")</f>
        <v>1</v>
      </c>
      <c r="AW505" s="622">
        <f t="shared" ref="AW505" si="965">COUNTIF(AA505:AT505,"C")</f>
        <v>1</v>
      </c>
    </row>
    <row r="506" spans="1:49" ht="7.5" customHeight="1">
      <c r="A506" s="623"/>
      <c r="B506" s="622"/>
      <c r="C506" s="622"/>
      <c r="D506" s="622"/>
      <c r="E506" s="622"/>
      <c r="F506" s="622"/>
      <c r="G506" s="622"/>
      <c r="H506" s="622"/>
      <c r="I506" s="622"/>
      <c r="J506" s="622"/>
      <c r="K506" s="622"/>
      <c r="L506" s="622"/>
      <c r="M506" s="622"/>
      <c r="N506" s="622"/>
      <c r="O506" s="622"/>
      <c r="P506" s="622"/>
      <c r="Q506" s="622"/>
      <c r="R506" s="622"/>
      <c r="S506" s="622"/>
      <c r="T506" s="622"/>
      <c r="U506" s="622"/>
      <c r="V506" s="622"/>
      <c r="W506" s="622"/>
      <c r="X506" s="622"/>
      <c r="Y506" s="330"/>
      <c r="Z506" s="623"/>
      <c r="AA506" s="622"/>
      <c r="AB506" s="622"/>
      <c r="AC506" s="622"/>
      <c r="AD506" s="622"/>
      <c r="AE506" s="622"/>
      <c r="AF506" s="622"/>
      <c r="AG506" s="622"/>
      <c r="AH506" s="622"/>
      <c r="AI506" s="622"/>
      <c r="AJ506" s="622"/>
      <c r="AK506" s="622"/>
      <c r="AL506" s="622"/>
      <c r="AM506" s="622"/>
      <c r="AN506" s="622"/>
      <c r="AO506" s="622"/>
      <c r="AP506" s="622"/>
      <c r="AQ506" s="622"/>
      <c r="AR506" s="622"/>
      <c r="AS506" s="622"/>
      <c r="AT506" s="622"/>
      <c r="AU506" s="622"/>
      <c r="AV506" s="622"/>
      <c r="AW506" s="622"/>
    </row>
    <row r="507" spans="1:49" ht="7.5" customHeight="1">
      <c r="A507" s="623"/>
      <c r="B507" s="622"/>
      <c r="C507" s="622"/>
      <c r="D507" s="622"/>
      <c r="E507" s="622"/>
      <c r="F507" s="622"/>
      <c r="G507" s="622"/>
      <c r="H507" s="622"/>
      <c r="I507" s="622"/>
      <c r="J507" s="622"/>
      <c r="K507" s="622"/>
      <c r="L507" s="622"/>
      <c r="M507" s="622"/>
      <c r="N507" s="622"/>
      <c r="O507" s="622"/>
      <c r="P507" s="622"/>
      <c r="Q507" s="622"/>
      <c r="R507" s="622"/>
      <c r="S507" s="622"/>
      <c r="T507" s="622"/>
      <c r="U507" s="622"/>
      <c r="V507" s="622"/>
      <c r="W507" s="622"/>
      <c r="X507" s="622"/>
      <c r="Y507" s="330"/>
      <c r="Z507" s="623"/>
      <c r="AA507" s="622"/>
      <c r="AB507" s="622"/>
      <c r="AC507" s="622"/>
      <c r="AD507" s="622"/>
      <c r="AE507" s="622"/>
      <c r="AF507" s="622"/>
      <c r="AG507" s="622"/>
      <c r="AH507" s="622"/>
      <c r="AI507" s="622"/>
      <c r="AJ507" s="622"/>
      <c r="AK507" s="622"/>
      <c r="AL507" s="622"/>
      <c r="AM507" s="622"/>
      <c r="AN507" s="622"/>
      <c r="AO507" s="622"/>
      <c r="AP507" s="622"/>
      <c r="AQ507" s="622"/>
      <c r="AR507" s="622"/>
      <c r="AS507" s="622"/>
      <c r="AT507" s="622"/>
      <c r="AU507" s="622"/>
      <c r="AV507" s="622"/>
      <c r="AW507" s="622"/>
    </row>
    <row r="508" spans="1:49" ht="7.5" customHeight="1">
      <c r="A508" s="623">
        <v>27</v>
      </c>
      <c r="B508" s="622" t="str">
        <f>IF(NOT(ISBLANK('A-RACHNATMAK'!C539)),"A",IF(NOT(ISBLANK('A-RACHNATMAK'!C538)),"B",IF(NOT(ISBLANK('A-RACHNATMAK'!C537)),"C","")))</f>
        <v/>
      </c>
      <c r="C508" s="622" t="str">
        <f>IF(NOT(ISBLANK('A-RACHNATMAK'!D539)),"A",IF(NOT(ISBLANK('A-RACHNATMAK'!D538)),"B",IF(NOT(ISBLANK('A-RACHNATMAK'!D537)),"C","")))</f>
        <v/>
      </c>
      <c r="D508" s="622" t="str">
        <f>IF(NOT(ISBLANK('A-RACHNATMAK'!E539)),"A",IF(NOT(ISBLANK('A-RACHNATMAK'!E538)),"B",IF(NOT(ISBLANK('A-RACHNATMAK'!E537)),"C","")))</f>
        <v/>
      </c>
      <c r="E508" s="622" t="str">
        <f>IF(NOT(ISBLANK('A-RACHNATMAK'!F539)),"A",IF(NOT(ISBLANK('A-RACHNATMAK'!F538)),"B",IF(NOT(ISBLANK('A-RACHNATMAK'!F537)),"C","")))</f>
        <v/>
      </c>
      <c r="F508" s="622" t="str">
        <f>IF(NOT(ISBLANK('A-RACHNATMAK'!G539)),"A",IF(NOT(ISBLANK('A-RACHNATMAK'!G538)),"B",IF(NOT(ISBLANK('A-RACHNATMAK'!G537)),"C","")))</f>
        <v/>
      </c>
      <c r="G508" s="622" t="str">
        <f>IF(NOT(ISBLANK('A-RACHNATMAK'!H539)),"A",IF(NOT(ISBLANK('A-RACHNATMAK'!H538)),"B",IF(NOT(ISBLANK('A-RACHNATMAK'!H537)),"C","")))</f>
        <v/>
      </c>
      <c r="H508" s="622" t="str">
        <f>IF(NOT(ISBLANK('A-RACHNATMAK'!I539)),"A",IF(NOT(ISBLANK('A-RACHNATMAK'!I538)),"B",IF(NOT(ISBLANK('A-RACHNATMAK'!I537)),"C","")))</f>
        <v/>
      </c>
      <c r="I508" s="622" t="str">
        <f>IF(NOT(ISBLANK('A-RACHNATMAK'!J539)),"A",IF(NOT(ISBLANK('A-RACHNATMAK'!J538)),"B",IF(NOT(ISBLANK('A-RACHNATMAK'!J537)),"C","")))</f>
        <v/>
      </c>
      <c r="J508" s="622" t="str">
        <f>IF(NOT(ISBLANK('A-RACHNATMAK'!K539)),"A",IF(NOT(ISBLANK('A-RACHNATMAK'!K538)),"B",IF(NOT(ISBLANK('A-RACHNATMAK'!K537)),"C","")))</f>
        <v/>
      </c>
      <c r="K508" s="622" t="str">
        <f>IF(NOT(ISBLANK('A-RACHNATMAK'!L539)),"A",IF(NOT(ISBLANK('A-RACHNATMAK'!L538)),"B",IF(NOT(ISBLANK('A-RACHNATMAK'!L537)),"C","")))</f>
        <v/>
      </c>
      <c r="L508" s="622" t="str">
        <f>IF(NOT(ISBLANK('A-RACHNATMAK'!M539)),"A",IF(NOT(ISBLANK('A-RACHNATMAK'!M538)),"B",IF(NOT(ISBLANK('A-RACHNATMAK'!M537)),"C","")))</f>
        <v/>
      </c>
      <c r="M508" s="622" t="str">
        <f>IF(NOT(ISBLANK('A-RACHNATMAK'!N539)),"A",IF(NOT(ISBLANK('A-RACHNATMAK'!N538)),"B",IF(NOT(ISBLANK('A-RACHNATMAK'!N537)),"C","")))</f>
        <v/>
      </c>
      <c r="N508" s="622" t="str">
        <f>IF(NOT(ISBLANK('A-RACHNATMAK'!O539)),"A",IF(NOT(ISBLANK('A-RACHNATMAK'!O538)),"B",IF(NOT(ISBLANK('A-RACHNATMAK'!O537)),"C","")))</f>
        <v/>
      </c>
      <c r="O508" s="622" t="str">
        <f>IF(NOT(ISBLANK('A-RACHNATMAK'!P539)),"A",IF(NOT(ISBLANK('A-RACHNATMAK'!P538)),"B",IF(NOT(ISBLANK('A-RACHNATMAK'!P537)),"C","")))</f>
        <v/>
      </c>
      <c r="P508" s="622" t="str">
        <f>IF(NOT(ISBLANK('A-RACHNATMAK'!Q539)),"A",IF(NOT(ISBLANK('A-RACHNATMAK'!Q538)),"B",IF(NOT(ISBLANK('A-RACHNATMAK'!Q537)),"C","")))</f>
        <v/>
      </c>
      <c r="Q508" s="622" t="str">
        <f>IF(NOT(ISBLANK('A-RACHNATMAK'!R539)),"A",IF(NOT(ISBLANK('A-RACHNATMAK'!R538)),"B",IF(NOT(ISBLANK('A-RACHNATMAK'!R537)),"C","")))</f>
        <v/>
      </c>
      <c r="R508" s="622" t="str">
        <f>IF(NOT(ISBLANK('A-RACHNATMAK'!S539)),"A",IF(NOT(ISBLANK('A-RACHNATMAK'!S538)),"B",IF(NOT(ISBLANK('A-RACHNATMAK'!S537)),"C","")))</f>
        <v/>
      </c>
      <c r="S508" s="622" t="str">
        <f>IF(NOT(ISBLANK('A-RACHNATMAK'!T539)),"A",IF(NOT(ISBLANK('A-RACHNATMAK'!T538)),"B",IF(NOT(ISBLANK('A-RACHNATMAK'!T537)),"C","")))</f>
        <v/>
      </c>
      <c r="T508" s="622" t="str">
        <f>IF(NOT(ISBLANK('A-RACHNATMAK'!U539)),"A",IF(NOT(ISBLANK('A-RACHNATMAK'!U538)),"B",IF(NOT(ISBLANK('A-RACHNATMAK'!U537)),"C","")))</f>
        <v/>
      </c>
      <c r="U508" s="622" t="str">
        <f>IF(NOT(ISBLANK('A-RACHNATMAK'!V539)),"A",IF(NOT(ISBLANK('A-RACHNATMAK'!V538)),"B",IF(NOT(ISBLANK('A-RACHNATMAK'!V537)),"C","")))</f>
        <v/>
      </c>
      <c r="V508" s="622">
        <f t="shared" ref="V508" si="966">COUNTIF(B508:U508,"A")</f>
        <v>0</v>
      </c>
      <c r="W508" s="622">
        <f t="shared" ref="W508" si="967">COUNTIF(B508:U508,"B")</f>
        <v>0</v>
      </c>
      <c r="X508" s="622">
        <f t="shared" ref="X508" si="968">COUNTIF(B508:U508,"C")</f>
        <v>0</v>
      </c>
      <c r="Y508" s="330"/>
      <c r="Z508" s="623">
        <v>27</v>
      </c>
      <c r="AA508" s="622" t="str">
        <f>IF(NOT(ISBLANK('A-RACHNATMAK'!AD539)),"A",IF(NOT(ISBLANK('A-RACHNATMAK'!AD538)),"B",IF(NOT(ISBLANK('A-RACHNATMAK'!AD537)),"C","")))</f>
        <v/>
      </c>
      <c r="AB508" s="622" t="str">
        <f>IF(NOT(ISBLANK('A-RACHNATMAK'!AE539)),"A",IF(NOT(ISBLANK('A-RACHNATMAK'!AE538)),"B",IF(NOT(ISBLANK('A-RACHNATMAK'!AE537)),"C","")))</f>
        <v/>
      </c>
      <c r="AC508" s="622" t="str">
        <f>IF(NOT(ISBLANK('A-RACHNATMAK'!AF539)),"A",IF(NOT(ISBLANK('A-RACHNATMAK'!AF538)),"B",IF(NOT(ISBLANK('A-RACHNATMAK'!AF537)),"C","")))</f>
        <v/>
      </c>
      <c r="AD508" s="622" t="str">
        <f>IF(NOT(ISBLANK('A-RACHNATMAK'!AG539)),"A",IF(NOT(ISBLANK('A-RACHNATMAK'!AG538)),"B",IF(NOT(ISBLANK('A-RACHNATMAK'!AG537)),"C","")))</f>
        <v/>
      </c>
      <c r="AE508" s="622" t="str">
        <f>IF(NOT(ISBLANK('A-RACHNATMAK'!AH539)),"A",IF(NOT(ISBLANK('A-RACHNATMAK'!AH538)),"B",IF(NOT(ISBLANK('A-RACHNATMAK'!AH537)),"C","")))</f>
        <v/>
      </c>
      <c r="AF508" s="622" t="str">
        <f>IF(NOT(ISBLANK('A-RACHNATMAK'!AI539)),"A",IF(NOT(ISBLANK('A-RACHNATMAK'!AI538)),"B",IF(NOT(ISBLANK('A-RACHNATMAK'!AI537)),"C","")))</f>
        <v/>
      </c>
      <c r="AG508" s="622" t="str">
        <f>IF(NOT(ISBLANK('A-RACHNATMAK'!AJ539)),"A",IF(NOT(ISBLANK('A-RACHNATMAK'!AJ538)),"B",IF(NOT(ISBLANK('A-RACHNATMAK'!AJ537)),"C","")))</f>
        <v/>
      </c>
      <c r="AH508" s="622" t="str">
        <f>IF(NOT(ISBLANK('A-RACHNATMAK'!AK539)),"A",IF(NOT(ISBLANK('A-RACHNATMAK'!AK538)),"B",IF(NOT(ISBLANK('A-RACHNATMAK'!AK537)),"C","")))</f>
        <v/>
      </c>
      <c r="AI508" s="622" t="str">
        <f>IF(NOT(ISBLANK('A-RACHNATMAK'!AL539)),"A",IF(NOT(ISBLANK('A-RACHNATMAK'!AL538)),"B",IF(NOT(ISBLANK('A-RACHNATMAK'!AL537)),"C","")))</f>
        <v/>
      </c>
      <c r="AJ508" s="622" t="str">
        <f>IF(NOT(ISBLANK('A-RACHNATMAK'!AM539)),"A",IF(NOT(ISBLANK('A-RACHNATMAK'!AM538)),"B",IF(NOT(ISBLANK('A-RACHNATMAK'!AM537)),"C","")))</f>
        <v/>
      </c>
      <c r="AK508" s="622" t="str">
        <f>IF(NOT(ISBLANK('A-RACHNATMAK'!AN539)),"A",IF(NOT(ISBLANK('A-RACHNATMAK'!AN538)),"B",IF(NOT(ISBLANK('A-RACHNATMAK'!AN537)),"C","")))</f>
        <v/>
      </c>
      <c r="AL508" s="622" t="str">
        <f>IF(NOT(ISBLANK('A-RACHNATMAK'!AO539)),"A",IF(NOT(ISBLANK('A-RACHNATMAK'!AO538)),"B",IF(NOT(ISBLANK('A-RACHNATMAK'!AO537)),"C","")))</f>
        <v/>
      </c>
      <c r="AM508" s="622" t="str">
        <f>IF(NOT(ISBLANK('A-RACHNATMAK'!AP539)),"A",IF(NOT(ISBLANK('A-RACHNATMAK'!AP538)),"B",IF(NOT(ISBLANK('A-RACHNATMAK'!AP537)),"C","")))</f>
        <v/>
      </c>
      <c r="AN508" s="622" t="str">
        <f>IF(NOT(ISBLANK('A-RACHNATMAK'!AQ539)),"A",IF(NOT(ISBLANK('A-RACHNATMAK'!AQ538)),"B",IF(NOT(ISBLANK('A-RACHNATMAK'!AQ537)),"C","")))</f>
        <v/>
      </c>
      <c r="AO508" s="622" t="str">
        <f>IF(NOT(ISBLANK('A-RACHNATMAK'!AR539)),"A",IF(NOT(ISBLANK('A-RACHNATMAK'!AR538)),"B",IF(NOT(ISBLANK('A-RACHNATMAK'!AR537)),"C","")))</f>
        <v/>
      </c>
      <c r="AP508" s="622" t="str">
        <f>IF(NOT(ISBLANK('A-RACHNATMAK'!AS539)),"A",IF(NOT(ISBLANK('A-RACHNATMAK'!AS538)),"B",IF(NOT(ISBLANK('A-RACHNATMAK'!AS537)),"C","")))</f>
        <v/>
      </c>
      <c r="AQ508" s="622" t="str">
        <f>IF(NOT(ISBLANK('A-RACHNATMAK'!AT539)),"A",IF(NOT(ISBLANK('A-RACHNATMAK'!AT538)),"B",IF(NOT(ISBLANK('A-RACHNATMAK'!AT537)),"C","")))</f>
        <v/>
      </c>
      <c r="AR508" s="622" t="str">
        <f>IF(NOT(ISBLANK('A-RACHNATMAK'!AU539)),"A",IF(NOT(ISBLANK('A-RACHNATMAK'!AU538)),"B",IF(NOT(ISBLANK('A-RACHNATMAK'!AU537)),"C","")))</f>
        <v/>
      </c>
      <c r="AS508" s="622" t="str">
        <f>IF(NOT(ISBLANK('A-RACHNATMAK'!AV539)),"A",IF(NOT(ISBLANK('A-RACHNATMAK'!AV538)),"B",IF(NOT(ISBLANK('A-RACHNATMAK'!AV537)),"C","")))</f>
        <v/>
      </c>
      <c r="AT508" s="622" t="str">
        <f>IF(NOT(ISBLANK('A-RACHNATMAK'!AW539)),"A",IF(NOT(ISBLANK('A-RACHNATMAK'!AW538)),"B",IF(NOT(ISBLANK('A-RACHNATMAK'!AW537)),"C","")))</f>
        <v/>
      </c>
      <c r="AU508" s="622">
        <f t="shared" ref="AU508" si="969">COUNTIF(AA508:AT508,"A")</f>
        <v>0</v>
      </c>
      <c r="AV508" s="622">
        <f t="shared" ref="AV508" si="970">COUNTIF(AA508:AT508,"B")</f>
        <v>0</v>
      </c>
      <c r="AW508" s="622">
        <f t="shared" ref="AW508" si="971">COUNTIF(AA508:AT508,"C")</f>
        <v>0</v>
      </c>
    </row>
    <row r="509" spans="1:49" ht="7.5" customHeight="1">
      <c r="A509" s="623"/>
      <c r="B509" s="622"/>
      <c r="C509" s="622"/>
      <c r="D509" s="622"/>
      <c r="E509" s="622"/>
      <c r="F509" s="622"/>
      <c r="G509" s="622"/>
      <c r="H509" s="622"/>
      <c r="I509" s="622"/>
      <c r="J509" s="622"/>
      <c r="K509" s="622"/>
      <c r="L509" s="622"/>
      <c r="M509" s="622"/>
      <c r="N509" s="622"/>
      <c r="O509" s="622"/>
      <c r="P509" s="622"/>
      <c r="Q509" s="622"/>
      <c r="R509" s="622"/>
      <c r="S509" s="622"/>
      <c r="T509" s="622"/>
      <c r="U509" s="622"/>
      <c r="V509" s="622"/>
      <c r="W509" s="622"/>
      <c r="X509" s="622"/>
      <c r="Y509" s="330"/>
      <c r="Z509" s="623"/>
      <c r="AA509" s="622"/>
      <c r="AB509" s="622"/>
      <c r="AC509" s="622"/>
      <c r="AD509" s="622"/>
      <c r="AE509" s="622"/>
      <c r="AF509" s="622"/>
      <c r="AG509" s="622"/>
      <c r="AH509" s="622"/>
      <c r="AI509" s="622"/>
      <c r="AJ509" s="622"/>
      <c r="AK509" s="622"/>
      <c r="AL509" s="622"/>
      <c r="AM509" s="622"/>
      <c r="AN509" s="622"/>
      <c r="AO509" s="622"/>
      <c r="AP509" s="622"/>
      <c r="AQ509" s="622"/>
      <c r="AR509" s="622"/>
      <c r="AS509" s="622"/>
      <c r="AT509" s="622"/>
      <c r="AU509" s="622"/>
      <c r="AV509" s="622"/>
      <c r="AW509" s="622"/>
    </row>
    <row r="510" spans="1:49" ht="7.5" customHeight="1">
      <c r="A510" s="623"/>
      <c r="B510" s="622"/>
      <c r="C510" s="622"/>
      <c r="D510" s="622"/>
      <c r="E510" s="622"/>
      <c r="F510" s="622"/>
      <c r="G510" s="622"/>
      <c r="H510" s="622"/>
      <c r="I510" s="622"/>
      <c r="J510" s="622"/>
      <c r="K510" s="622"/>
      <c r="L510" s="622"/>
      <c r="M510" s="622"/>
      <c r="N510" s="622"/>
      <c r="O510" s="622"/>
      <c r="P510" s="622"/>
      <c r="Q510" s="622"/>
      <c r="R510" s="622"/>
      <c r="S510" s="622"/>
      <c r="T510" s="622"/>
      <c r="U510" s="622"/>
      <c r="V510" s="622"/>
      <c r="W510" s="622"/>
      <c r="X510" s="622"/>
      <c r="Y510" s="330"/>
      <c r="Z510" s="623"/>
      <c r="AA510" s="622"/>
      <c r="AB510" s="622"/>
      <c r="AC510" s="622"/>
      <c r="AD510" s="622"/>
      <c r="AE510" s="622"/>
      <c r="AF510" s="622"/>
      <c r="AG510" s="622"/>
      <c r="AH510" s="622"/>
      <c r="AI510" s="622"/>
      <c r="AJ510" s="622"/>
      <c r="AK510" s="622"/>
      <c r="AL510" s="622"/>
      <c r="AM510" s="622"/>
      <c r="AN510" s="622"/>
      <c r="AO510" s="622"/>
      <c r="AP510" s="622"/>
      <c r="AQ510" s="622"/>
      <c r="AR510" s="622"/>
      <c r="AS510" s="622"/>
      <c r="AT510" s="622"/>
      <c r="AU510" s="622"/>
      <c r="AV510" s="622"/>
      <c r="AW510" s="622"/>
    </row>
    <row r="511" spans="1:49" ht="7.5" customHeight="1">
      <c r="A511" s="623">
        <v>28</v>
      </c>
      <c r="B511" s="622" t="str">
        <f>IF(NOT(ISBLANK('A-RACHNATMAK'!C542)),"A",IF(NOT(ISBLANK('A-RACHNATMAK'!C541)),"B",IF(NOT(ISBLANK('A-RACHNATMAK'!C540)),"C","")))</f>
        <v/>
      </c>
      <c r="C511" s="622" t="str">
        <f>IF(NOT(ISBLANK('A-RACHNATMAK'!D542)),"A",IF(NOT(ISBLANK('A-RACHNATMAK'!D541)),"B",IF(NOT(ISBLANK('A-RACHNATMAK'!D540)),"C","")))</f>
        <v/>
      </c>
      <c r="D511" s="622" t="str">
        <f>IF(NOT(ISBLANK('A-RACHNATMAK'!E542)),"A",IF(NOT(ISBLANK('A-RACHNATMAK'!E541)),"B",IF(NOT(ISBLANK('A-RACHNATMAK'!E540)),"C","")))</f>
        <v/>
      </c>
      <c r="E511" s="622" t="str">
        <f>IF(NOT(ISBLANK('A-RACHNATMAK'!F542)),"A",IF(NOT(ISBLANK('A-RACHNATMAK'!F541)),"B",IF(NOT(ISBLANK('A-RACHNATMAK'!F540)),"C","")))</f>
        <v/>
      </c>
      <c r="F511" s="622" t="str">
        <f>IF(NOT(ISBLANK('A-RACHNATMAK'!G542)),"A",IF(NOT(ISBLANK('A-RACHNATMAK'!G541)),"B",IF(NOT(ISBLANK('A-RACHNATMAK'!G540)),"C","")))</f>
        <v/>
      </c>
      <c r="G511" s="622" t="str">
        <f>IF(NOT(ISBLANK('A-RACHNATMAK'!H542)),"A",IF(NOT(ISBLANK('A-RACHNATMAK'!H541)),"B",IF(NOT(ISBLANK('A-RACHNATMAK'!H540)),"C","")))</f>
        <v/>
      </c>
      <c r="H511" s="622" t="str">
        <f>IF(NOT(ISBLANK('A-RACHNATMAK'!I542)),"A",IF(NOT(ISBLANK('A-RACHNATMAK'!I541)),"B",IF(NOT(ISBLANK('A-RACHNATMAK'!I540)),"C","")))</f>
        <v/>
      </c>
      <c r="I511" s="622" t="str">
        <f>IF(NOT(ISBLANK('A-RACHNATMAK'!J542)),"A",IF(NOT(ISBLANK('A-RACHNATMAK'!J541)),"B",IF(NOT(ISBLANK('A-RACHNATMAK'!J540)),"C","")))</f>
        <v/>
      </c>
      <c r="J511" s="622" t="str">
        <f>IF(NOT(ISBLANK('A-RACHNATMAK'!K542)),"A",IF(NOT(ISBLANK('A-RACHNATMAK'!K541)),"B",IF(NOT(ISBLANK('A-RACHNATMAK'!K540)),"C","")))</f>
        <v>C</v>
      </c>
      <c r="K511" s="622" t="str">
        <f>IF(NOT(ISBLANK('A-RACHNATMAK'!L542)),"A",IF(NOT(ISBLANK('A-RACHNATMAK'!L541)),"B",IF(NOT(ISBLANK('A-RACHNATMAK'!L540)),"C","")))</f>
        <v/>
      </c>
      <c r="L511" s="622" t="str">
        <f>IF(NOT(ISBLANK('A-RACHNATMAK'!M542)),"A",IF(NOT(ISBLANK('A-RACHNATMAK'!M541)),"B",IF(NOT(ISBLANK('A-RACHNATMAK'!M540)),"C","")))</f>
        <v/>
      </c>
      <c r="M511" s="622" t="str">
        <f>IF(NOT(ISBLANK('A-RACHNATMAK'!N542)),"A",IF(NOT(ISBLANK('A-RACHNATMAK'!N541)),"B",IF(NOT(ISBLANK('A-RACHNATMAK'!N540)),"C","")))</f>
        <v/>
      </c>
      <c r="N511" s="622" t="str">
        <f>IF(NOT(ISBLANK('A-RACHNATMAK'!O542)),"A",IF(NOT(ISBLANK('A-RACHNATMAK'!O541)),"B",IF(NOT(ISBLANK('A-RACHNATMAK'!O540)),"C","")))</f>
        <v/>
      </c>
      <c r="O511" s="622" t="str">
        <f>IF(NOT(ISBLANK('A-RACHNATMAK'!P542)),"A",IF(NOT(ISBLANK('A-RACHNATMAK'!P541)),"B",IF(NOT(ISBLANK('A-RACHNATMAK'!P540)),"C","")))</f>
        <v/>
      </c>
      <c r="P511" s="622" t="str">
        <f>IF(NOT(ISBLANK('A-RACHNATMAK'!Q542)),"A",IF(NOT(ISBLANK('A-RACHNATMAK'!Q541)),"B",IF(NOT(ISBLANK('A-RACHNATMAK'!Q540)),"C","")))</f>
        <v/>
      </c>
      <c r="Q511" s="622" t="str">
        <f>IF(NOT(ISBLANK('A-RACHNATMAK'!R542)),"A",IF(NOT(ISBLANK('A-RACHNATMAK'!R541)),"B",IF(NOT(ISBLANK('A-RACHNATMAK'!R540)),"C","")))</f>
        <v/>
      </c>
      <c r="R511" s="622" t="str">
        <f>IF(NOT(ISBLANK('A-RACHNATMAK'!S542)),"A",IF(NOT(ISBLANK('A-RACHNATMAK'!S541)),"B",IF(NOT(ISBLANK('A-RACHNATMAK'!S540)),"C","")))</f>
        <v/>
      </c>
      <c r="S511" s="622" t="str">
        <f>IF(NOT(ISBLANK('A-RACHNATMAK'!T542)),"A",IF(NOT(ISBLANK('A-RACHNATMAK'!T541)),"B",IF(NOT(ISBLANK('A-RACHNATMAK'!T540)),"C","")))</f>
        <v/>
      </c>
      <c r="T511" s="622" t="str">
        <f>IF(NOT(ISBLANK('A-RACHNATMAK'!U542)),"A",IF(NOT(ISBLANK('A-RACHNATMAK'!U541)),"B",IF(NOT(ISBLANK('A-RACHNATMAK'!U540)),"C","")))</f>
        <v/>
      </c>
      <c r="U511" s="622" t="str">
        <f>IF(NOT(ISBLANK('A-RACHNATMAK'!V542)),"A",IF(NOT(ISBLANK('A-RACHNATMAK'!V541)),"B",IF(NOT(ISBLANK('A-RACHNATMAK'!V540)),"C","")))</f>
        <v/>
      </c>
      <c r="V511" s="622">
        <f t="shared" ref="V511" si="972">COUNTIF(B511:U511,"A")</f>
        <v>0</v>
      </c>
      <c r="W511" s="622">
        <f t="shared" ref="W511" si="973">COUNTIF(B511:U511,"B")</f>
        <v>0</v>
      </c>
      <c r="X511" s="622">
        <f t="shared" ref="X511" si="974">COUNTIF(B511:U511,"C")</f>
        <v>1</v>
      </c>
      <c r="Y511" s="330"/>
      <c r="Z511" s="623">
        <v>28</v>
      </c>
      <c r="AA511" s="622" t="str">
        <f>IF(NOT(ISBLANK('A-RACHNATMAK'!AD542)),"A",IF(NOT(ISBLANK('A-RACHNATMAK'!AD541)),"B",IF(NOT(ISBLANK('A-RACHNATMAK'!AD540)),"C","")))</f>
        <v/>
      </c>
      <c r="AB511" s="622" t="str">
        <f>IF(NOT(ISBLANK('A-RACHNATMAK'!AE542)),"A",IF(NOT(ISBLANK('A-RACHNATMAK'!AE541)),"B",IF(NOT(ISBLANK('A-RACHNATMAK'!AE540)),"C","")))</f>
        <v/>
      </c>
      <c r="AC511" s="622" t="str">
        <f>IF(NOT(ISBLANK('A-RACHNATMAK'!AF542)),"A",IF(NOT(ISBLANK('A-RACHNATMAK'!AF541)),"B",IF(NOT(ISBLANK('A-RACHNATMAK'!AF540)),"C","")))</f>
        <v/>
      </c>
      <c r="AD511" s="622" t="str">
        <f>IF(NOT(ISBLANK('A-RACHNATMAK'!AG542)),"A",IF(NOT(ISBLANK('A-RACHNATMAK'!AG541)),"B",IF(NOT(ISBLANK('A-RACHNATMAK'!AG540)),"C","")))</f>
        <v/>
      </c>
      <c r="AE511" s="622" t="str">
        <f>IF(NOT(ISBLANK('A-RACHNATMAK'!AH542)),"A",IF(NOT(ISBLANK('A-RACHNATMAK'!AH541)),"B",IF(NOT(ISBLANK('A-RACHNATMAK'!AH540)),"C","")))</f>
        <v/>
      </c>
      <c r="AF511" s="622" t="str">
        <f>IF(NOT(ISBLANK('A-RACHNATMAK'!AI542)),"A",IF(NOT(ISBLANK('A-RACHNATMAK'!AI541)),"B",IF(NOT(ISBLANK('A-RACHNATMAK'!AI540)),"C","")))</f>
        <v/>
      </c>
      <c r="AG511" s="622" t="str">
        <f>IF(NOT(ISBLANK('A-RACHNATMAK'!AJ542)),"A",IF(NOT(ISBLANK('A-RACHNATMAK'!AJ541)),"B",IF(NOT(ISBLANK('A-RACHNATMAK'!AJ540)),"C","")))</f>
        <v/>
      </c>
      <c r="AH511" s="622" t="str">
        <f>IF(NOT(ISBLANK('A-RACHNATMAK'!AK542)),"A",IF(NOT(ISBLANK('A-RACHNATMAK'!AK541)),"B",IF(NOT(ISBLANK('A-RACHNATMAK'!AK540)),"C","")))</f>
        <v/>
      </c>
      <c r="AI511" s="622" t="str">
        <f>IF(NOT(ISBLANK('A-RACHNATMAK'!AL542)),"A",IF(NOT(ISBLANK('A-RACHNATMAK'!AL541)),"B",IF(NOT(ISBLANK('A-RACHNATMAK'!AL540)),"C","")))</f>
        <v/>
      </c>
      <c r="AJ511" s="622" t="str">
        <f>IF(NOT(ISBLANK('A-RACHNATMAK'!AM542)),"A",IF(NOT(ISBLANK('A-RACHNATMAK'!AM541)),"B",IF(NOT(ISBLANK('A-RACHNATMAK'!AM540)),"C","")))</f>
        <v/>
      </c>
      <c r="AK511" s="622" t="str">
        <f>IF(NOT(ISBLANK('A-RACHNATMAK'!AN542)),"A",IF(NOT(ISBLANK('A-RACHNATMAK'!AN541)),"B",IF(NOT(ISBLANK('A-RACHNATMAK'!AN540)),"C","")))</f>
        <v/>
      </c>
      <c r="AL511" s="622" t="str">
        <f>IF(NOT(ISBLANK('A-RACHNATMAK'!AO542)),"A",IF(NOT(ISBLANK('A-RACHNATMAK'!AO541)),"B",IF(NOT(ISBLANK('A-RACHNATMAK'!AO540)),"C","")))</f>
        <v/>
      </c>
      <c r="AM511" s="622" t="str">
        <f>IF(NOT(ISBLANK('A-RACHNATMAK'!AP542)),"A",IF(NOT(ISBLANK('A-RACHNATMAK'!AP541)),"B",IF(NOT(ISBLANK('A-RACHNATMAK'!AP540)),"C","")))</f>
        <v/>
      </c>
      <c r="AN511" s="622" t="str">
        <f>IF(NOT(ISBLANK('A-RACHNATMAK'!AQ542)),"A",IF(NOT(ISBLANK('A-RACHNATMAK'!AQ541)),"B",IF(NOT(ISBLANK('A-RACHNATMAK'!AQ540)),"C","")))</f>
        <v/>
      </c>
      <c r="AO511" s="622" t="str">
        <f>IF(NOT(ISBLANK('A-RACHNATMAK'!AR542)),"A",IF(NOT(ISBLANK('A-RACHNATMAK'!AR541)),"B",IF(NOT(ISBLANK('A-RACHNATMAK'!AR540)),"C","")))</f>
        <v/>
      </c>
      <c r="AP511" s="622" t="str">
        <f>IF(NOT(ISBLANK('A-RACHNATMAK'!AS542)),"A",IF(NOT(ISBLANK('A-RACHNATMAK'!AS541)),"B",IF(NOT(ISBLANK('A-RACHNATMAK'!AS540)),"C","")))</f>
        <v/>
      </c>
      <c r="AQ511" s="622" t="str">
        <f>IF(NOT(ISBLANK('A-RACHNATMAK'!AT542)),"A",IF(NOT(ISBLANK('A-RACHNATMAK'!AT541)),"B",IF(NOT(ISBLANK('A-RACHNATMAK'!AT540)),"C","")))</f>
        <v/>
      </c>
      <c r="AR511" s="622" t="str">
        <f>IF(NOT(ISBLANK('A-RACHNATMAK'!AU542)),"A",IF(NOT(ISBLANK('A-RACHNATMAK'!AU541)),"B",IF(NOT(ISBLANK('A-RACHNATMAK'!AU540)),"C","")))</f>
        <v/>
      </c>
      <c r="AS511" s="622" t="str">
        <f>IF(NOT(ISBLANK('A-RACHNATMAK'!AV542)),"A",IF(NOT(ISBLANK('A-RACHNATMAK'!AV541)),"B",IF(NOT(ISBLANK('A-RACHNATMAK'!AV540)),"C","")))</f>
        <v/>
      </c>
      <c r="AT511" s="622" t="str">
        <f>IF(NOT(ISBLANK('A-RACHNATMAK'!AW542)),"A",IF(NOT(ISBLANK('A-RACHNATMAK'!AW541)),"B",IF(NOT(ISBLANK('A-RACHNATMAK'!AW540)),"C","")))</f>
        <v/>
      </c>
      <c r="AU511" s="622">
        <f t="shared" ref="AU511" si="975">COUNTIF(AA511:AT511,"A")</f>
        <v>0</v>
      </c>
      <c r="AV511" s="622">
        <f t="shared" ref="AV511" si="976">COUNTIF(AA511:AT511,"B")</f>
        <v>0</v>
      </c>
      <c r="AW511" s="622">
        <f t="shared" ref="AW511" si="977">COUNTIF(AA511:AT511,"C")</f>
        <v>0</v>
      </c>
    </row>
    <row r="512" spans="1:49" ht="7.5" customHeight="1">
      <c r="A512" s="623"/>
      <c r="B512" s="622"/>
      <c r="C512" s="622"/>
      <c r="D512" s="622"/>
      <c r="E512" s="622"/>
      <c r="F512" s="622"/>
      <c r="G512" s="622"/>
      <c r="H512" s="622"/>
      <c r="I512" s="622"/>
      <c r="J512" s="622"/>
      <c r="K512" s="622"/>
      <c r="L512" s="622"/>
      <c r="M512" s="622"/>
      <c r="N512" s="622"/>
      <c r="O512" s="622"/>
      <c r="P512" s="622"/>
      <c r="Q512" s="622"/>
      <c r="R512" s="622"/>
      <c r="S512" s="622"/>
      <c r="T512" s="622"/>
      <c r="U512" s="622"/>
      <c r="V512" s="622"/>
      <c r="W512" s="622"/>
      <c r="X512" s="622"/>
      <c r="Y512" s="330"/>
      <c r="Z512" s="623"/>
      <c r="AA512" s="622"/>
      <c r="AB512" s="622"/>
      <c r="AC512" s="622"/>
      <c r="AD512" s="622"/>
      <c r="AE512" s="622"/>
      <c r="AF512" s="622"/>
      <c r="AG512" s="622"/>
      <c r="AH512" s="622"/>
      <c r="AI512" s="622"/>
      <c r="AJ512" s="622"/>
      <c r="AK512" s="622"/>
      <c r="AL512" s="622"/>
      <c r="AM512" s="622"/>
      <c r="AN512" s="622"/>
      <c r="AO512" s="622"/>
      <c r="AP512" s="622"/>
      <c r="AQ512" s="622"/>
      <c r="AR512" s="622"/>
      <c r="AS512" s="622"/>
      <c r="AT512" s="622"/>
      <c r="AU512" s="622"/>
      <c r="AV512" s="622"/>
      <c r="AW512" s="622"/>
    </row>
    <row r="513" spans="1:49" ht="7.5" customHeight="1">
      <c r="A513" s="623"/>
      <c r="B513" s="622"/>
      <c r="C513" s="622"/>
      <c r="D513" s="622"/>
      <c r="E513" s="622"/>
      <c r="F513" s="622"/>
      <c r="G513" s="622"/>
      <c r="H513" s="622"/>
      <c r="I513" s="622"/>
      <c r="J513" s="622"/>
      <c r="K513" s="622"/>
      <c r="L513" s="622"/>
      <c r="M513" s="622"/>
      <c r="N513" s="622"/>
      <c r="O513" s="622"/>
      <c r="P513" s="622"/>
      <c r="Q513" s="622"/>
      <c r="R513" s="622"/>
      <c r="S513" s="622"/>
      <c r="T513" s="622"/>
      <c r="U513" s="622"/>
      <c r="V513" s="622"/>
      <c r="W513" s="622"/>
      <c r="X513" s="622"/>
      <c r="Y513" s="330"/>
      <c r="Z513" s="623"/>
      <c r="AA513" s="622"/>
      <c r="AB513" s="622"/>
      <c r="AC513" s="622"/>
      <c r="AD513" s="622"/>
      <c r="AE513" s="622"/>
      <c r="AF513" s="622"/>
      <c r="AG513" s="622"/>
      <c r="AH513" s="622"/>
      <c r="AI513" s="622"/>
      <c r="AJ513" s="622"/>
      <c r="AK513" s="622"/>
      <c r="AL513" s="622"/>
      <c r="AM513" s="622"/>
      <c r="AN513" s="622"/>
      <c r="AO513" s="622"/>
      <c r="AP513" s="622"/>
      <c r="AQ513" s="622"/>
      <c r="AR513" s="622"/>
      <c r="AS513" s="622"/>
      <c r="AT513" s="622"/>
      <c r="AU513" s="622"/>
      <c r="AV513" s="622"/>
      <c r="AW513" s="622"/>
    </row>
    <row r="514" spans="1:49" ht="7.5" customHeight="1">
      <c r="A514" s="623">
        <v>29</v>
      </c>
      <c r="B514" s="622" t="str">
        <f>IF(NOT(ISBLANK('A-RACHNATMAK'!C545)),"A",IF(NOT(ISBLANK('A-RACHNATMAK'!C544)),"B",IF(NOT(ISBLANK('A-RACHNATMAK'!C543)),"C","")))</f>
        <v/>
      </c>
      <c r="C514" s="622" t="str">
        <f>IF(NOT(ISBLANK('A-RACHNATMAK'!D545)),"A",IF(NOT(ISBLANK('A-RACHNATMAK'!D544)),"B",IF(NOT(ISBLANK('A-RACHNATMAK'!D543)),"C","")))</f>
        <v/>
      </c>
      <c r="D514" s="622" t="str">
        <f>IF(NOT(ISBLANK('A-RACHNATMAK'!E545)),"A",IF(NOT(ISBLANK('A-RACHNATMAK'!E544)),"B",IF(NOT(ISBLANK('A-RACHNATMAK'!E543)),"C","")))</f>
        <v/>
      </c>
      <c r="E514" s="622" t="str">
        <f>IF(NOT(ISBLANK('A-RACHNATMAK'!F545)),"A",IF(NOT(ISBLANK('A-RACHNATMAK'!F544)),"B",IF(NOT(ISBLANK('A-RACHNATMAK'!F543)),"C","")))</f>
        <v/>
      </c>
      <c r="F514" s="622" t="str">
        <f>IF(NOT(ISBLANK('A-RACHNATMAK'!G545)),"A",IF(NOT(ISBLANK('A-RACHNATMAK'!G544)),"B",IF(NOT(ISBLANK('A-RACHNATMAK'!G543)),"C","")))</f>
        <v/>
      </c>
      <c r="G514" s="622" t="str">
        <f>IF(NOT(ISBLANK('A-RACHNATMAK'!H545)),"A",IF(NOT(ISBLANK('A-RACHNATMAK'!H544)),"B",IF(NOT(ISBLANK('A-RACHNATMAK'!H543)),"C","")))</f>
        <v/>
      </c>
      <c r="H514" s="622" t="str">
        <f>IF(NOT(ISBLANK('A-RACHNATMAK'!I545)),"A",IF(NOT(ISBLANK('A-RACHNATMAK'!I544)),"B",IF(NOT(ISBLANK('A-RACHNATMAK'!I543)),"C","")))</f>
        <v/>
      </c>
      <c r="I514" s="622" t="str">
        <f>IF(NOT(ISBLANK('A-RACHNATMAK'!J545)),"A",IF(NOT(ISBLANK('A-RACHNATMAK'!J544)),"B",IF(NOT(ISBLANK('A-RACHNATMAK'!J543)),"C","")))</f>
        <v/>
      </c>
      <c r="J514" s="622" t="str">
        <f>IF(NOT(ISBLANK('A-RACHNATMAK'!K545)),"A",IF(NOT(ISBLANK('A-RACHNATMAK'!K544)),"B",IF(NOT(ISBLANK('A-RACHNATMAK'!K543)),"C","")))</f>
        <v/>
      </c>
      <c r="K514" s="622" t="str">
        <f>IF(NOT(ISBLANK('A-RACHNATMAK'!L545)),"A",IF(NOT(ISBLANK('A-RACHNATMAK'!L544)),"B",IF(NOT(ISBLANK('A-RACHNATMAK'!L543)),"C","")))</f>
        <v/>
      </c>
      <c r="L514" s="622" t="str">
        <f>IF(NOT(ISBLANK('A-RACHNATMAK'!M545)),"A",IF(NOT(ISBLANK('A-RACHNATMAK'!M544)),"B",IF(NOT(ISBLANK('A-RACHNATMAK'!M543)),"C","")))</f>
        <v/>
      </c>
      <c r="M514" s="622" t="str">
        <f>IF(NOT(ISBLANK('A-RACHNATMAK'!N545)),"A",IF(NOT(ISBLANK('A-RACHNATMAK'!N544)),"B",IF(NOT(ISBLANK('A-RACHNATMAK'!N543)),"C","")))</f>
        <v/>
      </c>
      <c r="N514" s="622" t="str">
        <f>IF(NOT(ISBLANK('A-RACHNATMAK'!O545)),"A",IF(NOT(ISBLANK('A-RACHNATMAK'!O544)),"B",IF(NOT(ISBLANK('A-RACHNATMAK'!O543)),"C","")))</f>
        <v/>
      </c>
      <c r="O514" s="622" t="str">
        <f>IF(NOT(ISBLANK('A-RACHNATMAK'!P545)),"A",IF(NOT(ISBLANK('A-RACHNATMAK'!P544)),"B",IF(NOT(ISBLANK('A-RACHNATMAK'!P543)),"C","")))</f>
        <v/>
      </c>
      <c r="P514" s="622" t="str">
        <f>IF(NOT(ISBLANK('A-RACHNATMAK'!Q545)),"A",IF(NOT(ISBLANK('A-RACHNATMAK'!Q544)),"B",IF(NOT(ISBLANK('A-RACHNATMAK'!Q543)),"C","")))</f>
        <v/>
      </c>
      <c r="Q514" s="622" t="str">
        <f>IF(NOT(ISBLANK('A-RACHNATMAK'!R545)),"A",IF(NOT(ISBLANK('A-RACHNATMAK'!R544)),"B",IF(NOT(ISBLANK('A-RACHNATMAK'!R543)),"C","")))</f>
        <v/>
      </c>
      <c r="R514" s="622" t="str">
        <f>IF(NOT(ISBLANK('A-RACHNATMAK'!S545)),"A",IF(NOT(ISBLANK('A-RACHNATMAK'!S544)),"B",IF(NOT(ISBLANK('A-RACHNATMAK'!S543)),"C","")))</f>
        <v/>
      </c>
      <c r="S514" s="622" t="str">
        <f>IF(NOT(ISBLANK('A-RACHNATMAK'!T545)),"A",IF(NOT(ISBLANK('A-RACHNATMAK'!T544)),"B",IF(NOT(ISBLANK('A-RACHNATMAK'!T543)),"C","")))</f>
        <v/>
      </c>
      <c r="T514" s="622" t="str">
        <f>IF(NOT(ISBLANK('A-RACHNATMAK'!U545)),"A",IF(NOT(ISBLANK('A-RACHNATMAK'!U544)),"B",IF(NOT(ISBLANK('A-RACHNATMAK'!U543)),"C","")))</f>
        <v/>
      </c>
      <c r="U514" s="622" t="str">
        <f>IF(NOT(ISBLANK('A-RACHNATMAK'!V545)),"A",IF(NOT(ISBLANK('A-RACHNATMAK'!V544)),"B",IF(NOT(ISBLANK('A-RACHNATMAK'!V543)),"C","")))</f>
        <v/>
      </c>
      <c r="V514" s="622">
        <f t="shared" ref="V514" si="978">COUNTIF(B514:U514,"A")</f>
        <v>0</v>
      </c>
      <c r="W514" s="622">
        <f t="shared" ref="W514" si="979">COUNTIF(B514:U514,"B")</f>
        <v>0</v>
      </c>
      <c r="X514" s="622">
        <f t="shared" ref="X514" si="980">COUNTIF(B514:U514,"C")</f>
        <v>0</v>
      </c>
      <c r="Y514" s="330"/>
      <c r="Z514" s="623">
        <v>29</v>
      </c>
      <c r="AA514" s="622" t="str">
        <f>IF(NOT(ISBLANK('A-RACHNATMAK'!AD545)),"A",IF(NOT(ISBLANK('A-RACHNATMAK'!AD544)),"B",IF(NOT(ISBLANK('A-RACHNATMAK'!AD543)),"C","")))</f>
        <v/>
      </c>
      <c r="AB514" s="622" t="str">
        <f>IF(NOT(ISBLANK('A-RACHNATMAK'!AE545)),"A",IF(NOT(ISBLANK('A-RACHNATMAK'!AE544)),"B",IF(NOT(ISBLANK('A-RACHNATMAK'!AE543)),"C","")))</f>
        <v/>
      </c>
      <c r="AC514" s="622" t="str">
        <f>IF(NOT(ISBLANK('A-RACHNATMAK'!AF545)),"A",IF(NOT(ISBLANK('A-RACHNATMAK'!AF544)),"B",IF(NOT(ISBLANK('A-RACHNATMAK'!AF543)),"C","")))</f>
        <v/>
      </c>
      <c r="AD514" s="622" t="str">
        <f>IF(NOT(ISBLANK('A-RACHNATMAK'!AG545)),"A",IF(NOT(ISBLANK('A-RACHNATMAK'!AG544)),"B",IF(NOT(ISBLANK('A-RACHNATMAK'!AG543)),"C","")))</f>
        <v/>
      </c>
      <c r="AE514" s="622" t="str">
        <f>IF(NOT(ISBLANK('A-RACHNATMAK'!AH545)),"A",IF(NOT(ISBLANK('A-RACHNATMAK'!AH544)),"B",IF(NOT(ISBLANK('A-RACHNATMAK'!AH543)),"C","")))</f>
        <v/>
      </c>
      <c r="AF514" s="622" t="str">
        <f>IF(NOT(ISBLANK('A-RACHNATMAK'!AI545)),"A",IF(NOT(ISBLANK('A-RACHNATMAK'!AI544)),"B",IF(NOT(ISBLANK('A-RACHNATMAK'!AI543)),"C","")))</f>
        <v/>
      </c>
      <c r="AG514" s="622" t="str">
        <f>IF(NOT(ISBLANK('A-RACHNATMAK'!AJ545)),"A",IF(NOT(ISBLANK('A-RACHNATMAK'!AJ544)),"B",IF(NOT(ISBLANK('A-RACHNATMAK'!AJ543)),"C","")))</f>
        <v>A</v>
      </c>
      <c r="AH514" s="622" t="str">
        <f>IF(NOT(ISBLANK('A-RACHNATMAK'!AK545)),"A",IF(NOT(ISBLANK('A-RACHNATMAK'!AK544)),"B",IF(NOT(ISBLANK('A-RACHNATMAK'!AK543)),"C","")))</f>
        <v/>
      </c>
      <c r="AI514" s="622" t="str">
        <f>IF(NOT(ISBLANK('A-RACHNATMAK'!AL545)),"A",IF(NOT(ISBLANK('A-RACHNATMAK'!AL544)),"B",IF(NOT(ISBLANK('A-RACHNATMAK'!AL543)),"C","")))</f>
        <v/>
      </c>
      <c r="AJ514" s="622" t="str">
        <f>IF(NOT(ISBLANK('A-RACHNATMAK'!AM545)),"A",IF(NOT(ISBLANK('A-RACHNATMAK'!AM544)),"B",IF(NOT(ISBLANK('A-RACHNATMAK'!AM543)),"C","")))</f>
        <v/>
      </c>
      <c r="AK514" s="622" t="str">
        <f>IF(NOT(ISBLANK('A-RACHNATMAK'!AN545)),"A",IF(NOT(ISBLANK('A-RACHNATMAK'!AN544)),"B",IF(NOT(ISBLANK('A-RACHNATMAK'!AN543)),"C","")))</f>
        <v/>
      </c>
      <c r="AL514" s="622" t="str">
        <f>IF(NOT(ISBLANK('A-RACHNATMAK'!AO545)),"A",IF(NOT(ISBLANK('A-RACHNATMAK'!AO544)),"B",IF(NOT(ISBLANK('A-RACHNATMAK'!AO543)),"C","")))</f>
        <v/>
      </c>
      <c r="AM514" s="622" t="str">
        <f>IF(NOT(ISBLANK('A-RACHNATMAK'!AP545)),"A",IF(NOT(ISBLANK('A-RACHNATMAK'!AP544)),"B",IF(NOT(ISBLANK('A-RACHNATMAK'!AP543)),"C","")))</f>
        <v/>
      </c>
      <c r="AN514" s="622" t="str">
        <f>IF(NOT(ISBLANK('A-RACHNATMAK'!AQ545)),"A",IF(NOT(ISBLANK('A-RACHNATMAK'!AQ544)),"B",IF(NOT(ISBLANK('A-RACHNATMAK'!AQ543)),"C","")))</f>
        <v/>
      </c>
      <c r="AO514" s="622" t="str">
        <f>IF(NOT(ISBLANK('A-RACHNATMAK'!AR545)),"A",IF(NOT(ISBLANK('A-RACHNATMAK'!AR544)),"B",IF(NOT(ISBLANK('A-RACHNATMAK'!AR543)),"C","")))</f>
        <v/>
      </c>
      <c r="AP514" s="622" t="str">
        <f>IF(NOT(ISBLANK('A-RACHNATMAK'!AS545)),"A",IF(NOT(ISBLANK('A-RACHNATMAK'!AS544)),"B",IF(NOT(ISBLANK('A-RACHNATMAK'!AS543)),"C","")))</f>
        <v/>
      </c>
      <c r="AQ514" s="622" t="str">
        <f>IF(NOT(ISBLANK('A-RACHNATMAK'!AT545)),"A",IF(NOT(ISBLANK('A-RACHNATMAK'!AT544)),"B",IF(NOT(ISBLANK('A-RACHNATMAK'!AT543)),"C","")))</f>
        <v/>
      </c>
      <c r="AR514" s="622" t="str">
        <f>IF(NOT(ISBLANK('A-RACHNATMAK'!AU545)),"A",IF(NOT(ISBLANK('A-RACHNATMAK'!AU544)),"B",IF(NOT(ISBLANK('A-RACHNATMAK'!AU543)),"C","")))</f>
        <v/>
      </c>
      <c r="AS514" s="622" t="str">
        <f>IF(NOT(ISBLANK('A-RACHNATMAK'!AV545)),"A",IF(NOT(ISBLANK('A-RACHNATMAK'!AV544)),"B",IF(NOT(ISBLANK('A-RACHNATMAK'!AV543)),"C","")))</f>
        <v/>
      </c>
      <c r="AT514" s="622" t="str">
        <f>IF(NOT(ISBLANK('A-RACHNATMAK'!AW545)),"A",IF(NOT(ISBLANK('A-RACHNATMAK'!AW544)),"B",IF(NOT(ISBLANK('A-RACHNATMAK'!AW543)),"C","")))</f>
        <v/>
      </c>
      <c r="AU514" s="622">
        <f t="shared" ref="AU514" si="981">COUNTIF(AA514:AT514,"A")</f>
        <v>1</v>
      </c>
      <c r="AV514" s="622">
        <f t="shared" ref="AV514" si="982">COUNTIF(AA514:AT514,"B")</f>
        <v>0</v>
      </c>
      <c r="AW514" s="622">
        <f t="shared" ref="AW514" si="983">COUNTIF(AA514:AT514,"C")</f>
        <v>0</v>
      </c>
    </row>
    <row r="515" spans="1:49" ht="7.5" customHeight="1">
      <c r="A515" s="623"/>
      <c r="B515" s="622"/>
      <c r="C515" s="622"/>
      <c r="D515" s="622"/>
      <c r="E515" s="622"/>
      <c r="F515" s="622"/>
      <c r="G515" s="622"/>
      <c r="H515" s="622"/>
      <c r="I515" s="622"/>
      <c r="J515" s="622"/>
      <c r="K515" s="622"/>
      <c r="L515" s="622"/>
      <c r="M515" s="622"/>
      <c r="N515" s="622"/>
      <c r="O515" s="622"/>
      <c r="P515" s="622"/>
      <c r="Q515" s="622"/>
      <c r="R515" s="622"/>
      <c r="S515" s="622"/>
      <c r="T515" s="622"/>
      <c r="U515" s="622"/>
      <c r="V515" s="622"/>
      <c r="W515" s="622"/>
      <c r="X515" s="622"/>
      <c r="Y515" s="330"/>
      <c r="Z515" s="623"/>
      <c r="AA515" s="622"/>
      <c r="AB515" s="622"/>
      <c r="AC515" s="622"/>
      <c r="AD515" s="622"/>
      <c r="AE515" s="622"/>
      <c r="AF515" s="622"/>
      <c r="AG515" s="622"/>
      <c r="AH515" s="622"/>
      <c r="AI515" s="622"/>
      <c r="AJ515" s="622"/>
      <c r="AK515" s="622"/>
      <c r="AL515" s="622"/>
      <c r="AM515" s="622"/>
      <c r="AN515" s="622"/>
      <c r="AO515" s="622"/>
      <c r="AP515" s="622"/>
      <c r="AQ515" s="622"/>
      <c r="AR515" s="622"/>
      <c r="AS515" s="622"/>
      <c r="AT515" s="622"/>
      <c r="AU515" s="622"/>
      <c r="AV515" s="622"/>
      <c r="AW515" s="622"/>
    </row>
    <row r="516" spans="1:49" ht="7.5" customHeight="1">
      <c r="A516" s="623"/>
      <c r="B516" s="622"/>
      <c r="C516" s="622"/>
      <c r="D516" s="622"/>
      <c r="E516" s="622"/>
      <c r="F516" s="622"/>
      <c r="G516" s="622"/>
      <c r="H516" s="622"/>
      <c r="I516" s="622"/>
      <c r="J516" s="622"/>
      <c r="K516" s="622"/>
      <c r="L516" s="622"/>
      <c r="M516" s="622"/>
      <c r="N516" s="622"/>
      <c r="O516" s="622"/>
      <c r="P516" s="622"/>
      <c r="Q516" s="622"/>
      <c r="R516" s="622"/>
      <c r="S516" s="622"/>
      <c r="T516" s="622"/>
      <c r="U516" s="622"/>
      <c r="V516" s="622"/>
      <c r="W516" s="622"/>
      <c r="X516" s="622"/>
      <c r="Y516" s="330"/>
      <c r="Z516" s="623"/>
      <c r="AA516" s="622"/>
      <c r="AB516" s="622"/>
      <c r="AC516" s="622"/>
      <c r="AD516" s="622"/>
      <c r="AE516" s="622"/>
      <c r="AF516" s="622"/>
      <c r="AG516" s="622"/>
      <c r="AH516" s="622"/>
      <c r="AI516" s="622"/>
      <c r="AJ516" s="622"/>
      <c r="AK516" s="622"/>
      <c r="AL516" s="622"/>
      <c r="AM516" s="622"/>
      <c r="AN516" s="622"/>
      <c r="AO516" s="622"/>
      <c r="AP516" s="622"/>
      <c r="AQ516" s="622"/>
      <c r="AR516" s="622"/>
      <c r="AS516" s="622"/>
      <c r="AT516" s="622"/>
      <c r="AU516" s="622"/>
      <c r="AV516" s="622"/>
      <c r="AW516" s="622"/>
    </row>
    <row r="517" spans="1:49" ht="7.5" customHeight="1">
      <c r="A517" s="623">
        <v>30</v>
      </c>
      <c r="B517" s="622" t="str">
        <f>IF(NOT(ISBLANK('A-RACHNATMAK'!C548)),"A",IF(NOT(ISBLANK('A-RACHNATMAK'!C547)),"B",IF(NOT(ISBLANK('A-RACHNATMAK'!C546)),"C","")))</f>
        <v/>
      </c>
      <c r="C517" s="622" t="str">
        <f>IF(NOT(ISBLANK('A-RACHNATMAK'!D548)),"A",IF(NOT(ISBLANK('A-RACHNATMAK'!D547)),"B",IF(NOT(ISBLANK('A-RACHNATMAK'!D546)),"C","")))</f>
        <v/>
      </c>
      <c r="D517" s="622" t="str">
        <f>IF(NOT(ISBLANK('A-RACHNATMAK'!E548)),"A",IF(NOT(ISBLANK('A-RACHNATMAK'!E547)),"B",IF(NOT(ISBLANK('A-RACHNATMAK'!E546)),"C","")))</f>
        <v/>
      </c>
      <c r="E517" s="622" t="str">
        <f>IF(NOT(ISBLANK('A-RACHNATMAK'!F548)),"A",IF(NOT(ISBLANK('A-RACHNATMAK'!F547)),"B",IF(NOT(ISBLANK('A-RACHNATMAK'!F546)),"C","")))</f>
        <v/>
      </c>
      <c r="F517" s="622" t="str">
        <f>IF(NOT(ISBLANK('A-RACHNATMAK'!G548)),"A",IF(NOT(ISBLANK('A-RACHNATMAK'!G547)),"B",IF(NOT(ISBLANK('A-RACHNATMAK'!G546)),"C","")))</f>
        <v/>
      </c>
      <c r="G517" s="622" t="str">
        <f>IF(NOT(ISBLANK('A-RACHNATMAK'!H548)),"A",IF(NOT(ISBLANK('A-RACHNATMAK'!H547)),"B",IF(NOT(ISBLANK('A-RACHNATMAK'!H546)),"C","")))</f>
        <v/>
      </c>
      <c r="H517" s="622" t="str">
        <f>IF(NOT(ISBLANK('A-RACHNATMAK'!I548)),"A",IF(NOT(ISBLANK('A-RACHNATMAK'!I547)),"B",IF(NOT(ISBLANK('A-RACHNATMAK'!I546)),"C","")))</f>
        <v/>
      </c>
      <c r="I517" s="622" t="str">
        <f>IF(NOT(ISBLANK('A-RACHNATMAK'!J548)),"A",IF(NOT(ISBLANK('A-RACHNATMAK'!J547)),"B",IF(NOT(ISBLANK('A-RACHNATMAK'!J546)),"C","")))</f>
        <v/>
      </c>
      <c r="J517" s="622" t="str">
        <f>IF(NOT(ISBLANK('A-RACHNATMAK'!K548)),"A",IF(NOT(ISBLANK('A-RACHNATMAK'!K547)),"B",IF(NOT(ISBLANK('A-RACHNATMAK'!K546)),"C","")))</f>
        <v/>
      </c>
      <c r="K517" s="622" t="str">
        <f>IF(NOT(ISBLANK('A-RACHNATMAK'!L548)),"A",IF(NOT(ISBLANK('A-RACHNATMAK'!L547)),"B",IF(NOT(ISBLANK('A-RACHNATMAK'!L546)),"C","")))</f>
        <v/>
      </c>
      <c r="L517" s="622" t="str">
        <f>IF(NOT(ISBLANK('A-RACHNATMAK'!M548)),"A",IF(NOT(ISBLANK('A-RACHNATMAK'!M547)),"B",IF(NOT(ISBLANK('A-RACHNATMAK'!M546)),"C","")))</f>
        <v/>
      </c>
      <c r="M517" s="622" t="str">
        <f>IF(NOT(ISBLANK('A-RACHNATMAK'!N548)),"A",IF(NOT(ISBLANK('A-RACHNATMAK'!N547)),"B",IF(NOT(ISBLANK('A-RACHNATMAK'!N546)),"C","")))</f>
        <v/>
      </c>
      <c r="N517" s="622" t="str">
        <f>IF(NOT(ISBLANK('A-RACHNATMAK'!O548)),"A",IF(NOT(ISBLANK('A-RACHNATMAK'!O547)),"B",IF(NOT(ISBLANK('A-RACHNATMAK'!O546)),"C","")))</f>
        <v/>
      </c>
      <c r="O517" s="622" t="str">
        <f>IF(NOT(ISBLANK('A-RACHNATMAK'!P548)),"A",IF(NOT(ISBLANK('A-RACHNATMAK'!P547)),"B",IF(NOT(ISBLANK('A-RACHNATMAK'!P546)),"C","")))</f>
        <v/>
      </c>
      <c r="P517" s="622" t="str">
        <f>IF(NOT(ISBLANK('A-RACHNATMAK'!Q548)),"A",IF(NOT(ISBLANK('A-RACHNATMAK'!Q547)),"B",IF(NOT(ISBLANK('A-RACHNATMAK'!Q546)),"C","")))</f>
        <v/>
      </c>
      <c r="Q517" s="622" t="str">
        <f>IF(NOT(ISBLANK('A-RACHNATMAK'!R548)),"A",IF(NOT(ISBLANK('A-RACHNATMAK'!R547)),"B",IF(NOT(ISBLANK('A-RACHNATMAK'!R546)),"C","")))</f>
        <v/>
      </c>
      <c r="R517" s="622" t="str">
        <f>IF(NOT(ISBLANK('A-RACHNATMAK'!S548)),"A",IF(NOT(ISBLANK('A-RACHNATMAK'!S547)),"B",IF(NOT(ISBLANK('A-RACHNATMAK'!S546)),"C","")))</f>
        <v/>
      </c>
      <c r="S517" s="622" t="str">
        <f>IF(NOT(ISBLANK('A-RACHNATMAK'!T548)),"A",IF(NOT(ISBLANK('A-RACHNATMAK'!T547)),"B",IF(NOT(ISBLANK('A-RACHNATMAK'!T546)),"C","")))</f>
        <v/>
      </c>
      <c r="T517" s="622" t="str">
        <f>IF(NOT(ISBLANK('A-RACHNATMAK'!U548)),"A",IF(NOT(ISBLANK('A-RACHNATMAK'!U547)),"B",IF(NOT(ISBLANK('A-RACHNATMAK'!U546)),"C","")))</f>
        <v/>
      </c>
      <c r="U517" s="622" t="str">
        <f>IF(NOT(ISBLANK('A-RACHNATMAK'!V548)),"A",IF(NOT(ISBLANK('A-RACHNATMAK'!V547)),"B",IF(NOT(ISBLANK('A-RACHNATMAK'!V546)),"C","")))</f>
        <v/>
      </c>
      <c r="V517" s="622">
        <f t="shared" ref="V517" si="984">COUNTIF(B517:U517,"A")</f>
        <v>0</v>
      </c>
      <c r="W517" s="622">
        <f t="shared" ref="W517" si="985">COUNTIF(B517:U517,"B")</f>
        <v>0</v>
      </c>
      <c r="X517" s="622">
        <f t="shared" ref="X517" si="986">COUNTIF(B517:U517,"C")</f>
        <v>0</v>
      </c>
      <c r="Y517" s="330"/>
      <c r="Z517" s="623">
        <v>30</v>
      </c>
      <c r="AA517" s="622" t="str">
        <f>IF(NOT(ISBLANK('A-RACHNATMAK'!AD548)),"A",IF(NOT(ISBLANK('A-RACHNATMAK'!AD547)),"B",IF(NOT(ISBLANK('A-RACHNATMAK'!AD546)),"C","")))</f>
        <v/>
      </c>
      <c r="AB517" s="622" t="str">
        <f>IF(NOT(ISBLANK('A-RACHNATMAK'!AE548)),"A",IF(NOT(ISBLANK('A-RACHNATMAK'!AE547)),"B",IF(NOT(ISBLANK('A-RACHNATMAK'!AE546)),"C","")))</f>
        <v/>
      </c>
      <c r="AC517" s="622" t="str">
        <f>IF(NOT(ISBLANK('A-RACHNATMAK'!AF548)),"A",IF(NOT(ISBLANK('A-RACHNATMAK'!AF547)),"B",IF(NOT(ISBLANK('A-RACHNATMAK'!AF546)),"C","")))</f>
        <v/>
      </c>
      <c r="AD517" s="622" t="str">
        <f>IF(NOT(ISBLANK('A-RACHNATMAK'!AG548)),"A",IF(NOT(ISBLANK('A-RACHNATMAK'!AG547)),"B",IF(NOT(ISBLANK('A-RACHNATMAK'!AG546)),"C","")))</f>
        <v/>
      </c>
      <c r="AE517" s="622" t="str">
        <f>IF(NOT(ISBLANK('A-RACHNATMAK'!AH548)),"A",IF(NOT(ISBLANK('A-RACHNATMAK'!AH547)),"B",IF(NOT(ISBLANK('A-RACHNATMAK'!AH546)),"C","")))</f>
        <v/>
      </c>
      <c r="AF517" s="622" t="str">
        <f>IF(NOT(ISBLANK('A-RACHNATMAK'!AI548)),"A",IF(NOT(ISBLANK('A-RACHNATMAK'!AI547)),"B",IF(NOT(ISBLANK('A-RACHNATMAK'!AI546)),"C","")))</f>
        <v/>
      </c>
      <c r="AG517" s="622" t="str">
        <f>IF(NOT(ISBLANK('A-RACHNATMAK'!AJ548)),"A",IF(NOT(ISBLANK('A-RACHNATMAK'!AJ547)),"B",IF(NOT(ISBLANK('A-RACHNATMAK'!AJ546)),"C","")))</f>
        <v/>
      </c>
      <c r="AH517" s="622" t="str">
        <f>IF(NOT(ISBLANK('A-RACHNATMAK'!AK548)),"A",IF(NOT(ISBLANK('A-RACHNATMAK'!AK547)),"B",IF(NOT(ISBLANK('A-RACHNATMAK'!AK546)),"C","")))</f>
        <v/>
      </c>
      <c r="AI517" s="622" t="str">
        <f>IF(NOT(ISBLANK('A-RACHNATMAK'!AL548)),"A",IF(NOT(ISBLANK('A-RACHNATMAK'!AL547)),"B",IF(NOT(ISBLANK('A-RACHNATMAK'!AL546)),"C","")))</f>
        <v/>
      </c>
      <c r="AJ517" s="622" t="str">
        <f>IF(NOT(ISBLANK('A-RACHNATMAK'!AM548)),"A",IF(NOT(ISBLANK('A-RACHNATMAK'!AM547)),"B",IF(NOT(ISBLANK('A-RACHNATMAK'!AM546)),"C","")))</f>
        <v/>
      </c>
      <c r="AK517" s="622" t="str">
        <f>IF(NOT(ISBLANK('A-RACHNATMAK'!AN548)),"A",IF(NOT(ISBLANK('A-RACHNATMAK'!AN547)),"B",IF(NOT(ISBLANK('A-RACHNATMAK'!AN546)),"C","")))</f>
        <v/>
      </c>
      <c r="AL517" s="622" t="str">
        <f>IF(NOT(ISBLANK('A-RACHNATMAK'!AO548)),"A",IF(NOT(ISBLANK('A-RACHNATMAK'!AO547)),"B",IF(NOT(ISBLANK('A-RACHNATMAK'!AO546)),"C","")))</f>
        <v/>
      </c>
      <c r="AM517" s="622" t="str">
        <f>IF(NOT(ISBLANK('A-RACHNATMAK'!AP548)),"A",IF(NOT(ISBLANK('A-RACHNATMAK'!AP547)),"B",IF(NOT(ISBLANK('A-RACHNATMAK'!AP546)),"C","")))</f>
        <v/>
      </c>
      <c r="AN517" s="622" t="str">
        <f>IF(NOT(ISBLANK('A-RACHNATMAK'!AQ548)),"A",IF(NOT(ISBLANK('A-RACHNATMAK'!AQ547)),"B",IF(NOT(ISBLANK('A-RACHNATMAK'!AQ546)),"C","")))</f>
        <v/>
      </c>
      <c r="AO517" s="622" t="str">
        <f>IF(NOT(ISBLANK('A-RACHNATMAK'!AR548)),"A",IF(NOT(ISBLANK('A-RACHNATMAK'!AR547)),"B",IF(NOT(ISBLANK('A-RACHNATMAK'!AR546)),"C","")))</f>
        <v/>
      </c>
      <c r="AP517" s="622" t="str">
        <f>IF(NOT(ISBLANK('A-RACHNATMAK'!AS548)),"A",IF(NOT(ISBLANK('A-RACHNATMAK'!AS547)),"B",IF(NOT(ISBLANK('A-RACHNATMAK'!AS546)),"C","")))</f>
        <v/>
      </c>
      <c r="AQ517" s="622" t="str">
        <f>IF(NOT(ISBLANK('A-RACHNATMAK'!AT548)),"A",IF(NOT(ISBLANK('A-RACHNATMAK'!AT547)),"B",IF(NOT(ISBLANK('A-RACHNATMAK'!AT546)),"C","")))</f>
        <v/>
      </c>
      <c r="AR517" s="622" t="str">
        <f>IF(NOT(ISBLANK('A-RACHNATMAK'!AU548)),"A",IF(NOT(ISBLANK('A-RACHNATMAK'!AU547)),"B",IF(NOT(ISBLANK('A-RACHNATMAK'!AU546)),"C","")))</f>
        <v/>
      </c>
      <c r="AS517" s="622" t="str">
        <f>IF(NOT(ISBLANK('A-RACHNATMAK'!AV548)),"A",IF(NOT(ISBLANK('A-RACHNATMAK'!AV547)),"B",IF(NOT(ISBLANK('A-RACHNATMAK'!AV546)),"C","")))</f>
        <v/>
      </c>
      <c r="AT517" s="622" t="str">
        <f>IF(NOT(ISBLANK('A-RACHNATMAK'!AW548)),"A",IF(NOT(ISBLANK('A-RACHNATMAK'!AW547)),"B",IF(NOT(ISBLANK('A-RACHNATMAK'!AW546)),"C","")))</f>
        <v/>
      </c>
      <c r="AU517" s="622">
        <f t="shared" ref="AU517" si="987">COUNTIF(AA517:AT517,"A")</f>
        <v>0</v>
      </c>
      <c r="AV517" s="622">
        <f t="shared" ref="AV517" si="988">COUNTIF(AA517:AT517,"B")</f>
        <v>0</v>
      </c>
      <c r="AW517" s="622">
        <f t="shared" ref="AW517" si="989">COUNTIF(AA517:AT517,"C")</f>
        <v>0</v>
      </c>
    </row>
    <row r="518" spans="1:49" ht="7.5" customHeight="1">
      <c r="A518" s="623"/>
      <c r="B518" s="622"/>
      <c r="C518" s="622"/>
      <c r="D518" s="622"/>
      <c r="E518" s="622"/>
      <c r="F518" s="622"/>
      <c r="G518" s="622"/>
      <c r="H518" s="622"/>
      <c r="I518" s="622"/>
      <c r="J518" s="622"/>
      <c r="K518" s="622"/>
      <c r="L518" s="622"/>
      <c r="M518" s="622"/>
      <c r="N518" s="622"/>
      <c r="O518" s="622"/>
      <c r="P518" s="622"/>
      <c r="Q518" s="622"/>
      <c r="R518" s="622"/>
      <c r="S518" s="622"/>
      <c r="T518" s="622"/>
      <c r="U518" s="622"/>
      <c r="V518" s="622"/>
      <c r="W518" s="622"/>
      <c r="X518" s="622"/>
      <c r="Y518" s="330"/>
      <c r="Z518" s="623"/>
      <c r="AA518" s="622"/>
      <c r="AB518" s="622"/>
      <c r="AC518" s="622"/>
      <c r="AD518" s="622"/>
      <c r="AE518" s="622"/>
      <c r="AF518" s="622"/>
      <c r="AG518" s="622"/>
      <c r="AH518" s="622"/>
      <c r="AI518" s="622"/>
      <c r="AJ518" s="622"/>
      <c r="AK518" s="622"/>
      <c r="AL518" s="622"/>
      <c r="AM518" s="622"/>
      <c r="AN518" s="622"/>
      <c r="AO518" s="622"/>
      <c r="AP518" s="622"/>
      <c r="AQ518" s="622"/>
      <c r="AR518" s="622"/>
      <c r="AS518" s="622"/>
      <c r="AT518" s="622"/>
      <c r="AU518" s="622"/>
      <c r="AV518" s="622"/>
      <c r="AW518" s="622"/>
    </row>
    <row r="519" spans="1:49" ht="7.5" customHeight="1">
      <c r="A519" s="623"/>
      <c r="B519" s="622"/>
      <c r="C519" s="622"/>
      <c r="D519" s="622"/>
      <c r="E519" s="622"/>
      <c r="F519" s="622"/>
      <c r="G519" s="622"/>
      <c r="H519" s="622"/>
      <c r="I519" s="622"/>
      <c r="J519" s="622"/>
      <c r="K519" s="622"/>
      <c r="L519" s="622"/>
      <c r="M519" s="622"/>
      <c r="N519" s="622"/>
      <c r="O519" s="622"/>
      <c r="P519" s="622"/>
      <c r="Q519" s="622"/>
      <c r="R519" s="622"/>
      <c r="S519" s="622"/>
      <c r="T519" s="622"/>
      <c r="U519" s="622"/>
      <c r="V519" s="622"/>
      <c r="W519" s="622"/>
      <c r="X519" s="622"/>
      <c r="Y519" s="330"/>
      <c r="Z519" s="623"/>
      <c r="AA519" s="622"/>
      <c r="AB519" s="622"/>
      <c r="AC519" s="622"/>
      <c r="AD519" s="622"/>
      <c r="AE519" s="622"/>
      <c r="AF519" s="622"/>
      <c r="AG519" s="622"/>
      <c r="AH519" s="622"/>
      <c r="AI519" s="622"/>
      <c r="AJ519" s="622"/>
      <c r="AK519" s="622"/>
      <c r="AL519" s="622"/>
      <c r="AM519" s="622"/>
      <c r="AN519" s="622"/>
      <c r="AO519" s="622"/>
      <c r="AP519" s="622"/>
      <c r="AQ519" s="622"/>
      <c r="AR519" s="622"/>
      <c r="AS519" s="622"/>
      <c r="AT519" s="622"/>
      <c r="AU519" s="622"/>
      <c r="AV519" s="622"/>
      <c r="AW519" s="622"/>
    </row>
    <row r="520" spans="1:49" ht="7.5" customHeight="1">
      <c r="A520" s="623">
        <v>31</v>
      </c>
      <c r="B520" s="622" t="str">
        <f>IF(NOT(ISBLANK('A-RACHNATMAK'!C551)),"A",IF(NOT(ISBLANK('A-RACHNATMAK'!C550)),"B",IF(NOT(ISBLANK('A-RACHNATMAK'!C549)),"C","")))</f>
        <v/>
      </c>
      <c r="C520" s="622" t="str">
        <f>IF(NOT(ISBLANK('A-RACHNATMAK'!D551)),"A",IF(NOT(ISBLANK('A-RACHNATMAK'!D550)),"B",IF(NOT(ISBLANK('A-RACHNATMAK'!D549)),"C","")))</f>
        <v/>
      </c>
      <c r="D520" s="622" t="str">
        <f>IF(NOT(ISBLANK('A-RACHNATMAK'!E551)),"A",IF(NOT(ISBLANK('A-RACHNATMAK'!E550)),"B",IF(NOT(ISBLANK('A-RACHNATMAK'!E549)),"C","")))</f>
        <v/>
      </c>
      <c r="E520" s="622" t="str">
        <f>IF(NOT(ISBLANK('A-RACHNATMAK'!F551)),"A",IF(NOT(ISBLANK('A-RACHNATMAK'!F550)),"B",IF(NOT(ISBLANK('A-RACHNATMAK'!F549)),"C","")))</f>
        <v/>
      </c>
      <c r="F520" s="622" t="str">
        <f>IF(NOT(ISBLANK('A-RACHNATMAK'!G551)),"A",IF(NOT(ISBLANK('A-RACHNATMAK'!G550)),"B",IF(NOT(ISBLANK('A-RACHNATMAK'!G549)),"C","")))</f>
        <v/>
      </c>
      <c r="G520" s="622" t="str">
        <f>IF(NOT(ISBLANK('A-RACHNATMAK'!H551)),"A",IF(NOT(ISBLANK('A-RACHNATMAK'!H550)),"B",IF(NOT(ISBLANK('A-RACHNATMAK'!H549)),"C","")))</f>
        <v/>
      </c>
      <c r="H520" s="622" t="str">
        <f>IF(NOT(ISBLANK('A-RACHNATMAK'!I551)),"A",IF(NOT(ISBLANK('A-RACHNATMAK'!I550)),"B",IF(NOT(ISBLANK('A-RACHNATMAK'!I549)),"C","")))</f>
        <v/>
      </c>
      <c r="I520" s="622" t="str">
        <f>IF(NOT(ISBLANK('A-RACHNATMAK'!J551)),"A",IF(NOT(ISBLANK('A-RACHNATMAK'!J550)),"B",IF(NOT(ISBLANK('A-RACHNATMAK'!J549)),"C","")))</f>
        <v/>
      </c>
      <c r="J520" s="622" t="str">
        <f>IF(NOT(ISBLANK('A-RACHNATMAK'!K551)),"A",IF(NOT(ISBLANK('A-RACHNATMAK'!K550)),"B",IF(NOT(ISBLANK('A-RACHNATMAK'!K549)),"C","")))</f>
        <v/>
      </c>
      <c r="K520" s="622" t="str">
        <f>IF(NOT(ISBLANK('A-RACHNATMAK'!L551)),"A",IF(NOT(ISBLANK('A-RACHNATMAK'!L550)),"B",IF(NOT(ISBLANK('A-RACHNATMAK'!L549)),"C","")))</f>
        <v/>
      </c>
      <c r="L520" s="622" t="str">
        <f>IF(NOT(ISBLANK('A-RACHNATMAK'!M551)),"A",IF(NOT(ISBLANK('A-RACHNATMAK'!M550)),"B",IF(NOT(ISBLANK('A-RACHNATMAK'!M549)),"C","")))</f>
        <v/>
      </c>
      <c r="M520" s="622" t="str">
        <f>IF(NOT(ISBLANK('A-RACHNATMAK'!N551)),"A",IF(NOT(ISBLANK('A-RACHNATMAK'!N550)),"B",IF(NOT(ISBLANK('A-RACHNATMAK'!N549)),"C","")))</f>
        <v/>
      </c>
      <c r="N520" s="622" t="str">
        <f>IF(NOT(ISBLANK('A-RACHNATMAK'!O551)),"A",IF(NOT(ISBLANK('A-RACHNATMAK'!O550)),"B",IF(NOT(ISBLANK('A-RACHNATMAK'!O549)),"C","")))</f>
        <v/>
      </c>
      <c r="O520" s="622" t="str">
        <f>IF(NOT(ISBLANK('A-RACHNATMAK'!P551)),"A",IF(NOT(ISBLANK('A-RACHNATMAK'!P550)),"B",IF(NOT(ISBLANK('A-RACHNATMAK'!P549)),"C","")))</f>
        <v/>
      </c>
      <c r="P520" s="622" t="str">
        <f>IF(NOT(ISBLANK('A-RACHNATMAK'!Q551)),"A",IF(NOT(ISBLANK('A-RACHNATMAK'!Q550)),"B",IF(NOT(ISBLANK('A-RACHNATMAK'!Q549)),"C","")))</f>
        <v/>
      </c>
      <c r="Q520" s="622" t="str">
        <f>IF(NOT(ISBLANK('A-RACHNATMAK'!R551)),"A",IF(NOT(ISBLANK('A-RACHNATMAK'!R550)),"B",IF(NOT(ISBLANK('A-RACHNATMAK'!R549)),"C","")))</f>
        <v/>
      </c>
      <c r="R520" s="622" t="str">
        <f>IF(NOT(ISBLANK('A-RACHNATMAK'!S551)),"A",IF(NOT(ISBLANK('A-RACHNATMAK'!S550)),"B",IF(NOT(ISBLANK('A-RACHNATMAK'!S549)),"C","")))</f>
        <v/>
      </c>
      <c r="S520" s="622" t="str">
        <f>IF(NOT(ISBLANK('A-RACHNATMAK'!T551)),"A",IF(NOT(ISBLANK('A-RACHNATMAK'!T550)),"B",IF(NOT(ISBLANK('A-RACHNATMAK'!T549)),"C","")))</f>
        <v/>
      </c>
      <c r="T520" s="622" t="str">
        <f>IF(NOT(ISBLANK('A-RACHNATMAK'!U551)),"A",IF(NOT(ISBLANK('A-RACHNATMAK'!U550)),"B",IF(NOT(ISBLANK('A-RACHNATMAK'!U549)),"C","")))</f>
        <v/>
      </c>
      <c r="U520" s="622" t="str">
        <f>IF(NOT(ISBLANK('A-RACHNATMAK'!V551)),"A",IF(NOT(ISBLANK('A-RACHNATMAK'!V550)),"B",IF(NOT(ISBLANK('A-RACHNATMAK'!V549)),"C","")))</f>
        <v/>
      </c>
      <c r="V520" s="622">
        <f t="shared" ref="V520" si="990">COUNTIF(B520:U520,"A")</f>
        <v>0</v>
      </c>
      <c r="W520" s="622">
        <f t="shared" ref="W520" si="991">COUNTIF(B520:U520,"B")</f>
        <v>0</v>
      </c>
      <c r="X520" s="622">
        <f t="shared" ref="X520" si="992">COUNTIF(B520:U520,"C")</f>
        <v>0</v>
      </c>
      <c r="Y520" s="330"/>
      <c r="Z520" s="623">
        <v>31</v>
      </c>
      <c r="AA520" s="622" t="str">
        <f>IF(NOT(ISBLANK('A-RACHNATMAK'!AD551)),"A",IF(NOT(ISBLANK('A-RACHNATMAK'!AD550)),"B",IF(NOT(ISBLANK('A-RACHNATMAK'!AD549)),"C","")))</f>
        <v/>
      </c>
      <c r="AB520" s="622" t="str">
        <f>IF(NOT(ISBLANK('A-RACHNATMAK'!AE551)),"A",IF(NOT(ISBLANK('A-RACHNATMAK'!AE550)),"B",IF(NOT(ISBLANK('A-RACHNATMAK'!AE549)),"C","")))</f>
        <v/>
      </c>
      <c r="AC520" s="622" t="str">
        <f>IF(NOT(ISBLANK('A-RACHNATMAK'!AF551)),"A",IF(NOT(ISBLANK('A-RACHNATMAK'!AF550)),"B",IF(NOT(ISBLANK('A-RACHNATMAK'!AF549)),"C","")))</f>
        <v/>
      </c>
      <c r="AD520" s="622" t="str">
        <f>IF(NOT(ISBLANK('A-RACHNATMAK'!AG551)),"A",IF(NOT(ISBLANK('A-RACHNATMAK'!AG550)),"B",IF(NOT(ISBLANK('A-RACHNATMAK'!AG549)),"C","")))</f>
        <v/>
      </c>
      <c r="AE520" s="622" t="str">
        <f>IF(NOT(ISBLANK('A-RACHNATMAK'!AH551)),"A",IF(NOT(ISBLANK('A-RACHNATMAK'!AH550)),"B",IF(NOT(ISBLANK('A-RACHNATMAK'!AH549)),"C","")))</f>
        <v/>
      </c>
      <c r="AF520" s="622" t="str">
        <f>IF(NOT(ISBLANK('A-RACHNATMAK'!AI551)),"A",IF(NOT(ISBLANK('A-RACHNATMAK'!AI550)),"B",IF(NOT(ISBLANK('A-RACHNATMAK'!AI549)),"C","")))</f>
        <v/>
      </c>
      <c r="AG520" s="622" t="str">
        <f>IF(NOT(ISBLANK('A-RACHNATMAK'!AJ551)),"A",IF(NOT(ISBLANK('A-RACHNATMAK'!AJ550)),"B",IF(NOT(ISBLANK('A-RACHNATMAK'!AJ549)),"C","")))</f>
        <v/>
      </c>
      <c r="AH520" s="622" t="str">
        <f>IF(NOT(ISBLANK('A-RACHNATMAK'!AK551)),"A",IF(NOT(ISBLANK('A-RACHNATMAK'!AK550)),"B",IF(NOT(ISBLANK('A-RACHNATMAK'!AK549)),"C","")))</f>
        <v/>
      </c>
      <c r="AI520" s="622" t="str">
        <f>IF(NOT(ISBLANK('A-RACHNATMAK'!AL551)),"A",IF(NOT(ISBLANK('A-RACHNATMAK'!AL550)),"B",IF(NOT(ISBLANK('A-RACHNATMAK'!AL549)),"C","")))</f>
        <v/>
      </c>
      <c r="AJ520" s="622" t="str">
        <f>IF(NOT(ISBLANK('A-RACHNATMAK'!AM551)),"A",IF(NOT(ISBLANK('A-RACHNATMAK'!AM550)),"B",IF(NOT(ISBLANK('A-RACHNATMAK'!AM549)),"C","")))</f>
        <v/>
      </c>
      <c r="AK520" s="622" t="str">
        <f>IF(NOT(ISBLANK('A-RACHNATMAK'!AN551)),"A",IF(NOT(ISBLANK('A-RACHNATMAK'!AN550)),"B",IF(NOT(ISBLANK('A-RACHNATMAK'!AN549)),"C","")))</f>
        <v/>
      </c>
      <c r="AL520" s="622" t="str">
        <f>IF(NOT(ISBLANK('A-RACHNATMAK'!AO551)),"A",IF(NOT(ISBLANK('A-RACHNATMAK'!AO550)),"B",IF(NOT(ISBLANK('A-RACHNATMAK'!AO549)),"C","")))</f>
        <v/>
      </c>
      <c r="AM520" s="622" t="str">
        <f>IF(NOT(ISBLANK('A-RACHNATMAK'!AP551)),"A",IF(NOT(ISBLANK('A-RACHNATMAK'!AP550)),"B",IF(NOT(ISBLANK('A-RACHNATMAK'!AP549)),"C","")))</f>
        <v/>
      </c>
      <c r="AN520" s="622" t="str">
        <f>IF(NOT(ISBLANK('A-RACHNATMAK'!AQ551)),"A",IF(NOT(ISBLANK('A-RACHNATMAK'!AQ550)),"B",IF(NOT(ISBLANK('A-RACHNATMAK'!AQ549)),"C","")))</f>
        <v/>
      </c>
      <c r="AO520" s="622" t="str">
        <f>IF(NOT(ISBLANK('A-RACHNATMAK'!AR551)),"A",IF(NOT(ISBLANK('A-RACHNATMAK'!AR550)),"B",IF(NOT(ISBLANK('A-RACHNATMAK'!AR549)),"C","")))</f>
        <v/>
      </c>
      <c r="AP520" s="622" t="str">
        <f>IF(NOT(ISBLANK('A-RACHNATMAK'!AS551)),"A",IF(NOT(ISBLANK('A-RACHNATMAK'!AS550)),"B",IF(NOT(ISBLANK('A-RACHNATMAK'!AS549)),"C","")))</f>
        <v/>
      </c>
      <c r="AQ520" s="622" t="str">
        <f>IF(NOT(ISBLANK('A-RACHNATMAK'!AT551)),"A",IF(NOT(ISBLANK('A-RACHNATMAK'!AT550)),"B",IF(NOT(ISBLANK('A-RACHNATMAK'!AT549)),"C","")))</f>
        <v/>
      </c>
      <c r="AR520" s="622" t="str">
        <f>IF(NOT(ISBLANK('A-RACHNATMAK'!AU551)),"A",IF(NOT(ISBLANK('A-RACHNATMAK'!AU550)),"B",IF(NOT(ISBLANK('A-RACHNATMAK'!AU549)),"C","")))</f>
        <v/>
      </c>
      <c r="AS520" s="622" t="str">
        <f>IF(NOT(ISBLANK('A-RACHNATMAK'!AV551)),"A",IF(NOT(ISBLANK('A-RACHNATMAK'!AV550)),"B",IF(NOT(ISBLANK('A-RACHNATMAK'!AV549)),"C","")))</f>
        <v/>
      </c>
      <c r="AT520" s="622" t="str">
        <f>IF(NOT(ISBLANK('A-RACHNATMAK'!AW551)),"A",IF(NOT(ISBLANK('A-RACHNATMAK'!AW550)),"B",IF(NOT(ISBLANK('A-RACHNATMAK'!AW549)),"C","")))</f>
        <v/>
      </c>
      <c r="AU520" s="622">
        <f t="shared" ref="AU520" si="993">COUNTIF(AA520:AT520,"A")</f>
        <v>0</v>
      </c>
      <c r="AV520" s="622">
        <f t="shared" ref="AV520" si="994">COUNTIF(AA520:AT520,"B")</f>
        <v>0</v>
      </c>
      <c r="AW520" s="622">
        <f t="shared" ref="AW520" si="995">COUNTIF(AA520:AT520,"C")</f>
        <v>0</v>
      </c>
    </row>
    <row r="521" spans="1:49" ht="7.5" customHeight="1">
      <c r="A521" s="623"/>
      <c r="B521" s="622"/>
      <c r="C521" s="622"/>
      <c r="D521" s="622"/>
      <c r="E521" s="622"/>
      <c r="F521" s="622"/>
      <c r="G521" s="622"/>
      <c r="H521" s="622"/>
      <c r="I521" s="622"/>
      <c r="J521" s="622"/>
      <c r="K521" s="622"/>
      <c r="L521" s="622"/>
      <c r="M521" s="622"/>
      <c r="N521" s="622"/>
      <c r="O521" s="622"/>
      <c r="P521" s="622"/>
      <c r="Q521" s="622"/>
      <c r="R521" s="622"/>
      <c r="S521" s="622"/>
      <c r="T521" s="622"/>
      <c r="U521" s="622"/>
      <c r="V521" s="622"/>
      <c r="W521" s="622"/>
      <c r="X521" s="622"/>
      <c r="Y521" s="330"/>
      <c r="Z521" s="623"/>
      <c r="AA521" s="622"/>
      <c r="AB521" s="622"/>
      <c r="AC521" s="622"/>
      <c r="AD521" s="622"/>
      <c r="AE521" s="622"/>
      <c r="AF521" s="622"/>
      <c r="AG521" s="622"/>
      <c r="AH521" s="622"/>
      <c r="AI521" s="622"/>
      <c r="AJ521" s="622"/>
      <c r="AK521" s="622"/>
      <c r="AL521" s="622"/>
      <c r="AM521" s="622"/>
      <c r="AN521" s="622"/>
      <c r="AO521" s="622"/>
      <c r="AP521" s="622"/>
      <c r="AQ521" s="622"/>
      <c r="AR521" s="622"/>
      <c r="AS521" s="622"/>
      <c r="AT521" s="622"/>
      <c r="AU521" s="622"/>
      <c r="AV521" s="622"/>
      <c r="AW521" s="622"/>
    </row>
    <row r="522" spans="1:49" ht="7.5" customHeight="1">
      <c r="A522" s="623"/>
      <c r="B522" s="622"/>
      <c r="C522" s="622"/>
      <c r="D522" s="622"/>
      <c r="E522" s="622"/>
      <c r="F522" s="622"/>
      <c r="G522" s="622"/>
      <c r="H522" s="622"/>
      <c r="I522" s="622"/>
      <c r="J522" s="622"/>
      <c r="K522" s="622"/>
      <c r="L522" s="622"/>
      <c r="M522" s="622"/>
      <c r="N522" s="622"/>
      <c r="O522" s="622"/>
      <c r="P522" s="622"/>
      <c r="Q522" s="622"/>
      <c r="R522" s="622"/>
      <c r="S522" s="622"/>
      <c r="T522" s="622"/>
      <c r="U522" s="622"/>
      <c r="V522" s="622"/>
      <c r="W522" s="622"/>
      <c r="X522" s="622"/>
      <c r="Y522" s="330"/>
      <c r="Z522" s="623"/>
      <c r="AA522" s="622"/>
      <c r="AB522" s="622"/>
      <c r="AC522" s="622"/>
      <c r="AD522" s="622"/>
      <c r="AE522" s="622"/>
      <c r="AF522" s="622"/>
      <c r="AG522" s="622"/>
      <c r="AH522" s="622"/>
      <c r="AI522" s="622"/>
      <c r="AJ522" s="622"/>
      <c r="AK522" s="622"/>
      <c r="AL522" s="622"/>
      <c r="AM522" s="622"/>
      <c r="AN522" s="622"/>
      <c r="AO522" s="622"/>
      <c r="AP522" s="622"/>
      <c r="AQ522" s="622"/>
      <c r="AR522" s="622"/>
      <c r="AS522" s="622"/>
      <c r="AT522" s="622"/>
      <c r="AU522" s="622"/>
      <c r="AV522" s="622"/>
      <c r="AW522" s="622"/>
    </row>
    <row r="523" spans="1:49" ht="7.5" customHeight="1">
      <c r="A523" s="623">
        <v>32</v>
      </c>
      <c r="B523" s="622" t="str">
        <f>IF(NOT(ISBLANK('A-RACHNATMAK'!C554)),"A",IF(NOT(ISBLANK('A-RACHNATMAK'!C553)),"B",IF(NOT(ISBLANK('A-RACHNATMAK'!C552)),"C","")))</f>
        <v/>
      </c>
      <c r="C523" s="622" t="str">
        <f>IF(NOT(ISBLANK('A-RACHNATMAK'!D554)),"A",IF(NOT(ISBLANK('A-RACHNATMAK'!D553)),"B",IF(NOT(ISBLANK('A-RACHNATMAK'!D552)),"C","")))</f>
        <v/>
      </c>
      <c r="D523" s="622" t="str">
        <f>IF(NOT(ISBLANK('A-RACHNATMAK'!E554)),"A",IF(NOT(ISBLANK('A-RACHNATMAK'!E553)),"B",IF(NOT(ISBLANK('A-RACHNATMAK'!E552)),"C","")))</f>
        <v/>
      </c>
      <c r="E523" s="622" t="str">
        <f>IF(NOT(ISBLANK('A-RACHNATMAK'!F554)),"A",IF(NOT(ISBLANK('A-RACHNATMAK'!F553)),"B",IF(NOT(ISBLANK('A-RACHNATMAK'!F552)),"C","")))</f>
        <v/>
      </c>
      <c r="F523" s="622" t="str">
        <f>IF(NOT(ISBLANK('A-RACHNATMAK'!G554)),"A",IF(NOT(ISBLANK('A-RACHNATMAK'!G553)),"B",IF(NOT(ISBLANK('A-RACHNATMAK'!G552)),"C","")))</f>
        <v/>
      </c>
      <c r="G523" s="622" t="str">
        <f>IF(NOT(ISBLANK('A-RACHNATMAK'!H554)),"A",IF(NOT(ISBLANK('A-RACHNATMAK'!H553)),"B",IF(NOT(ISBLANK('A-RACHNATMAK'!H552)),"C","")))</f>
        <v/>
      </c>
      <c r="H523" s="622" t="str">
        <f>IF(NOT(ISBLANK('A-RACHNATMAK'!I554)),"A",IF(NOT(ISBLANK('A-RACHNATMAK'!I553)),"B",IF(NOT(ISBLANK('A-RACHNATMAK'!I552)),"C","")))</f>
        <v/>
      </c>
      <c r="I523" s="622" t="str">
        <f>IF(NOT(ISBLANK('A-RACHNATMAK'!J554)),"A",IF(NOT(ISBLANK('A-RACHNATMAK'!J553)),"B",IF(NOT(ISBLANK('A-RACHNATMAK'!J552)),"C","")))</f>
        <v/>
      </c>
      <c r="J523" s="622" t="str">
        <f>IF(NOT(ISBLANK('A-RACHNATMAK'!K554)),"A",IF(NOT(ISBLANK('A-RACHNATMAK'!K553)),"B",IF(NOT(ISBLANK('A-RACHNATMAK'!K552)),"C","")))</f>
        <v/>
      </c>
      <c r="K523" s="622" t="str">
        <f>IF(NOT(ISBLANK('A-RACHNATMAK'!L554)),"A",IF(NOT(ISBLANK('A-RACHNATMAK'!L553)),"B",IF(NOT(ISBLANK('A-RACHNATMAK'!L552)),"C","")))</f>
        <v/>
      </c>
      <c r="L523" s="622" t="str">
        <f>IF(NOT(ISBLANK('A-RACHNATMAK'!M554)),"A",IF(NOT(ISBLANK('A-RACHNATMAK'!M553)),"B",IF(NOT(ISBLANK('A-RACHNATMAK'!M552)),"C","")))</f>
        <v/>
      </c>
      <c r="M523" s="622" t="str">
        <f>IF(NOT(ISBLANK('A-RACHNATMAK'!N554)),"A",IF(NOT(ISBLANK('A-RACHNATMAK'!N553)),"B",IF(NOT(ISBLANK('A-RACHNATMAK'!N552)),"C","")))</f>
        <v/>
      </c>
      <c r="N523" s="622" t="str">
        <f>IF(NOT(ISBLANK('A-RACHNATMAK'!O554)),"A",IF(NOT(ISBLANK('A-RACHNATMAK'!O553)),"B",IF(NOT(ISBLANK('A-RACHNATMAK'!O552)),"C","")))</f>
        <v/>
      </c>
      <c r="O523" s="622" t="str">
        <f>IF(NOT(ISBLANK('A-RACHNATMAK'!P554)),"A",IF(NOT(ISBLANK('A-RACHNATMAK'!P553)),"B",IF(NOT(ISBLANK('A-RACHNATMAK'!P552)),"C","")))</f>
        <v/>
      </c>
      <c r="P523" s="622" t="str">
        <f>IF(NOT(ISBLANK('A-RACHNATMAK'!Q554)),"A",IF(NOT(ISBLANK('A-RACHNATMAK'!Q553)),"B",IF(NOT(ISBLANK('A-RACHNATMAK'!Q552)),"C","")))</f>
        <v/>
      </c>
      <c r="Q523" s="622" t="str">
        <f>IF(NOT(ISBLANK('A-RACHNATMAK'!R554)),"A",IF(NOT(ISBLANK('A-RACHNATMAK'!R553)),"B",IF(NOT(ISBLANK('A-RACHNATMAK'!R552)),"C","")))</f>
        <v/>
      </c>
      <c r="R523" s="622" t="str">
        <f>IF(NOT(ISBLANK('A-RACHNATMAK'!S554)),"A",IF(NOT(ISBLANK('A-RACHNATMAK'!S553)),"B",IF(NOT(ISBLANK('A-RACHNATMAK'!S552)),"C","")))</f>
        <v/>
      </c>
      <c r="S523" s="622" t="str">
        <f>IF(NOT(ISBLANK('A-RACHNATMAK'!T554)),"A",IF(NOT(ISBLANK('A-RACHNATMAK'!T553)),"B",IF(NOT(ISBLANK('A-RACHNATMAK'!T552)),"C","")))</f>
        <v/>
      </c>
      <c r="T523" s="622" t="str">
        <f>IF(NOT(ISBLANK('A-RACHNATMAK'!U554)),"A",IF(NOT(ISBLANK('A-RACHNATMAK'!U553)),"B",IF(NOT(ISBLANK('A-RACHNATMAK'!U552)),"C","")))</f>
        <v/>
      </c>
      <c r="U523" s="622" t="str">
        <f>IF(NOT(ISBLANK('A-RACHNATMAK'!V554)),"A",IF(NOT(ISBLANK('A-RACHNATMAK'!V553)),"B",IF(NOT(ISBLANK('A-RACHNATMAK'!V552)),"C","")))</f>
        <v/>
      </c>
      <c r="V523" s="622">
        <f t="shared" ref="V523" si="996">COUNTIF(B523:U523,"A")</f>
        <v>0</v>
      </c>
      <c r="W523" s="622">
        <f t="shared" ref="W523" si="997">COUNTIF(B523:U523,"B")</f>
        <v>0</v>
      </c>
      <c r="X523" s="622">
        <f t="shared" ref="X523" si="998">COUNTIF(B523:U523,"C")</f>
        <v>0</v>
      </c>
      <c r="Y523" s="330"/>
      <c r="Z523" s="623">
        <v>32</v>
      </c>
      <c r="AA523" s="622" t="str">
        <f>IF(NOT(ISBLANK('A-RACHNATMAK'!AD554)),"A",IF(NOT(ISBLANK('A-RACHNATMAK'!AD553)),"B",IF(NOT(ISBLANK('A-RACHNATMAK'!AD552)),"C","")))</f>
        <v/>
      </c>
      <c r="AB523" s="622" t="str">
        <f>IF(NOT(ISBLANK('A-RACHNATMAK'!AE554)),"A",IF(NOT(ISBLANK('A-RACHNATMAK'!AE553)),"B",IF(NOT(ISBLANK('A-RACHNATMAK'!AE552)),"C","")))</f>
        <v/>
      </c>
      <c r="AC523" s="622" t="str">
        <f>IF(NOT(ISBLANK('A-RACHNATMAK'!AF554)),"A",IF(NOT(ISBLANK('A-RACHNATMAK'!AF553)),"B",IF(NOT(ISBLANK('A-RACHNATMAK'!AF552)),"C","")))</f>
        <v/>
      </c>
      <c r="AD523" s="622" t="str">
        <f>IF(NOT(ISBLANK('A-RACHNATMAK'!AG554)),"A",IF(NOT(ISBLANK('A-RACHNATMAK'!AG553)),"B",IF(NOT(ISBLANK('A-RACHNATMAK'!AG552)),"C","")))</f>
        <v/>
      </c>
      <c r="AE523" s="622" t="str">
        <f>IF(NOT(ISBLANK('A-RACHNATMAK'!AH554)),"A",IF(NOT(ISBLANK('A-RACHNATMAK'!AH553)),"B",IF(NOT(ISBLANK('A-RACHNATMAK'!AH552)),"C","")))</f>
        <v/>
      </c>
      <c r="AF523" s="622" t="str">
        <f>IF(NOT(ISBLANK('A-RACHNATMAK'!AI554)),"A",IF(NOT(ISBLANK('A-RACHNATMAK'!AI553)),"B",IF(NOT(ISBLANK('A-RACHNATMAK'!AI552)),"C","")))</f>
        <v/>
      </c>
      <c r="AG523" s="622" t="str">
        <f>IF(NOT(ISBLANK('A-RACHNATMAK'!AJ554)),"A",IF(NOT(ISBLANK('A-RACHNATMAK'!AJ553)),"B",IF(NOT(ISBLANK('A-RACHNATMAK'!AJ552)),"C","")))</f>
        <v/>
      </c>
      <c r="AH523" s="622" t="str">
        <f>IF(NOT(ISBLANK('A-RACHNATMAK'!AK554)),"A",IF(NOT(ISBLANK('A-RACHNATMAK'!AK553)),"B",IF(NOT(ISBLANK('A-RACHNATMAK'!AK552)),"C","")))</f>
        <v/>
      </c>
      <c r="AI523" s="622" t="str">
        <f>IF(NOT(ISBLANK('A-RACHNATMAK'!AL554)),"A",IF(NOT(ISBLANK('A-RACHNATMAK'!AL553)),"B",IF(NOT(ISBLANK('A-RACHNATMAK'!AL552)),"C","")))</f>
        <v/>
      </c>
      <c r="AJ523" s="622" t="str">
        <f>IF(NOT(ISBLANK('A-RACHNATMAK'!AM554)),"A",IF(NOT(ISBLANK('A-RACHNATMAK'!AM553)),"B",IF(NOT(ISBLANK('A-RACHNATMAK'!AM552)),"C","")))</f>
        <v/>
      </c>
      <c r="AK523" s="622" t="str">
        <f>IF(NOT(ISBLANK('A-RACHNATMAK'!AN554)),"A",IF(NOT(ISBLANK('A-RACHNATMAK'!AN553)),"B",IF(NOT(ISBLANK('A-RACHNATMAK'!AN552)),"C","")))</f>
        <v/>
      </c>
      <c r="AL523" s="622" t="str">
        <f>IF(NOT(ISBLANK('A-RACHNATMAK'!AO554)),"A",IF(NOT(ISBLANK('A-RACHNATMAK'!AO553)),"B",IF(NOT(ISBLANK('A-RACHNATMAK'!AO552)),"C","")))</f>
        <v/>
      </c>
      <c r="AM523" s="622" t="str">
        <f>IF(NOT(ISBLANK('A-RACHNATMAK'!AP554)),"A",IF(NOT(ISBLANK('A-RACHNATMAK'!AP553)),"B",IF(NOT(ISBLANK('A-RACHNATMAK'!AP552)),"C","")))</f>
        <v/>
      </c>
      <c r="AN523" s="622" t="str">
        <f>IF(NOT(ISBLANK('A-RACHNATMAK'!AQ554)),"A",IF(NOT(ISBLANK('A-RACHNATMAK'!AQ553)),"B",IF(NOT(ISBLANK('A-RACHNATMAK'!AQ552)),"C","")))</f>
        <v/>
      </c>
      <c r="AO523" s="622" t="str">
        <f>IF(NOT(ISBLANK('A-RACHNATMAK'!AR554)),"A",IF(NOT(ISBLANK('A-RACHNATMAK'!AR553)),"B",IF(NOT(ISBLANK('A-RACHNATMAK'!AR552)),"C","")))</f>
        <v/>
      </c>
      <c r="AP523" s="622" t="str">
        <f>IF(NOT(ISBLANK('A-RACHNATMAK'!AS554)),"A",IF(NOT(ISBLANK('A-RACHNATMAK'!AS553)),"B",IF(NOT(ISBLANK('A-RACHNATMAK'!AS552)),"C","")))</f>
        <v/>
      </c>
      <c r="AQ523" s="622" t="str">
        <f>IF(NOT(ISBLANK('A-RACHNATMAK'!AT554)),"A",IF(NOT(ISBLANK('A-RACHNATMAK'!AT553)),"B",IF(NOT(ISBLANK('A-RACHNATMAK'!AT552)),"C","")))</f>
        <v/>
      </c>
      <c r="AR523" s="622" t="str">
        <f>IF(NOT(ISBLANK('A-RACHNATMAK'!AU554)),"A",IF(NOT(ISBLANK('A-RACHNATMAK'!AU553)),"B",IF(NOT(ISBLANK('A-RACHNATMAK'!AU552)),"C","")))</f>
        <v/>
      </c>
      <c r="AS523" s="622" t="str">
        <f>IF(NOT(ISBLANK('A-RACHNATMAK'!AV554)),"A",IF(NOT(ISBLANK('A-RACHNATMAK'!AV553)),"B",IF(NOT(ISBLANK('A-RACHNATMAK'!AV552)),"C","")))</f>
        <v/>
      </c>
      <c r="AT523" s="622" t="str">
        <f>IF(NOT(ISBLANK('A-RACHNATMAK'!AW554)),"A",IF(NOT(ISBLANK('A-RACHNATMAK'!AW553)),"B",IF(NOT(ISBLANK('A-RACHNATMAK'!AW552)),"C","")))</f>
        <v/>
      </c>
      <c r="AU523" s="622">
        <f t="shared" ref="AU523" si="999">COUNTIF(AA523:AT523,"A")</f>
        <v>0</v>
      </c>
      <c r="AV523" s="622">
        <f t="shared" ref="AV523" si="1000">COUNTIF(AA523:AT523,"B")</f>
        <v>0</v>
      </c>
      <c r="AW523" s="622">
        <f t="shared" ref="AW523" si="1001">COUNTIF(AA523:AT523,"C")</f>
        <v>0</v>
      </c>
    </row>
    <row r="524" spans="1:49" ht="7.5" customHeight="1">
      <c r="A524" s="623"/>
      <c r="B524" s="622"/>
      <c r="C524" s="622"/>
      <c r="D524" s="622"/>
      <c r="E524" s="622"/>
      <c r="F524" s="622"/>
      <c r="G524" s="622"/>
      <c r="H524" s="622"/>
      <c r="I524" s="622"/>
      <c r="J524" s="622"/>
      <c r="K524" s="622"/>
      <c r="L524" s="622"/>
      <c r="M524" s="622"/>
      <c r="N524" s="622"/>
      <c r="O524" s="622"/>
      <c r="P524" s="622"/>
      <c r="Q524" s="622"/>
      <c r="R524" s="622"/>
      <c r="S524" s="622"/>
      <c r="T524" s="622"/>
      <c r="U524" s="622"/>
      <c r="V524" s="622"/>
      <c r="W524" s="622"/>
      <c r="X524" s="622"/>
      <c r="Y524" s="330"/>
      <c r="Z524" s="623"/>
      <c r="AA524" s="622"/>
      <c r="AB524" s="622"/>
      <c r="AC524" s="622"/>
      <c r="AD524" s="622"/>
      <c r="AE524" s="622"/>
      <c r="AF524" s="622"/>
      <c r="AG524" s="622"/>
      <c r="AH524" s="622"/>
      <c r="AI524" s="622"/>
      <c r="AJ524" s="622"/>
      <c r="AK524" s="622"/>
      <c r="AL524" s="622"/>
      <c r="AM524" s="622"/>
      <c r="AN524" s="622"/>
      <c r="AO524" s="622"/>
      <c r="AP524" s="622"/>
      <c r="AQ524" s="622"/>
      <c r="AR524" s="622"/>
      <c r="AS524" s="622"/>
      <c r="AT524" s="622"/>
      <c r="AU524" s="622"/>
      <c r="AV524" s="622"/>
      <c r="AW524" s="622"/>
    </row>
    <row r="525" spans="1:49" ht="7.5" customHeight="1">
      <c r="A525" s="623"/>
      <c r="B525" s="622"/>
      <c r="C525" s="622"/>
      <c r="D525" s="622"/>
      <c r="E525" s="622"/>
      <c r="F525" s="622"/>
      <c r="G525" s="622"/>
      <c r="H525" s="622"/>
      <c r="I525" s="622"/>
      <c r="J525" s="622"/>
      <c r="K525" s="622"/>
      <c r="L525" s="622"/>
      <c r="M525" s="622"/>
      <c r="N525" s="622"/>
      <c r="O525" s="622"/>
      <c r="P525" s="622"/>
      <c r="Q525" s="622"/>
      <c r="R525" s="622"/>
      <c r="S525" s="622"/>
      <c r="T525" s="622"/>
      <c r="U525" s="622"/>
      <c r="V525" s="622"/>
      <c r="W525" s="622"/>
      <c r="X525" s="622"/>
      <c r="Y525" s="330"/>
      <c r="Z525" s="623"/>
      <c r="AA525" s="622"/>
      <c r="AB525" s="622"/>
      <c r="AC525" s="622"/>
      <c r="AD525" s="622"/>
      <c r="AE525" s="622"/>
      <c r="AF525" s="622"/>
      <c r="AG525" s="622"/>
      <c r="AH525" s="622"/>
      <c r="AI525" s="622"/>
      <c r="AJ525" s="622"/>
      <c r="AK525" s="622"/>
      <c r="AL525" s="622"/>
      <c r="AM525" s="622"/>
      <c r="AN525" s="622"/>
      <c r="AO525" s="622"/>
      <c r="AP525" s="622"/>
      <c r="AQ525" s="622"/>
      <c r="AR525" s="622"/>
      <c r="AS525" s="622"/>
      <c r="AT525" s="622"/>
      <c r="AU525" s="622"/>
      <c r="AV525" s="622"/>
      <c r="AW525" s="622"/>
    </row>
    <row r="526" spans="1:49" ht="7.5" customHeight="1">
      <c r="A526" s="623">
        <v>33</v>
      </c>
      <c r="B526" s="622" t="str">
        <f>IF(NOT(ISBLANK('A-RACHNATMAK'!C557)),"A",IF(NOT(ISBLANK('A-RACHNATMAK'!C556)),"B",IF(NOT(ISBLANK('A-RACHNATMAK'!C555)),"C","")))</f>
        <v/>
      </c>
      <c r="C526" s="622" t="str">
        <f>IF(NOT(ISBLANK('A-RACHNATMAK'!D557)),"A",IF(NOT(ISBLANK('A-RACHNATMAK'!D556)),"B",IF(NOT(ISBLANK('A-RACHNATMAK'!D555)),"C","")))</f>
        <v/>
      </c>
      <c r="D526" s="622" t="str">
        <f>IF(NOT(ISBLANK('A-RACHNATMAK'!E557)),"A",IF(NOT(ISBLANK('A-RACHNATMAK'!E556)),"B",IF(NOT(ISBLANK('A-RACHNATMAK'!E555)),"C","")))</f>
        <v/>
      </c>
      <c r="E526" s="622" t="str">
        <f>IF(NOT(ISBLANK('A-RACHNATMAK'!F557)),"A",IF(NOT(ISBLANK('A-RACHNATMAK'!F556)),"B",IF(NOT(ISBLANK('A-RACHNATMAK'!F555)),"C","")))</f>
        <v/>
      </c>
      <c r="F526" s="622" t="str">
        <f>IF(NOT(ISBLANK('A-RACHNATMAK'!G557)),"A",IF(NOT(ISBLANK('A-RACHNATMAK'!G556)),"B",IF(NOT(ISBLANK('A-RACHNATMAK'!G555)),"C","")))</f>
        <v/>
      </c>
      <c r="G526" s="622" t="str">
        <f>IF(NOT(ISBLANK('A-RACHNATMAK'!H557)),"A",IF(NOT(ISBLANK('A-RACHNATMAK'!H556)),"B",IF(NOT(ISBLANK('A-RACHNATMAK'!H555)),"C","")))</f>
        <v/>
      </c>
      <c r="H526" s="622" t="str">
        <f>IF(NOT(ISBLANK('A-RACHNATMAK'!I557)),"A",IF(NOT(ISBLANK('A-RACHNATMAK'!I556)),"B",IF(NOT(ISBLANK('A-RACHNATMAK'!I555)),"C","")))</f>
        <v/>
      </c>
      <c r="I526" s="622" t="str">
        <f>IF(NOT(ISBLANK('A-RACHNATMAK'!J557)),"A",IF(NOT(ISBLANK('A-RACHNATMAK'!J556)),"B",IF(NOT(ISBLANK('A-RACHNATMAK'!J555)),"C","")))</f>
        <v/>
      </c>
      <c r="J526" s="622" t="str">
        <f>IF(NOT(ISBLANK('A-RACHNATMAK'!K557)),"A",IF(NOT(ISBLANK('A-RACHNATMAK'!K556)),"B",IF(NOT(ISBLANK('A-RACHNATMAK'!K555)),"C","")))</f>
        <v/>
      </c>
      <c r="K526" s="622" t="str">
        <f>IF(NOT(ISBLANK('A-RACHNATMAK'!L557)),"A",IF(NOT(ISBLANK('A-RACHNATMAK'!L556)),"B",IF(NOT(ISBLANK('A-RACHNATMAK'!L555)),"C","")))</f>
        <v/>
      </c>
      <c r="L526" s="622" t="str">
        <f>IF(NOT(ISBLANK('A-RACHNATMAK'!M557)),"A",IF(NOT(ISBLANK('A-RACHNATMAK'!M556)),"B",IF(NOT(ISBLANK('A-RACHNATMAK'!M555)),"C","")))</f>
        <v/>
      </c>
      <c r="M526" s="622" t="str">
        <f>IF(NOT(ISBLANK('A-RACHNATMAK'!N557)),"A",IF(NOT(ISBLANK('A-RACHNATMAK'!N556)),"B",IF(NOT(ISBLANK('A-RACHNATMAK'!N555)),"C","")))</f>
        <v/>
      </c>
      <c r="N526" s="622" t="str">
        <f>IF(NOT(ISBLANK('A-RACHNATMAK'!O557)),"A",IF(NOT(ISBLANK('A-RACHNATMAK'!O556)),"B",IF(NOT(ISBLANK('A-RACHNATMAK'!O555)),"C","")))</f>
        <v/>
      </c>
      <c r="O526" s="622" t="str">
        <f>IF(NOT(ISBLANK('A-RACHNATMAK'!P557)),"A",IF(NOT(ISBLANK('A-RACHNATMAK'!P556)),"B",IF(NOT(ISBLANK('A-RACHNATMAK'!P555)),"C","")))</f>
        <v/>
      </c>
      <c r="P526" s="622" t="str">
        <f>IF(NOT(ISBLANK('A-RACHNATMAK'!Q557)),"A",IF(NOT(ISBLANK('A-RACHNATMAK'!Q556)),"B",IF(NOT(ISBLANK('A-RACHNATMAK'!Q555)),"C","")))</f>
        <v/>
      </c>
      <c r="Q526" s="622" t="str">
        <f>IF(NOT(ISBLANK('A-RACHNATMAK'!R557)),"A",IF(NOT(ISBLANK('A-RACHNATMAK'!R556)),"B",IF(NOT(ISBLANK('A-RACHNATMAK'!R555)),"C","")))</f>
        <v/>
      </c>
      <c r="R526" s="622" t="str">
        <f>IF(NOT(ISBLANK('A-RACHNATMAK'!S557)),"A",IF(NOT(ISBLANK('A-RACHNATMAK'!S556)),"B",IF(NOT(ISBLANK('A-RACHNATMAK'!S555)),"C","")))</f>
        <v/>
      </c>
      <c r="S526" s="622" t="str">
        <f>IF(NOT(ISBLANK('A-RACHNATMAK'!T557)),"A",IF(NOT(ISBLANK('A-RACHNATMAK'!T556)),"B",IF(NOT(ISBLANK('A-RACHNATMAK'!T555)),"C","")))</f>
        <v/>
      </c>
      <c r="T526" s="622" t="str">
        <f>IF(NOT(ISBLANK('A-RACHNATMAK'!U557)),"A",IF(NOT(ISBLANK('A-RACHNATMAK'!U556)),"B",IF(NOT(ISBLANK('A-RACHNATMAK'!U555)),"C","")))</f>
        <v/>
      </c>
      <c r="U526" s="622" t="str">
        <f>IF(NOT(ISBLANK('A-RACHNATMAK'!V557)),"A",IF(NOT(ISBLANK('A-RACHNATMAK'!V556)),"B",IF(NOT(ISBLANK('A-RACHNATMAK'!V555)),"C","")))</f>
        <v/>
      </c>
      <c r="V526" s="622">
        <f t="shared" ref="V526" si="1002">COUNTIF(B526:U526,"A")</f>
        <v>0</v>
      </c>
      <c r="W526" s="622">
        <f t="shared" ref="W526" si="1003">COUNTIF(B526:U526,"B")</f>
        <v>0</v>
      </c>
      <c r="X526" s="622">
        <f t="shared" ref="X526" si="1004">COUNTIF(B526:U526,"C")</f>
        <v>0</v>
      </c>
      <c r="Y526" s="330"/>
      <c r="Z526" s="623">
        <v>33</v>
      </c>
      <c r="AA526" s="622" t="str">
        <f>IF(NOT(ISBLANK('A-RACHNATMAK'!AD557)),"A",IF(NOT(ISBLANK('A-RACHNATMAK'!AD556)),"B",IF(NOT(ISBLANK('A-RACHNATMAK'!AD555)),"C","")))</f>
        <v/>
      </c>
      <c r="AB526" s="622" t="str">
        <f>IF(NOT(ISBLANK('A-RACHNATMAK'!AE557)),"A",IF(NOT(ISBLANK('A-RACHNATMAK'!AE556)),"B",IF(NOT(ISBLANK('A-RACHNATMAK'!AE555)),"C","")))</f>
        <v/>
      </c>
      <c r="AC526" s="622" t="str">
        <f>IF(NOT(ISBLANK('A-RACHNATMAK'!AF557)),"A",IF(NOT(ISBLANK('A-RACHNATMAK'!AF556)),"B",IF(NOT(ISBLANK('A-RACHNATMAK'!AF555)),"C","")))</f>
        <v/>
      </c>
      <c r="AD526" s="622" t="str">
        <f>IF(NOT(ISBLANK('A-RACHNATMAK'!AG557)),"A",IF(NOT(ISBLANK('A-RACHNATMAK'!AG556)),"B",IF(NOT(ISBLANK('A-RACHNATMAK'!AG555)),"C","")))</f>
        <v/>
      </c>
      <c r="AE526" s="622" t="str">
        <f>IF(NOT(ISBLANK('A-RACHNATMAK'!AH557)),"A",IF(NOT(ISBLANK('A-RACHNATMAK'!AH556)),"B",IF(NOT(ISBLANK('A-RACHNATMAK'!AH555)),"C","")))</f>
        <v/>
      </c>
      <c r="AF526" s="622" t="str">
        <f>IF(NOT(ISBLANK('A-RACHNATMAK'!AI557)),"A",IF(NOT(ISBLANK('A-RACHNATMAK'!AI556)),"B",IF(NOT(ISBLANK('A-RACHNATMAK'!AI555)),"C","")))</f>
        <v/>
      </c>
      <c r="AG526" s="622" t="str">
        <f>IF(NOT(ISBLANK('A-RACHNATMAK'!AJ557)),"A",IF(NOT(ISBLANK('A-RACHNATMAK'!AJ556)),"B",IF(NOT(ISBLANK('A-RACHNATMAK'!AJ555)),"C","")))</f>
        <v/>
      </c>
      <c r="AH526" s="622" t="str">
        <f>IF(NOT(ISBLANK('A-RACHNATMAK'!AK557)),"A",IF(NOT(ISBLANK('A-RACHNATMAK'!AK556)),"B",IF(NOT(ISBLANK('A-RACHNATMAK'!AK555)),"C","")))</f>
        <v/>
      </c>
      <c r="AI526" s="622" t="str">
        <f>IF(NOT(ISBLANK('A-RACHNATMAK'!AL557)),"A",IF(NOT(ISBLANK('A-RACHNATMAK'!AL556)),"B",IF(NOT(ISBLANK('A-RACHNATMAK'!AL555)),"C","")))</f>
        <v/>
      </c>
      <c r="AJ526" s="622" t="str">
        <f>IF(NOT(ISBLANK('A-RACHNATMAK'!AM557)),"A",IF(NOT(ISBLANK('A-RACHNATMAK'!AM556)),"B",IF(NOT(ISBLANK('A-RACHNATMAK'!AM555)),"C","")))</f>
        <v/>
      </c>
      <c r="AK526" s="622" t="str">
        <f>IF(NOT(ISBLANK('A-RACHNATMAK'!AN557)),"A",IF(NOT(ISBLANK('A-RACHNATMAK'!AN556)),"B",IF(NOT(ISBLANK('A-RACHNATMAK'!AN555)),"C","")))</f>
        <v/>
      </c>
      <c r="AL526" s="622" t="str">
        <f>IF(NOT(ISBLANK('A-RACHNATMAK'!AO557)),"A",IF(NOT(ISBLANK('A-RACHNATMAK'!AO556)),"B",IF(NOT(ISBLANK('A-RACHNATMAK'!AO555)),"C","")))</f>
        <v/>
      </c>
      <c r="AM526" s="622" t="str">
        <f>IF(NOT(ISBLANK('A-RACHNATMAK'!AP557)),"A",IF(NOT(ISBLANK('A-RACHNATMAK'!AP556)),"B",IF(NOT(ISBLANK('A-RACHNATMAK'!AP555)),"C","")))</f>
        <v/>
      </c>
      <c r="AN526" s="622" t="str">
        <f>IF(NOT(ISBLANK('A-RACHNATMAK'!AQ557)),"A",IF(NOT(ISBLANK('A-RACHNATMAK'!AQ556)),"B",IF(NOT(ISBLANK('A-RACHNATMAK'!AQ555)),"C","")))</f>
        <v/>
      </c>
      <c r="AO526" s="622" t="str">
        <f>IF(NOT(ISBLANK('A-RACHNATMAK'!AR557)),"A",IF(NOT(ISBLANK('A-RACHNATMAK'!AR556)),"B",IF(NOT(ISBLANK('A-RACHNATMAK'!AR555)),"C","")))</f>
        <v/>
      </c>
      <c r="AP526" s="622" t="str">
        <f>IF(NOT(ISBLANK('A-RACHNATMAK'!AS557)),"A",IF(NOT(ISBLANK('A-RACHNATMAK'!AS556)),"B",IF(NOT(ISBLANK('A-RACHNATMAK'!AS555)),"C","")))</f>
        <v/>
      </c>
      <c r="AQ526" s="622" t="str">
        <f>IF(NOT(ISBLANK('A-RACHNATMAK'!AT557)),"A",IF(NOT(ISBLANK('A-RACHNATMAK'!AT556)),"B",IF(NOT(ISBLANK('A-RACHNATMAK'!AT555)),"C","")))</f>
        <v/>
      </c>
      <c r="AR526" s="622" t="str">
        <f>IF(NOT(ISBLANK('A-RACHNATMAK'!AU557)),"A",IF(NOT(ISBLANK('A-RACHNATMAK'!AU556)),"B",IF(NOT(ISBLANK('A-RACHNATMAK'!AU555)),"C","")))</f>
        <v/>
      </c>
      <c r="AS526" s="622" t="str">
        <f>IF(NOT(ISBLANK('A-RACHNATMAK'!AV557)),"A",IF(NOT(ISBLANK('A-RACHNATMAK'!AV556)),"B",IF(NOT(ISBLANK('A-RACHNATMAK'!AV555)),"C","")))</f>
        <v/>
      </c>
      <c r="AT526" s="622" t="str">
        <f>IF(NOT(ISBLANK('A-RACHNATMAK'!AW557)),"A",IF(NOT(ISBLANK('A-RACHNATMAK'!AW556)),"B",IF(NOT(ISBLANK('A-RACHNATMAK'!AW555)),"C","")))</f>
        <v/>
      </c>
      <c r="AU526" s="622">
        <f t="shared" ref="AU526" si="1005">COUNTIF(AA526:AT526,"A")</f>
        <v>0</v>
      </c>
      <c r="AV526" s="622">
        <f t="shared" ref="AV526" si="1006">COUNTIF(AA526:AT526,"B")</f>
        <v>0</v>
      </c>
      <c r="AW526" s="622">
        <f t="shared" ref="AW526" si="1007">COUNTIF(AA526:AT526,"C")</f>
        <v>0</v>
      </c>
    </row>
    <row r="527" spans="1:49" ht="7.5" customHeight="1">
      <c r="A527" s="623"/>
      <c r="B527" s="622"/>
      <c r="C527" s="622"/>
      <c r="D527" s="622"/>
      <c r="E527" s="622"/>
      <c r="F527" s="622"/>
      <c r="G527" s="622"/>
      <c r="H527" s="622"/>
      <c r="I527" s="622"/>
      <c r="J527" s="622"/>
      <c r="K527" s="622"/>
      <c r="L527" s="622"/>
      <c r="M527" s="622"/>
      <c r="N527" s="622"/>
      <c r="O527" s="622"/>
      <c r="P527" s="622"/>
      <c r="Q527" s="622"/>
      <c r="R527" s="622"/>
      <c r="S527" s="622"/>
      <c r="T527" s="622"/>
      <c r="U527" s="622"/>
      <c r="V527" s="622"/>
      <c r="W527" s="622"/>
      <c r="X527" s="622"/>
      <c r="Y527" s="330"/>
      <c r="Z527" s="623"/>
      <c r="AA527" s="622"/>
      <c r="AB527" s="622"/>
      <c r="AC527" s="622"/>
      <c r="AD527" s="622"/>
      <c r="AE527" s="622"/>
      <c r="AF527" s="622"/>
      <c r="AG527" s="622"/>
      <c r="AH527" s="622"/>
      <c r="AI527" s="622"/>
      <c r="AJ527" s="622"/>
      <c r="AK527" s="622"/>
      <c r="AL527" s="622"/>
      <c r="AM527" s="622"/>
      <c r="AN527" s="622"/>
      <c r="AO527" s="622"/>
      <c r="AP527" s="622"/>
      <c r="AQ527" s="622"/>
      <c r="AR527" s="622"/>
      <c r="AS527" s="622"/>
      <c r="AT527" s="622"/>
      <c r="AU527" s="622"/>
      <c r="AV527" s="622"/>
      <c r="AW527" s="622"/>
    </row>
    <row r="528" spans="1:49" ht="7.5" customHeight="1">
      <c r="A528" s="623"/>
      <c r="B528" s="622"/>
      <c r="C528" s="622"/>
      <c r="D528" s="622"/>
      <c r="E528" s="622"/>
      <c r="F528" s="622"/>
      <c r="G528" s="622"/>
      <c r="H528" s="622"/>
      <c r="I528" s="622"/>
      <c r="J528" s="622"/>
      <c r="K528" s="622"/>
      <c r="L528" s="622"/>
      <c r="M528" s="622"/>
      <c r="N528" s="622"/>
      <c r="O528" s="622"/>
      <c r="P528" s="622"/>
      <c r="Q528" s="622"/>
      <c r="R528" s="622"/>
      <c r="S528" s="622"/>
      <c r="T528" s="622"/>
      <c r="U528" s="622"/>
      <c r="V528" s="622"/>
      <c r="W528" s="622"/>
      <c r="X528" s="622"/>
      <c r="Y528" s="330"/>
      <c r="Z528" s="623"/>
      <c r="AA528" s="622"/>
      <c r="AB528" s="622"/>
      <c r="AC528" s="622"/>
      <c r="AD528" s="622"/>
      <c r="AE528" s="622"/>
      <c r="AF528" s="622"/>
      <c r="AG528" s="622"/>
      <c r="AH528" s="622"/>
      <c r="AI528" s="622"/>
      <c r="AJ528" s="622"/>
      <c r="AK528" s="622"/>
      <c r="AL528" s="622"/>
      <c r="AM528" s="622"/>
      <c r="AN528" s="622"/>
      <c r="AO528" s="622"/>
      <c r="AP528" s="622"/>
      <c r="AQ528" s="622"/>
      <c r="AR528" s="622"/>
      <c r="AS528" s="622"/>
      <c r="AT528" s="622"/>
      <c r="AU528" s="622"/>
      <c r="AV528" s="622"/>
      <c r="AW528" s="622"/>
    </row>
    <row r="529" spans="1:49" ht="7.5" customHeight="1">
      <c r="A529" s="623">
        <v>34</v>
      </c>
      <c r="B529" s="622" t="str">
        <f>IF(NOT(ISBLANK('A-RACHNATMAK'!C560)),"A",IF(NOT(ISBLANK('A-RACHNATMAK'!C559)),"B",IF(NOT(ISBLANK('A-RACHNATMAK'!C558)),"C","")))</f>
        <v/>
      </c>
      <c r="C529" s="622" t="str">
        <f>IF(NOT(ISBLANK('A-RACHNATMAK'!D560)),"A",IF(NOT(ISBLANK('A-RACHNATMAK'!D559)),"B",IF(NOT(ISBLANK('A-RACHNATMAK'!D558)),"C","")))</f>
        <v/>
      </c>
      <c r="D529" s="622" t="str">
        <f>IF(NOT(ISBLANK('A-RACHNATMAK'!E560)),"A",IF(NOT(ISBLANK('A-RACHNATMAK'!E559)),"B",IF(NOT(ISBLANK('A-RACHNATMAK'!E558)),"C","")))</f>
        <v/>
      </c>
      <c r="E529" s="622" t="str">
        <f>IF(NOT(ISBLANK('A-RACHNATMAK'!F560)),"A",IF(NOT(ISBLANK('A-RACHNATMAK'!F559)),"B",IF(NOT(ISBLANK('A-RACHNATMAK'!F558)),"C","")))</f>
        <v/>
      </c>
      <c r="F529" s="622" t="str">
        <f>IF(NOT(ISBLANK('A-RACHNATMAK'!G560)),"A",IF(NOT(ISBLANK('A-RACHNATMAK'!G559)),"B",IF(NOT(ISBLANK('A-RACHNATMAK'!G558)),"C","")))</f>
        <v/>
      </c>
      <c r="G529" s="622" t="str">
        <f>IF(NOT(ISBLANK('A-RACHNATMAK'!H560)),"A",IF(NOT(ISBLANK('A-RACHNATMAK'!H559)),"B",IF(NOT(ISBLANK('A-RACHNATMAK'!H558)),"C","")))</f>
        <v/>
      </c>
      <c r="H529" s="622" t="str">
        <f>IF(NOT(ISBLANK('A-RACHNATMAK'!I560)),"A",IF(NOT(ISBLANK('A-RACHNATMAK'!I559)),"B",IF(NOT(ISBLANK('A-RACHNATMAK'!I558)),"C","")))</f>
        <v/>
      </c>
      <c r="I529" s="622" t="str">
        <f>IF(NOT(ISBLANK('A-RACHNATMAK'!J560)),"A",IF(NOT(ISBLANK('A-RACHNATMAK'!J559)),"B",IF(NOT(ISBLANK('A-RACHNATMAK'!J558)),"C","")))</f>
        <v/>
      </c>
      <c r="J529" s="622" t="str">
        <f>IF(NOT(ISBLANK('A-RACHNATMAK'!K560)),"A",IF(NOT(ISBLANK('A-RACHNATMAK'!K559)),"B",IF(NOT(ISBLANK('A-RACHNATMAK'!K558)),"C","")))</f>
        <v/>
      </c>
      <c r="K529" s="622" t="str">
        <f>IF(NOT(ISBLANK('A-RACHNATMAK'!L560)),"A",IF(NOT(ISBLANK('A-RACHNATMAK'!L559)),"B",IF(NOT(ISBLANK('A-RACHNATMAK'!L558)),"C","")))</f>
        <v/>
      </c>
      <c r="L529" s="622" t="str">
        <f>IF(NOT(ISBLANK('A-RACHNATMAK'!M560)),"A",IF(NOT(ISBLANK('A-RACHNATMAK'!M559)),"B",IF(NOT(ISBLANK('A-RACHNATMAK'!M558)),"C","")))</f>
        <v/>
      </c>
      <c r="M529" s="622" t="str">
        <f>IF(NOT(ISBLANK('A-RACHNATMAK'!N560)),"A",IF(NOT(ISBLANK('A-RACHNATMAK'!N559)),"B",IF(NOT(ISBLANK('A-RACHNATMAK'!N558)),"C","")))</f>
        <v/>
      </c>
      <c r="N529" s="622" t="str">
        <f>IF(NOT(ISBLANK('A-RACHNATMAK'!O560)),"A",IF(NOT(ISBLANK('A-RACHNATMAK'!O559)),"B",IF(NOT(ISBLANK('A-RACHNATMAK'!O558)),"C","")))</f>
        <v/>
      </c>
      <c r="O529" s="622" t="str">
        <f>IF(NOT(ISBLANK('A-RACHNATMAK'!P560)),"A",IF(NOT(ISBLANK('A-RACHNATMAK'!P559)),"B",IF(NOT(ISBLANK('A-RACHNATMAK'!P558)),"C","")))</f>
        <v/>
      </c>
      <c r="P529" s="622" t="str">
        <f>IF(NOT(ISBLANK('A-RACHNATMAK'!Q560)),"A",IF(NOT(ISBLANK('A-RACHNATMAK'!Q559)),"B",IF(NOT(ISBLANK('A-RACHNATMAK'!Q558)),"C","")))</f>
        <v/>
      </c>
      <c r="Q529" s="622" t="str">
        <f>IF(NOT(ISBLANK('A-RACHNATMAK'!R560)),"A",IF(NOT(ISBLANK('A-RACHNATMAK'!R559)),"B",IF(NOT(ISBLANK('A-RACHNATMAK'!R558)),"C","")))</f>
        <v/>
      </c>
      <c r="R529" s="622" t="str">
        <f>IF(NOT(ISBLANK('A-RACHNATMAK'!S560)),"A",IF(NOT(ISBLANK('A-RACHNATMAK'!S559)),"B",IF(NOT(ISBLANK('A-RACHNATMAK'!S558)),"C","")))</f>
        <v/>
      </c>
      <c r="S529" s="622" t="str">
        <f>IF(NOT(ISBLANK('A-RACHNATMAK'!T560)),"A",IF(NOT(ISBLANK('A-RACHNATMAK'!T559)),"B",IF(NOT(ISBLANK('A-RACHNATMAK'!T558)),"C","")))</f>
        <v/>
      </c>
      <c r="T529" s="622" t="str">
        <f>IF(NOT(ISBLANK('A-RACHNATMAK'!U560)),"A",IF(NOT(ISBLANK('A-RACHNATMAK'!U559)),"B",IF(NOT(ISBLANK('A-RACHNATMAK'!U558)),"C","")))</f>
        <v/>
      </c>
      <c r="U529" s="622" t="str">
        <f>IF(NOT(ISBLANK('A-RACHNATMAK'!V560)),"A",IF(NOT(ISBLANK('A-RACHNATMAK'!V559)),"B",IF(NOT(ISBLANK('A-RACHNATMAK'!V558)),"C","")))</f>
        <v/>
      </c>
      <c r="V529" s="622">
        <f t="shared" ref="V529" si="1008">COUNTIF(B529:U529,"A")</f>
        <v>0</v>
      </c>
      <c r="W529" s="622">
        <f t="shared" ref="W529" si="1009">COUNTIF(B529:U529,"B")</f>
        <v>0</v>
      </c>
      <c r="X529" s="622">
        <f t="shared" ref="X529" si="1010">COUNTIF(B529:U529,"C")</f>
        <v>0</v>
      </c>
      <c r="Y529" s="330"/>
      <c r="Z529" s="623">
        <v>34</v>
      </c>
      <c r="AA529" s="622" t="str">
        <f>IF(NOT(ISBLANK('A-RACHNATMAK'!AD560)),"A",IF(NOT(ISBLANK('A-RACHNATMAK'!AD559)),"B",IF(NOT(ISBLANK('A-RACHNATMAK'!AD558)),"C","")))</f>
        <v/>
      </c>
      <c r="AB529" s="622" t="str">
        <f>IF(NOT(ISBLANK('A-RACHNATMAK'!AE560)),"A",IF(NOT(ISBLANK('A-RACHNATMAK'!AE559)),"B",IF(NOT(ISBLANK('A-RACHNATMAK'!AE558)),"C","")))</f>
        <v/>
      </c>
      <c r="AC529" s="622" t="str">
        <f>IF(NOT(ISBLANK('A-RACHNATMAK'!AF560)),"A",IF(NOT(ISBLANK('A-RACHNATMAK'!AF559)),"B",IF(NOT(ISBLANK('A-RACHNATMAK'!AF558)),"C","")))</f>
        <v/>
      </c>
      <c r="AD529" s="622" t="str">
        <f>IF(NOT(ISBLANK('A-RACHNATMAK'!AG560)),"A",IF(NOT(ISBLANK('A-RACHNATMAK'!AG559)),"B",IF(NOT(ISBLANK('A-RACHNATMAK'!AG558)),"C","")))</f>
        <v/>
      </c>
      <c r="AE529" s="622" t="str">
        <f>IF(NOT(ISBLANK('A-RACHNATMAK'!AH560)),"A",IF(NOT(ISBLANK('A-RACHNATMAK'!AH559)),"B",IF(NOT(ISBLANK('A-RACHNATMAK'!AH558)),"C","")))</f>
        <v/>
      </c>
      <c r="AF529" s="622" t="str">
        <f>IF(NOT(ISBLANK('A-RACHNATMAK'!AI560)),"A",IF(NOT(ISBLANK('A-RACHNATMAK'!AI559)),"B",IF(NOT(ISBLANK('A-RACHNATMAK'!AI558)),"C","")))</f>
        <v/>
      </c>
      <c r="AG529" s="622" t="str">
        <f>IF(NOT(ISBLANK('A-RACHNATMAK'!AJ560)),"A",IF(NOT(ISBLANK('A-RACHNATMAK'!AJ559)),"B",IF(NOT(ISBLANK('A-RACHNATMAK'!AJ558)),"C","")))</f>
        <v/>
      </c>
      <c r="AH529" s="622" t="str">
        <f>IF(NOT(ISBLANK('A-RACHNATMAK'!AK560)),"A",IF(NOT(ISBLANK('A-RACHNATMAK'!AK559)),"B",IF(NOT(ISBLANK('A-RACHNATMAK'!AK558)),"C","")))</f>
        <v/>
      </c>
      <c r="AI529" s="622" t="str">
        <f>IF(NOT(ISBLANK('A-RACHNATMAK'!AL560)),"A",IF(NOT(ISBLANK('A-RACHNATMAK'!AL559)),"B",IF(NOT(ISBLANK('A-RACHNATMAK'!AL558)),"C","")))</f>
        <v/>
      </c>
      <c r="AJ529" s="622" t="str">
        <f>IF(NOT(ISBLANK('A-RACHNATMAK'!AM560)),"A",IF(NOT(ISBLANK('A-RACHNATMAK'!AM559)),"B",IF(NOT(ISBLANK('A-RACHNATMAK'!AM558)),"C","")))</f>
        <v/>
      </c>
      <c r="AK529" s="622" t="str">
        <f>IF(NOT(ISBLANK('A-RACHNATMAK'!AN560)),"A",IF(NOT(ISBLANK('A-RACHNATMAK'!AN559)),"B",IF(NOT(ISBLANK('A-RACHNATMAK'!AN558)),"C","")))</f>
        <v/>
      </c>
      <c r="AL529" s="622" t="str">
        <f>IF(NOT(ISBLANK('A-RACHNATMAK'!AO560)),"A",IF(NOT(ISBLANK('A-RACHNATMAK'!AO559)),"B",IF(NOT(ISBLANK('A-RACHNATMAK'!AO558)),"C","")))</f>
        <v/>
      </c>
      <c r="AM529" s="622" t="str">
        <f>IF(NOT(ISBLANK('A-RACHNATMAK'!AP560)),"A",IF(NOT(ISBLANK('A-RACHNATMAK'!AP559)),"B",IF(NOT(ISBLANK('A-RACHNATMAK'!AP558)),"C","")))</f>
        <v/>
      </c>
      <c r="AN529" s="622" t="str">
        <f>IF(NOT(ISBLANK('A-RACHNATMAK'!AQ560)),"A",IF(NOT(ISBLANK('A-RACHNATMAK'!AQ559)),"B",IF(NOT(ISBLANK('A-RACHNATMAK'!AQ558)),"C","")))</f>
        <v/>
      </c>
      <c r="AO529" s="622" t="str">
        <f>IF(NOT(ISBLANK('A-RACHNATMAK'!AR560)),"A",IF(NOT(ISBLANK('A-RACHNATMAK'!AR559)),"B",IF(NOT(ISBLANK('A-RACHNATMAK'!AR558)),"C","")))</f>
        <v/>
      </c>
      <c r="AP529" s="622" t="str">
        <f>IF(NOT(ISBLANK('A-RACHNATMAK'!AS560)),"A",IF(NOT(ISBLANK('A-RACHNATMAK'!AS559)),"B",IF(NOT(ISBLANK('A-RACHNATMAK'!AS558)),"C","")))</f>
        <v/>
      </c>
      <c r="AQ529" s="622" t="str">
        <f>IF(NOT(ISBLANK('A-RACHNATMAK'!AT560)),"A",IF(NOT(ISBLANK('A-RACHNATMAK'!AT559)),"B",IF(NOT(ISBLANK('A-RACHNATMAK'!AT558)),"C","")))</f>
        <v/>
      </c>
      <c r="AR529" s="622" t="str">
        <f>IF(NOT(ISBLANK('A-RACHNATMAK'!AU560)),"A",IF(NOT(ISBLANK('A-RACHNATMAK'!AU559)),"B",IF(NOT(ISBLANK('A-RACHNATMAK'!AU558)),"C","")))</f>
        <v/>
      </c>
      <c r="AS529" s="622" t="str">
        <f>IF(NOT(ISBLANK('A-RACHNATMAK'!AV560)),"A",IF(NOT(ISBLANK('A-RACHNATMAK'!AV559)),"B",IF(NOT(ISBLANK('A-RACHNATMAK'!AV558)),"C","")))</f>
        <v/>
      </c>
      <c r="AT529" s="622" t="str">
        <f>IF(NOT(ISBLANK('A-RACHNATMAK'!AW560)),"A",IF(NOT(ISBLANK('A-RACHNATMAK'!AW559)),"B",IF(NOT(ISBLANK('A-RACHNATMAK'!AW558)),"C","")))</f>
        <v/>
      </c>
      <c r="AU529" s="622">
        <f t="shared" ref="AU529" si="1011">COUNTIF(AA529:AT529,"A")</f>
        <v>0</v>
      </c>
      <c r="AV529" s="622">
        <f t="shared" ref="AV529" si="1012">COUNTIF(AA529:AT529,"B")</f>
        <v>0</v>
      </c>
      <c r="AW529" s="622">
        <f t="shared" ref="AW529" si="1013">COUNTIF(AA529:AT529,"C")</f>
        <v>0</v>
      </c>
    </row>
    <row r="530" spans="1:49" ht="7.5" customHeight="1">
      <c r="A530" s="623"/>
      <c r="B530" s="622"/>
      <c r="C530" s="622"/>
      <c r="D530" s="622"/>
      <c r="E530" s="622"/>
      <c r="F530" s="622"/>
      <c r="G530" s="622"/>
      <c r="H530" s="622"/>
      <c r="I530" s="622"/>
      <c r="J530" s="622"/>
      <c r="K530" s="622"/>
      <c r="L530" s="622"/>
      <c r="M530" s="622"/>
      <c r="N530" s="622"/>
      <c r="O530" s="622"/>
      <c r="P530" s="622"/>
      <c r="Q530" s="622"/>
      <c r="R530" s="622"/>
      <c r="S530" s="622"/>
      <c r="T530" s="622"/>
      <c r="U530" s="622"/>
      <c r="V530" s="622"/>
      <c r="W530" s="622"/>
      <c r="X530" s="622"/>
      <c r="Y530" s="330"/>
      <c r="Z530" s="623"/>
      <c r="AA530" s="622"/>
      <c r="AB530" s="622"/>
      <c r="AC530" s="622"/>
      <c r="AD530" s="622"/>
      <c r="AE530" s="622"/>
      <c r="AF530" s="622"/>
      <c r="AG530" s="622"/>
      <c r="AH530" s="622"/>
      <c r="AI530" s="622"/>
      <c r="AJ530" s="622"/>
      <c r="AK530" s="622"/>
      <c r="AL530" s="622"/>
      <c r="AM530" s="622"/>
      <c r="AN530" s="622"/>
      <c r="AO530" s="622"/>
      <c r="AP530" s="622"/>
      <c r="AQ530" s="622"/>
      <c r="AR530" s="622"/>
      <c r="AS530" s="622"/>
      <c r="AT530" s="622"/>
      <c r="AU530" s="622"/>
      <c r="AV530" s="622"/>
      <c r="AW530" s="622"/>
    </row>
    <row r="531" spans="1:49" ht="7.5" customHeight="1">
      <c r="A531" s="623"/>
      <c r="B531" s="622"/>
      <c r="C531" s="622"/>
      <c r="D531" s="622"/>
      <c r="E531" s="622"/>
      <c r="F531" s="622"/>
      <c r="G531" s="622"/>
      <c r="H531" s="622"/>
      <c r="I531" s="622"/>
      <c r="J531" s="622"/>
      <c r="K531" s="622"/>
      <c r="L531" s="622"/>
      <c r="M531" s="622"/>
      <c r="N531" s="622"/>
      <c r="O531" s="622"/>
      <c r="P531" s="622"/>
      <c r="Q531" s="622"/>
      <c r="R531" s="622"/>
      <c r="S531" s="622"/>
      <c r="T531" s="622"/>
      <c r="U531" s="622"/>
      <c r="V531" s="622"/>
      <c r="W531" s="622"/>
      <c r="X531" s="622"/>
      <c r="Y531" s="330"/>
      <c r="Z531" s="623"/>
      <c r="AA531" s="622"/>
      <c r="AB531" s="622"/>
      <c r="AC531" s="622"/>
      <c r="AD531" s="622"/>
      <c r="AE531" s="622"/>
      <c r="AF531" s="622"/>
      <c r="AG531" s="622"/>
      <c r="AH531" s="622"/>
      <c r="AI531" s="622"/>
      <c r="AJ531" s="622"/>
      <c r="AK531" s="622"/>
      <c r="AL531" s="622"/>
      <c r="AM531" s="622"/>
      <c r="AN531" s="622"/>
      <c r="AO531" s="622"/>
      <c r="AP531" s="622"/>
      <c r="AQ531" s="622"/>
      <c r="AR531" s="622"/>
      <c r="AS531" s="622"/>
      <c r="AT531" s="622"/>
      <c r="AU531" s="622"/>
      <c r="AV531" s="622"/>
      <c r="AW531" s="622"/>
    </row>
    <row r="532" spans="1:49" ht="7.5" customHeight="1">
      <c r="A532" s="623">
        <v>35</v>
      </c>
      <c r="B532" s="622" t="str">
        <f>IF(NOT(ISBLANK('A-RACHNATMAK'!C563)),"A",IF(NOT(ISBLANK('A-RACHNATMAK'!C562)),"B",IF(NOT(ISBLANK('A-RACHNATMAK'!C561)),"C","")))</f>
        <v/>
      </c>
      <c r="C532" s="622" t="str">
        <f>IF(NOT(ISBLANK('A-RACHNATMAK'!D563)),"A",IF(NOT(ISBLANK('A-RACHNATMAK'!D562)),"B",IF(NOT(ISBLANK('A-RACHNATMAK'!D561)),"C","")))</f>
        <v/>
      </c>
      <c r="D532" s="622" t="str">
        <f>IF(NOT(ISBLANK('A-RACHNATMAK'!E563)),"A",IF(NOT(ISBLANK('A-RACHNATMAK'!E562)),"B",IF(NOT(ISBLANK('A-RACHNATMAK'!E561)),"C","")))</f>
        <v/>
      </c>
      <c r="E532" s="622" t="str">
        <f>IF(NOT(ISBLANK('A-RACHNATMAK'!F563)),"A",IF(NOT(ISBLANK('A-RACHNATMAK'!F562)),"B",IF(NOT(ISBLANK('A-RACHNATMAK'!F561)),"C","")))</f>
        <v/>
      </c>
      <c r="F532" s="622" t="str">
        <f>IF(NOT(ISBLANK('A-RACHNATMAK'!G563)),"A",IF(NOT(ISBLANK('A-RACHNATMAK'!G562)),"B",IF(NOT(ISBLANK('A-RACHNATMAK'!G561)),"C","")))</f>
        <v/>
      </c>
      <c r="G532" s="622" t="str">
        <f>IF(NOT(ISBLANK('A-RACHNATMAK'!H563)),"A",IF(NOT(ISBLANK('A-RACHNATMAK'!H562)),"B",IF(NOT(ISBLANK('A-RACHNATMAK'!H561)),"C","")))</f>
        <v/>
      </c>
      <c r="H532" s="622" t="str">
        <f>IF(NOT(ISBLANK('A-RACHNATMAK'!I563)),"A",IF(NOT(ISBLANK('A-RACHNATMAK'!I562)),"B",IF(NOT(ISBLANK('A-RACHNATMAK'!I561)),"C","")))</f>
        <v/>
      </c>
      <c r="I532" s="622" t="str">
        <f>IF(NOT(ISBLANK('A-RACHNATMAK'!J563)),"A",IF(NOT(ISBLANK('A-RACHNATMAK'!J562)),"B",IF(NOT(ISBLANK('A-RACHNATMAK'!J561)),"C","")))</f>
        <v/>
      </c>
      <c r="J532" s="622" t="str">
        <f>IF(NOT(ISBLANK('A-RACHNATMAK'!K563)),"A",IF(NOT(ISBLANK('A-RACHNATMAK'!K562)),"B",IF(NOT(ISBLANK('A-RACHNATMAK'!K561)),"C","")))</f>
        <v/>
      </c>
      <c r="K532" s="622" t="str">
        <f>IF(NOT(ISBLANK('A-RACHNATMAK'!L563)),"A",IF(NOT(ISBLANK('A-RACHNATMAK'!L562)),"B",IF(NOT(ISBLANK('A-RACHNATMAK'!L561)),"C","")))</f>
        <v/>
      </c>
      <c r="L532" s="622" t="str">
        <f>IF(NOT(ISBLANK('A-RACHNATMAK'!M563)),"A",IF(NOT(ISBLANK('A-RACHNATMAK'!M562)),"B",IF(NOT(ISBLANK('A-RACHNATMAK'!M561)),"C","")))</f>
        <v/>
      </c>
      <c r="M532" s="622" t="str">
        <f>IF(NOT(ISBLANK('A-RACHNATMAK'!N563)),"A",IF(NOT(ISBLANK('A-RACHNATMAK'!N562)),"B",IF(NOT(ISBLANK('A-RACHNATMAK'!N561)),"C","")))</f>
        <v/>
      </c>
      <c r="N532" s="622" t="str">
        <f>IF(NOT(ISBLANK('A-RACHNATMAK'!O563)),"A",IF(NOT(ISBLANK('A-RACHNATMAK'!O562)),"B",IF(NOT(ISBLANK('A-RACHNATMAK'!O561)),"C","")))</f>
        <v/>
      </c>
      <c r="O532" s="622" t="str">
        <f>IF(NOT(ISBLANK('A-RACHNATMAK'!P563)),"A",IF(NOT(ISBLANK('A-RACHNATMAK'!P562)),"B",IF(NOT(ISBLANK('A-RACHNATMAK'!P561)),"C","")))</f>
        <v/>
      </c>
      <c r="P532" s="622" t="str">
        <f>IF(NOT(ISBLANK('A-RACHNATMAK'!Q563)),"A",IF(NOT(ISBLANK('A-RACHNATMAK'!Q562)),"B",IF(NOT(ISBLANK('A-RACHNATMAK'!Q561)),"C","")))</f>
        <v/>
      </c>
      <c r="Q532" s="622" t="str">
        <f>IF(NOT(ISBLANK('A-RACHNATMAK'!R563)),"A",IF(NOT(ISBLANK('A-RACHNATMAK'!R562)),"B",IF(NOT(ISBLANK('A-RACHNATMAK'!R561)),"C","")))</f>
        <v/>
      </c>
      <c r="R532" s="622" t="str">
        <f>IF(NOT(ISBLANK('A-RACHNATMAK'!S563)),"A",IF(NOT(ISBLANK('A-RACHNATMAK'!S562)),"B",IF(NOT(ISBLANK('A-RACHNATMAK'!S561)),"C","")))</f>
        <v/>
      </c>
      <c r="S532" s="622" t="str">
        <f>IF(NOT(ISBLANK('A-RACHNATMAK'!T563)),"A",IF(NOT(ISBLANK('A-RACHNATMAK'!T562)),"B",IF(NOT(ISBLANK('A-RACHNATMAK'!T561)),"C","")))</f>
        <v/>
      </c>
      <c r="T532" s="622" t="str">
        <f>IF(NOT(ISBLANK('A-RACHNATMAK'!U563)),"A",IF(NOT(ISBLANK('A-RACHNATMAK'!U562)),"B",IF(NOT(ISBLANK('A-RACHNATMAK'!U561)),"C","")))</f>
        <v/>
      </c>
      <c r="U532" s="622" t="str">
        <f>IF(NOT(ISBLANK('A-RACHNATMAK'!V563)),"A",IF(NOT(ISBLANK('A-RACHNATMAK'!V562)),"B",IF(NOT(ISBLANK('A-RACHNATMAK'!V561)),"C","")))</f>
        <v/>
      </c>
      <c r="V532" s="622">
        <f t="shared" ref="V532" si="1014">COUNTIF(B532:U532,"A")</f>
        <v>0</v>
      </c>
      <c r="W532" s="622">
        <f t="shared" ref="W532" si="1015">COUNTIF(B532:U532,"B")</f>
        <v>0</v>
      </c>
      <c r="X532" s="622">
        <f t="shared" ref="X532" si="1016">COUNTIF(B532:U532,"C")</f>
        <v>0</v>
      </c>
      <c r="Y532" s="330"/>
      <c r="Z532" s="623">
        <v>35</v>
      </c>
      <c r="AA532" s="622" t="str">
        <f>IF(NOT(ISBLANK('A-RACHNATMAK'!AD563)),"A",IF(NOT(ISBLANK('A-RACHNATMAK'!AD562)),"B",IF(NOT(ISBLANK('A-RACHNATMAK'!AD561)),"C","")))</f>
        <v/>
      </c>
      <c r="AB532" s="622" t="str">
        <f>IF(NOT(ISBLANK('A-RACHNATMAK'!AE563)),"A",IF(NOT(ISBLANK('A-RACHNATMAK'!AE562)),"B",IF(NOT(ISBLANK('A-RACHNATMAK'!AE561)),"C","")))</f>
        <v/>
      </c>
      <c r="AC532" s="622" t="str">
        <f>IF(NOT(ISBLANK('A-RACHNATMAK'!AF563)),"A",IF(NOT(ISBLANK('A-RACHNATMAK'!AF562)),"B",IF(NOT(ISBLANK('A-RACHNATMAK'!AF561)),"C","")))</f>
        <v/>
      </c>
      <c r="AD532" s="622" t="str">
        <f>IF(NOT(ISBLANK('A-RACHNATMAK'!AG563)),"A",IF(NOT(ISBLANK('A-RACHNATMAK'!AG562)),"B",IF(NOT(ISBLANK('A-RACHNATMAK'!AG561)),"C","")))</f>
        <v/>
      </c>
      <c r="AE532" s="622" t="str">
        <f>IF(NOT(ISBLANK('A-RACHNATMAK'!AH563)),"A",IF(NOT(ISBLANK('A-RACHNATMAK'!AH562)),"B",IF(NOT(ISBLANK('A-RACHNATMAK'!AH561)),"C","")))</f>
        <v/>
      </c>
      <c r="AF532" s="622" t="str">
        <f>IF(NOT(ISBLANK('A-RACHNATMAK'!AI563)),"A",IF(NOT(ISBLANK('A-RACHNATMAK'!AI562)),"B",IF(NOT(ISBLANK('A-RACHNATMAK'!AI561)),"C","")))</f>
        <v/>
      </c>
      <c r="AG532" s="622" t="str">
        <f>IF(NOT(ISBLANK('A-RACHNATMAK'!AJ563)),"A",IF(NOT(ISBLANK('A-RACHNATMAK'!AJ562)),"B",IF(NOT(ISBLANK('A-RACHNATMAK'!AJ561)),"C","")))</f>
        <v/>
      </c>
      <c r="AH532" s="622" t="str">
        <f>IF(NOT(ISBLANK('A-RACHNATMAK'!AK563)),"A",IF(NOT(ISBLANK('A-RACHNATMAK'!AK562)),"B",IF(NOT(ISBLANK('A-RACHNATMAK'!AK561)),"C","")))</f>
        <v/>
      </c>
      <c r="AI532" s="622" t="str">
        <f>IF(NOT(ISBLANK('A-RACHNATMAK'!AL563)),"A",IF(NOT(ISBLANK('A-RACHNATMAK'!AL562)),"B",IF(NOT(ISBLANK('A-RACHNATMAK'!AL561)),"C","")))</f>
        <v/>
      </c>
      <c r="AJ532" s="622" t="str">
        <f>IF(NOT(ISBLANK('A-RACHNATMAK'!AM563)),"A",IF(NOT(ISBLANK('A-RACHNATMAK'!AM562)),"B",IF(NOT(ISBLANK('A-RACHNATMAK'!AM561)),"C","")))</f>
        <v/>
      </c>
      <c r="AK532" s="622" t="str">
        <f>IF(NOT(ISBLANK('A-RACHNATMAK'!AN563)),"A",IF(NOT(ISBLANK('A-RACHNATMAK'!AN562)),"B",IF(NOT(ISBLANK('A-RACHNATMAK'!AN561)),"C","")))</f>
        <v/>
      </c>
      <c r="AL532" s="622" t="str">
        <f>IF(NOT(ISBLANK('A-RACHNATMAK'!AO563)),"A",IF(NOT(ISBLANK('A-RACHNATMAK'!AO562)),"B",IF(NOT(ISBLANK('A-RACHNATMAK'!AO561)),"C","")))</f>
        <v/>
      </c>
      <c r="AM532" s="622" t="str">
        <f>IF(NOT(ISBLANK('A-RACHNATMAK'!AP563)),"A",IF(NOT(ISBLANK('A-RACHNATMAK'!AP562)),"B",IF(NOT(ISBLANK('A-RACHNATMAK'!AP561)),"C","")))</f>
        <v/>
      </c>
      <c r="AN532" s="622" t="str">
        <f>IF(NOT(ISBLANK('A-RACHNATMAK'!AQ563)),"A",IF(NOT(ISBLANK('A-RACHNATMAK'!AQ562)),"B",IF(NOT(ISBLANK('A-RACHNATMAK'!AQ561)),"C","")))</f>
        <v/>
      </c>
      <c r="AO532" s="622" t="str">
        <f>IF(NOT(ISBLANK('A-RACHNATMAK'!AR563)),"A",IF(NOT(ISBLANK('A-RACHNATMAK'!AR562)),"B",IF(NOT(ISBLANK('A-RACHNATMAK'!AR561)),"C","")))</f>
        <v/>
      </c>
      <c r="AP532" s="622" t="str">
        <f>IF(NOT(ISBLANK('A-RACHNATMAK'!AS563)),"A",IF(NOT(ISBLANK('A-RACHNATMAK'!AS562)),"B",IF(NOT(ISBLANK('A-RACHNATMAK'!AS561)),"C","")))</f>
        <v/>
      </c>
      <c r="AQ532" s="622" t="str">
        <f>IF(NOT(ISBLANK('A-RACHNATMAK'!AT563)),"A",IF(NOT(ISBLANK('A-RACHNATMAK'!AT562)),"B",IF(NOT(ISBLANK('A-RACHNATMAK'!AT561)),"C","")))</f>
        <v/>
      </c>
      <c r="AR532" s="622" t="str">
        <f>IF(NOT(ISBLANK('A-RACHNATMAK'!AU563)),"A",IF(NOT(ISBLANK('A-RACHNATMAK'!AU562)),"B",IF(NOT(ISBLANK('A-RACHNATMAK'!AU561)),"C","")))</f>
        <v/>
      </c>
      <c r="AS532" s="622" t="str">
        <f>IF(NOT(ISBLANK('A-RACHNATMAK'!AV563)),"A",IF(NOT(ISBLANK('A-RACHNATMAK'!AV562)),"B",IF(NOT(ISBLANK('A-RACHNATMAK'!AV561)),"C","")))</f>
        <v/>
      </c>
      <c r="AT532" s="622" t="str">
        <f>IF(NOT(ISBLANK('A-RACHNATMAK'!AW563)),"A",IF(NOT(ISBLANK('A-RACHNATMAK'!AW562)),"B",IF(NOT(ISBLANK('A-RACHNATMAK'!AW561)),"C","")))</f>
        <v/>
      </c>
      <c r="AU532" s="622">
        <f t="shared" ref="AU532" si="1017">COUNTIF(AA532:AT532,"A")</f>
        <v>0</v>
      </c>
      <c r="AV532" s="622">
        <f t="shared" ref="AV532" si="1018">COUNTIF(AA532:AT532,"B")</f>
        <v>0</v>
      </c>
      <c r="AW532" s="622">
        <f t="shared" ref="AW532" si="1019">COUNTIF(AA532:AT532,"C")</f>
        <v>0</v>
      </c>
    </row>
    <row r="533" spans="1:49" ht="7.5" customHeight="1">
      <c r="A533" s="623"/>
      <c r="B533" s="622"/>
      <c r="C533" s="622"/>
      <c r="D533" s="622"/>
      <c r="E533" s="622"/>
      <c r="F533" s="622"/>
      <c r="G533" s="622"/>
      <c r="H533" s="622"/>
      <c r="I533" s="622"/>
      <c r="J533" s="622"/>
      <c r="K533" s="622"/>
      <c r="L533" s="622"/>
      <c r="M533" s="622"/>
      <c r="N533" s="622"/>
      <c r="O533" s="622"/>
      <c r="P533" s="622"/>
      <c r="Q533" s="622"/>
      <c r="R533" s="622"/>
      <c r="S533" s="622"/>
      <c r="T533" s="622"/>
      <c r="U533" s="622"/>
      <c r="V533" s="622"/>
      <c r="W533" s="622"/>
      <c r="X533" s="622"/>
      <c r="Y533" s="330"/>
      <c r="Z533" s="623"/>
      <c r="AA533" s="622"/>
      <c r="AB533" s="622"/>
      <c r="AC533" s="622"/>
      <c r="AD533" s="622"/>
      <c r="AE533" s="622"/>
      <c r="AF533" s="622"/>
      <c r="AG533" s="622"/>
      <c r="AH533" s="622"/>
      <c r="AI533" s="622"/>
      <c r="AJ533" s="622"/>
      <c r="AK533" s="622"/>
      <c r="AL533" s="622"/>
      <c r="AM533" s="622"/>
      <c r="AN533" s="622"/>
      <c r="AO533" s="622"/>
      <c r="AP533" s="622"/>
      <c r="AQ533" s="622"/>
      <c r="AR533" s="622"/>
      <c r="AS533" s="622"/>
      <c r="AT533" s="622"/>
      <c r="AU533" s="622"/>
      <c r="AV533" s="622"/>
      <c r="AW533" s="622"/>
    </row>
    <row r="534" spans="1:49" ht="7.5" customHeight="1">
      <c r="A534" s="623"/>
      <c r="B534" s="622"/>
      <c r="C534" s="622"/>
      <c r="D534" s="622"/>
      <c r="E534" s="622"/>
      <c r="F534" s="622"/>
      <c r="G534" s="622"/>
      <c r="H534" s="622"/>
      <c r="I534" s="622"/>
      <c r="J534" s="622"/>
      <c r="K534" s="622"/>
      <c r="L534" s="622"/>
      <c r="M534" s="622"/>
      <c r="N534" s="622"/>
      <c r="O534" s="622"/>
      <c r="P534" s="622"/>
      <c r="Q534" s="622"/>
      <c r="R534" s="622"/>
      <c r="S534" s="622"/>
      <c r="T534" s="622"/>
      <c r="U534" s="622"/>
      <c r="V534" s="622"/>
      <c r="W534" s="622"/>
      <c r="X534" s="622"/>
      <c r="Y534" s="330"/>
      <c r="Z534" s="623"/>
      <c r="AA534" s="622"/>
      <c r="AB534" s="622"/>
      <c r="AC534" s="622"/>
      <c r="AD534" s="622"/>
      <c r="AE534" s="622"/>
      <c r="AF534" s="622"/>
      <c r="AG534" s="622"/>
      <c r="AH534" s="622"/>
      <c r="AI534" s="622"/>
      <c r="AJ534" s="622"/>
      <c r="AK534" s="622"/>
      <c r="AL534" s="622"/>
      <c r="AM534" s="622"/>
      <c r="AN534" s="622"/>
      <c r="AO534" s="622"/>
      <c r="AP534" s="622"/>
      <c r="AQ534" s="622"/>
      <c r="AR534" s="622"/>
      <c r="AS534" s="622"/>
      <c r="AT534" s="622"/>
      <c r="AU534" s="622"/>
      <c r="AV534" s="622"/>
      <c r="AW534" s="622"/>
    </row>
    <row r="536" spans="1:49">
      <c r="B536" s="624" t="s">
        <v>328</v>
      </c>
      <c r="C536" s="624"/>
      <c r="D536" s="624"/>
      <c r="E536" s="624"/>
      <c r="F536" s="624"/>
      <c r="G536" s="624"/>
      <c r="H536" s="624"/>
      <c r="I536" s="624"/>
      <c r="J536" s="624"/>
      <c r="K536" s="624"/>
      <c r="L536" s="624"/>
      <c r="M536" s="624"/>
      <c r="N536" s="624"/>
      <c r="O536" s="624"/>
      <c r="P536" s="624"/>
      <c r="Q536" s="624"/>
      <c r="R536" s="624"/>
      <c r="S536" s="624"/>
      <c r="T536" s="624"/>
      <c r="U536" s="624"/>
      <c r="V536" s="624"/>
      <c r="W536" s="624"/>
      <c r="X536" s="624"/>
      <c r="Y536" s="331"/>
      <c r="AA536" s="624" t="s">
        <v>329</v>
      </c>
      <c r="AB536" s="624"/>
      <c r="AC536" s="624"/>
      <c r="AD536" s="624"/>
      <c r="AE536" s="624"/>
      <c r="AF536" s="624"/>
      <c r="AG536" s="624"/>
      <c r="AH536" s="624"/>
      <c r="AI536" s="624"/>
      <c r="AJ536" s="624"/>
      <c r="AK536" s="624"/>
      <c r="AL536" s="624"/>
      <c r="AM536" s="624"/>
      <c r="AN536" s="624"/>
      <c r="AO536" s="624"/>
      <c r="AP536" s="624"/>
      <c r="AQ536" s="624"/>
      <c r="AR536" s="624"/>
      <c r="AS536" s="624"/>
      <c r="AT536" s="624"/>
      <c r="AU536" s="624"/>
      <c r="AV536" s="624"/>
      <c r="AW536" s="624"/>
    </row>
    <row r="537" spans="1:49" ht="7.5" customHeight="1">
      <c r="A537" s="623">
        <v>1</v>
      </c>
      <c r="B537" s="622" t="str">
        <f>IF(NOT(ISBLANK('A-RACHNATMAK'!C573)),"A",IF(NOT(ISBLANK('A-RACHNATMAK'!C572)),"B",IF(NOT(ISBLANK('A-RACHNATMAK'!C571)),"C","")))</f>
        <v/>
      </c>
      <c r="C537" s="622" t="str">
        <f>IF(NOT(ISBLANK('A-RACHNATMAK'!D573)),"A",IF(NOT(ISBLANK('A-RACHNATMAK'!D572)),"B",IF(NOT(ISBLANK('A-RACHNATMAK'!D571)),"C","")))</f>
        <v/>
      </c>
      <c r="D537" s="622" t="str">
        <f>IF(NOT(ISBLANK('A-RACHNATMAK'!E573)),"A",IF(NOT(ISBLANK('A-RACHNATMAK'!E572)),"B",IF(NOT(ISBLANK('A-RACHNATMAK'!E571)),"C","")))</f>
        <v/>
      </c>
      <c r="E537" s="622" t="str">
        <f>IF(NOT(ISBLANK('A-RACHNATMAK'!F573)),"A",IF(NOT(ISBLANK('A-RACHNATMAK'!F572)),"B",IF(NOT(ISBLANK('A-RACHNATMAK'!F571)),"C","")))</f>
        <v/>
      </c>
      <c r="F537" s="622" t="str">
        <f>IF(NOT(ISBLANK('A-RACHNATMAK'!G573)),"A",IF(NOT(ISBLANK('A-RACHNATMAK'!G572)),"B",IF(NOT(ISBLANK('A-RACHNATMAK'!G571)),"C","")))</f>
        <v/>
      </c>
      <c r="G537" s="622" t="str">
        <f>IF(NOT(ISBLANK('A-RACHNATMAK'!H573)),"A",IF(NOT(ISBLANK('A-RACHNATMAK'!H572)),"B",IF(NOT(ISBLANK('A-RACHNATMAK'!H571)),"C","")))</f>
        <v/>
      </c>
      <c r="H537" s="622" t="str">
        <f>IF(NOT(ISBLANK('A-RACHNATMAK'!I573)),"A",IF(NOT(ISBLANK('A-RACHNATMAK'!I572)),"B",IF(NOT(ISBLANK('A-RACHNATMAK'!I571)),"C","")))</f>
        <v/>
      </c>
      <c r="I537" s="622" t="str">
        <f>IF(NOT(ISBLANK('A-RACHNATMAK'!J573)),"A",IF(NOT(ISBLANK('A-RACHNATMAK'!J572)),"B",IF(NOT(ISBLANK('A-RACHNATMAK'!J571)),"C","")))</f>
        <v/>
      </c>
      <c r="J537" s="622" t="str">
        <f>IF(NOT(ISBLANK('A-RACHNATMAK'!K573)),"A",IF(NOT(ISBLANK('A-RACHNATMAK'!K572)),"B",IF(NOT(ISBLANK('A-RACHNATMAK'!K571)),"C","")))</f>
        <v/>
      </c>
      <c r="K537" s="622" t="str">
        <f>IF(NOT(ISBLANK('A-RACHNATMAK'!L573)),"A",IF(NOT(ISBLANK('A-RACHNATMAK'!L572)),"B",IF(NOT(ISBLANK('A-RACHNATMAK'!L571)),"C","")))</f>
        <v/>
      </c>
      <c r="L537" s="622" t="str">
        <f>IF(NOT(ISBLANK('A-RACHNATMAK'!M573)),"A",IF(NOT(ISBLANK('A-RACHNATMAK'!M572)),"B",IF(NOT(ISBLANK('A-RACHNATMAK'!M571)),"C","")))</f>
        <v/>
      </c>
      <c r="M537" s="622" t="str">
        <f>IF(NOT(ISBLANK('A-RACHNATMAK'!N573)),"A",IF(NOT(ISBLANK('A-RACHNATMAK'!N572)),"B",IF(NOT(ISBLANK('A-RACHNATMAK'!N571)),"C","")))</f>
        <v/>
      </c>
      <c r="N537" s="622" t="str">
        <f>IF(NOT(ISBLANK('A-RACHNATMAK'!O573)),"A",IF(NOT(ISBLANK('A-RACHNATMAK'!O572)),"B",IF(NOT(ISBLANK('A-RACHNATMAK'!O571)),"C","")))</f>
        <v/>
      </c>
      <c r="O537" s="622" t="str">
        <f>IF(NOT(ISBLANK('A-RACHNATMAK'!P573)),"A",IF(NOT(ISBLANK('A-RACHNATMAK'!P572)),"B",IF(NOT(ISBLANK('A-RACHNATMAK'!P571)),"C","")))</f>
        <v/>
      </c>
      <c r="P537" s="622" t="str">
        <f>IF(NOT(ISBLANK('A-RACHNATMAK'!Q573)),"A",IF(NOT(ISBLANK('A-RACHNATMAK'!Q572)),"B",IF(NOT(ISBLANK('A-RACHNATMAK'!Q571)),"C","")))</f>
        <v/>
      </c>
      <c r="Q537" s="622" t="str">
        <f>IF(NOT(ISBLANK('A-RACHNATMAK'!R573)),"A",IF(NOT(ISBLANK('A-RACHNATMAK'!R572)),"B",IF(NOT(ISBLANK('A-RACHNATMAK'!R571)),"C","")))</f>
        <v/>
      </c>
      <c r="R537" s="622" t="str">
        <f>IF(NOT(ISBLANK('A-RACHNATMAK'!S573)),"A",IF(NOT(ISBLANK('A-RACHNATMAK'!S572)),"B",IF(NOT(ISBLANK('A-RACHNATMAK'!S571)),"C","")))</f>
        <v/>
      </c>
      <c r="S537" s="622" t="str">
        <f>IF(NOT(ISBLANK('A-RACHNATMAK'!T573)),"A",IF(NOT(ISBLANK('A-RACHNATMAK'!T572)),"B",IF(NOT(ISBLANK('A-RACHNATMAK'!T571)),"C","")))</f>
        <v/>
      </c>
      <c r="T537" s="622" t="str">
        <f>IF(NOT(ISBLANK('A-RACHNATMAK'!U573)),"A",IF(NOT(ISBLANK('A-RACHNATMAK'!U572)),"B",IF(NOT(ISBLANK('A-RACHNATMAK'!U571)),"C","")))</f>
        <v/>
      </c>
      <c r="U537" s="622" t="str">
        <f>IF(NOT(ISBLANK('A-RACHNATMAK'!V573)),"A",IF(NOT(ISBLANK('A-RACHNATMAK'!V572)),"B",IF(NOT(ISBLANK('A-RACHNATMAK'!V571)),"C","")))</f>
        <v/>
      </c>
      <c r="V537" s="622">
        <f>COUNTIF(B537:U537,"A")</f>
        <v>0</v>
      </c>
      <c r="W537" s="622">
        <f>COUNTIF(B537:U537,"B")</f>
        <v>0</v>
      </c>
      <c r="X537" s="622">
        <f>COUNTIF(B537:U537,"C")</f>
        <v>0</v>
      </c>
      <c r="Y537" s="330"/>
      <c r="Z537" s="623">
        <v>1</v>
      </c>
      <c r="AA537" s="622" t="str">
        <f>IF(NOT(ISBLANK('A-RACHNATMAK'!AD573)),"A",IF(NOT(ISBLANK('A-RACHNATMAK'!AD572)),"B",IF(NOT(ISBLANK('A-RACHNATMAK'!AD571)),"C","")))</f>
        <v/>
      </c>
      <c r="AB537" s="622" t="str">
        <f>IF(NOT(ISBLANK('A-RACHNATMAK'!AE573)),"A",IF(NOT(ISBLANK('A-RACHNATMAK'!AE572)),"B",IF(NOT(ISBLANK('A-RACHNATMAK'!AE571)),"C","")))</f>
        <v/>
      </c>
      <c r="AC537" s="622" t="str">
        <f>IF(NOT(ISBLANK('A-RACHNATMAK'!AF573)),"A",IF(NOT(ISBLANK('A-RACHNATMAK'!AF572)),"B",IF(NOT(ISBLANK('A-RACHNATMAK'!AF571)),"C","")))</f>
        <v/>
      </c>
      <c r="AD537" s="622" t="str">
        <f>IF(NOT(ISBLANK('A-RACHNATMAK'!AG573)),"A",IF(NOT(ISBLANK('A-RACHNATMAK'!AG572)),"B",IF(NOT(ISBLANK('A-RACHNATMAK'!AG571)),"C","")))</f>
        <v/>
      </c>
      <c r="AE537" s="622" t="str">
        <f>IF(NOT(ISBLANK('A-RACHNATMAK'!AH573)),"A",IF(NOT(ISBLANK('A-RACHNATMAK'!AH572)),"B",IF(NOT(ISBLANK('A-RACHNATMAK'!AH571)),"C","")))</f>
        <v/>
      </c>
      <c r="AF537" s="622" t="str">
        <f>IF(NOT(ISBLANK('A-RACHNATMAK'!AI573)),"A",IF(NOT(ISBLANK('A-RACHNATMAK'!AI572)),"B",IF(NOT(ISBLANK('A-RACHNATMAK'!AI571)),"C","")))</f>
        <v/>
      </c>
      <c r="AG537" s="622" t="str">
        <f>IF(NOT(ISBLANK('A-RACHNATMAK'!AJ573)),"A",IF(NOT(ISBLANK('A-RACHNATMAK'!AJ572)),"B",IF(NOT(ISBLANK('A-RACHNATMAK'!AJ571)),"C","")))</f>
        <v/>
      </c>
      <c r="AH537" s="622" t="str">
        <f>IF(NOT(ISBLANK('A-RACHNATMAK'!AK573)),"A",IF(NOT(ISBLANK('A-RACHNATMAK'!AK572)),"B",IF(NOT(ISBLANK('A-RACHNATMAK'!AK571)),"C","")))</f>
        <v/>
      </c>
      <c r="AI537" s="622" t="str">
        <f>IF(NOT(ISBLANK('A-RACHNATMAK'!AL573)),"A",IF(NOT(ISBLANK('A-RACHNATMAK'!AL572)),"B",IF(NOT(ISBLANK('A-RACHNATMAK'!AL571)),"C","")))</f>
        <v/>
      </c>
      <c r="AJ537" s="622" t="str">
        <f>IF(NOT(ISBLANK('A-RACHNATMAK'!AM573)),"A",IF(NOT(ISBLANK('A-RACHNATMAK'!AM572)),"B",IF(NOT(ISBLANK('A-RACHNATMAK'!AM571)),"C","")))</f>
        <v/>
      </c>
      <c r="AK537" s="622" t="str">
        <f>IF(NOT(ISBLANK('A-RACHNATMAK'!AN573)),"A",IF(NOT(ISBLANK('A-RACHNATMAK'!AN572)),"B",IF(NOT(ISBLANK('A-RACHNATMAK'!AN571)),"C","")))</f>
        <v/>
      </c>
      <c r="AL537" s="622" t="str">
        <f>IF(NOT(ISBLANK('A-RACHNATMAK'!AO573)),"A",IF(NOT(ISBLANK('A-RACHNATMAK'!AO572)),"B",IF(NOT(ISBLANK('A-RACHNATMAK'!AO571)),"C","")))</f>
        <v/>
      </c>
      <c r="AM537" s="622" t="str">
        <f>IF(NOT(ISBLANK('A-RACHNATMAK'!AP573)),"A",IF(NOT(ISBLANK('A-RACHNATMAK'!AP572)),"B",IF(NOT(ISBLANK('A-RACHNATMAK'!AP571)),"C","")))</f>
        <v/>
      </c>
      <c r="AN537" s="622" t="str">
        <f>IF(NOT(ISBLANK('A-RACHNATMAK'!AQ573)),"A",IF(NOT(ISBLANK('A-RACHNATMAK'!AQ572)),"B",IF(NOT(ISBLANK('A-RACHNATMAK'!AQ571)),"C","")))</f>
        <v/>
      </c>
      <c r="AO537" s="622" t="str">
        <f>IF(NOT(ISBLANK('A-RACHNATMAK'!AR573)),"A",IF(NOT(ISBLANK('A-RACHNATMAK'!AR572)),"B",IF(NOT(ISBLANK('A-RACHNATMAK'!AR571)),"C","")))</f>
        <v/>
      </c>
      <c r="AP537" s="622" t="str">
        <f>IF(NOT(ISBLANK('A-RACHNATMAK'!AS573)),"A",IF(NOT(ISBLANK('A-RACHNATMAK'!AS572)),"B",IF(NOT(ISBLANK('A-RACHNATMAK'!AS571)),"C","")))</f>
        <v/>
      </c>
      <c r="AQ537" s="622" t="str">
        <f>IF(NOT(ISBLANK('A-RACHNATMAK'!AT573)),"A",IF(NOT(ISBLANK('A-RACHNATMAK'!AT572)),"B",IF(NOT(ISBLANK('A-RACHNATMAK'!AT571)),"C","")))</f>
        <v/>
      </c>
      <c r="AR537" s="622" t="str">
        <f>IF(NOT(ISBLANK('A-RACHNATMAK'!AU573)),"A",IF(NOT(ISBLANK('A-RACHNATMAK'!AU572)),"B",IF(NOT(ISBLANK('A-RACHNATMAK'!AU571)),"C","")))</f>
        <v/>
      </c>
      <c r="AS537" s="622" t="str">
        <f>IF(NOT(ISBLANK('A-RACHNATMAK'!AV573)),"A",IF(NOT(ISBLANK('A-RACHNATMAK'!AV572)),"B",IF(NOT(ISBLANK('A-RACHNATMAK'!AV571)),"C","")))</f>
        <v/>
      </c>
      <c r="AT537" s="622" t="str">
        <f>IF(NOT(ISBLANK('A-RACHNATMAK'!AW573)),"A",IF(NOT(ISBLANK('A-RACHNATMAK'!AW572)),"B",IF(NOT(ISBLANK('A-RACHNATMAK'!AW571)),"C","")))</f>
        <v/>
      </c>
      <c r="AU537" s="622">
        <f>COUNTIF(AA537:AT537,"A")</f>
        <v>0</v>
      </c>
      <c r="AV537" s="622">
        <f>COUNTIF(AA537:AT537,"B")</f>
        <v>0</v>
      </c>
      <c r="AW537" s="622">
        <f>COUNTIF(AA537:AT537,"C")</f>
        <v>0</v>
      </c>
    </row>
    <row r="538" spans="1:49" ht="7.5" customHeight="1">
      <c r="A538" s="623"/>
      <c r="B538" s="622"/>
      <c r="C538" s="622"/>
      <c r="D538" s="622"/>
      <c r="E538" s="622"/>
      <c r="F538" s="622"/>
      <c r="G538" s="622"/>
      <c r="H538" s="622"/>
      <c r="I538" s="622"/>
      <c r="J538" s="622"/>
      <c r="K538" s="622"/>
      <c r="L538" s="622"/>
      <c r="M538" s="622"/>
      <c r="N538" s="622"/>
      <c r="O538" s="622"/>
      <c r="P538" s="622"/>
      <c r="Q538" s="622"/>
      <c r="R538" s="622"/>
      <c r="S538" s="622"/>
      <c r="T538" s="622"/>
      <c r="U538" s="622"/>
      <c r="V538" s="622"/>
      <c r="W538" s="622"/>
      <c r="X538" s="622"/>
      <c r="Y538" s="330"/>
      <c r="Z538" s="623"/>
      <c r="AA538" s="622"/>
      <c r="AB538" s="622"/>
      <c r="AC538" s="622"/>
      <c r="AD538" s="622"/>
      <c r="AE538" s="622"/>
      <c r="AF538" s="622"/>
      <c r="AG538" s="622"/>
      <c r="AH538" s="622"/>
      <c r="AI538" s="622"/>
      <c r="AJ538" s="622"/>
      <c r="AK538" s="622"/>
      <c r="AL538" s="622"/>
      <c r="AM538" s="622"/>
      <c r="AN538" s="622"/>
      <c r="AO538" s="622"/>
      <c r="AP538" s="622"/>
      <c r="AQ538" s="622"/>
      <c r="AR538" s="622"/>
      <c r="AS538" s="622"/>
      <c r="AT538" s="622"/>
      <c r="AU538" s="622"/>
      <c r="AV538" s="622"/>
      <c r="AW538" s="622"/>
    </row>
    <row r="539" spans="1:49" ht="7.5" customHeight="1">
      <c r="A539" s="623"/>
      <c r="B539" s="622"/>
      <c r="C539" s="622"/>
      <c r="D539" s="622"/>
      <c r="E539" s="622"/>
      <c r="F539" s="622"/>
      <c r="G539" s="622"/>
      <c r="H539" s="622"/>
      <c r="I539" s="622"/>
      <c r="J539" s="622"/>
      <c r="K539" s="622"/>
      <c r="L539" s="622"/>
      <c r="M539" s="622"/>
      <c r="N539" s="622"/>
      <c r="O539" s="622"/>
      <c r="P539" s="622"/>
      <c r="Q539" s="622"/>
      <c r="R539" s="622"/>
      <c r="S539" s="622"/>
      <c r="T539" s="622"/>
      <c r="U539" s="622"/>
      <c r="V539" s="622"/>
      <c r="W539" s="622"/>
      <c r="X539" s="622"/>
      <c r="Y539" s="330"/>
      <c r="Z539" s="623"/>
      <c r="AA539" s="622"/>
      <c r="AB539" s="622"/>
      <c r="AC539" s="622"/>
      <c r="AD539" s="622"/>
      <c r="AE539" s="622"/>
      <c r="AF539" s="622"/>
      <c r="AG539" s="622"/>
      <c r="AH539" s="622"/>
      <c r="AI539" s="622"/>
      <c r="AJ539" s="622"/>
      <c r="AK539" s="622"/>
      <c r="AL539" s="622"/>
      <c r="AM539" s="622"/>
      <c r="AN539" s="622"/>
      <c r="AO539" s="622"/>
      <c r="AP539" s="622"/>
      <c r="AQ539" s="622"/>
      <c r="AR539" s="622"/>
      <c r="AS539" s="622"/>
      <c r="AT539" s="622"/>
      <c r="AU539" s="622"/>
      <c r="AV539" s="622"/>
      <c r="AW539" s="622"/>
    </row>
    <row r="540" spans="1:49" ht="7.5" customHeight="1">
      <c r="A540" s="623">
        <v>2</v>
      </c>
      <c r="B540" s="622" t="str">
        <f>IF(NOT(ISBLANK('A-RACHNATMAK'!C576)),"A",IF(NOT(ISBLANK('A-RACHNATMAK'!C575)),"B",IF(NOT(ISBLANK('A-RACHNATMAK'!C574)),"C","")))</f>
        <v/>
      </c>
      <c r="C540" s="622" t="str">
        <f>IF(NOT(ISBLANK('A-RACHNATMAK'!D576)),"A",IF(NOT(ISBLANK('A-RACHNATMAK'!D575)),"B",IF(NOT(ISBLANK('A-RACHNATMAK'!D574)),"C","")))</f>
        <v/>
      </c>
      <c r="D540" s="622" t="str">
        <f>IF(NOT(ISBLANK('A-RACHNATMAK'!E576)),"A",IF(NOT(ISBLANK('A-RACHNATMAK'!E575)),"B",IF(NOT(ISBLANK('A-RACHNATMAK'!E574)),"C","")))</f>
        <v/>
      </c>
      <c r="E540" s="622" t="str">
        <f>IF(NOT(ISBLANK('A-RACHNATMAK'!F576)),"A",IF(NOT(ISBLANK('A-RACHNATMAK'!F575)),"B",IF(NOT(ISBLANK('A-RACHNATMAK'!F574)),"C","")))</f>
        <v/>
      </c>
      <c r="F540" s="622" t="str">
        <f>IF(NOT(ISBLANK('A-RACHNATMAK'!G576)),"A",IF(NOT(ISBLANK('A-RACHNATMAK'!G575)),"B",IF(NOT(ISBLANK('A-RACHNATMAK'!G574)),"C","")))</f>
        <v/>
      </c>
      <c r="G540" s="622" t="str">
        <f>IF(NOT(ISBLANK('A-RACHNATMAK'!H576)),"A",IF(NOT(ISBLANK('A-RACHNATMAK'!H575)),"B",IF(NOT(ISBLANK('A-RACHNATMAK'!H574)),"C","")))</f>
        <v/>
      </c>
      <c r="H540" s="622" t="str">
        <f>IF(NOT(ISBLANK('A-RACHNATMAK'!I576)),"A",IF(NOT(ISBLANK('A-RACHNATMAK'!I575)),"B",IF(NOT(ISBLANK('A-RACHNATMAK'!I574)),"C","")))</f>
        <v/>
      </c>
      <c r="I540" s="622" t="str">
        <f>IF(NOT(ISBLANK('A-RACHNATMAK'!J576)),"A",IF(NOT(ISBLANK('A-RACHNATMAK'!J575)),"B",IF(NOT(ISBLANK('A-RACHNATMAK'!J574)),"C","")))</f>
        <v/>
      </c>
      <c r="J540" s="622" t="str">
        <f>IF(NOT(ISBLANK('A-RACHNATMAK'!K576)),"A",IF(NOT(ISBLANK('A-RACHNATMAK'!K575)),"B",IF(NOT(ISBLANK('A-RACHNATMAK'!K574)),"C","")))</f>
        <v/>
      </c>
      <c r="K540" s="622" t="str">
        <f>IF(NOT(ISBLANK('A-RACHNATMAK'!L576)),"A",IF(NOT(ISBLANK('A-RACHNATMAK'!L575)),"B",IF(NOT(ISBLANK('A-RACHNATMAK'!L574)),"C","")))</f>
        <v/>
      </c>
      <c r="L540" s="622" t="str">
        <f>IF(NOT(ISBLANK('A-RACHNATMAK'!M576)),"A",IF(NOT(ISBLANK('A-RACHNATMAK'!M575)),"B",IF(NOT(ISBLANK('A-RACHNATMAK'!M574)),"C","")))</f>
        <v/>
      </c>
      <c r="M540" s="622" t="str">
        <f>IF(NOT(ISBLANK('A-RACHNATMAK'!N576)),"A",IF(NOT(ISBLANK('A-RACHNATMAK'!N575)),"B",IF(NOT(ISBLANK('A-RACHNATMAK'!N574)),"C","")))</f>
        <v/>
      </c>
      <c r="N540" s="622" t="str">
        <f>IF(NOT(ISBLANK('A-RACHNATMAK'!O576)),"A",IF(NOT(ISBLANK('A-RACHNATMAK'!O575)),"B",IF(NOT(ISBLANK('A-RACHNATMAK'!O574)),"C","")))</f>
        <v/>
      </c>
      <c r="O540" s="622" t="str">
        <f>IF(NOT(ISBLANK('A-RACHNATMAK'!P576)),"A",IF(NOT(ISBLANK('A-RACHNATMAK'!P575)),"B",IF(NOT(ISBLANK('A-RACHNATMAK'!P574)),"C","")))</f>
        <v/>
      </c>
      <c r="P540" s="622" t="str">
        <f>IF(NOT(ISBLANK('A-RACHNATMAK'!Q576)),"A",IF(NOT(ISBLANK('A-RACHNATMAK'!Q575)),"B",IF(NOT(ISBLANK('A-RACHNATMAK'!Q574)),"C","")))</f>
        <v/>
      </c>
      <c r="Q540" s="622" t="str">
        <f>IF(NOT(ISBLANK('A-RACHNATMAK'!R576)),"A",IF(NOT(ISBLANK('A-RACHNATMAK'!R575)),"B",IF(NOT(ISBLANK('A-RACHNATMAK'!R574)),"C","")))</f>
        <v/>
      </c>
      <c r="R540" s="622" t="str">
        <f>IF(NOT(ISBLANK('A-RACHNATMAK'!S576)),"A",IF(NOT(ISBLANK('A-RACHNATMAK'!S575)),"B",IF(NOT(ISBLANK('A-RACHNATMAK'!S574)),"C","")))</f>
        <v/>
      </c>
      <c r="S540" s="622" t="str">
        <f>IF(NOT(ISBLANK('A-RACHNATMAK'!T576)),"A",IF(NOT(ISBLANK('A-RACHNATMAK'!T575)),"B",IF(NOT(ISBLANK('A-RACHNATMAK'!T574)),"C","")))</f>
        <v/>
      </c>
      <c r="T540" s="622" t="str">
        <f>IF(NOT(ISBLANK('A-RACHNATMAK'!U576)),"A",IF(NOT(ISBLANK('A-RACHNATMAK'!U575)),"B",IF(NOT(ISBLANK('A-RACHNATMAK'!U574)),"C","")))</f>
        <v/>
      </c>
      <c r="U540" s="622" t="str">
        <f>IF(NOT(ISBLANK('A-RACHNATMAK'!V576)),"A",IF(NOT(ISBLANK('A-RACHNATMAK'!V575)),"B",IF(NOT(ISBLANK('A-RACHNATMAK'!V574)),"C","")))</f>
        <v/>
      </c>
      <c r="V540" s="622">
        <f t="shared" ref="V540" si="1020">COUNTIF(B540:U540,"A")</f>
        <v>0</v>
      </c>
      <c r="W540" s="622">
        <f t="shared" ref="W540" si="1021">COUNTIF(B540:U540,"B")</f>
        <v>0</v>
      </c>
      <c r="X540" s="622">
        <f t="shared" ref="X540" si="1022">COUNTIF(B540:U540,"C")</f>
        <v>0</v>
      </c>
      <c r="Y540" s="330"/>
      <c r="Z540" s="623">
        <v>2</v>
      </c>
      <c r="AA540" s="622" t="str">
        <f>IF(NOT(ISBLANK('A-RACHNATMAK'!AD576)),"A",IF(NOT(ISBLANK('A-RACHNATMAK'!AD575)),"B",IF(NOT(ISBLANK('A-RACHNATMAK'!AD574)),"C","")))</f>
        <v/>
      </c>
      <c r="AB540" s="622" t="str">
        <f>IF(NOT(ISBLANK('A-RACHNATMAK'!AE576)),"A",IF(NOT(ISBLANK('A-RACHNATMAK'!AE575)),"B",IF(NOT(ISBLANK('A-RACHNATMAK'!AE574)),"C","")))</f>
        <v/>
      </c>
      <c r="AC540" s="622" t="str">
        <f>IF(NOT(ISBLANK('A-RACHNATMAK'!AF576)),"A",IF(NOT(ISBLANK('A-RACHNATMAK'!AF575)),"B",IF(NOT(ISBLANK('A-RACHNATMAK'!AF574)),"C","")))</f>
        <v/>
      </c>
      <c r="AD540" s="622" t="str">
        <f>IF(NOT(ISBLANK('A-RACHNATMAK'!AG576)),"A",IF(NOT(ISBLANK('A-RACHNATMAK'!AG575)),"B",IF(NOT(ISBLANK('A-RACHNATMAK'!AG574)),"C","")))</f>
        <v/>
      </c>
      <c r="AE540" s="622" t="str">
        <f>IF(NOT(ISBLANK('A-RACHNATMAK'!AH576)),"A",IF(NOT(ISBLANK('A-RACHNATMAK'!AH575)),"B",IF(NOT(ISBLANK('A-RACHNATMAK'!AH574)),"C","")))</f>
        <v/>
      </c>
      <c r="AF540" s="622" t="str">
        <f>IF(NOT(ISBLANK('A-RACHNATMAK'!AI576)),"A",IF(NOT(ISBLANK('A-RACHNATMAK'!AI575)),"B",IF(NOT(ISBLANK('A-RACHNATMAK'!AI574)),"C","")))</f>
        <v/>
      </c>
      <c r="AG540" s="622" t="str">
        <f>IF(NOT(ISBLANK('A-RACHNATMAK'!AJ576)),"A",IF(NOT(ISBLANK('A-RACHNATMAK'!AJ575)),"B",IF(NOT(ISBLANK('A-RACHNATMAK'!AJ574)),"C","")))</f>
        <v/>
      </c>
      <c r="AH540" s="622" t="str">
        <f>IF(NOT(ISBLANK('A-RACHNATMAK'!AK576)),"A",IF(NOT(ISBLANK('A-RACHNATMAK'!AK575)),"B",IF(NOT(ISBLANK('A-RACHNATMAK'!AK574)),"C","")))</f>
        <v/>
      </c>
      <c r="AI540" s="622" t="str">
        <f>IF(NOT(ISBLANK('A-RACHNATMAK'!AL576)),"A",IF(NOT(ISBLANK('A-RACHNATMAK'!AL575)),"B",IF(NOT(ISBLANK('A-RACHNATMAK'!AL574)),"C","")))</f>
        <v/>
      </c>
      <c r="AJ540" s="622" t="str">
        <f>IF(NOT(ISBLANK('A-RACHNATMAK'!AM576)),"A",IF(NOT(ISBLANK('A-RACHNATMAK'!AM575)),"B",IF(NOT(ISBLANK('A-RACHNATMAK'!AM574)),"C","")))</f>
        <v/>
      </c>
      <c r="AK540" s="622" t="str">
        <f>IF(NOT(ISBLANK('A-RACHNATMAK'!AN576)),"A",IF(NOT(ISBLANK('A-RACHNATMAK'!AN575)),"B",IF(NOT(ISBLANK('A-RACHNATMAK'!AN574)),"C","")))</f>
        <v/>
      </c>
      <c r="AL540" s="622" t="str">
        <f>IF(NOT(ISBLANK('A-RACHNATMAK'!AO576)),"A",IF(NOT(ISBLANK('A-RACHNATMAK'!AO575)),"B",IF(NOT(ISBLANK('A-RACHNATMAK'!AO574)),"C","")))</f>
        <v/>
      </c>
      <c r="AM540" s="622" t="str">
        <f>IF(NOT(ISBLANK('A-RACHNATMAK'!AP576)),"A",IF(NOT(ISBLANK('A-RACHNATMAK'!AP575)),"B",IF(NOT(ISBLANK('A-RACHNATMAK'!AP574)),"C","")))</f>
        <v/>
      </c>
      <c r="AN540" s="622" t="str">
        <f>IF(NOT(ISBLANK('A-RACHNATMAK'!AQ576)),"A",IF(NOT(ISBLANK('A-RACHNATMAK'!AQ575)),"B",IF(NOT(ISBLANK('A-RACHNATMAK'!AQ574)),"C","")))</f>
        <v/>
      </c>
      <c r="AO540" s="622" t="str">
        <f>IF(NOT(ISBLANK('A-RACHNATMAK'!AR576)),"A",IF(NOT(ISBLANK('A-RACHNATMAK'!AR575)),"B",IF(NOT(ISBLANK('A-RACHNATMAK'!AR574)),"C","")))</f>
        <v/>
      </c>
      <c r="AP540" s="622" t="str">
        <f>IF(NOT(ISBLANK('A-RACHNATMAK'!AS576)),"A",IF(NOT(ISBLANK('A-RACHNATMAK'!AS575)),"B",IF(NOT(ISBLANK('A-RACHNATMAK'!AS574)),"C","")))</f>
        <v/>
      </c>
      <c r="AQ540" s="622" t="str">
        <f>IF(NOT(ISBLANK('A-RACHNATMAK'!AT576)),"A",IF(NOT(ISBLANK('A-RACHNATMAK'!AT575)),"B",IF(NOT(ISBLANK('A-RACHNATMAK'!AT574)),"C","")))</f>
        <v/>
      </c>
      <c r="AR540" s="622" t="str">
        <f>IF(NOT(ISBLANK('A-RACHNATMAK'!AU576)),"A",IF(NOT(ISBLANK('A-RACHNATMAK'!AU575)),"B",IF(NOT(ISBLANK('A-RACHNATMAK'!AU574)),"C","")))</f>
        <v/>
      </c>
      <c r="AS540" s="622" t="str">
        <f>IF(NOT(ISBLANK('A-RACHNATMAK'!AV576)),"A",IF(NOT(ISBLANK('A-RACHNATMAK'!AV575)),"B",IF(NOT(ISBLANK('A-RACHNATMAK'!AV574)),"C","")))</f>
        <v/>
      </c>
      <c r="AT540" s="622" t="str">
        <f>IF(NOT(ISBLANK('A-RACHNATMAK'!AW576)),"A",IF(NOT(ISBLANK('A-RACHNATMAK'!AW575)),"B",IF(NOT(ISBLANK('A-RACHNATMAK'!AW574)),"C","")))</f>
        <v/>
      </c>
      <c r="AU540" s="622">
        <f t="shared" ref="AU540" si="1023">COUNTIF(AA540:AT540,"A")</f>
        <v>0</v>
      </c>
      <c r="AV540" s="622">
        <f t="shared" ref="AV540" si="1024">COUNTIF(AA540:AT540,"B")</f>
        <v>0</v>
      </c>
      <c r="AW540" s="622">
        <f t="shared" ref="AW540" si="1025">COUNTIF(AA540:AT540,"C")</f>
        <v>0</v>
      </c>
    </row>
    <row r="541" spans="1:49" ht="7.5" customHeight="1">
      <c r="A541" s="623"/>
      <c r="B541" s="622"/>
      <c r="C541" s="622"/>
      <c r="D541" s="622"/>
      <c r="E541" s="622"/>
      <c r="F541" s="622"/>
      <c r="G541" s="622"/>
      <c r="H541" s="622"/>
      <c r="I541" s="622"/>
      <c r="J541" s="622"/>
      <c r="K541" s="622"/>
      <c r="L541" s="622"/>
      <c r="M541" s="622"/>
      <c r="N541" s="622"/>
      <c r="O541" s="622"/>
      <c r="P541" s="622"/>
      <c r="Q541" s="622"/>
      <c r="R541" s="622"/>
      <c r="S541" s="622"/>
      <c r="T541" s="622"/>
      <c r="U541" s="622"/>
      <c r="V541" s="622"/>
      <c r="W541" s="622"/>
      <c r="X541" s="622"/>
      <c r="Y541" s="330"/>
      <c r="Z541" s="623"/>
      <c r="AA541" s="622"/>
      <c r="AB541" s="622"/>
      <c r="AC541" s="622"/>
      <c r="AD541" s="622"/>
      <c r="AE541" s="622"/>
      <c r="AF541" s="622"/>
      <c r="AG541" s="622"/>
      <c r="AH541" s="622"/>
      <c r="AI541" s="622"/>
      <c r="AJ541" s="622"/>
      <c r="AK541" s="622"/>
      <c r="AL541" s="622"/>
      <c r="AM541" s="622"/>
      <c r="AN541" s="622"/>
      <c r="AO541" s="622"/>
      <c r="AP541" s="622"/>
      <c r="AQ541" s="622"/>
      <c r="AR541" s="622"/>
      <c r="AS541" s="622"/>
      <c r="AT541" s="622"/>
      <c r="AU541" s="622"/>
      <c r="AV541" s="622"/>
      <c r="AW541" s="622"/>
    </row>
    <row r="542" spans="1:49" ht="7.5" customHeight="1">
      <c r="A542" s="623"/>
      <c r="B542" s="622"/>
      <c r="C542" s="622"/>
      <c r="D542" s="622"/>
      <c r="E542" s="622"/>
      <c r="F542" s="622"/>
      <c r="G542" s="622"/>
      <c r="H542" s="622"/>
      <c r="I542" s="622"/>
      <c r="J542" s="622"/>
      <c r="K542" s="622"/>
      <c r="L542" s="622"/>
      <c r="M542" s="622"/>
      <c r="N542" s="622"/>
      <c r="O542" s="622"/>
      <c r="P542" s="622"/>
      <c r="Q542" s="622"/>
      <c r="R542" s="622"/>
      <c r="S542" s="622"/>
      <c r="T542" s="622"/>
      <c r="U542" s="622"/>
      <c r="V542" s="622"/>
      <c r="W542" s="622"/>
      <c r="X542" s="622"/>
      <c r="Y542" s="330"/>
      <c r="Z542" s="623"/>
      <c r="AA542" s="622"/>
      <c r="AB542" s="622"/>
      <c r="AC542" s="622"/>
      <c r="AD542" s="622"/>
      <c r="AE542" s="622"/>
      <c r="AF542" s="622"/>
      <c r="AG542" s="622"/>
      <c r="AH542" s="622"/>
      <c r="AI542" s="622"/>
      <c r="AJ542" s="622"/>
      <c r="AK542" s="622"/>
      <c r="AL542" s="622"/>
      <c r="AM542" s="622"/>
      <c r="AN542" s="622"/>
      <c r="AO542" s="622"/>
      <c r="AP542" s="622"/>
      <c r="AQ542" s="622"/>
      <c r="AR542" s="622"/>
      <c r="AS542" s="622"/>
      <c r="AT542" s="622"/>
      <c r="AU542" s="622"/>
      <c r="AV542" s="622"/>
      <c r="AW542" s="622"/>
    </row>
    <row r="543" spans="1:49" ht="7.5" customHeight="1">
      <c r="A543" s="623">
        <v>3</v>
      </c>
      <c r="B543" s="622" t="str">
        <f>IF(NOT(ISBLANK('A-RACHNATMAK'!C579)),"A",IF(NOT(ISBLANK('A-RACHNATMAK'!C578)),"B",IF(NOT(ISBLANK('A-RACHNATMAK'!C577)),"C","")))</f>
        <v/>
      </c>
      <c r="C543" s="622" t="str">
        <f>IF(NOT(ISBLANK('A-RACHNATMAK'!D579)),"A",IF(NOT(ISBLANK('A-RACHNATMAK'!D578)),"B",IF(NOT(ISBLANK('A-RACHNATMAK'!D577)),"C","")))</f>
        <v/>
      </c>
      <c r="D543" s="622" t="str">
        <f>IF(NOT(ISBLANK('A-RACHNATMAK'!E579)),"A",IF(NOT(ISBLANK('A-RACHNATMAK'!E578)),"B",IF(NOT(ISBLANK('A-RACHNATMAK'!E577)),"C","")))</f>
        <v/>
      </c>
      <c r="E543" s="622" t="str">
        <f>IF(NOT(ISBLANK('A-RACHNATMAK'!F579)),"A",IF(NOT(ISBLANK('A-RACHNATMAK'!F578)),"B",IF(NOT(ISBLANK('A-RACHNATMAK'!F577)),"C","")))</f>
        <v/>
      </c>
      <c r="F543" s="622" t="str">
        <f>IF(NOT(ISBLANK('A-RACHNATMAK'!G579)),"A",IF(NOT(ISBLANK('A-RACHNATMAK'!G578)),"B",IF(NOT(ISBLANK('A-RACHNATMAK'!G577)),"C","")))</f>
        <v/>
      </c>
      <c r="G543" s="622" t="str">
        <f>IF(NOT(ISBLANK('A-RACHNATMAK'!H579)),"A",IF(NOT(ISBLANK('A-RACHNATMAK'!H578)),"B",IF(NOT(ISBLANK('A-RACHNATMAK'!H577)),"C","")))</f>
        <v/>
      </c>
      <c r="H543" s="622" t="str">
        <f>IF(NOT(ISBLANK('A-RACHNATMAK'!I579)),"A",IF(NOT(ISBLANK('A-RACHNATMAK'!I578)),"B",IF(NOT(ISBLANK('A-RACHNATMAK'!I577)),"C","")))</f>
        <v/>
      </c>
      <c r="I543" s="622" t="str">
        <f>IF(NOT(ISBLANK('A-RACHNATMAK'!J579)),"A",IF(NOT(ISBLANK('A-RACHNATMAK'!J578)),"B",IF(NOT(ISBLANK('A-RACHNATMAK'!J577)),"C","")))</f>
        <v/>
      </c>
      <c r="J543" s="622" t="str">
        <f>IF(NOT(ISBLANK('A-RACHNATMAK'!K579)),"A",IF(NOT(ISBLANK('A-RACHNATMAK'!K578)),"B",IF(NOT(ISBLANK('A-RACHNATMAK'!K577)),"C","")))</f>
        <v/>
      </c>
      <c r="K543" s="622" t="str">
        <f>IF(NOT(ISBLANK('A-RACHNATMAK'!L579)),"A",IF(NOT(ISBLANK('A-RACHNATMAK'!L578)),"B",IF(NOT(ISBLANK('A-RACHNATMAK'!L577)),"C","")))</f>
        <v/>
      </c>
      <c r="L543" s="622" t="str">
        <f>IF(NOT(ISBLANK('A-RACHNATMAK'!M579)),"A",IF(NOT(ISBLANK('A-RACHNATMAK'!M578)),"B",IF(NOT(ISBLANK('A-RACHNATMAK'!M577)),"C","")))</f>
        <v/>
      </c>
      <c r="M543" s="622" t="str">
        <f>IF(NOT(ISBLANK('A-RACHNATMAK'!N579)),"A",IF(NOT(ISBLANK('A-RACHNATMAK'!N578)),"B",IF(NOT(ISBLANK('A-RACHNATMAK'!N577)),"C","")))</f>
        <v/>
      </c>
      <c r="N543" s="622" t="str">
        <f>IF(NOT(ISBLANK('A-RACHNATMAK'!O579)),"A",IF(NOT(ISBLANK('A-RACHNATMAK'!O578)),"B",IF(NOT(ISBLANK('A-RACHNATMAK'!O577)),"C","")))</f>
        <v/>
      </c>
      <c r="O543" s="622" t="str">
        <f>IF(NOT(ISBLANK('A-RACHNATMAK'!P579)),"A",IF(NOT(ISBLANK('A-RACHNATMAK'!P578)),"B",IF(NOT(ISBLANK('A-RACHNATMAK'!P577)),"C","")))</f>
        <v/>
      </c>
      <c r="P543" s="622" t="str">
        <f>IF(NOT(ISBLANK('A-RACHNATMAK'!Q579)),"A",IF(NOT(ISBLANK('A-RACHNATMAK'!Q578)),"B",IF(NOT(ISBLANK('A-RACHNATMAK'!Q577)),"C","")))</f>
        <v/>
      </c>
      <c r="Q543" s="622" t="str">
        <f>IF(NOT(ISBLANK('A-RACHNATMAK'!R579)),"A",IF(NOT(ISBLANK('A-RACHNATMAK'!R578)),"B",IF(NOT(ISBLANK('A-RACHNATMAK'!R577)),"C","")))</f>
        <v/>
      </c>
      <c r="R543" s="622" t="str">
        <f>IF(NOT(ISBLANK('A-RACHNATMAK'!S579)),"A",IF(NOT(ISBLANK('A-RACHNATMAK'!S578)),"B",IF(NOT(ISBLANK('A-RACHNATMAK'!S577)),"C","")))</f>
        <v/>
      </c>
      <c r="S543" s="622" t="str">
        <f>IF(NOT(ISBLANK('A-RACHNATMAK'!T579)),"A",IF(NOT(ISBLANK('A-RACHNATMAK'!T578)),"B",IF(NOT(ISBLANK('A-RACHNATMAK'!T577)),"C","")))</f>
        <v/>
      </c>
      <c r="T543" s="622" t="str">
        <f>IF(NOT(ISBLANK('A-RACHNATMAK'!U579)),"A",IF(NOT(ISBLANK('A-RACHNATMAK'!U578)),"B",IF(NOT(ISBLANK('A-RACHNATMAK'!U577)),"C","")))</f>
        <v/>
      </c>
      <c r="U543" s="622" t="str">
        <f>IF(NOT(ISBLANK('A-RACHNATMAK'!V579)),"A",IF(NOT(ISBLANK('A-RACHNATMAK'!V578)),"B",IF(NOT(ISBLANK('A-RACHNATMAK'!V577)),"C","")))</f>
        <v/>
      </c>
      <c r="V543" s="622">
        <f t="shared" ref="V543" si="1026">COUNTIF(B543:U543,"A")</f>
        <v>0</v>
      </c>
      <c r="W543" s="622">
        <f t="shared" ref="W543" si="1027">COUNTIF(B543:U543,"B")</f>
        <v>0</v>
      </c>
      <c r="X543" s="622">
        <f t="shared" ref="X543" si="1028">COUNTIF(B543:U543,"C")</f>
        <v>0</v>
      </c>
      <c r="Y543" s="330"/>
      <c r="Z543" s="623">
        <v>3</v>
      </c>
      <c r="AA543" s="622" t="str">
        <f>IF(NOT(ISBLANK('A-RACHNATMAK'!AD579)),"A",IF(NOT(ISBLANK('A-RACHNATMAK'!AD578)),"B",IF(NOT(ISBLANK('A-RACHNATMAK'!AD577)),"C","")))</f>
        <v/>
      </c>
      <c r="AB543" s="622" t="str">
        <f>IF(NOT(ISBLANK('A-RACHNATMAK'!AE579)),"A",IF(NOT(ISBLANK('A-RACHNATMAK'!AE578)),"B",IF(NOT(ISBLANK('A-RACHNATMAK'!AE577)),"C","")))</f>
        <v/>
      </c>
      <c r="AC543" s="622" t="str">
        <f>IF(NOT(ISBLANK('A-RACHNATMAK'!AF579)),"A",IF(NOT(ISBLANK('A-RACHNATMAK'!AF578)),"B",IF(NOT(ISBLANK('A-RACHNATMAK'!AF577)),"C","")))</f>
        <v/>
      </c>
      <c r="AD543" s="622" t="str">
        <f>IF(NOT(ISBLANK('A-RACHNATMAK'!AG579)),"A",IF(NOT(ISBLANK('A-RACHNATMAK'!AG578)),"B",IF(NOT(ISBLANK('A-RACHNATMAK'!AG577)),"C","")))</f>
        <v/>
      </c>
      <c r="AE543" s="622" t="str">
        <f>IF(NOT(ISBLANK('A-RACHNATMAK'!AH579)),"A",IF(NOT(ISBLANK('A-RACHNATMAK'!AH578)),"B",IF(NOT(ISBLANK('A-RACHNATMAK'!AH577)),"C","")))</f>
        <v/>
      </c>
      <c r="AF543" s="622" t="str">
        <f>IF(NOT(ISBLANK('A-RACHNATMAK'!AI579)),"A",IF(NOT(ISBLANK('A-RACHNATMAK'!AI578)),"B",IF(NOT(ISBLANK('A-RACHNATMAK'!AI577)),"C","")))</f>
        <v/>
      </c>
      <c r="AG543" s="622" t="str">
        <f>IF(NOT(ISBLANK('A-RACHNATMAK'!AJ579)),"A",IF(NOT(ISBLANK('A-RACHNATMAK'!AJ578)),"B",IF(NOT(ISBLANK('A-RACHNATMAK'!AJ577)),"C","")))</f>
        <v/>
      </c>
      <c r="AH543" s="622" t="str">
        <f>IF(NOT(ISBLANK('A-RACHNATMAK'!AK579)),"A",IF(NOT(ISBLANK('A-RACHNATMAK'!AK578)),"B",IF(NOT(ISBLANK('A-RACHNATMAK'!AK577)),"C","")))</f>
        <v/>
      </c>
      <c r="AI543" s="622" t="str">
        <f>IF(NOT(ISBLANK('A-RACHNATMAK'!AL579)),"A",IF(NOT(ISBLANK('A-RACHNATMAK'!AL578)),"B",IF(NOT(ISBLANK('A-RACHNATMAK'!AL577)),"C","")))</f>
        <v/>
      </c>
      <c r="AJ543" s="622" t="str">
        <f>IF(NOT(ISBLANK('A-RACHNATMAK'!AM579)),"A",IF(NOT(ISBLANK('A-RACHNATMAK'!AM578)),"B",IF(NOT(ISBLANK('A-RACHNATMAK'!AM577)),"C","")))</f>
        <v/>
      </c>
      <c r="AK543" s="622" t="str">
        <f>IF(NOT(ISBLANK('A-RACHNATMAK'!AN579)),"A",IF(NOT(ISBLANK('A-RACHNATMAK'!AN578)),"B",IF(NOT(ISBLANK('A-RACHNATMAK'!AN577)),"C","")))</f>
        <v/>
      </c>
      <c r="AL543" s="622" t="str">
        <f>IF(NOT(ISBLANK('A-RACHNATMAK'!AO579)),"A",IF(NOT(ISBLANK('A-RACHNATMAK'!AO578)),"B",IF(NOT(ISBLANK('A-RACHNATMAK'!AO577)),"C","")))</f>
        <v/>
      </c>
      <c r="AM543" s="622" t="str">
        <f>IF(NOT(ISBLANK('A-RACHNATMAK'!AP579)),"A",IF(NOT(ISBLANK('A-RACHNATMAK'!AP578)),"B",IF(NOT(ISBLANK('A-RACHNATMAK'!AP577)),"C","")))</f>
        <v/>
      </c>
      <c r="AN543" s="622" t="str">
        <f>IF(NOT(ISBLANK('A-RACHNATMAK'!AQ579)),"A",IF(NOT(ISBLANK('A-RACHNATMAK'!AQ578)),"B",IF(NOT(ISBLANK('A-RACHNATMAK'!AQ577)),"C","")))</f>
        <v/>
      </c>
      <c r="AO543" s="622" t="str">
        <f>IF(NOT(ISBLANK('A-RACHNATMAK'!AR579)),"A",IF(NOT(ISBLANK('A-RACHNATMAK'!AR578)),"B",IF(NOT(ISBLANK('A-RACHNATMAK'!AR577)),"C","")))</f>
        <v/>
      </c>
      <c r="AP543" s="622" t="str">
        <f>IF(NOT(ISBLANK('A-RACHNATMAK'!AS579)),"A",IF(NOT(ISBLANK('A-RACHNATMAK'!AS578)),"B",IF(NOT(ISBLANK('A-RACHNATMAK'!AS577)),"C","")))</f>
        <v/>
      </c>
      <c r="AQ543" s="622" t="str">
        <f>IF(NOT(ISBLANK('A-RACHNATMAK'!AT579)),"A",IF(NOT(ISBLANK('A-RACHNATMAK'!AT578)),"B",IF(NOT(ISBLANK('A-RACHNATMAK'!AT577)),"C","")))</f>
        <v/>
      </c>
      <c r="AR543" s="622" t="str">
        <f>IF(NOT(ISBLANK('A-RACHNATMAK'!AU579)),"A",IF(NOT(ISBLANK('A-RACHNATMAK'!AU578)),"B",IF(NOT(ISBLANK('A-RACHNATMAK'!AU577)),"C","")))</f>
        <v/>
      </c>
      <c r="AS543" s="622" t="str">
        <f>IF(NOT(ISBLANK('A-RACHNATMAK'!AV579)),"A",IF(NOT(ISBLANK('A-RACHNATMAK'!AV578)),"B",IF(NOT(ISBLANK('A-RACHNATMAK'!AV577)),"C","")))</f>
        <v/>
      </c>
      <c r="AT543" s="622" t="str">
        <f>IF(NOT(ISBLANK('A-RACHNATMAK'!AW579)),"A",IF(NOT(ISBLANK('A-RACHNATMAK'!AW578)),"B",IF(NOT(ISBLANK('A-RACHNATMAK'!AW577)),"C","")))</f>
        <v/>
      </c>
      <c r="AU543" s="622">
        <f t="shared" ref="AU543" si="1029">COUNTIF(AA543:AT543,"A")</f>
        <v>0</v>
      </c>
      <c r="AV543" s="622">
        <f t="shared" ref="AV543" si="1030">COUNTIF(AA543:AT543,"B")</f>
        <v>0</v>
      </c>
      <c r="AW543" s="622">
        <f t="shared" ref="AW543" si="1031">COUNTIF(AA543:AT543,"C")</f>
        <v>0</v>
      </c>
    </row>
    <row r="544" spans="1:49" ht="7.5" customHeight="1">
      <c r="A544" s="623"/>
      <c r="B544" s="622"/>
      <c r="C544" s="622"/>
      <c r="D544" s="622"/>
      <c r="E544" s="622"/>
      <c r="F544" s="622"/>
      <c r="G544" s="622"/>
      <c r="H544" s="622"/>
      <c r="I544" s="622"/>
      <c r="J544" s="622"/>
      <c r="K544" s="622"/>
      <c r="L544" s="622"/>
      <c r="M544" s="622"/>
      <c r="N544" s="622"/>
      <c r="O544" s="622"/>
      <c r="P544" s="622"/>
      <c r="Q544" s="622"/>
      <c r="R544" s="622"/>
      <c r="S544" s="622"/>
      <c r="T544" s="622"/>
      <c r="U544" s="622"/>
      <c r="V544" s="622"/>
      <c r="W544" s="622"/>
      <c r="X544" s="622"/>
      <c r="Y544" s="330"/>
      <c r="Z544" s="623"/>
      <c r="AA544" s="622"/>
      <c r="AB544" s="622"/>
      <c r="AC544" s="622"/>
      <c r="AD544" s="622"/>
      <c r="AE544" s="622"/>
      <c r="AF544" s="622"/>
      <c r="AG544" s="622"/>
      <c r="AH544" s="622"/>
      <c r="AI544" s="622"/>
      <c r="AJ544" s="622"/>
      <c r="AK544" s="622"/>
      <c r="AL544" s="622"/>
      <c r="AM544" s="622"/>
      <c r="AN544" s="622"/>
      <c r="AO544" s="622"/>
      <c r="AP544" s="622"/>
      <c r="AQ544" s="622"/>
      <c r="AR544" s="622"/>
      <c r="AS544" s="622"/>
      <c r="AT544" s="622"/>
      <c r="AU544" s="622"/>
      <c r="AV544" s="622"/>
      <c r="AW544" s="622"/>
    </row>
    <row r="545" spans="1:49" ht="7.5" customHeight="1">
      <c r="A545" s="623"/>
      <c r="B545" s="622"/>
      <c r="C545" s="622"/>
      <c r="D545" s="622"/>
      <c r="E545" s="622"/>
      <c r="F545" s="622"/>
      <c r="G545" s="622"/>
      <c r="H545" s="622"/>
      <c r="I545" s="622"/>
      <c r="J545" s="622"/>
      <c r="K545" s="622"/>
      <c r="L545" s="622"/>
      <c r="M545" s="622"/>
      <c r="N545" s="622"/>
      <c r="O545" s="622"/>
      <c r="P545" s="622"/>
      <c r="Q545" s="622"/>
      <c r="R545" s="622"/>
      <c r="S545" s="622"/>
      <c r="T545" s="622"/>
      <c r="U545" s="622"/>
      <c r="V545" s="622"/>
      <c r="W545" s="622"/>
      <c r="X545" s="622"/>
      <c r="Y545" s="330"/>
      <c r="Z545" s="623"/>
      <c r="AA545" s="622"/>
      <c r="AB545" s="622"/>
      <c r="AC545" s="622"/>
      <c r="AD545" s="622"/>
      <c r="AE545" s="622"/>
      <c r="AF545" s="622"/>
      <c r="AG545" s="622"/>
      <c r="AH545" s="622"/>
      <c r="AI545" s="622"/>
      <c r="AJ545" s="622"/>
      <c r="AK545" s="622"/>
      <c r="AL545" s="622"/>
      <c r="AM545" s="622"/>
      <c r="AN545" s="622"/>
      <c r="AO545" s="622"/>
      <c r="AP545" s="622"/>
      <c r="AQ545" s="622"/>
      <c r="AR545" s="622"/>
      <c r="AS545" s="622"/>
      <c r="AT545" s="622"/>
      <c r="AU545" s="622"/>
      <c r="AV545" s="622"/>
      <c r="AW545" s="622"/>
    </row>
    <row r="546" spans="1:49" ht="7.5" customHeight="1">
      <c r="A546" s="623">
        <v>4</v>
      </c>
      <c r="B546" s="622" t="str">
        <f>IF(NOT(ISBLANK('A-RACHNATMAK'!C582)),"A",IF(NOT(ISBLANK('A-RACHNATMAK'!C581)),"B",IF(NOT(ISBLANK('A-RACHNATMAK'!C580)),"C","")))</f>
        <v/>
      </c>
      <c r="C546" s="622" t="str">
        <f>IF(NOT(ISBLANK('A-RACHNATMAK'!D582)),"A",IF(NOT(ISBLANK('A-RACHNATMAK'!D581)),"B",IF(NOT(ISBLANK('A-RACHNATMAK'!D580)),"C","")))</f>
        <v/>
      </c>
      <c r="D546" s="622" t="str">
        <f>IF(NOT(ISBLANK('A-RACHNATMAK'!E582)),"A",IF(NOT(ISBLANK('A-RACHNATMAK'!E581)),"B",IF(NOT(ISBLANK('A-RACHNATMAK'!E580)),"C","")))</f>
        <v/>
      </c>
      <c r="E546" s="622" t="str">
        <f>IF(NOT(ISBLANK('A-RACHNATMAK'!F582)),"A",IF(NOT(ISBLANK('A-RACHNATMAK'!F581)),"B",IF(NOT(ISBLANK('A-RACHNATMAK'!F580)),"C","")))</f>
        <v/>
      </c>
      <c r="F546" s="622" t="str">
        <f>IF(NOT(ISBLANK('A-RACHNATMAK'!G582)),"A",IF(NOT(ISBLANK('A-RACHNATMAK'!G581)),"B",IF(NOT(ISBLANK('A-RACHNATMAK'!G580)),"C","")))</f>
        <v/>
      </c>
      <c r="G546" s="622" t="str">
        <f>IF(NOT(ISBLANK('A-RACHNATMAK'!H582)),"A",IF(NOT(ISBLANK('A-RACHNATMAK'!H581)),"B",IF(NOT(ISBLANK('A-RACHNATMAK'!H580)),"C","")))</f>
        <v/>
      </c>
      <c r="H546" s="622" t="str">
        <f>IF(NOT(ISBLANK('A-RACHNATMAK'!I582)),"A",IF(NOT(ISBLANK('A-RACHNATMAK'!I581)),"B",IF(NOT(ISBLANK('A-RACHNATMAK'!I580)),"C","")))</f>
        <v/>
      </c>
      <c r="I546" s="622" t="str">
        <f>IF(NOT(ISBLANK('A-RACHNATMAK'!J582)),"A",IF(NOT(ISBLANK('A-RACHNATMAK'!J581)),"B",IF(NOT(ISBLANK('A-RACHNATMAK'!J580)),"C","")))</f>
        <v/>
      </c>
      <c r="J546" s="622" t="str">
        <f>IF(NOT(ISBLANK('A-RACHNATMAK'!K582)),"A",IF(NOT(ISBLANK('A-RACHNATMAK'!K581)),"B",IF(NOT(ISBLANK('A-RACHNATMAK'!K580)),"C","")))</f>
        <v/>
      </c>
      <c r="K546" s="622" t="str">
        <f>IF(NOT(ISBLANK('A-RACHNATMAK'!L582)),"A",IF(NOT(ISBLANK('A-RACHNATMAK'!L581)),"B",IF(NOT(ISBLANK('A-RACHNATMAK'!L580)),"C","")))</f>
        <v/>
      </c>
      <c r="L546" s="622" t="str">
        <f>IF(NOT(ISBLANK('A-RACHNATMAK'!M582)),"A",IF(NOT(ISBLANK('A-RACHNATMAK'!M581)),"B",IF(NOT(ISBLANK('A-RACHNATMAK'!M580)),"C","")))</f>
        <v/>
      </c>
      <c r="M546" s="622" t="str">
        <f>IF(NOT(ISBLANK('A-RACHNATMAK'!N582)),"A",IF(NOT(ISBLANK('A-RACHNATMAK'!N581)),"B",IF(NOT(ISBLANK('A-RACHNATMAK'!N580)),"C","")))</f>
        <v/>
      </c>
      <c r="N546" s="622" t="str">
        <f>IF(NOT(ISBLANK('A-RACHNATMAK'!O582)),"A",IF(NOT(ISBLANK('A-RACHNATMAK'!O581)),"B",IF(NOT(ISBLANK('A-RACHNATMAK'!O580)),"C","")))</f>
        <v/>
      </c>
      <c r="O546" s="622" t="str">
        <f>IF(NOT(ISBLANK('A-RACHNATMAK'!P582)),"A",IF(NOT(ISBLANK('A-RACHNATMAK'!P581)),"B",IF(NOT(ISBLANK('A-RACHNATMAK'!P580)),"C","")))</f>
        <v/>
      </c>
      <c r="P546" s="622" t="str">
        <f>IF(NOT(ISBLANK('A-RACHNATMAK'!Q582)),"A",IF(NOT(ISBLANK('A-RACHNATMAK'!Q581)),"B",IF(NOT(ISBLANK('A-RACHNATMAK'!Q580)),"C","")))</f>
        <v/>
      </c>
      <c r="Q546" s="622" t="str">
        <f>IF(NOT(ISBLANK('A-RACHNATMAK'!R582)),"A",IF(NOT(ISBLANK('A-RACHNATMAK'!R581)),"B",IF(NOT(ISBLANK('A-RACHNATMAK'!R580)),"C","")))</f>
        <v/>
      </c>
      <c r="R546" s="622" t="str">
        <f>IF(NOT(ISBLANK('A-RACHNATMAK'!S582)),"A",IF(NOT(ISBLANK('A-RACHNATMAK'!S581)),"B",IF(NOT(ISBLANK('A-RACHNATMAK'!S580)),"C","")))</f>
        <v/>
      </c>
      <c r="S546" s="622" t="str">
        <f>IF(NOT(ISBLANK('A-RACHNATMAK'!T582)),"A",IF(NOT(ISBLANK('A-RACHNATMAK'!T581)),"B",IF(NOT(ISBLANK('A-RACHNATMAK'!T580)),"C","")))</f>
        <v/>
      </c>
      <c r="T546" s="622" t="str">
        <f>IF(NOT(ISBLANK('A-RACHNATMAK'!U582)),"A",IF(NOT(ISBLANK('A-RACHNATMAK'!U581)),"B",IF(NOT(ISBLANK('A-RACHNATMAK'!U580)),"C","")))</f>
        <v/>
      </c>
      <c r="U546" s="622" t="str">
        <f>IF(NOT(ISBLANK('A-RACHNATMAK'!V582)),"A",IF(NOT(ISBLANK('A-RACHNATMAK'!V581)),"B",IF(NOT(ISBLANK('A-RACHNATMAK'!V580)),"C","")))</f>
        <v/>
      </c>
      <c r="V546" s="622">
        <f t="shared" ref="V546" si="1032">COUNTIF(B546:U546,"A")</f>
        <v>0</v>
      </c>
      <c r="W546" s="622">
        <f t="shared" ref="W546" si="1033">COUNTIF(B546:U546,"B")</f>
        <v>0</v>
      </c>
      <c r="X546" s="622">
        <f t="shared" ref="X546" si="1034">COUNTIF(B546:U546,"C")</f>
        <v>0</v>
      </c>
      <c r="Y546" s="330"/>
      <c r="Z546" s="623">
        <v>4</v>
      </c>
      <c r="AA546" s="622" t="str">
        <f>IF(NOT(ISBLANK('A-RACHNATMAK'!AD582)),"A",IF(NOT(ISBLANK('A-RACHNATMAK'!AD581)),"B",IF(NOT(ISBLANK('A-RACHNATMAK'!AD580)),"C","")))</f>
        <v/>
      </c>
      <c r="AB546" s="622" t="str">
        <f>IF(NOT(ISBLANK('A-RACHNATMAK'!AE582)),"A",IF(NOT(ISBLANK('A-RACHNATMAK'!AE581)),"B",IF(NOT(ISBLANK('A-RACHNATMAK'!AE580)),"C","")))</f>
        <v/>
      </c>
      <c r="AC546" s="622" t="str">
        <f>IF(NOT(ISBLANK('A-RACHNATMAK'!AF582)),"A",IF(NOT(ISBLANK('A-RACHNATMAK'!AF581)),"B",IF(NOT(ISBLANK('A-RACHNATMAK'!AF580)),"C","")))</f>
        <v/>
      </c>
      <c r="AD546" s="622" t="str">
        <f>IF(NOT(ISBLANK('A-RACHNATMAK'!AG582)),"A",IF(NOT(ISBLANK('A-RACHNATMAK'!AG581)),"B",IF(NOT(ISBLANK('A-RACHNATMAK'!AG580)),"C","")))</f>
        <v/>
      </c>
      <c r="AE546" s="622" t="str">
        <f>IF(NOT(ISBLANK('A-RACHNATMAK'!AH582)),"A",IF(NOT(ISBLANK('A-RACHNATMAK'!AH581)),"B",IF(NOT(ISBLANK('A-RACHNATMAK'!AH580)),"C","")))</f>
        <v/>
      </c>
      <c r="AF546" s="622" t="str">
        <f>IF(NOT(ISBLANK('A-RACHNATMAK'!AI582)),"A",IF(NOT(ISBLANK('A-RACHNATMAK'!AI581)),"B",IF(NOT(ISBLANK('A-RACHNATMAK'!AI580)),"C","")))</f>
        <v/>
      </c>
      <c r="AG546" s="622" t="str">
        <f>IF(NOT(ISBLANK('A-RACHNATMAK'!AJ582)),"A",IF(NOT(ISBLANK('A-RACHNATMAK'!AJ581)),"B",IF(NOT(ISBLANK('A-RACHNATMAK'!AJ580)),"C","")))</f>
        <v/>
      </c>
      <c r="AH546" s="622" t="str">
        <f>IF(NOT(ISBLANK('A-RACHNATMAK'!AK582)),"A",IF(NOT(ISBLANK('A-RACHNATMAK'!AK581)),"B",IF(NOT(ISBLANK('A-RACHNATMAK'!AK580)),"C","")))</f>
        <v/>
      </c>
      <c r="AI546" s="622" t="str">
        <f>IF(NOT(ISBLANK('A-RACHNATMAK'!AL582)),"A",IF(NOT(ISBLANK('A-RACHNATMAK'!AL581)),"B",IF(NOT(ISBLANK('A-RACHNATMAK'!AL580)),"C","")))</f>
        <v/>
      </c>
      <c r="AJ546" s="622" t="str">
        <f>IF(NOT(ISBLANK('A-RACHNATMAK'!AM582)),"A",IF(NOT(ISBLANK('A-RACHNATMAK'!AM581)),"B",IF(NOT(ISBLANK('A-RACHNATMAK'!AM580)),"C","")))</f>
        <v/>
      </c>
      <c r="AK546" s="622" t="str">
        <f>IF(NOT(ISBLANK('A-RACHNATMAK'!AN582)),"A",IF(NOT(ISBLANK('A-RACHNATMAK'!AN581)),"B",IF(NOT(ISBLANK('A-RACHNATMAK'!AN580)),"C","")))</f>
        <v/>
      </c>
      <c r="AL546" s="622" t="str">
        <f>IF(NOT(ISBLANK('A-RACHNATMAK'!AO582)),"A",IF(NOT(ISBLANK('A-RACHNATMAK'!AO581)),"B",IF(NOT(ISBLANK('A-RACHNATMAK'!AO580)),"C","")))</f>
        <v/>
      </c>
      <c r="AM546" s="622" t="str">
        <f>IF(NOT(ISBLANK('A-RACHNATMAK'!AP582)),"A",IF(NOT(ISBLANK('A-RACHNATMAK'!AP581)),"B",IF(NOT(ISBLANK('A-RACHNATMAK'!AP580)),"C","")))</f>
        <v/>
      </c>
      <c r="AN546" s="622" t="str">
        <f>IF(NOT(ISBLANK('A-RACHNATMAK'!AQ582)),"A",IF(NOT(ISBLANK('A-RACHNATMAK'!AQ581)),"B",IF(NOT(ISBLANK('A-RACHNATMAK'!AQ580)),"C","")))</f>
        <v/>
      </c>
      <c r="AO546" s="622" t="str">
        <f>IF(NOT(ISBLANK('A-RACHNATMAK'!AR582)),"A",IF(NOT(ISBLANK('A-RACHNATMAK'!AR581)),"B",IF(NOT(ISBLANK('A-RACHNATMAK'!AR580)),"C","")))</f>
        <v/>
      </c>
      <c r="AP546" s="622" t="str">
        <f>IF(NOT(ISBLANK('A-RACHNATMAK'!AS582)),"A",IF(NOT(ISBLANK('A-RACHNATMAK'!AS581)),"B",IF(NOT(ISBLANK('A-RACHNATMAK'!AS580)),"C","")))</f>
        <v/>
      </c>
      <c r="AQ546" s="622" t="str">
        <f>IF(NOT(ISBLANK('A-RACHNATMAK'!AT582)),"A",IF(NOT(ISBLANK('A-RACHNATMAK'!AT581)),"B",IF(NOT(ISBLANK('A-RACHNATMAK'!AT580)),"C","")))</f>
        <v/>
      </c>
      <c r="AR546" s="622" t="str">
        <f>IF(NOT(ISBLANK('A-RACHNATMAK'!AU582)),"A",IF(NOT(ISBLANK('A-RACHNATMAK'!AU581)),"B",IF(NOT(ISBLANK('A-RACHNATMAK'!AU580)),"C","")))</f>
        <v/>
      </c>
      <c r="AS546" s="622" t="str">
        <f>IF(NOT(ISBLANK('A-RACHNATMAK'!AV582)),"A",IF(NOT(ISBLANK('A-RACHNATMAK'!AV581)),"B",IF(NOT(ISBLANK('A-RACHNATMAK'!AV580)),"C","")))</f>
        <v/>
      </c>
      <c r="AT546" s="622" t="str">
        <f>IF(NOT(ISBLANK('A-RACHNATMAK'!AW582)),"A",IF(NOT(ISBLANK('A-RACHNATMAK'!AW581)),"B",IF(NOT(ISBLANK('A-RACHNATMAK'!AW580)),"C","")))</f>
        <v/>
      </c>
      <c r="AU546" s="622">
        <f t="shared" ref="AU546" si="1035">COUNTIF(AA546:AT546,"A")</f>
        <v>0</v>
      </c>
      <c r="AV546" s="622">
        <f t="shared" ref="AV546" si="1036">COUNTIF(AA546:AT546,"B")</f>
        <v>0</v>
      </c>
      <c r="AW546" s="622">
        <f t="shared" ref="AW546" si="1037">COUNTIF(AA546:AT546,"C")</f>
        <v>0</v>
      </c>
    </row>
    <row r="547" spans="1:49" ht="7.5" customHeight="1">
      <c r="A547" s="623"/>
      <c r="B547" s="622"/>
      <c r="C547" s="622"/>
      <c r="D547" s="622"/>
      <c r="E547" s="622"/>
      <c r="F547" s="622"/>
      <c r="G547" s="622"/>
      <c r="H547" s="622"/>
      <c r="I547" s="622"/>
      <c r="J547" s="622"/>
      <c r="K547" s="622"/>
      <c r="L547" s="622"/>
      <c r="M547" s="622"/>
      <c r="N547" s="622"/>
      <c r="O547" s="622"/>
      <c r="P547" s="622"/>
      <c r="Q547" s="622"/>
      <c r="R547" s="622"/>
      <c r="S547" s="622"/>
      <c r="T547" s="622"/>
      <c r="U547" s="622"/>
      <c r="V547" s="622"/>
      <c r="W547" s="622"/>
      <c r="X547" s="622"/>
      <c r="Y547" s="330"/>
      <c r="Z547" s="623"/>
      <c r="AA547" s="622"/>
      <c r="AB547" s="622"/>
      <c r="AC547" s="622"/>
      <c r="AD547" s="622"/>
      <c r="AE547" s="622"/>
      <c r="AF547" s="622"/>
      <c r="AG547" s="622"/>
      <c r="AH547" s="622"/>
      <c r="AI547" s="622"/>
      <c r="AJ547" s="622"/>
      <c r="AK547" s="622"/>
      <c r="AL547" s="622"/>
      <c r="AM547" s="622"/>
      <c r="AN547" s="622"/>
      <c r="AO547" s="622"/>
      <c r="AP547" s="622"/>
      <c r="AQ547" s="622"/>
      <c r="AR547" s="622"/>
      <c r="AS547" s="622"/>
      <c r="AT547" s="622"/>
      <c r="AU547" s="622"/>
      <c r="AV547" s="622"/>
      <c r="AW547" s="622"/>
    </row>
    <row r="548" spans="1:49" ht="7.5" customHeight="1">
      <c r="A548" s="623"/>
      <c r="B548" s="622"/>
      <c r="C548" s="622"/>
      <c r="D548" s="622"/>
      <c r="E548" s="622"/>
      <c r="F548" s="622"/>
      <c r="G548" s="622"/>
      <c r="H548" s="622"/>
      <c r="I548" s="622"/>
      <c r="J548" s="622"/>
      <c r="K548" s="622"/>
      <c r="L548" s="622"/>
      <c r="M548" s="622"/>
      <c r="N548" s="622"/>
      <c r="O548" s="622"/>
      <c r="P548" s="622"/>
      <c r="Q548" s="622"/>
      <c r="R548" s="622"/>
      <c r="S548" s="622"/>
      <c r="T548" s="622"/>
      <c r="U548" s="622"/>
      <c r="V548" s="622"/>
      <c r="W548" s="622"/>
      <c r="X548" s="622"/>
      <c r="Y548" s="330"/>
      <c r="Z548" s="623"/>
      <c r="AA548" s="622"/>
      <c r="AB548" s="622"/>
      <c r="AC548" s="622"/>
      <c r="AD548" s="622"/>
      <c r="AE548" s="622"/>
      <c r="AF548" s="622"/>
      <c r="AG548" s="622"/>
      <c r="AH548" s="622"/>
      <c r="AI548" s="622"/>
      <c r="AJ548" s="622"/>
      <c r="AK548" s="622"/>
      <c r="AL548" s="622"/>
      <c r="AM548" s="622"/>
      <c r="AN548" s="622"/>
      <c r="AO548" s="622"/>
      <c r="AP548" s="622"/>
      <c r="AQ548" s="622"/>
      <c r="AR548" s="622"/>
      <c r="AS548" s="622"/>
      <c r="AT548" s="622"/>
      <c r="AU548" s="622"/>
      <c r="AV548" s="622"/>
      <c r="AW548" s="622"/>
    </row>
    <row r="549" spans="1:49" ht="7.5" customHeight="1">
      <c r="A549" s="623">
        <v>5</v>
      </c>
      <c r="B549" s="622" t="str">
        <f>IF(NOT(ISBLANK('A-RACHNATMAK'!C585)),"A",IF(NOT(ISBLANK('A-RACHNATMAK'!C584)),"B",IF(NOT(ISBLANK('A-RACHNATMAK'!C583)),"C","")))</f>
        <v/>
      </c>
      <c r="C549" s="622" t="str">
        <f>IF(NOT(ISBLANK('A-RACHNATMAK'!D585)),"A",IF(NOT(ISBLANK('A-RACHNATMAK'!D584)),"B",IF(NOT(ISBLANK('A-RACHNATMAK'!D583)),"C","")))</f>
        <v/>
      </c>
      <c r="D549" s="622" t="str">
        <f>IF(NOT(ISBLANK('A-RACHNATMAK'!E585)),"A",IF(NOT(ISBLANK('A-RACHNATMAK'!E584)),"B",IF(NOT(ISBLANK('A-RACHNATMAK'!E583)),"C","")))</f>
        <v/>
      </c>
      <c r="E549" s="622" t="str">
        <f>IF(NOT(ISBLANK('A-RACHNATMAK'!F585)),"A",IF(NOT(ISBLANK('A-RACHNATMAK'!F584)),"B",IF(NOT(ISBLANK('A-RACHNATMAK'!F583)),"C","")))</f>
        <v/>
      </c>
      <c r="F549" s="622" t="str">
        <f>IF(NOT(ISBLANK('A-RACHNATMAK'!G585)),"A",IF(NOT(ISBLANK('A-RACHNATMAK'!G584)),"B",IF(NOT(ISBLANK('A-RACHNATMAK'!G583)),"C","")))</f>
        <v/>
      </c>
      <c r="G549" s="622" t="str">
        <f>IF(NOT(ISBLANK('A-RACHNATMAK'!H585)),"A",IF(NOT(ISBLANK('A-RACHNATMAK'!H584)),"B",IF(NOT(ISBLANK('A-RACHNATMAK'!H583)),"C","")))</f>
        <v/>
      </c>
      <c r="H549" s="622" t="str">
        <f>IF(NOT(ISBLANK('A-RACHNATMAK'!I585)),"A",IF(NOT(ISBLANK('A-RACHNATMAK'!I584)),"B",IF(NOT(ISBLANK('A-RACHNATMAK'!I583)),"C","")))</f>
        <v/>
      </c>
      <c r="I549" s="622" t="str">
        <f>IF(NOT(ISBLANK('A-RACHNATMAK'!J585)),"A",IF(NOT(ISBLANK('A-RACHNATMAK'!J584)),"B",IF(NOT(ISBLANK('A-RACHNATMAK'!J583)),"C","")))</f>
        <v/>
      </c>
      <c r="J549" s="622" t="str">
        <f>IF(NOT(ISBLANK('A-RACHNATMAK'!K585)),"A",IF(NOT(ISBLANK('A-RACHNATMAK'!K584)),"B",IF(NOT(ISBLANK('A-RACHNATMAK'!K583)),"C","")))</f>
        <v/>
      </c>
      <c r="K549" s="622" t="str">
        <f>IF(NOT(ISBLANK('A-RACHNATMAK'!L585)),"A",IF(NOT(ISBLANK('A-RACHNATMAK'!L584)),"B",IF(NOT(ISBLANK('A-RACHNATMAK'!L583)),"C","")))</f>
        <v/>
      </c>
      <c r="L549" s="622" t="str">
        <f>IF(NOT(ISBLANK('A-RACHNATMAK'!M585)),"A",IF(NOT(ISBLANK('A-RACHNATMAK'!M584)),"B",IF(NOT(ISBLANK('A-RACHNATMAK'!M583)),"C","")))</f>
        <v/>
      </c>
      <c r="M549" s="622" t="str">
        <f>IF(NOT(ISBLANK('A-RACHNATMAK'!N585)),"A",IF(NOT(ISBLANK('A-RACHNATMAK'!N584)),"B",IF(NOT(ISBLANK('A-RACHNATMAK'!N583)),"C","")))</f>
        <v/>
      </c>
      <c r="N549" s="622" t="str">
        <f>IF(NOT(ISBLANK('A-RACHNATMAK'!O585)),"A",IF(NOT(ISBLANK('A-RACHNATMAK'!O584)),"B",IF(NOT(ISBLANK('A-RACHNATMAK'!O583)),"C","")))</f>
        <v/>
      </c>
      <c r="O549" s="622" t="str">
        <f>IF(NOT(ISBLANK('A-RACHNATMAK'!P585)),"A",IF(NOT(ISBLANK('A-RACHNATMAK'!P584)),"B",IF(NOT(ISBLANK('A-RACHNATMAK'!P583)),"C","")))</f>
        <v/>
      </c>
      <c r="P549" s="622" t="str">
        <f>IF(NOT(ISBLANK('A-RACHNATMAK'!Q585)),"A",IF(NOT(ISBLANK('A-RACHNATMAK'!Q584)),"B",IF(NOT(ISBLANK('A-RACHNATMAK'!Q583)),"C","")))</f>
        <v/>
      </c>
      <c r="Q549" s="622" t="str">
        <f>IF(NOT(ISBLANK('A-RACHNATMAK'!R585)),"A",IF(NOT(ISBLANK('A-RACHNATMAK'!R584)),"B",IF(NOT(ISBLANK('A-RACHNATMAK'!R583)),"C","")))</f>
        <v/>
      </c>
      <c r="R549" s="622" t="str">
        <f>IF(NOT(ISBLANK('A-RACHNATMAK'!S585)),"A",IF(NOT(ISBLANK('A-RACHNATMAK'!S584)),"B",IF(NOT(ISBLANK('A-RACHNATMAK'!S583)),"C","")))</f>
        <v/>
      </c>
      <c r="S549" s="622" t="str">
        <f>IF(NOT(ISBLANK('A-RACHNATMAK'!T585)),"A",IF(NOT(ISBLANK('A-RACHNATMAK'!T584)),"B",IF(NOT(ISBLANK('A-RACHNATMAK'!T583)),"C","")))</f>
        <v/>
      </c>
      <c r="T549" s="622" t="str">
        <f>IF(NOT(ISBLANK('A-RACHNATMAK'!U585)),"A",IF(NOT(ISBLANK('A-RACHNATMAK'!U584)),"B",IF(NOT(ISBLANK('A-RACHNATMAK'!U583)),"C","")))</f>
        <v/>
      </c>
      <c r="U549" s="622" t="str">
        <f>IF(NOT(ISBLANK('A-RACHNATMAK'!V585)),"A",IF(NOT(ISBLANK('A-RACHNATMAK'!V584)),"B",IF(NOT(ISBLANK('A-RACHNATMAK'!V583)),"C","")))</f>
        <v/>
      </c>
      <c r="V549" s="622">
        <f t="shared" ref="V549" si="1038">COUNTIF(B549:U549,"A")</f>
        <v>0</v>
      </c>
      <c r="W549" s="622">
        <f t="shared" ref="W549" si="1039">COUNTIF(B549:U549,"B")</f>
        <v>0</v>
      </c>
      <c r="X549" s="622">
        <f t="shared" ref="X549" si="1040">COUNTIF(B549:U549,"C")</f>
        <v>0</v>
      </c>
      <c r="Y549" s="330"/>
      <c r="Z549" s="623">
        <v>5</v>
      </c>
      <c r="AA549" s="622" t="str">
        <f>IF(NOT(ISBLANK('A-RACHNATMAK'!AD585)),"A",IF(NOT(ISBLANK('A-RACHNATMAK'!AD584)),"B",IF(NOT(ISBLANK('A-RACHNATMAK'!AD583)),"C","")))</f>
        <v/>
      </c>
      <c r="AB549" s="622" t="str">
        <f>IF(NOT(ISBLANK('A-RACHNATMAK'!AE585)),"A",IF(NOT(ISBLANK('A-RACHNATMAK'!AE584)),"B",IF(NOT(ISBLANK('A-RACHNATMAK'!AE583)),"C","")))</f>
        <v/>
      </c>
      <c r="AC549" s="622" t="str">
        <f>IF(NOT(ISBLANK('A-RACHNATMAK'!AF585)),"A",IF(NOT(ISBLANK('A-RACHNATMAK'!AF584)),"B",IF(NOT(ISBLANK('A-RACHNATMAK'!AF583)),"C","")))</f>
        <v/>
      </c>
      <c r="AD549" s="622" t="str">
        <f>IF(NOT(ISBLANK('A-RACHNATMAK'!AG585)),"A",IF(NOT(ISBLANK('A-RACHNATMAK'!AG584)),"B",IF(NOT(ISBLANK('A-RACHNATMAK'!AG583)),"C","")))</f>
        <v/>
      </c>
      <c r="AE549" s="622" t="str">
        <f>IF(NOT(ISBLANK('A-RACHNATMAK'!AH585)),"A",IF(NOT(ISBLANK('A-RACHNATMAK'!AH584)),"B",IF(NOT(ISBLANK('A-RACHNATMAK'!AH583)),"C","")))</f>
        <v/>
      </c>
      <c r="AF549" s="622" t="str">
        <f>IF(NOT(ISBLANK('A-RACHNATMAK'!AI585)),"A",IF(NOT(ISBLANK('A-RACHNATMAK'!AI584)),"B",IF(NOT(ISBLANK('A-RACHNATMAK'!AI583)),"C","")))</f>
        <v/>
      </c>
      <c r="AG549" s="622" t="str">
        <f>IF(NOT(ISBLANK('A-RACHNATMAK'!AJ585)),"A",IF(NOT(ISBLANK('A-RACHNATMAK'!AJ584)),"B",IF(NOT(ISBLANK('A-RACHNATMAK'!AJ583)),"C","")))</f>
        <v/>
      </c>
      <c r="AH549" s="622" t="str">
        <f>IF(NOT(ISBLANK('A-RACHNATMAK'!AK585)),"A",IF(NOT(ISBLANK('A-RACHNATMAK'!AK584)),"B",IF(NOT(ISBLANK('A-RACHNATMAK'!AK583)),"C","")))</f>
        <v/>
      </c>
      <c r="AI549" s="622" t="str">
        <f>IF(NOT(ISBLANK('A-RACHNATMAK'!AL585)),"A",IF(NOT(ISBLANK('A-RACHNATMAK'!AL584)),"B",IF(NOT(ISBLANK('A-RACHNATMAK'!AL583)),"C","")))</f>
        <v/>
      </c>
      <c r="AJ549" s="622" t="str">
        <f>IF(NOT(ISBLANK('A-RACHNATMAK'!AM585)),"A",IF(NOT(ISBLANK('A-RACHNATMAK'!AM584)),"B",IF(NOT(ISBLANK('A-RACHNATMAK'!AM583)),"C","")))</f>
        <v/>
      </c>
      <c r="AK549" s="622" t="str">
        <f>IF(NOT(ISBLANK('A-RACHNATMAK'!AN585)),"A",IF(NOT(ISBLANK('A-RACHNATMAK'!AN584)),"B",IF(NOT(ISBLANK('A-RACHNATMAK'!AN583)),"C","")))</f>
        <v/>
      </c>
      <c r="AL549" s="622" t="str">
        <f>IF(NOT(ISBLANK('A-RACHNATMAK'!AO585)),"A",IF(NOT(ISBLANK('A-RACHNATMAK'!AO584)),"B",IF(NOT(ISBLANK('A-RACHNATMAK'!AO583)),"C","")))</f>
        <v/>
      </c>
      <c r="AM549" s="622" t="str">
        <f>IF(NOT(ISBLANK('A-RACHNATMAK'!AP585)),"A",IF(NOT(ISBLANK('A-RACHNATMAK'!AP584)),"B",IF(NOT(ISBLANK('A-RACHNATMAK'!AP583)),"C","")))</f>
        <v/>
      </c>
      <c r="AN549" s="622" t="str">
        <f>IF(NOT(ISBLANK('A-RACHNATMAK'!AQ585)),"A",IF(NOT(ISBLANK('A-RACHNATMAK'!AQ584)),"B",IF(NOT(ISBLANK('A-RACHNATMAK'!AQ583)),"C","")))</f>
        <v/>
      </c>
      <c r="AO549" s="622" t="str">
        <f>IF(NOT(ISBLANK('A-RACHNATMAK'!AR585)),"A",IF(NOT(ISBLANK('A-RACHNATMAK'!AR584)),"B",IF(NOT(ISBLANK('A-RACHNATMAK'!AR583)),"C","")))</f>
        <v/>
      </c>
      <c r="AP549" s="622" t="str">
        <f>IF(NOT(ISBLANK('A-RACHNATMAK'!AS585)),"A",IF(NOT(ISBLANK('A-RACHNATMAK'!AS584)),"B",IF(NOT(ISBLANK('A-RACHNATMAK'!AS583)),"C","")))</f>
        <v/>
      </c>
      <c r="AQ549" s="622" t="str">
        <f>IF(NOT(ISBLANK('A-RACHNATMAK'!AT585)),"A",IF(NOT(ISBLANK('A-RACHNATMAK'!AT584)),"B",IF(NOT(ISBLANK('A-RACHNATMAK'!AT583)),"C","")))</f>
        <v/>
      </c>
      <c r="AR549" s="622" t="str">
        <f>IF(NOT(ISBLANK('A-RACHNATMAK'!AU585)),"A",IF(NOT(ISBLANK('A-RACHNATMAK'!AU584)),"B",IF(NOT(ISBLANK('A-RACHNATMAK'!AU583)),"C","")))</f>
        <v/>
      </c>
      <c r="AS549" s="622" t="str">
        <f>IF(NOT(ISBLANK('A-RACHNATMAK'!AV585)),"A",IF(NOT(ISBLANK('A-RACHNATMAK'!AV584)),"B",IF(NOT(ISBLANK('A-RACHNATMAK'!AV583)),"C","")))</f>
        <v/>
      </c>
      <c r="AT549" s="622" t="str">
        <f>IF(NOT(ISBLANK('A-RACHNATMAK'!AW585)),"A",IF(NOT(ISBLANK('A-RACHNATMAK'!AW584)),"B",IF(NOT(ISBLANK('A-RACHNATMAK'!AW583)),"C","")))</f>
        <v/>
      </c>
      <c r="AU549" s="622">
        <f t="shared" ref="AU549" si="1041">COUNTIF(AA549:AT549,"A")</f>
        <v>0</v>
      </c>
      <c r="AV549" s="622">
        <f t="shared" ref="AV549" si="1042">COUNTIF(AA549:AT549,"B")</f>
        <v>0</v>
      </c>
      <c r="AW549" s="622">
        <f t="shared" ref="AW549" si="1043">COUNTIF(AA549:AT549,"C")</f>
        <v>0</v>
      </c>
    </row>
    <row r="550" spans="1:49" ht="7.5" customHeight="1">
      <c r="A550" s="623"/>
      <c r="B550" s="622"/>
      <c r="C550" s="622"/>
      <c r="D550" s="622"/>
      <c r="E550" s="622"/>
      <c r="F550" s="622"/>
      <c r="G550" s="622"/>
      <c r="H550" s="622"/>
      <c r="I550" s="622"/>
      <c r="J550" s="622"/>
      <c r="K550" s="622"/>
      <c r="L550" s="622"/>
      <c r="M550" s="622"/>
      <c r="N550" s="622"/>
      <c r="O550" s="622"/>
      <c r="P550" s="622"/>
      <c r="Q550" s="622"/>
      <c r="R550" s="622"/>
      <c r="S550" s="622"/>
      <c r="T550" s="622"/>
      <c r="U550" s="622"/>
      <c r="V550" s="622"/>
      <c r="W550" s="622"/>
      <c r="X550" s="622"/>
      <c r="Y550" s="330"/>
      <c r="Z550" s="623"/>
      <c r="AA550" s="622"/>
      <c r="AB550" s="622"/>
      <c r="AC550" s="622"/>
      <c r="AD550" s="622"/>
      <c r="AE550" s="622"/>
      <c r="AF550" s="622"/>
      <c r="AG550" s="622"/>
      <c r="AH550" s="622"/>
      <c r="AI550" s="622"/>
      <c r="AJ550" s="622"/>
      <c r="AK550" s="622"/>
      <c r="AL550" s="622"/>
      <c r="AM550" s="622"/>
      <c r="AN550" s="622"/>
      <c r="AO550" s="622"/>
      <c r="AP550" s="622"/>
      <c r="AQ550" s="622"/>
      <c r="AR550" s="622"/>
      <c r="AS550" s="622"/>
      <c r="AT550" s="622"/>
      <c r="AU550" s="622"/>
      <c r="AV550" s="622"/>
      <c r="AW550" s="622"/>
    </row>
    <row r="551" spans="1:49" ht="7.5" customHeight="1">
      <c r="A551" s="623"/>
      <c r="B551" s="622"/>
      <c r="C551" s="622"/>
      <c r="D551" s="622"/>
      <c r="E551" s="622"/>
      <c r="F551" s="622"/>
      <c r="G551" s="622"/>
      <c r="H551" s="622"/>
      <c r="I551" s="622"/>
      <c r="J551" s="622"/>
      <c r="K551" s="622"/>
      <c r="L551" s="622"/>
      <c r="M551" s="622"/>
      <c r="N551" s="622"/>
      <c r="O551" s="622"/>
      <c r="P551" s="622"/>
      <c r="Q551" s="622"/>
      <c r="R551" s="622"/>
      <c r="S551" s="622"/>
      <c r="T551" s="622"/>
      <c r="U551" s="622"/>
      <c r="V551" s="622"/>
      <c r="W551" s="622"/>
      <c r="X551" s="622"/>
      <c r="Y551" s="330"/>
      <c r="Z551" s="623"/>
      <c r="AA551" s="622"/>
      <c r="AB551" s="622"/>
      <c r="AC551" s="622"/>
      <c r="AD551" s="622"/>
      <c r="AE551" s="622"/>
      <c r="AF551" s="622"/>
      <c r="AG551" s="622"/>
      <c r="AH551" s="622"/>
      <c r="AI551" s="622"/>
      <c r="AJ551" s="622"/>
      <c r="AK551" s="622"/>
      <c r="AL551" s="622"/>
      <c r="AM551" s="622"/>
      <c r="AN551" s="622"/>
      <c r="AO551" s="622"/>
      <c r="AP551" s="622"/>
      <c r="AQ551" s="622"/>
      <c r="AR551" s="622"/>
      <c r="AS551" s="622"/>
      <c r="AT551" s="622"/>
      <c r="AU551" s="622"/>
      <c r="AV551" s="622"/>
      <c r="AW551" s="622"/>
    </row>
    <row r="552" spans="1:49" ht="7.5" customHeight="1">
      <c r="A552" s="623">
        <v>6</v>
      </c>
      <c r="B552" s="622" t="str">
        <f>IF(NOT(ISBLANK('A-RACHNATMAK'!C588)),"A",IF(NOT(ISBLANK('A-RACHNATMAK'!C587)),"B",IF(NOT(ISBLANK('A-RACHNATMAK'!C586)),"C","")))</f>
        <v/>
      </c>
      <c r="C552" s="622" t="str">
        <f>IF(NOT(ISBLANK('A-RACHNATMAK'!D588)),"A",IF(NOT(ISBLANK('A-RACHNATMAK'!D587)),"B",IF(NOT(ISBLANK('A-RACHNATMAK'!D586)),"C","")))</f>
        <v/>
      </c>
      <c r="D552" s="622" t="str">
        <f>IF(NOT(ISBLANK('A-RACHNATMAK'!E588)),"A",IF(NOT(ISBLANK('A-RACHNATMAK'!E587)),"B",IF(NOT(ISBLANK('A-RACHNATMAK'!E586)),"C","")))</f>
        <v/>
      </c>
      <c r="E552" s="622" t="str">
        <f>IF(NOT(ISBLANK('A-RACHNATMAK'!F588)),"A",IF(NOT(ISBLANK('A-RACHNATMAK'!F587)),"B",IF(NOT(ISBLANK('A-RACHNATMAK'!F586)),"C","")))</f>
        <v/>
      </c>
      <c r="F552" s="622" t="str">
        <f>IF(NOT(ISBLANK('A-RACHNATMAK'!G588)),"A",IF(NOT(ISBLANK('A-RACHNATMAK'!G587)),"B",IF(NOT(ISBLANK('A-RACHNATMAK'!G586)),"C","")))</f>
        <v/>
      </c>
      <c r="G552" s="622" t="str">
        <f>IF(NOT(ISBLANK('A-RACHNATMAK'!H588)),"A",IF(NOT(ISBLANK('A-RACHNATMAK'!H587)),"B",IF(NOT(ISBLANK('A-RACHNATMAK'!H586)),"C","")))</f>
        <v/>
      </c>
      <c r="H552" s="622" t="str">
        <f>IF(NOT(ISBLANK('A-RACHNATMAK'!I588)),"A",IF(NOT(ISBLANK('A-RACHNATMAK'!I587)),"B",IF(NOT(ISBLANK('A-RACHNATMAK'!I586)),"C","")))</f>
        <v/>
      </c>
      <c r="I552" s="622" t="str">
        <f>IF(NOT(ISBLANK('A-RACHNATMAK'!J588)),"A",IF(NOT(ISBLANK('A-RACHNATMAK'!J587)),"B",IF(NOT(ISBLANK('A-RACHNATMAK'!J586)),"C","")))</f>
        <v/>
      </c>
      <c r="J552" s="622" t="str">
        <f>IF(NOT(ISBLANK('A-RACHNATMAK'!K588)),"A",IF(NOT(ISBLANK('A-RACHNATMAK'!K587)),"B",IF(NOT(ISBLANK('A-RACHNATMAK'!K586)),"C","")))</f>
        <v/>
      </c>
      <c r="K552" s="622" t="str">
        <f>IF(NOT(ISBLANK('A-RACHNATMAK'!L588)),"A",IF(NOT(ISBLANK('A-RACHNATMAK'!L587)),"B",IF(NOT(ISBLANK('A-RACHNATMAK'!L586)),"C","")))</f>
        <v/>
      </c>
      <c r="L552" s="622" t="str">
        <f>IF(NOT(ISBLANK('A-RACHNATMAK'!M588)),"A",IF(NOT(ISBLANK('A-RACHNATMAK'!M587)),"B",IF(NOT(ISBLANK('A-RACHNATMAK'!M586)),"C","")))</f>
        <v/>
      </c>
      <c r="M552" s="622" t="str">
        <f>IF(NOT(ISBLANK('A-RACHNATMAK'!N588)),"A",IF(NOT(ISBLANK('A-RACHNATMAK'!N587)),"B",IF(NOT(ISBLANK('A-RACHNATMAK'!N586)),"C","")))</f>
        <v/>
      </c>
      <c r="N552" s="622" t="str">
        <f>IF(NOT(ISBLANK('A-RACHNATMAK'!O588)),"A",IF(NOT(ISBLANK('A-RACHNATMAK'!O587)),"B",IF(NOT(ISBLANK('A-RACHNATMAK'!O586)),"C","")))</f>
        <v/>
      </c>
      <c r="O552" s="622" t="str">
        <f>IF(NOT(ISBLANK('A-RACHNATMAK'!P588)),"A",IF(NOT(ISBLANK('A-RACHNATMAK'!P587)),"B",IF(NOT(ISBLANK('A-RACHNATMAK'!P586)),"C","")))</f>
        <v/>
      </c>
      <c r="P552" s="622" t="str">
        <f>IF(NOT(ISBLANK('A-RACHNATMAK'!Q588)),"A",IF(NOT(ISBLANK('A-RACHNATMAK'!Q587)),"B",IF(NOT(ISBLANK('A-RACHNATMAK'!Q586)),"C","")))</f>
        <v/>
      </c>
      <c r="Q552" s="622" t="str">
        <f>IF(NOT(ISBLANK('A-RACHNATMAK'!R588)),"A",IF(NOT(ISBLANK('A-RACHNATMAK'!R587)),"B",IF(NOT(ISBLANK('A-RACHNATMAK'!R586)),"C","")))</f>
        <v/>
      </c>
      <c r="R552" s="622" t="str">
        <f>IF(NOT(ISBLANK('A-RACHNATMAK'!S588)),"A",IF(NOT(ISBLANK('A-RACHNATMAK'!S587)),"B",IF(NOT(ISBLANK('A-RACHNATMAK'!S586)),"C","")))</f>
        <v/>
      </c>
      <c r="S552" s="622" t="str">
        <f>IF(NOT(ISBLANK('A-RACHNATMAK'!T588)),"A",IF(NOT(ISBLANK('A-RACHNATMAK'!T587)),"B",IF(NOT(ISBLANK('A-RACHNATMAK'!T586)),"C","")))</f>
        <v/>
      </c>
      <c r="T552" s="622" t="str">
        <f>IF(NOT(ISBLANK('A-RACHNATMAK'!U588)),"A",IF(NOT(ISBLANK('A-RACHNATMAK'!U587)),"B",IF(NOT(ISBLANK('A-RACHNATMAK'!U586)),"C","")))</f>
        <v/>
      </c>
      <c r="U552" s="622" t="str">
        <f>IF(NOT(ISBLANK('A-RACHNATMAK'!V588)),"A",IF(NOT(ISBLANK('A-RACHNATMAK'!V587)),"B",IF(NOT(ISBLANK('A-RACHNATMAK'!V586)),"C","")))</f>
        <v/>
      </c>
      <c r="V552" s="622">
        <f t="shared" ref="V552" si="1044">COUNTIF(B552:U552,"A")</f>
        <v>0</v>
      </c>
      <c r="W552" s="622">
        <f t="shared" ref="W552" si="1045">COUNTIF(B552:U552,"B")</f>
        <v>0</v>
      </c>
      <c r="X552" s="622">
        <f t="shared" ref="X552" si="1046">COUNTIF(B552:U552,"C")</f>
        <v>0</v>
      </c>
      <c r="Y552" s="330"/>
      <c r="Z552" s="623">
        <v>6</v>
      </c>
      <c r="AA552" s="622" t="str">
        <f>IF(NOT(ISBLANK('A-RACHNATMAK'!AD588)),"A",IF(NOT(ISBLANK('A-RACHNATMAK'!AD587)),"B",IF(NOT(ISBLANK('A-RACHNATMAK'!AD586)),"C","")))</f>
        <v/>
      </c>
      <c r="AB552" s="622" t="str">
        <f>IF(NOT(ISBLANK('A-RACHNATMAK'!AE588)),"A",IF(NOT(ISBLANK('A-RACHNATMAK'!AE587)),"B",IF(NOT(ISBLANK('A-RACHNATMAK'!AE586)),"C","")))</f>
        <v/>
      </c>
      <c r="AC552" s="622" t="str">
        <f>IF(NOT(ISBLANK('A-RACHNATMAK'!AF588)),"A",IF(NOT(ISBLANK('A-RACHNATMAK'!AF587)),"B",IF(NOT(ISBLANK('A-RACHNATMAK'!AF586)),"C","")))</f>
        <v/>
      </c>
      <c r="AD552" s="622" t="str">
        <f>IF(NOT(ISBLANK('A-RACHNATMAK'!AG588)),"A",IF(NOT(ISBLANK('A-RACHNATMAK'!AG587)),"B",IF(NOT(ISBLANK('A-RACHNATMAK'!AG586)),"C","")))</f>
        <v/>
      </c>
      <c r="AE552" s="622" t="str">
        <f>IF(NOT(ISBLANK('A-RACHNATMAK'!AH588)),"A",IF(NOT(ISBLANK('A-RACHNATMAK'!AH587)),"B",IF(NOT(ISBLANK('A-RACHNATMAK'!AH586)),"C","")))</f>
        <v/>
      </c>
      <c r="AF552" s="622" t="str">
        <f>IF(NOT(ISBLANK('A-RACHNATMAK'!AI588)),"A",IF(NOT(ISBLANK('A-RACHNATMAK'!AI587)),"B",IF(NOT(ISBLANK('A-RACHNATMAK'!AI586)),"C","")))</f>
        <v/>
      </c>
      <c r="AG552" s="622" t="str">
        <f>IF(NOT(ISBLANK('A-RACHNATMAK'!AJ588)),"A",IF(NOT(ISBLANK('A-RACHNATMAK'!AJ587)),"B",IF(NOT(ISBLANK('A-RACHNATMAK'!AJ586)),"C","")))</f>
        <v/>
      </c>
      <c r="AH552" s="622" t="str">
        <f>IF(NOT(ISBLANK('A-RACHNATMAK'!AK588)),"A",IF(NOT(ISBLANK('A-RACHNATMAK'!AK587)),"B",IF(NOT(ISBLANK('A-RACHNATMAK'!AK586)),"C","")))</f>
        <v/>
      </c>
      <c r="AI552" s="622" t="str">
        <f>IF(NOT(ISBLANK('A-RACHNATMAK'!AL588)),"A",IF(NOT(ISBLANK('A-RACHNATMAK'!AL587)),"B",IF(NOT(ISBLANK('A-RACHNATMAK'!AL586)),"C","")))</f>
        <v/>
      </c>
      <c r="AJ552" s="622" t="str">
        <f>IF(NOT(ISBLANK('A-RACHNATMAK'!AM588)),"A",IF(NOT(ISBLANK('A-RACHNATMAK'!AM587)),"B",IF(NOT(ISBLANK('A-RACHNATMAK'!AM586)),"C","")))</f>
        <v/>
      </c>
      <c r="AK552" s="622" t="str">
        <f>IF(NOT(ISBLANK('A-RACHNATMAK'!AN588)),"A",IF(NOT(ISBLANK('A-RACHNATMAK'!AN587)),"B",IF(NOT(ISBLANK('A-RACHNATMAK'!AN586)),"C","")))</f>
        <v/>
      </c>
      <c r="AL552" s="622" t="str">
        <f>IF(NOT(ISBLANK('A-RACHNATMAK'!AO588)),"A",IF(NOT(ISBLANK('A-RACHNATMAK'!AO587)),"B",IF(NOT(ISBLANK('A-RACHNATMAK'!AO586)),"C","")))</f>
        <v/>
      </c>
      <c r="AM552" s="622" t="str">
        <f>IF(NOT(ISBLANK('A-RACHNATMAK'!AP588)),"A",IF(NOT(ISBLANK('A-RACHNATMAK'!AP587)),"B",IF(NOT(ISBLANK('A-RACHNATMAK'!AP586)),"C","")))</f>
        <v/>
      </c>
      <c r="AN552" s="622" t="str">
        <f>IF(NOT(ISBLANK('A-RACHNATMAK'!AQ588)),"A",IF(NOT(ISBLANK('A-RACHNATMAK'!AQ587)),"B",IF(NOT(ISBLANK('A-RACHNATMAK'!AQ586)),"C","")))</f>
        <v/>
      </c>
      <c r="AO552" s="622" t="str">
        <f>IF(NOT(ISBLANK('A-RACHNATMAK'!AR588)),"A",IF(NOT(ISBLANK('A-RACHNATMAK'!AR587)),"B",IF(NOT(ISBLANK('A-RACHNATMAK'!AR586)),"C","")))</f>
        <v/>
      </c>
      <c r="AP552" s="622" t="str">
        <f>IF(NOT(ISBLANK('A-RACHNATMAK'!AS588)),"A",IF(NOT(ISBLANK('A-RACHNATMAK'!AS587)),"B",IF(NOT(ISBLANK('A-RACHNATMAK'!AS586)),"C","")))</f>
        <v/>
      </c>
      <c r="AQ552" s="622" t="str">
        <f>IF(NOT(ISBLANK('A-RACHNATMAK'!AT588)),"A",IF(NOT(ISBLANK('A-RACHNATMAK'!AT587)),"B",IF(NOT(ISBLANK('A-RACHNATMAK'!AT586)),"C","")))</f>
        <v/>
      </c>
      <c r="AR552" s="622" t="str">
        <f>IF(NOT(ISBLANK('A-RACHNATMAK'!AU588)),"A",IF(NOT(ISBLANK('A-RACHNATMAK'!AU587)),"B",IF(NOT(ISBLANK('A-RACHNATMAK'!AU586)),"C","")))</f>
        <v/>
      </c>
      <c r="AS552" s="622" t="str">
        <f>IF(NOT(ISBLANK('A-RACHNATMAK'!AV588)),"A",IF(NOT(ISBLANK('A-RACHNATMAK'!AV587)),"B",IF(NOT(ISBLANK('A-RACHNATMAK'!AV586)),"C","")))</f>
        <v/>
      </c>
      <c r="AT552" s="622" t="str">
        <f>IF(NOT(ISBLANK('A-RACHNATMAK'!AW588)),"A",IF(NOT(ISBLANK('A-RACHNATMAK'!AW587)),"B",IF(NOT(ISBLANK('A-RACHNATMAK'!AW586)),"C","")))</f>
        <v/>
      </c>
      <c r="AU552" s="622">
        <f t="shared" ref="AU552" si="1047">COUNTIF(AA552:AT552,"A")</f>
        <v>0</v>
      </c>
      <c r="AV552" s="622">
        <f t="shared" ref="AV552" si="1048">COUNTIF(AA552:AT552,"B")</f>
        <v>0</v>
      </c>
      <c r="AW552" s="622">
        <f t="shared" ref="AW552" si="1049">COUNTIF(AA552:AT552,"C")</f>
        <v>0</v>
      </c>
    </row>
    <row r="553" spans="1:49" ht="7.5" customHeight="1">
      <c r="A553" s="623"/>
      <c r="B553" s="622"/>
      <c r="C553" s="622"/>
      <c r="D553" s="622"/>
      <c r="E553" s="622"/>
      <c r="F553" s="622"/>
      <c r="G553" s="622"/>
      <c r="H553" s="622"/>
      <c r="I553" s="622"/>
      <c r="J553" s="622"/>
      <c r="K553" s="622"/>
      <c r="L553" s="622"/>
      <c r="M553" s="622"/>
      <c r="N553" s="622"/>
      <c r="O553" s="622"/>
      <c r="P553" s="622"/>
      <c r="Q553" s="622"/>
      <c r="R553" s="622"/>
      <c r="S553" s="622"/>
      <c r="T553" s="622"/>
      <c r="U553" s="622"/>
      <c r="V553" s="622"/>
      <c r="W553" s="622"/>
      <c r="X553" s="622"/>
      <c r="Y553" s="330"/>
      <c r="Z553" s="623"/>
      <c r="AA553" s="622"/>
      <c r="AB553" s="622"/>
      <c r="AC553" s="622"/>
      <c r="AD553" s="622"/>
      <c r="AE553" s="622"/>
      <c r="AF553" s="622"/>
      <c r="AG553" s="622"/>
      <c r="AH553" s="622"/>
      <c r="AI553" s="622"/>
      <c r="AJ553" s="622"/>
      <c r="AK553" s="622"/>
      <c r="AL553" s="622"/>
      <c r="AM553" s="622"/>
      <c r="AN553" s="622"/>
      <c r="AO553" s="622"/>
      <c r="AP553" s="622"/>
      <c r="AQ553" s="622"/>
      <c r="AR553" s="622"/>
      <c r="AS553" s="622"/>
      <c r="AT553" s="622"/>
      <c r="AU553" s="622"/>
      <c r="AV553" s="622"/>
      <c r="AW553" s="622"/>
    </row>
    <row r="554" spans="1:49" ht="7.5" customHeight="1">
      <c r="A554" s="623"/>
      <c r="B554" s="622"/>
      <c r="C554" s="622"/>
      <c r="D554" s="622"/>
      <c r="E554" s="622"/>
      <c r="F554" s="622"/>
      <c r="G554" s="622"/>
      <c r="H554" s="622"/>
      <c r="I554" s="622"/>
      <c r="J554" s="622"/>
      <c r="K554" s="622"/>
      <c r="L554" s="622"/>
      <c r="M554" s="622"/>
      <c r="N554" s="622"/>
      <c r="O554" s="622"/>
      <c r="P554" s="622"/>
      <c r="Q554" s="622"/>
      <c r="R554" s="622"/>
      <c r="S554" s="622"/>
      <c r="T554" s="622"/>
      <c r="U554" s="622"/>
      <c r="V554" s="622"/>
      <c r="W554" s="622"/>
      <c r="X554" s="622"/>
      <c r="Y554" s="330"/>
      <c r="Z554" s="623"/>
      <c r="AA554" s="622"/>
      <c r="AB554" s="622"/>
      <c r="AC554" s="622"/>
      <c r="AD554" s="622"/>
      <c r="AE554" s="622"/>
      <c r="AF554" s="622"/>
      <c r="AG554" s="622"/>
      <c r="AH554" s="622"/>
      <c r="AI554" s="622"/>
      <c r="AJ554" s="622"/>
      <c r="AK554" s="622"/>
      <c r="AL554" s="622"/>
      <c r="AM554" s="622"/>
      <c r="AN554" s="622"/>
      <c r="AO554" s="622"/>
      <c r="AP554" s="622"/>
      <c r="AQ554" s="622"/>
      <c r="AR554" s="622"/>
      <c r="AS554" s="622"/>
      <c r="AT554" s="622"/>
      <c r="AU554" s="622"/>
      <c r="AV554" s="622"/>
      <c r="AW554" s="622"/>
    </row>
    <row r="555" spans="1:49" ht="7.5" customHeight="1">
      <c r="A555" s="623">
        <v>7</v>
      </c>
      <c r="B555" s="622" t="str">
        <f>IF(NOT(ISBLANK('A-RACHNATMAK'!C591)),"A",IF(NOT(ISBLANK('A-RACHNATMAK'!C590)),"B",IF(NOT(ISBLANK('A-RACHNATMAK'!C589)),"C","")))</f>
        <v/>
      </c>
      <c r="C555" s="622" t="str">
        <f>IF(NOT(ISBLANK('A-RACHNATMAK'!D591)),"A",IF(NOT(ISBLANK('A-RACHNATMAK'!D590)),"B",IF(NOT(ISBLANK('A-RACHNATMAK'!D589)),"C","")))</f>
        <v/>
      </c>
      <c r="D555" s="622" t="str">
        <f>IF(NOT(ISBLANK('A-RACHNATMAK'!E591)),"A",IF(NOT(ISBLANK('A-RACHNATMAK'!E590)),"B",IF(NOT(ISBLANK('A-RACHNATMAK'!E589)),"C","")))</f>
        <v/>
      </c>
      <c r="E555" s="622" t="str">
        <f>IF(NOT(ISBLANK('A-RACHNATMAK'!F591)),"A",IF(NOT(ISBLANK('A-RACHNATMAK'!F590)),"B",IF(NOT(ISBLANK('A-RACHNATMAK'!F589)),"C","")))</f>
        <v/>
      </c>
      <c r="F555" s="622" t="str">
        <f>IF(NOT(ISBLANK('A-RACHNATMAK'!G591)),"A",IF(NOT(ISBLANK('A-RACHNATMAK'!G590)),"B",IF(NOT(ISBLANK('A-RACHNATMAK'!G589)),"C","")))</f>
        <v/>
      </c>
      <c r="G555" s="622" t="str">
        <f>IF(NOT(ISBLANK('A-RACHNATMAK'!H591)),"A",IF(NOT(ISBLANK('A-RACHNATMAK'!H590)),"B",IF(NOT(ISBLANK('A-RACHNATMAK'!H589)),"C","")))</f>
        <v/>
      </c>
      <c r="H555" s="622" t="str">
        <f>IF(NOT(ISBLANK('A-RACHNATMAK'!I591)),"A",IF(NOT(ISBLANK('A-RACHNATMAK'!I590)),"B",IF(NOT(ISBLANK('A-RACHNATMAK'!I589)),"C","")))</f>
        <v/>
      </c>
      <c r="I555" s="622" t="str">
        <f>IF(NOT(ISBLANK('A-RACHNATMAK'!J591)),"A",IF(NOT(ISBLANK('A-RACHNATMAK'!J590)),"B",IF(NOT(ISBLANK('A-RACHNATMAK'!J589)),"C","")))</f>
        <v/>
      </c>
      <c r="J555" s="622" t="str">
        <f>IF(NOT(ISBLANK('A-RACHNATMAK'!K591)),"A",IF(NOT(ISBLANK('A-RACHNATMAK'!K590)),"B",IF(NOT(ISBLANK('A-RACHNATMAK'!K589)),"C","")))</f>
        <v/>
      </c>
      <c r="K555" s="622" t="str">
        <f>IF(NOT(ISBLANK('A-RACHNATMAK'!L591)),"A",IF(NOT(ISBLANK('A-RACHNATMAK'!L590)),"B",IF(NOT(ISBLANK('A-RACHNATMAK'!L589)),"C","")))</f>
        <v/>
      </c>
      <c r="L555" s="622" t="str">
        <f>IF(NOT(ISBLANK('A-RACHNATMAK'!M591)),"A",IF(NOT(ISBLANK('A-RACHNATMAK'!M590)),"B",IF(NOT(ISBLANK('A-RACHNATMAK'!M589)),"C","")))</f>
        <v/>
      </c>
      <c r="M555" s="622" t="str">
        <f>IF(NOT(ISBLANK('A-RACHNATMAK'!N591)),"A",IF(NOT(ISBLANK('A-RACHNATMAK'!N590)),"B",IF(NOT(ISBLANK('A-RACHNATMAK'!N589)),"C","")))</f>
        <v/>
      </c>
      <c r="N555" s="622" t="str">
        <f>IF(NOT(ISBLANK('A-RACHNATMAK'!O591)),"A",IF(NOT(ISBLANK('A-RACHNATMAK'!O590)),"B",IF(NOT(ISBLANK('A-RACHNATMAK'!O589)),"C","")))</f>
        <v/>
      </c>
      <c r="O555" s="622" t="str">
        <f>IF(NOT(ISBLANK('A-RACHNATMAK'!P591)),"A",IF(NOT(ISBLANK('A-RACHNATMAK'!P590)),"B",IF(NOT(ISBLANK('A-RACHNATMAK'!P589)),"C","")))</f>
        <v/>
      </c>
      <c r="P555" s="622" t="str">
        <f>IF(NOT(ISBLANK('A-RACHNATMAK'!Q591)),"A",IF(NOT(ISBLANK('A-RACHNATMAK'!Q590)),"B",IF(NOT(ISBLANK('A-RACHNATMAK'!Q589)),"C","")))</f>
        <v/>
      </c>
      <c r="Q555" s="622" t="str">
        <f>IF(NOT(ISBLANK('A-RACHNATMAK'!R591)),"A",IF(NOT(ISBLANK('A-RACHNATMAK'!R590)),"B",IF(NOT(ISBLANK('A-RACHNATMAK'!R589)),"C","")))</f>
        <v/>
      </c>
      <c r="R555" s="622" t="str">
        <f>IF(NOT(ISBLANK('A-RACHNATMAK'!S591)),"A",IF(NOT(ISBLANK('A-RACHNATMAK'!S590)),"B",IF(NOT(ISBLANK('A-RACHNATMAK'!S589)),"C","")))</f>
        <v/>
      </c>
      <c r="S555" s="622" t="str">
        <f>IF(NOT(ISBLANK('A-RACHNATMAK'!T591)),"A",IF(NOT(ISBLANK('A-RACHNATMAK'!T590)),"B",IF(NOT(ISBLANK('A-RACHNATMAK'!T589)),"C","")))</f>
        <v/>
      </c>
      <c r="T555" s="622" t="str">
        <f>IF(NOT(ISBLANK('A-RACHNATMAK'!U591)),"A",IF(NOT(ISBLANK('A-RACHNATMAK'!U590)),"B",IF(NOT(ISBLANK('A-RACHNATMAK'!U589)),"C","")))</f>
        <v/>
      </c>
      <c r="U555" s="622" t="str">
        <f>IF(NOT(ISBLANK('A-RACHNATMAK'!V591)),"A",IF(NOT(ISBLANK('A-RACHNATMAK'!V590)),"B",IF(NOT(ISBLANK('A-RACHNATMAK'!V589)),"C","")))</f>
        <v/>
      </c>
      <c r="V555" s="622">
        <f t="shared" ref="V555" si="1050">COUNTIF(B555:U555,"A")</f>
        <v>0</v>
      </c>
      <c r="W555" s="622">
        <f t="shared" ref="W555" si="1051">COUNTIF(B555:U555,"B")</f>
        <v>0</v>
      </c>
      <c r="X555" s="622">
        <f t="shared" ref="X555" si="1052">COUNTIF(B555:U555,"C")</f>
        <v>0</v>
      </c>
      <c r="Y555" s="330"/>
      <c r="Z555" s="623">
        <v>7</v>
      </c>
      <c r="AA555" s="622" t="str">
        <f>IF(NOT(ISBLANK('A-RACHNATMAK'!AD591)),"A",IF(NOT(ISBLANK('A-RACHNATMAK'!AD590)),"B",IF(NOT(ISBLANK('A-RACHNATMAK'!AD589)),"C","")))</f>
        <v/>
      </c>
      <c r="AB555" s="622" t="str">
        <f>IF(NOT(ISBLANK('A-RACHNATMAK'!AE591)),"A",IF(NOT(ISBLANK('A-RACHNATMAK'!AE590)),"B",IF(NOT(ISBLANK('A-RACHNATMAK'!AE589)),"C","")))</f>
        <v/>
      </c>
      <c r="AC555" s="622" t="str">
        <f>IF(NOT(ISBLANK('A-RACHNATMAK'!AF591)),"A",IF(NOT(ISBLANK('A-RACHNATMAK'!AF590)),"B",IF(NOT(ISBLANK('A-RACHNATMAK'!AF589)),"C","")))</f>
        <v/>
      </c>
      <c r="AD555" s="622" t="str">
        <f>IF(NOT(ISBLANK('A-RACHNATMAK'!AG591)),"A",IF(NOT(ISBLANK('A-RACHNATMAK'!AG590)),"B",IF(NOT(ISBLANK('A-RACHNATMAK'!AG589)),"C","")))</f>
        <v/>
      </c>
      <c r="AE555" s="622" t="str">
        <f>IF(NOT(ISBLANK('A-RACHNATMAK'!AH591)),"A",IF(NOT(ISBLANK('A-RACHNATMAK'!AH590)),"B",IF(NOT(ISBLANK('A-RACHNATMAK'!AH589)),"C","")))</f>
        <v/>
      </c>
      <c r="AF555" s="622" t="str">
        <f>IF(NOT(ISBLANK('A-RACHNATMAK'!AI591)),"A",IF(NOT(ISBLANK('A-RACHNATMAK'!AI590)),"B",IF(NOT(ISBLANK('A-RACHNATMAK'!AI589)),"C","")))</f>
        <v/>
      </c>
      <c r="AG555" s="622" t="str">
        <f>IF(NOT(ISBLANK('A-RACHNATMAK'!AJ591)),"A",IF(NOT(ISBLANK('A-RACHNATMAK'!AJ590)),"B",IF(NOT(ISBLANK('A-RACHNATMAK'!AJ589)),"C","")))</f>
        <v/>
      </c>
      <c r="AH555" s="622" t="str">
        <f>IF(NOT(ISBLANK('A-RACHNATMAK'!AK591)),"A",IF(NOT(ISBLANK('A-RACHNATMAK'!AK590)),"B",IF(NOT(ISBLANK('A-RACHNATMAK'!AK589)),"C","")))</f>
        <v/>
      </c>
      <c r="AI555" s="622" t="str">
        <f>IF(NOT(ISBLANK('A-RACHNATMAK'!AL591)),"A",IF(NOT(ISBLANK('A-RACHNATMAK'!AL590)),"B",IF(NOT(ISBLANK('A-RACHNATMAK'!AL589)),"C","")))</f>
        <v/>
      </c>
      <c r="AJ555" s="622" t="str">
        <f>IF(NOT(ISBLANK('A-RACHNATMAK'!AM591)),"A",IF(NOT(ISBLANK('A-RACHNATMAK'!AM590)),"B",IF(NOT(ISBLANK('A-RACHNATMAK'!AM589)),"C","")))</f>
        <v/>
      </c>
      <c r="AK555" s="622" t="str">
        <f>IF(NOT(ISBLANK('A-RACHNATMAK'!AN591)),"A",IF(NOT(ISBLANK('A-RACHNATMAK'!AN590)),"B",IF(NOT(ISBLANK('A-RACHNATMAK'!AN589)),"C","")))</f>
        <v/>
      </c>
      <c r="AL555" s="622" t="str">
        <f>IF(NOT(ISBLANK('A-RACHNATMAK'!AO591)),"A",IF(NOT(ISBLANK('A-RACHNATMAK'!AO590)),"B",IF(NOT(ISBLANK('A-RACHNATMAK'!AO589)),"C","")))</f>
        <v/>
      </c>
      <c r="AM555" s="622" t="str">
        <f>IF(NOT(ISBLANK('A-RACHNATMAK'!AP591)),"A",IF(NOT(ISBLANK('A-RACHNATMAK'!AP590)),"B",IF(NOT(ISBLANK('A-RACHNATMAK'!AP589)),"C","")))</f>
        <v/>
      </c>
      <c r="AN555" s="622" t="str">
        <f>IF(NOT(ISBLANK('A-RACHNATMAK'!AQ591)),"A",IF(NOT(ISBLANK('A-RACHNATMAK'!AQ590)),"B",IF(NOT(ISBLANK('A-RACHNATMAK'!AQ589)),"C","")))</f>
        <v/>
      </c>
      <c r="AO555" s="622" t="str">
        <f>IF(NOT(ISBLANK('A-RACHNATMAK'!AR591)),"A",IF(NOT(ISBLANK('A-RACHNATMAK'!AR590)),"B",IF(NOT(ISBLANK('A-RACHNATMAK'!AR589)),"C","")))</f>
        <v/>
      </c>
      <c r="AP555" s="622" t="str">
        <f>IF(NOT(ISBLANK('A-RACHNATMAK'!AS591)),"A",IF(NOT(ISBLANK('A-RACHNATMAK'!AS590)),"B",IF(NOT(ISBLANK('A-RACHNATMAK'!AS589)),"C","")))</f>
        <v/>
      </c>
      <c r="AQ555" s="622" t="str">
        <f>IF(NOT(ISBLANK('A-RACHNATMAK'!AT591)),"A",IF(NOT(ISBLANK('A-RACHNATMAK'!AT590)),"B",IF(NOT(ISBLANK('A-RACHNATMAK'!AT589)),"C","")))</f>
        <v/>
      </c>
      <c r="AR555" s="622" t="str">
        <f>IF(NOT(ISBLANK('A-RACHNATMAK'!AU591)),"A",IF(NOT(ISBLANK('A-RACHNATMAK'!AU590)),"B",IF(NOT(ISBLANK('A-RACHNATMAK'!AU589)),"C","")))</f>
        <v/>
      </c>
      <c r="AS555" s="622" t="str">
        <f>IF(NOT(ISBLANK('A-RACHNATMAK'!AV591)),"A",IF(NOT(ISBLANK('A-RACHNATMAK'!AV590)),"B",IF(NOT(ISBLANK('A-RACHNATMAK'!AV589)),"C","")))</f>
        <v/>
      </c>
      <c r="AT555" s="622" t="str">
        <f>IF(NOT(ISBLANK('A-RACHNATMAK'!AW591)),"A",IF(NOT(ISBLANK('A-RACHNATMAK'!AW590)),"B",IF(NOT(ISBLANK('A-RACHNATMAK'!AW589)),"C","")))</f>
        <v/>
      </c>
      <c r="AU555" s="622">
        <f t="shared" ref="AU555" si="1053">COUNTIF(AA555:AT555,"A")</f>
        <v>0</v>
      </c>
      <c r="AV555" s="622">
        <f t="shared" ref="AV555" si="1054">COUNTIF(AA555:AT555,"B")</f>
        <v>0</v>
      </c>
      <c r="AW555" s="622">
        <f t="shared" ref="AW555" si="1055">COUNTIF(AA555:AT555,"C")</f>
        <v>0</v>
      </c>
    </row>
    <row r="556" spans="1:49" ht="7.5" customHeight="1">
      <c r="A556" s="623"/>
      <c r="B556" s="622"/>
      <c r="C556" s="622"/>
      <c r="D556" s="622"/>
      <c r="E556" s="622"/>
      <c r="F556" s="622"/>
      <c r="G556" s="622"/>
      <c r="H556" s="622"/>
      <c r="I556" s="622"/>
      <c r="J556" s="622"/>
      <c r="K556" s="622"/>
      <c r="L556" s="622"/>
      <c r="M556" s="622"/>
      <c r="N556" s="622"/>
      <c r="O556" s="622"/>
      <c r="P556" s="622"/>
      <c r="Q556" s="622"/>
      <c r="R556" s="622"/>
      <c r="S556" s="622"/>
      <c r="T556" s="622"/>
      <c r="U556" s="622"/>
      <c r="V556" s="622"/>
      <c r="W556" s="622"/>
      <c r="X556" s="622"/>
      <c r="Y556" s="330"/>
      <c r="Z556" s="623"/>
      <c r="AA556" s="622"/>
      <c r="AB556" s="622"/>
      <c r="AC556" s="622"/>
      <c r="AD556" s="622"/>
      <c r="AE556" s="622"/>
      <c r="AF556" s="622"/>
      <c r="AG556" s="622"/>
      <c r="AH556" s="622"/>
      <c r="AI556" s="622"/>
      <c r="AJ556" s="622"/>
      <c r="AK556" s="622"/>
      <c r="AL556" s="622"/>
      <c r="AM556" s="622"/>
      <c r="AN556" s="622"/>
      <c r="AO556" s="622"/>
      <c r="AP556" s="622"/>
      <c r="AQ556" s="622"/>
      <c r="AR556" s="622"/>
      <c r="AS556" s="622"/>
      <c r="AT556" s="622"/>
      <c r="AU556" s="622"/>
      <c r="AV556" s="622"/>
      <c r="AW556" s="622"/>
    </row>
    <row r="557" spans="1:49" ht="7.5" customHeight="1">
      <c r="A557" s="623"/>
      <c r="B557" s="622"/>
      <c r="C557" s="622"/>
      <c r="D557" s="622"/>
      <c r="E557" s="622"/>
      <c r="F557" s="622"/>
      <c r="G557" s="622"/>
      <c r="H557" s="622"/>
      <c r="I557" s="622"/>
      <c r="J557" s="622"/>
      <c r="K557" s="622"/>
      <c r="L557" s="622"/>
      <c r="M557" s="622"/>
      <c r="N557" s="622"/>
      <c r="O557" s="622"/>
      <c r="P557" s="622"/>
      <c r="Q557" s="622"/>
      <c r="R557" s="622"/>
      <c r="S557" s="622"/>
      <c r="T557" s="622"/>
      <c r="U557" s="622"/>
      <c r="V557" s="622"/>
      <c r="W557" s="622"/>
      <c r="X557" s="622"/>
      <c r="Y557" s="330"/>
      <c r="Z557" s="623"/>
      <c r="AA557" s="622"/>
      <c r="AB557" s="622"/>
      <c r="AC557" s="622"/>
      <c r="AD557" s="622"/>
      <c r="AE557" s="622"/>
      <c r="AF557" s="622"/>
      <c r="AG557" s="622"/>
      <c r="AH557" s="622"/>
      <c r="AI557" s="622"/>
      <c r="AJ557" s="622"/>
      <c r="AK557" s="622"/>
      <c r="AL557" s="622"/>
      <c r="AM557" s="622"/>
      <c r="AN557" s="622"/>
      <c r="AO557" s="622"/>
      <c r="AP557" s="622"/>
      <c r="AQ557" s="622"/>
      <c r="AR557" s="622"/>
      <c r="AS557" s="622"/>
      <c r="AT557" s="622"/>
      <c r="AU557" s="622"/>
      <c r="AV557" s="622"/>
      <c r="AW557" s="622"/>
    </row>
    <row r="558" spans="1:49" ht="7.5" customHeight="1">
      <c r="A558" s="623">
        <v>8</v>
      </c>
      <c r="B558" s="622" t="str">
        <f>IF(NOT(ISBLANK('A-RACHNATMAK'!C594)),"A",IF(NOT(ISBLANK('A-RACHNATMAK'!C593)),"B",IF(NOT(ISBLANK('A-RACHNATMAK'!C592)),"C","")))</f>
        <v/>
      </c>
      <c r="C558" s="622" t="str">
        <f>IF(NOT(ISBLANK('A-RACHNATMAK'!D594)),"A",IF(NOT(ISBLANK('A-RACHNATMAK'!D593)),"B",IF(NOT(ISBLANK('A-RACHNATMAK'!D592)),"C","")))</f>
        <v/>
      </c>
      <c r="D558" s="622" t="str">
        <f>IF(NOT(ISBLANK('A-RACHNATMAK'!E594)),"A",IF(NOT(ISBLANK('A-RACHNATMAK'!E593)),"B",IF(NOT(ISBLANK('A-RACHNATMAK'!E592)),"C","")))</f>
        <v/>
      </c>
      <c r="E558" s="622" t="str">
        <f>IF(NOT(ISBLANK('A-RACHNATMAK'!F594)),"A",IF(NOT(ISBLANK('A-RACHNATMAK'!F593)),"B",IF(NOT(ISBLANK('A-RACHNATMAK'!F592)),"C","")))</f>
        <v/>
      </c>
      <c r="F558" s="622" t="str">
        <f>IF(NOT(ISBLANK('A-RACHNATMAK'!G594)),"A",IF(NOT(ISBLANK('A-RACHNATMAK'!G593)),"B",IF(NOT(ISBLANK('A-RACHNATMAK'!G592)),"C","")))</f>
        <v/>
      </c>
      <c r="G558" s="622" t="str">
        <f>IF(NOT(ISBLANK('A-RACHNATMAK'!H594)),"A",IF(NOT(ISBLANK('A-RACHNATMAK'!H593)),"B",IF(NOT(ISBLANK('A-RACHNATMAK'!H592)),"C","")))</f>
        <v/>
      </c>
      <c r="H558" s="622" t="str">
        <f>IF(NOT(ISBLANK('A-RACHNATMAK'!I594)),"A",IF(NOT(ISBLANK('A-RACHNATMAK'!I593)),"B",IF(NOT(ISBLANK('A-RACHNATMAK'!I592)),"C","")))</f>
        <v/>
      </c>
      <c r="I558" s="622" t="str">
        <f>IF(NOT(ISBLANK('A-RACHNATMAK'!J594)),"A",IF(NOT(ISBLANK('A-RACHNATMAK'!J593)),"B",IF(NOT(ISBLANK('A-RACHNATMAK'!J592)),"C","")))</f>
        <v/>
      </c>
      <c r="J558" s="622" t="str">
        <f>IF(NOT(ISBLANK('A-RACHNATMAK'!K594)),"A",IF(NOT(ISBLANK('A-RACHNATMAK'!K593)),"B",IF(NOT(ISBLANK('A-RACHNATMAK'!K592)),"C","")))</f>
        <v/>
      </c>
      <c r="K558" s="622" t="str">
        <f>IF(NOT(ISBLANK('A-RACHNATMAK'!L594)),"A",IF(NOT(ISBLANK('A-RACHNATMAK'!L593)),"B",IF(NOT(ISBLANK('A-RACHNATMAK'!L592)),"C","")))</f>
        <v/>
      </c>
      <c r="L558" s="622" t="str">
        <f>IF(NOT(ISBLANK('A-RACHNATMAK'!M594)),"A",IF(NOT(ISBLANK('A-RACHNATMAK'!M593)),"B",IF(NOT(ISBLANK('A-RACHNATMAK'!M592)),"C","")))</f>
        <v/>
      </c>
      <c r="M558" s="622" t="str">
        <f>IF(NOT(ISBLANK('A-RACHNATMAK'!N594)),"A",IF(NOT(ISBLANK('A-RACHNATMAK'!N593)),"B",IF(NOT(ISBLANK('A-RACHNATMAK'!N592)),"C","")))</f>
        <v/>
      </c>
      <c r="N558" s="622" t="str">
        <f>IF(NOT(ISBLANK('A-RACHNATMAK'!O594)),"A",IF(NOT(ISBLANK('A-RACHNATMAK'!O593)),"B",IF(NOT(ISBLANK('A-RACHNATMAK'!O592)),"C","")))</f>
        <v/>
      </c>
      <c r="O558" s="622" t="str">
        <f>IF(NOT(ISBLANK('A-RACHNATMAK'!P594)),"A",IF(NOT(ISBLANK('A-RACHNATMAK'!P593)),"B",IF(NOT(ISBLANK('A-RACHNATMAK'!P592)),"C","")))</f>
        <v/>
      </c>
      <c r="P558" s="622" t="str">
        <f>IF(NOT(ISBLANK('A-RACHNATMAK'!Q594)),"A",IF(NOT(ISBLANK('A-RACHNATMAK'!Q593)),"B",IF(NOT(ISBLANK('A-RACHNATMAK'!Q592)),"C","")))</f>
        <v/>
      </c>
      <c r="Q558" s="622" t="str">
        <f>IF(NOT(ISBLANK('A-RACHNATMAK'!R594)),"A",IF(NOT(ISBLANK('A-RACHNATMAK'!R593)),"B",IF(NOT(ISBLANK('A-RACHNATMAK'!R592)),"C","")))</f>
        <v/>
      </c>
      <c r="R558" s="622" t="str">
        <f>IF(NOT(ISBLANK('A-RACHNATMAK'!S594)),"A",IF(NOT(ISBLANK('A-RACHNATMAK'!S593)),"B",IF(NOT(ISBLANK('A-RACHNATMAK'!S592)),"C","")))</f>
        <v/>
      </c>
      <c r="S558" s="622" t="str">
        <f>IF(NOT(ISBLANK('A-RACHNATMAK'!T594)),"A",IF(NOT(ISBLANK('A-RACHNATMAK'!T593)),"B",IF(NOT(ISBLANK('A-RACHNATMAK'!T592)),"C","")))</f>
        <v/>
      </c>
      <c r="T558" s="622" t="str">
        <f>IF(NOT(ISBLANK('A-RACHNATMAK'!U594)),"A",IF(NOT(ISBLANK('A-RACHNATMAK'!U593)),"B",IF(NOT(ISBLANK('A-RACHNATMAK'!U592)),"C","")))</f>
        <v/>
      </c>
      <c r="U558" s="622" t="str">
        <f>IF(NOT(ISBLANK('A-RACHNATMAK'!V594)),"A",IF(NOT(ISBLANK('A-RACHNATMAK'!V593)),"B",IF(NOT(ISBLANK('A-RACHNATMAK'!V592)),"C","")))</f>
        <v/>
      </c>
      <c r="V558" s="622">
        <f t="shared" ref="V558" si="1056">COUNTIF(B558:U558,"A")</f>
        <v>0</v>
      </c>
      <c r="W558" s="622">
        <f t="shared" ref="W558" si="1057">COUNTIF(B558:U558,"B")</f>
        <v>0</v>
      </c>
      <c r="X558" s="622">
        <f t="shared" ref="X558" si="1058">COUNTIF(B558:U558,"C")</f>
        <v>0</v>
      </c>
      <c r="Y558" s="330"/>
      <c r="Z558" s="623">
        <v>8</v>
      </c>
      <c r="AA558" s="622" t="str">
        <f>IF(NOT(ISBLANK('A-RACHNATMAK'!AD594)),"A",IF(NOT(ISBLANK('A-RACHNATMAK'!AD593)),"B",IF(NOT(ISBLANK('A-RACHNATMAK'!AD592)),"C","")))</f>
        <v/>
      </c>
      <c r="AB558" s="622" t="str">
        <f>IF(NOT(ISBLANK('A-RACHNATMAK'!AE594)),"A",IF(NOT(ISBLANK('A-RACHNATMAK'!AE593)),"B",IF(NOT(ISBLANK('A-RACHNATMAK'!AE592)),"C","")))</f>
        <v/>
      </c>
      <c r="AC558" s="622" t="str">
        <f>IF(NOT(ISBLANK('A-RACHNATMAK'!AF594)),"A",IF(NOT(ISBLANK('A-RACHNATMAK'!AF593)),"B",IF(NOT(ISBLANK('A-RACHNATMAK'!AF592)),"C","")))</f>
        <v/>
      </c>
      <c r="AD558" s="622" t="str">
        <f>IF(NOT(ISBLANK('A-RACHNATMAK'!AG594)),"A",IF(NOT(ISBLANK('A-RACHNATMAK'!AG593)),"B",IF(NOT(ISBLANK('A-RACHNATMAK'!AG592)),"C","")))</f>
        <v/>
      </c>
      <c r="AE558" s="622" t="str">
        <f>IF(NOT(ISBLANK('A-RACHNATMAK'!AH594)),"A",IF(NOT(ISBLANK('A-RACHNATMAK'!AH593)),"B",IF(NOT(ISBLANK('A-RACHNATMAK'!AH592)),"C","")))</f>
        <v/>
      </c>
      <c r="AF558" s="622" t="str">
        <f>IF(NOT(ISBLANK('A-RACHNATMAK'!AI594)),"A",IF(NOT(ISBLANK('A-RACHNATMAK'!AI593)),"B",IF(NOT(ISBLANK('A-RACHNATMAK'!AI592)),"C","")))</f>
        <v/>
      </c>
      <c r="AG558" s="622" t="str">
        <f>IF(NOT(ISBLANK('A-RACHNATMAK'!AJ594)),"A",IF(NOT(ISBLANK('A-RACHNATMAK'!AJ593)),"B",IF(NOT(ISBLANK('A-RACHNATMAK'!AJ592)),"C","")))</f>
        <v/>
      </c>
      <c r="AH558" s="622" t="str">
        <f>IF(NOT(ISBLANK('A-RACHNATMAK'!AK594)),"A",IF(NOT(ISBLANK('A-RACHNATMAK'!AK593)),"B",IF(NOT(ISBLANK('A-RACHNATMAK'!AK592)),"C","")))</f>
        <v/>
      </c>
      <c r="AI558" s="622" t="str">
        <f>IF(NOT(ISBLANK('A-RACHNATMAK'!AL594)),"A",IF(NOT(ISBLANK('A-RACHNATMAK'!AL593)),"B",IF(NOT(ISBLANK('A-RACHNATMAK'!AL592)),"C","")))</f>
        <v/>
      </c>
      <c r="AJ558" s="622" t="str">
        <f>IF(NOT(ISBLANK('A-RACHNATMAK'!AM594)),"A",IF(NOT(ISBLANK('A-RACHNATMAK'!AM593)),"B",IF(NOT(ISBLANK('A-RACHNATMAK'!AM592)),"C","")))</f>
        <v/>
      </c>
      <c r="AK558" s="622" t="str">
        <f>IF(NOT(ISBLANK('A-RACHNATMAK'!AN594)),"A",IF(NOT(ISBLANK('A-RACHNATMAK'!AN593)),"B",IF(NOT(ISBLANK('A-RACHNATMAK'!AN592)),"C","")))</f>
        <v/>
      </c>
      <c r="AL558" s="622" t="str">
        <f>IF(NOT(ISBLANK('A-RACHNATMAK'!AO594)),"A",IF(NOT(ISBLANK('A-RACHNATMAK'!AO593)),"B",IF(NOT(ISBLANK('A-RACHNATMAK'!AO592)),"C","")))</f>
        <v/>
      </c>
      <c r="AM558" s="622" t="str">
        <f>IF(NOT(ISBLANK('A-RACHNATMAK'!AP594)),"A",IF(NOT(ISBLANK('A-RACHNATMAK'!AP593)),"B",IF(NOT(ISBLANK('A-RACHNATMAK'!AP592)),"C","")))</f>
        <v/>
      </c>
      <c r="AN558" s="622" t="str">
        <f>IF(NOT(ISBLANK('A-RACHNATMAK'!AQ594)),"A",IF(NOT(ISBLANK('A-RACHNATMAK'!AQ593)),"B",IF(NOT(ISBLANK('A-RACHNATMAK'!AQ592)),"C","")))</f>
        <v/>
      </c>
      <c r="AO558" s="622" t="str">
        <f>IF(NOT(ISBLANK('A-RACHNATMAK'!AR594)),"A",IF(NOT(ISBLANK('A-RACHNATMAK'!AR593)),"B",IF(NOT(ISBLANK('A-RACHNATMAK'!AR592)),"C","")))</f>
        <v/>
      </c>
      <c r="AP558" s="622" t="str">
        <f>IF(NOT(ISBLANK('A-RACHNATMAK'!AS594)),"A",IF(NOT(ISBLANK('A-RACHNATMAK'!AS593)),"B",IF(NOT(ISBLANK('A-RACHNATMAK'!AS592)),"C","")))</f>
        <v/>
      </c>
      <c r="AQ558" s="622" t="str">
        <f>IF(NOT(ISBLANK('A-RACHNATMAK'!AT594)),"A",IF(NOT(ISBLANK('A-RACHNATMAK'!AT593)),"B",IF(NOT(ISBLANK('A-RACHNATMAK'!AT592)),"C","")))</f>
        <v/>
      </c>
      <c r="AR558" s="622" t="str">
        <f>IF(NOT(ISBLANK('A-RACHNATMAK'!AU594)),"A",IF(NOT(ISBLANK('A-RACHNATMAK'!AU593)),"B",IF(NOT(ISBLANK('A-RACHNATMAK'!AU592)),"C","")))</f>
        <v/>
      </c>
      <c r="AS558" s="622" t="str">
        <f>IF(NOT(ISBLANK('A-RACHNATMAK'!AV594)),"A",IF(NOT(ISBLANK('A-RACHNATMAK'!AV593)),"B",IF(NOT(ISBLANK('A-RACHNATMAK'!AV592)),"C","")))</f>
        <v/>
      </c>
      <c r="AT558" s="622" t="str">
        <f>IF(NOT(ISBLANK('A-RACHNATMAK'!AW594)),"A",IF(NOT(ISBLANK('A-RACHNATMAK'!AW593)),"B",IF(NOT(ISBLANK('A-RACHNATMAK'!AW592)),"C","")))</f>
        <v/>
      </c>
      <c r="AU558" s="622">
        <f t="shared" ref="AU558" si="1059">COUNTIF(AA558:AT558,"A")</f>
        <v>0</v>
      </c>
      <c r="AV558" s="622">
        <f t="shared" ref="AV558" si="1060">COUNTIF(AA558:AT558,"B")</f>
        <v>0</v>
      </c>
      <c r="AW558" s="622">
        <f t="shared" ref="AW558" si="1061">COUNTIF(AA558:AT558,"C")</f>
        <v>0</v>
      </c>
    </row>
    <row r="559" spans="1:49" ht="7.5" customHeight="1">
      <c r="A559" s="623"/>
      <c r="B559" s="622"/>
      <c r="C559" s="622"/>
      <c r="D559" s="622"/>
      <c r="E559" s="622"/>
      <c r="F559" s="622"/>
      <c r="G559" s="622"/>
      <c r="H559" s="622"/>
      <c r="I559" s="622"/>
      <c r="J559" s="622"/>
      <c r="K559" s="622"/>
      <c r="L559" s="622"/>
      <c r="M559" s="622"/>
      <c r="N559" s="622"/>
      <c r="O559" s="622"/>
      <c r="P559" s="622"/>
      <c r="Q559" s="622"/>
      <c r="R559" s="622"/>
      <c r="S559" s="622"/>
      <c r="T559" s="622"/>
      <c r="U559" s="622"/>
      <c r="V559" s="622"/>
      <c r="W559" s="622"/>
      <c r="X559" s="622"/>
      <c r="Y559" s="330"/>
      <c r="Z559" s="623"/>
      <c r="AA559" s="622"/>
      <c r="AB559" s="622"/>
      <c r="AC559" s="622"/>
      <c r="AD559" s="622"/>
      <c r="AE559" s="622"/>
      <c r="AF559" s="622"/>
      <c r="AG559" s="622"/>
      <c r="AH559" s="622"/>
      <c r="AI559" s="622"/>
      <c r="AJ559" s="622"/>
      <c r="AK559" s="622"/>
      <c r="AL559" s="622"/>
      <c r="AM559" s="622"/>
      <c r="AN559" s="622"/>
      <c r="AO559" s="622"/>
      <c r="AP559" s="622"/>
      <c r="AQ559" s="622"/>
      <c r="AR559" s="622"/>
      <c r="AS559" s="622"/>
      <c r="AT559" s="622"/>
      <c r="AU559" s="622"/>
      <c r="AV559" s="622"/>
      <c r="AW559" s="622"/>
    </row>
    <row r="560" spans="1:49" ht="7.5" customHeight="1">
      <c r="A560" s="623"/>
      <c r="B560" s="622"/>
      <c r="C560" s="622"/>
      <c r="D560" s="622"/>
      <c r="E560" s="622"/>
      <c r="F560" s="622"/>
      <c r="G560" s="622"/>
      <c r="H560" s="622"/>
      <c r="I560" s="622"/>
      <c r="J560" s="622"/>
      <c r="K560" s="622"/>
      <c r="L560" s="622"/>
      <c r="M560" s="622"/>
      <c r="N560" s="622"/>
      <c r="O560" s="622"/>
      <c r="P560" s="622"/>
      <c r="Q560" s="622"/>
      <c r="R560" s="622"/>
      <c r="S560" s="622"/>
      <c r="T560" s="622"/>
      <c r="U560" s="622"/>
      <c r="V560" s="622"/>
      <c r="W560" s="622"/>
      <c r="X560" s="622"/>
      <c r="Y560" s="330"/>
      <c r="Z560" s="623"/>
      <c r="AA560" s="622"/>
      <c r="AB560" s="622"/>
      <c r="AC560" s="622"/>
      <c r="AD560" s="622"/>
      <c r="AE560" s="622"/>
      <c r="AF560" s="622"/>
      <c r="AG560" s="622"/>
      <c r="AH560" s="622"/>
      <c r="AI560" s="622"/>
      <c r="AJ560" s="622"/>
      <c r="AK560" s="622"/>
      <c r="AL560" s="622"/>
      <c r="AM560" s="622"/>
      <c r="AN560" s="622"/>
      <c r="AO560" s="622"/>
      <c r="AP560" s="622"/>
      <c r="AQ560" s="622"/>
      <c r="AR560" s="622"/>
      <c r="AS560" s="622"/>
      <c r="AT560" s="622"/>
      <c r="AU560" s="622"/>
      <c r="AV560" s="622"/>
      <c r="AW560" s="622"/>
    </row>
    <row r="561" spans="1:49" ht="7.5" customHeight="1">
      <c r="A561" s="623">
        <v>9</v>
      </c>
      <c r="B561" s="622" t="str">
        <f>IF(NOT(ISBLANK('A-RACHNATMAK'!C597)),"A",IF(NOT(ISBLANK('A-RACHNATMAK'!C596)),"B",IF(NOT(ISBLANK('A-RACHNATMAK'!C595)),"C","")))</f>
        <v/>
      </c>
      <c r="C561" s="622" t="str">
        <f>IF(NOT(ISBLANK('A-RACHNATMAK'!D597)),"A",IF(NOT(ISBLANK('A-RACHNATMAK'!D596)),"B",IF(NOT(ISBLANK('A-RACHNATMAK'!D595)),"C","")))</f>
        <v/>
      </c>
      <c r="D561" s="622" t="str">
        <f>IF(NOT(ISBLANK('A-RACHNATMAK'!E597)),"A",IF(NOT(ISBLANK('A-RACHNATMAK'!E596)),"B",IF(NOT(ISBLANK('A-RACHNATMAK'!E595)),"C","")))</f>
        <v/>
      </c>
      <c r="E561" s="622" t="str">
        <f>IF(NOT(ISBLANK('A-RACHNATMAK'!F597)),"A",IF(NOT(ISBLANK('A-RACHNATMAK'!F596)),"B",IF(NOT(ISBLANK('A-RACHNATMAK'!F595)),"C","")))</f>
        <v/>
      </c>
      <c r="F561" s="622" t="str">
        <f>IF(NOT(ISBLANK('A-RACHNATMAK'!G597)),"A",IF(NOT(ISBLANK('A-RACHNATMAK'!G596)),"B",IF(NOT(ISBLANK('A-RACHNATMAK'!G595)),"C","")))</f>
        <v/>
      </c>
      <c r="G561" s="622" t="str">
        <f>IF(NOT(ISBLANK('A-RACHNATMAK'!H597)),"A",IF(NOT(ISBLANK('A-RACHNATMAK'!H596)),"B",IF(NOT(ISBLANK('A-RACHNATMAK'!H595)),"C","")))</f>
        <v/>
      </c>
      <c r="H561" s="622" t="str">
        <f>IF(NOT(ISBLANK('A-RACHNATMAK'!I597)),"A",IF(NOT(ISBLANK('A-RACHNATMAK'!I596)),"B",IF(NOT(ISBLANK('A-RACHNATMAK'!I595)),"C","")))</f>
        <v/>
      </c>
      <c r="I561" s="622" t="str">
        <f>IF(NOT(ISBLANK('A-RACHNATMAK'!J597)),"A",IF(NOT(ISBLANK('A-RACHNATMAK'!J596)),"B",IF(NOT(ISBLANK('A-RACHNATMAK'!J595)),"C","")))</f>
        <v/>
      </c>
      <c r="J561" s="622" t="str">
        <f>IF(NOT(ISBLANK('A-RACHNATMAK'!K597)),"A",IF(NOT(ISBLANK('A-RACHNATMAK'!K596)),"B",IF(NOT(ISBLANK('A-RACHNATMAK'!K595)),"C","")))</f>
        <v/>
      </c>
      <c r="K561" s="622" t="str">
        <f>IF(NOT(ISBLANK('A-RACHNATMAK'!L597)),"A",IF(NOT(ISBLANK('A-RACHNATMAK'!L596)),"B",IF(NOT(ISBLANK('A-RACHNATMAK'!L595)),"C","")))</f>
        <v/>
      </c>
      <c r="L561" s="622" t="str">
        <f>IF(NOT(ISBLANK('A-RACHNATMAK'!M597)),"A",IF(NOT(ISBLANK('A-RACHNATMAK'!M596)),"B",IF(NOT(ISBLANK('A-RACHNATMAK'!M595)),"C","")))</f>
        <v/>
      </c>
      <c r="M561" s="622" t="str">
        <f>IF(NOT(ISBLANK('A-RACHNATMAK'!N597)),"A",IF(NOT(ISBLANK('A-RACHNATMAK'!N596)),"B",IF(NOT(ISBLANK('A-RACHNATMAK'!N595)),"C","")))</f>
        <v/>
      </c>
      <c r="N561" s="622" t="str">
        <f>IF(NOT(ISBLANK('A-RACHNATMAK'!O597)),"A",IF(NOT(ISBLANK('A-RACHNATMAK'!O596)),"B",IF(NOT(ISBLANK('A-RACHNATMAK'!O595)),"C","")))</f>
        <v/>
      </c>
      <c r="O561" s="622" t="str">
        <f>IF(NOT(ISBLANK('A-RACHNATMAK'!P597)),"A",IF(NOT(ISBLANK('A-RACHNATMAK'!P596)),"B",IF(NOT(ISBLANK('A-RACHNATMAK'!P595)),"C","")))</f>
        <v/>
      </c>
      <c r="P561" s="622" t="str">
        <f>IF(NOT(ISBLANK('A-RACHNATMAK'!Q597)),"A",IF(NOT(ISBLANK('A-RACHNATMAK'!Q596)),"B",IF(NOT(ISBLANK('A-RACHNATMAK'!Q595)),"C","")))</f>
        <v/>
      </c>
      <c r="Q561" s="622" t="str">
        <f>IF(NOT(ISBLANK('A-RACHNATMAK'!R597)),"A",IF(NOT(ISBLANK('A-RACHNATMAK'!R596)),"B",IF(NOT(ISBLANK('A-RACHNATMAK'!R595)),"C","")))</f>
        <v/>
      </c>
      <c r="R561" s="622" t="str">
        <f>IF(NOT(ISBLANK('A-RACHNATMAK'!S597)),"A",IF(NOT(ISBLANK('A-RACHNATMAK'!S596)),"B",IF(NOT(ISBLANK('A-RACHNATMAK'!S595)),"C","")))</f>
        <v/>
      </c>
      <c r="S561" s="622" t="str">
        <f>IF(NOT(ISBLANK('A-RACHNATMAK'!T597)),"A",IF(NOT(ISBLANK('A-RACHNATMAK'!T596)),"B",IF(NOT(ISBLANK('A-RACHNATMAK'!T595)),"C","")))</f>
        <v/>
      </c>
      <c r="T561" s="622" t="str">
        <f>IF(NOT(ISBLANK('A-RACHNATMAK'!U597)),"A",IF(NOT(ISBLANK('A-RACHNATMAK'!U596)),"B",IF(NOT(ISBLANK('A-RACHNATMAK'!U595)),"C","")))</f>
        <v/>
      </c>
      <c r="U561" s="622" t="str">
        <f>IF(NOT(ISBLANK('A-RACHNATMAK'!V597)),"A",IF(NOT(ISBLANK('A-RACHNATMAK'!V596)),"B",IF(NOT(ISBLANK('A-RACHNATMAK'!V595)),"C","")))</f>
        <v/>
      </c>
      <c r="V561" s="622">
        <f t="shared" ref="V561" si="1062">COUNTIF(B561:U561,"A")</f>
        <v>0</v>
      </c>
      <c r="W561" s="622">
        <f t="shared" ref="W561" si="1063">COUNTIF(B561:U561,"B")</f>
        <v>0</v>
      </c>
      <c r="X561" s="622">
        <f t="shared" ref="X561" si="1064">COUNTIF(B561:U561,"C")</f>
        <v>0</v>
      </c>
      <c r="Y561" s="330"/>
      <c r="Z561" s="623">
        <v>9</v>
      </c>
      <c r="AA561" s="622" t="str">
        <f>IF(NOT(ISBLANK('A-RACHNATMAK'!AD597)),"A",IF(NOT(ISBLANK('A-RACHNATMAK'!AD596)),"B",IF(NOT(ISBLANK('A-RACHNATMAK'!AD595)),"C","")))</f>
        <v/>
      </c>
      <c r="AB561" s="622" t="str">
        <f>IF(NOT(ISBLANK('A-RACHNATMAK'!AE597)),"A",IF(NOT(ISBLANK('A-RACHNATMAK'!AE596)),"B",IF(NOT(ISBLANK('A-RACHNATMAK'!AE595)),"C","")))</f>
        <v/>
      </c>
      <c r="AC561" s="622" t="str">
        <f>IF(NOT(ISBLANK('A-RACHNATMAK'!AF597)),"A",IF(NOT(ISBLANK('A-RACHNATMAK'!AF596)),"B",IF(NOT(ISBLANK('A-RACHNATMAK'!AF595)),"C","")))</f>
        <v/>
      </c>
      <c r="AD561" s="622" t="str">
        <f>IF(NOT(ISBLANK('A-RACHNATMAK'!AG597)),"A",IF(NOT(ISBLANK('A-RACHNATMAK'!AG596)),"B",IF(NOT(ISBLANK('A-RACHNATMAK'!AG595)),"C","")))</f>
        <v/>
      </c>
      <c r="AE561" s="622" t="str">
        <f>IF(NOT(ISBLANK('A-RACHNATMAK'!AH597)),"A",IF(NOT(ISBLANK('A-RACHNATMAK'!AH596)),"B",IF(NOT(ISBLANK('A-RACHNATMAK'!AH595)),"C","")))</f>
        <v/>
      </c>
      <c r="AF561" s="622" t="str">
        <f>IF(NOT(ISBLANK('A-RACHNATMAK'!AI597)),"A",IF(NOT(ISBLANK('A-RACHNATMAK'!AI596)),"B",IF(NOT(ISBLANK('A-RACHNATMAK'!AI595)),"C","")))</f>
        <v/>
      </c>
      <c r="AG561" s="622" t="str">
        <f>IF(NOT(ISBLANK('A-RACHNATMAK'!AJ597)),"A",IF(NOT(ISBLANK('A-RACHNATMAK'!AJ596)),"B",IF(NOT(ISBLANK('A-RACHNATMAK'!AJ595)),"C","")))</f>
        <v/>
      </c>
      <c r="AH561" s="622" t="str">
        <f>IF(NOT(ISBLANK('A-RACHNATMAK'!AK597)),"A",IF(NOT(ISBLANK('A-RACHNATMAK'!AK596)),"B",IF(NOT(ISBLANK('A-RACHNATMAK'!AK595)),"C","")))</f>
        <v/>
      </c>
      <c r="AI561" s="622" t="str">
        <f>IF(NOT(ISBLANK('A-RACHNATMAK'!AL597)),"A",IF(NOT(ISBLANK('A-RACHNATMAK'!AL596)),"B",IF(NOT(ISBLANK('A-RACHNATMAK'!AL595)),"C","")))</f>
        <v/>
      </c>
      <c r="AJ561" s="622" t="str">
        <f>IF(NOT(ISBLANK('A-RACHNATMAK'!AM597)),"A",IF(NOT(ISBLANK('A-RACHNATMAK'!AM596)),"B",IF(NOT(ISBLANK('A-RACHNATMAK'!AM595)),"C","")))</f>
        <v/>
      </c>
      <c r="AK561" s="622" t="str">
        <f>IF(NOT(ISBLANK('A-RACHNATMAK'!AN597)),"A",IF(NOT(ISBLANK('A-RACHNATMAK'!AN596)),"B",IF(NOT(ISBLANK('A-RACHNATMAK'!AN595)),"C","")))</f>
        <v/>
      </c>
      <c r="AL561" s="622" t="str">
        <f>IF(NOT(ISBLANK('A-RACHNATMAK'!AO597)),"A",IF(NOT(ISBLANK('A-RACHNATMAK'!AO596)),"B",IF(NOT(ISBLANK('A-RACHNATMAK'!AO595)),"C","")))</f>
        <v/>
      </c>
      <c r="AM561" s="622" t="str">
        <f>IF(NOT(ISBLANK('A-RACHNATMAK'!AP597)),"A",IF(NOT(ISBLANK('A-RACHNATMAK'!AP596)),"B",IF(NOT(ISBLANK('A-RACHNATMAK'!AP595)),"C","")))</f>
        <v/>
      </c>
      <c r="AN561" s="622" t="str">
        <f>IF(NOT(ISBLANK('A-RACHNATMAK'!AQ597)),"A",IF(NOT(ISBLANK('A-RACHNATMAK'!AQ596)),"B",IF(NOT(ISBLANK('A-RACHNATMAK'!AQ595)),"C","")))</f>
        <v/>
      </c>
      <c r="AO561" s="622" t="str">
        <f>IF(NOT(ISBLANK('A-RACHNATMAK'!AR597)),"A",IF(NOT(ISBLANK('A-RACHNATMAK'!AR596)),"B",IF(NOT(ISBLANK('A-RACHNATMAK'!AR595)),"C","")))</f>
        <v/>
      </c>
      <c r="AP561" s="622" t="str">
        <f>IF(NOT(ISBLANK('A-RACHNATMAK'!AS597)),"A",IF(NOT(ISBLANK('A-RACHNATMAK'!AS596)),"B",IF(NOT(ISBLANK('A-RACHNATMAK'!AS595)),"C","")))</f>
        <v/>
      </c>
      <c r="AQ561" s="622" t="str">
        <f>IF(NOT(ISBLANK('A-RACHNATMAK'!AT597)),"A",IF(NOT(ISBLANK('A-RACHNATMAK'!AT596)),"B",IF(NOT(ISBLANK('A-RACHNATMAK'!AT595)),"C","")))</f>
        <v/>
      </c>
      <c r="AR561" s="622" t="str">
        <f>IF(NOT(ISBLANK('A-RACHNATMAK'!AU597)),"A",IF(NOT(ISBLANK('A-RACHNATMAK'!AU596)),"B",IF(NOT(ISBLANK('A-RACHNATMAK'!AU595)),"C","")))</f>
        <v/>
      </c>
      <c r="AS561" s="622" t="str">
        <f>IF(NOT(ISBLANK('A-RACHNATMAK'!AV597)),"A",IF(NOT(ISBLANK('A-RACHNATMAK'!AV596)),"B",IF(NOT(ISBLANK('A-RACHNATMAK'!AV595)),"C","")))</f>
        <v/>
      </c>
      <c r="AT561" s="622" t="str">
        <f>IF(NOT(ISBLANK('A-RACHNATMAK'!AW597)),"A",IF(NOT(ISBLANK('A-RACHNATMAK'!AW596)),"B",IF(NOT(ISBLANK('A-RACHNATMAK'!AW595)),"C","")))</f>
        <v/>
      </c>
      <c r="AU561" s="622">
        <f t="shared" ref="AU561" si="1065">COUNTIF(AA561:AT561,"A")</f>
        <v>0</v>
      </c>
      <c r="AV561" s="622">
        <f t="shared" ref="AV561" si="1066">COUNTIF(AA561:AT561,"B")</f>
        <v>0</v>
      </c>
      <c r="AW561" s="622">
        <f t="shared" ref="AW561" si="1067">COUNTIF(AA561:AT561,"C")</f>
        <v>0</v>
      </c>
    </row>
    <row r="562" spans="1:49" ht="7.5" customHeight="1">
      <c r="A562" s="623"/>
      <c r="B562" s="622"/>
      <c r="C562" s="622"/>
      <c r="D562" s="622"/>
      <c r="E562" s="622"/>
      <c r="F562" s="622"/>
      <c r="G562" s="622"/>
      <c r="H562" s="622"/>
      <c r="I562" s="622"/>
      <c r="J562" s="622"/>
      <c r="K562" s="622"/>
      <c r="L562" s="622"/>
      <c r="M562" s="622"/>
      <c r="N562" s="622"/>
      <c r="O562" s="622"/>
      <c r="P562" s="622"/>
      <c r="Q562" s="622"/>
      <c r="R562" s="622"/>
      <c r="S562" s="622"/>
      <c r="T562" s="622"/>
      <c r="U562" s="622"/>
      <c r="V562" s="622"/>
      <c r="W562" s="622"/>
      <c r="X562" s="622"/>
      <c r="Y562" s="330"/>
      <c r="Z562" s="623"/>
      <c r="AA562" s="622"/>
      <c r="AB562" s="622"/>
      <c r="AC562" s="622"/>
      <c r="AD562" s="622"/>
      <c r="AE562" s="622"/>
      <c r="AF562" s="622"/>
      <c r="AG562" s="622"/>
      <c r="AH562" s="622"/>
      <c r="AI562" s="622"/>
      <c r="AJ562" s="622"/>
      <c r="AK562" s="622"/>
      <c r="AL562" s="622"/>
      <c r="AM562" s="622"/>
      <c r="AN562" s="622"/>
      <c r="AO562" s="622"/>
      <c r="AP562" s="622"/>
      <c r="AQ562" s="622"/>
      <c r="AR562" s="622"/>
      <c r="AS562" s="622"/>
      <c r="AT562" s="622"/>
      <c r="AU562" s="622"/>
      <c r="AV562" s="622"/>
      <c r="AW562" s="622"/>
    </row>
    <row r="563" spans="1:49" ht="7.5" customHeight="1">
      <c r="A563" s="623"/>
      <c r="B563" s="622"/>
      <c r="C563" s="622"/>
      <c r="D563" s="622"/>
      <c r="E563" s="622"/>
      <c r="F563" s="622"/>
      <c r="G563" s="622"/>
      <c r="H563" s="622"/>
      <c r="I563" s="622"/>
      <c r="J563" s="622"/>
      <c r="K563" s="622"/>
      <c r="L563" s="622"/>
      <c r="M563" s="622"/>
      <c r="N563" s="622"/>
      <c r="O563" s="622"/>
      <c r="P563" s="622"/>
      <c r="Q563" s="622"/>
      <c r="R563" s="622"/>
      <c r="S563" s="622"/>
      <c r="T563" s="622"/>
      <c r="U563" s="622"/>
      <c r="V563" s="622"/>
      <c r="W563" s="622"/>
      <c r="X563" s="622"/>
      <c r="Y563" s="330"/>
      <c r="Z563" s="623"/>
      <c r="AA563" s="622"/>
      <c r="AB563" s="622"/>
      <c r="AC563" s="622"/>
      <c r="AD563" s="622"/>
      <c r="AE563" s="622"/>
      <c r="AF563" s="622"/>
      <c r="AG563" s="622"/>
      <c r="AH563" s="622"/>
      <c r="AI563" s="622"/>
      <c r="AJ563" s="622"/>
      <c r="AK563" s="622"/>
      <c r="AL563" s="622"/>
      <c r="AM563" s="622"/>
      <c r="AN563" s="622"/>
      <c r="AO563" s="622"/>
      <c r="AP563" s="622"/>
      <c r="AQ563" s="622"/>
      <c r="AR563" s="622"/>
      <c r="AS563" s="622"/>
      <c r="AT563" s="622"/>
      <c r="AU563" s="622"/>
      <c r="AV563" s="622"/>
      <c r="AW563" s="622"/>
    </row>
    <row r="564" spans="1:49" ht="7.5" customHeight="1">
      <c r="A564" s="623">
        <v>10</v>
      </c>
      <c r="B564" s="622" t="str">
        <f>IF(NOT(ISBLANK('A-RACHNATMAK'!C600)),"A",IF(NOT(ISBLANK('A-RACHNATMAK'!C599)),"B",IF(NOT(ISBLANK('A-RACHNATMAK'!C598)),"C","")))</f>
        <v/>
      </c>
      <c r="C564" s="622" t="str">
        <f>IF(NOT(ISBLANK('A-RACHNATMAK'!D600)),"A",IF(NOT(ISBLANK('A-RACHNATMAK'!D599)),"B",IF(NOT(ISBLANK('A-RACHNATMAK'!D598)),"C","")))</f>
        <v/>
      </c>
      <c r="D564" s="622" t="str">
        <f>IF(NOT(ISBLANK('A-RACHNATMAK'!E600)),"A",IF(NOT(ISBLANK('A-RACHNATMAK'!E599)),"B",IF(NOT(ISBLANK('A-RACHNATMAK'!E598)),"C","")))</f>
        <v/>
      </c>
      <c r="E564" s="622" t="str">
        <f>IF(NOT(ISBLANK('A-RACHNATMAK'!F600)),"A",IF(NOT(ISBLANK('A-RACHNATMAK'!F599)),"B",IF(NOT(ISBLANK('A-RACHNATMAK'!F598)),"C","")))</f>
        <v/>
      </c>
      <c r="F564" s="622" t="str">
        <f>IF(NOT(ISBLANK('A-RACHNATMAK'!G600)),"A",IF(NOT(ISBLANK('A-RACHNATMAK'!G599)),"B",IF(NOT(ISBLANK('A-RACHNATMAK'!G598)),"C","")))</f>
        <v/>
      </c>
      <c r="G564" s="622" t="str">
        <f>IF(NOT(ISBLANK('A-RACHNATMAK'!H600)),"A",IF(NOT(ISBLANK('A-RACHNATMAK'!H599)),"B",IF(NOT(ISBLANK('A-RACHNATMAK'!H598)),"C","")))</f>
        <v/>
      </c>
      <c r="H564" s="622" t="str">
        <f>IF(NOT(ISBLANK('A-RACHNATMAK'!I600)),"A",IF(NOT(ISBLANK('A-RACHNATMAK'!I599)),"B",IF(NOT(ISBLANK('A-RACHNATMAK'!I598)),"C","")))</f>
        <v/>
      </c>
      <c r="I564" s="622" t="str">
        <f>IF(NOT(ISBLANK('A-RACHNATMAK'!J600)),"A",IF(NOT(ISBLANK('A-RACHNATMAK'!J599)),"B",IF(NOT(ISBLANK('A-RACHNATMAK'!J598)),"C","")))</f>
        <v/>
      </c>
      <c r="J564" s="622" t="str">
        <f>IF(NOT(ISBLANK('A-RACHNATMAK'!K600)),"A",IF(NOT(ISBLANK('A-RACHNATMAK'!K599)),"B",IF(NOT(ISBLANK('A-RACHNATMAK'!K598)),"C","")))</f>
        <v/>
      </c>
      <c r="K564" s="622" t="str">
        <f>IF(NOT(ISBLANK('A-RACHNATMAK'!L600)),"A",IF(NOT(ISBLANK('A-RACHNATMAK'!L599)),"B",IF(NOT(ISBLANK('A-RACHNATMAK'!L598)),"C","")))</f>
        <v/>
      </c>
      <c r="L564" s="622" t="str">
        <f>IF(NOT(ISBLANK('A-RACHNATMAK'!M600)),"A",IF(NOT(ISBLANK('A-RACHNATMAK'!M599)),"B",IF(NOT(ISBLANK('A-RACHNATMAK'!M598)),"C","")))</f>
        <v/>
      </c>
      <c r="M564" s="622" t="str">
        <f>IF(NOT(ISBLANK('A-RACHNATMAK'!N600)),"A",IF(NOT(ISBLANK('A-RACHNATMAK'!N599)),"B",IF(NOT(ISBLANK('A-RACHNATMAK'!N598)),"C","")))</f>
        <v/>
      </c>
      <c r="N564" s="622" t="str">
        <f>IF(NOT(ISBLANK('A-RACHNATMAK'!O600)),"A",IF(NOT(ISBLANK('A-RACHNATMAK'!O599)),"B",IF(NOT(ISBLANK('A-RACHNATMAK'!O598)),"C","")))</f>
        <v/>
      </c>
      <c r="O564" s="622" t="str">
        <f>IF(NOT(ISBLANK('A-RACHNATMAK'!P600)),"A",IF(NOT(ISBLANK('A-RACHNATMAK'!P599)),"B",IF(NOT(ISBLANK('A-RACHNATMAK'!P598)),"C","")))</f>
        <v/>
      </c>
      <c r="P564" s="622" t="str">
        <f>IF(NOT(ISBLANK('A-RACHNATMAK'!Q600)),"A",IF(NOT(ISBLANK('A-RACHNATMAK'!Q599)),"B",IF(NOT(ISBLANK('A-RACHNATMAK'!Q598)),"C","")))</f>
        <v/>
      </c>
      <c r="Q564" s="622" t="str">
        <f>IF(NOT(ISBLANK('A-RACHNATMAK'!R600)),"A",IF(NOT(ISBLANK('A-RACHNATMAK'!R599)),"B",IF(NOT(ISBLANK('A-RACHNATMAK'!R598)),"C","")))</f>
        <v/>
      </c>
      <c r="R564" s="622" t="str">
        <f>IF(NOT(ISBLANK('A-RACHNATMAK'!S600)),"A",IF(NOT(ISBLANK('A-RACHNATMAK'!S599)),"B",IF(NOT(ISBLANK('A-RACHNATMAK'!S598)),"C","")))</f>
        <v/>
      </c>
      <c r="S564" s="622" t="str">
        <f>IF(NOT(ISBLANK('A-RACHNATMAK'!T600)),"A",IF(NOT(ISBLANK('A-RACHNATMAK'!T599)),"B",IF(NOT(ISBLANK('A-RACHNATMAK'!T598)),"C","")))</f>
        <v/>
      </c>
      <c r="T564" s="622" t="str">
        <f>IF(NOT(ISBLANK('A-RACHNATMAK'!U600)),"A",IF(NOT(ISBLANK('A-RACHNATMAK'!U599)),"B",IF(NOT(ISBLANK('A-RACHNATMAK'!U598)),"C","")))</f>
        <v/>
      </c>
      <c r="U564" s="622" t="str">
        <f>IF(NOT(ISBLANK('A-RACHNATMAK'!V600)),"A",IF(NOT(ISBLANK('A-RACHNATMAK'!V599)),"B",IF(NOT(ISBLANK('A-RACHNATMAK'!V598)),"C","")))</f>
        <v/>
      </c>
      <c r="V564" s="622">
        <f t="shared" ref="V564" si="1068">COUNTIF(B564:U564,"A")</f>
        <v>0</v>
      </c>
      <c r="W564" s="622">
        <f t="shared" ref="W564" si="1069">COUNTIF(B564:U564,"B")</f>
        <v>0</v>
      </c>
      <c r="X564" s="622">
        <f t="shared" ref="X564" si="1070">COUNTIF(B564:U564,"C")</f>
        <v>0</v>
      </c>
      <c r="Y564" s="330"/>
      <c r="Z564" s="623">
        <v>10</v>
      </c>
      <c r="AA564" s="622" t="str">
        <f>IF(NOT(ISBLANK('A-RACHNATMAK'!AD600)),"A",IF(NOT(ISBLANK('A-RACHNATMAK'!AD599)),"B",IF(NOT(ISBLANK('A-RACHNATMAK'!AD598)),"C","")))</f>
        <v/>
      </c>
      <c r="AB564" s="622" t="str">
        <f>IF(NOT(ISBLANK('A-RACHNATMAK'!AE600)),"A",IF(NOT(ISBLANK('A-RACHNATMAK'!AE599)),"B",IF(NOT(ISBLANK('A-RACHNATMAK'!AE598)),"C","")))</f>
        <v/>
      </c>
      <c r="AC564" s="622" t="str">
        <f>IF(NOT(ISBLANK('A-RACHNATMAK'!AF600)),"A",IF(NOT(ISBLANK('A-RACHNATMAK'!AF599)),"B",IF(NOT(ISBLANK('A-RACHNATMAK'!AF598)),"C","")))</f>
        <v/>
      </c>
      <c r="AD564" s="622" t="str">
        <f>IF(NOT(ISBLANK('A-RACHNATMAK'!AG600)),"A",IF(NOT(ISBLANK('A-RACHNATMAK'!AG599)),"B",IF(NOT(ISBLANK('A-RACHNATMAK'!AG598)),"C","")))</f>
        <v/>
      </c>
      <c r="AE564" s="622" t="str">
        <f>IF(NOT(ISBLANK('A-RACHNATMAK'!AH600)),"A",IF(NOT(ISBLANK('A-RACHNATMAK'!AH599)),"B",IF(NOT(ISBLANK('A-RACHNATMAK'!AH598)),"C","")))</f>
        <v/>
      </c>
      <c r="AF564" s="622" t="str">
        <f>IF(NOT(ISBLANK('A-RACHNATMAK'!AI600)),"A",IF(NOT(ISBLANK('A-RACHNATMAK'!AI599)),"B",IF(NOT(ISBLANK('A-RACHNATMAK'!AI598)),"C","")))</f>
        <v/>
      </c>
      <c r="AG564" s="622" t="str">
        <f>IF(NOT(ISBLANK('A-RACHNATMAK'!AJ600)),"A",IF(NOT(ISBLANK('A-RACHNATMAK'!AJ599)),"B",IF(NOT(ISBLANK('A-RACHNATMAK'!AJ598)),"C","")))</f>
        <v/>
      </c>
      <c r="AH564" s="622" t="str">
        <f>IF(NOT(ISBLANK('A-RACHNATMAK'!AK600)),"A",IF(NOT(ISBLANK('A-RACHNATMAK'!AK599)),"B",IF(NOT(ISBLANK('A-RACHNATMAK'!AK598)),"C","")))</f>
        <v/>
      </c>
      <c r="AI564" s="622" t="str">
        <f>IF(NOT(ISBLANK('A-RACHNATMAK'!AL600)),"A",IF(NOT(ISBLANK('A-RACHNATMAK'!AL599)),"B",IF(NOT(ISBLANK('A-RACHNATMAK'!AL598)),"C","")))</f>
        <v/>
      </c>
      <c r="AJ564" s="622" t="str">
        <f>IF(NOT(ISBLANK('A-RACHNATMAK'!AM600)),"A",IF(NOT(ISBLANK('A-RACHNATMAK'!AM599)),"B",IF(NOT(ISBLANK('A-RACHNATMAK'!AM598)),"C","")))</f>
        <v/>
      </c>
      <c r="AK564" s="622" t="str">
        <f>IF(NOT(ISBLANK('A-RACHNATMAK'!AN600)),"A",IF(NOT(ISBLANK('A-RACHNATMAK'!AN599)),"B",IF(NOT(ISBLANK('A-RACHNATMAK'!AN598)),"C","")))</f>
        <v/>
      </c>
      <c r="AL564" s="622" t="str">
        <f>IF(NOT(ISBLANK('A-RACHNATMAK'!AO600)),"A",IF(NOT(ISBLANK('A-RACHNATMAK'!AO599)),"B",IF(NOT(ISBLANK('A-RACHNATMAK'!AO598)),"C","")))</f>
        <v/>
      </c>
      <c r="AM564" s="622" t="str">
        <f>IF(NOT(ISBLANK('A-RACHNATMAK'!AP600)),"A",IF(NOT(ISBLANK('A-RACHNATMAK'!AP599)),"B",IF(NOT(ISBLANK('A-RACHNATMAK'!AP598)),"C","")))</f>
        <v/>
      </c>
      <c r="AN564" s="622" t="str">
        <f>IF(NOT(ISBLANK('A-RACHNATMAK'!AQ600)),"A",IF(NOT(ISBLANK('A-RACHNATMAK'!AQ599)),"B",IF(NOT(ISBLANK('A-RACHNATMAK'!AQ598)),"C","")))</f>
        <v/>
      </c>
      <c r="AO564" s="622" t="str">
        <f>IF(NOT(ISBLANK('A-RACHNATMAK'!AR600)),"A",IF(NOT(ISBLANK('A-RACHNATMAK'!AR599)),"B",IF(NOT(ISBLANK('A-RACHNATMAK'!AR598)),"C","")))</f>
        <v/>
      </c>
      <c r="AP564" s="622" t="str">
        <f>IF(NOT(ISBLANK('A-RACHNATMAK'!AS600)),"A",IF(NOT(ISBLANK('A-RACHNATMAK'!AS599)),"B",IF(NOT(ISBLANK('A-RACHNATMAK'!AS598)),"C","")))</f>
        <v/>
      </c>
      <c r="AQ564" s="622" t="str">
        <f>IF(NOT(ISBLANK('A-RACHNATMAK'!AT600)),"A",IF(NOT(ISBLANK('A-RACHNATMAK'!AT599)),"B",IF(NOT(ISBLANK('A-RACHNATMAK'!AT598)),"C","")))</f>
        <v/>
      </c>
      <c r="AR564" s="622" t="str">
        <f>IF(NOT(ISBLANK('A-RACHNATMAK'!AU600)),"A",IF(NOT(ISBLANK('A-RACHNATMAK'!AU599)),"B",IF(NOT(ISBLANK('A-RACHNATMAK'!AU598)),"C","")))</f>
        <v/>
      </c>
      <c r="AS564" s="622" t="str">
        <f>IF(NOT(ISBLANK('A-RACHNATMAK'!AV600)),"A",IF(NOT(ISBLANK('A-RACHNATMAK'!AV599)),"B",IF(NOT(ISBLANK('A-RACHNATMAK'!AV598)),"C","")))</f>
        <v/>
      </c>
      <c r="AT564" s="622" t="str">
        <f>IF(NOT(ISBLANK('A-RACHNATMAK'!AW600)),"A",IF(NOT(ISBLANK('A-RACHNATMAK'!AW599)),"B",IF(NOT(ISBLANK('A-RACHNATMAK'!AW598)),"C","")))</f>
        <v/>
      </c>
      <c r="AU564" s="622">
        <f t="shared" ref="AU564" si="1071">COUNTIF(AA564:AT564,"A")</f>
        <v>0</v>
      </c>
      <c r="AV564" s="622">
        <f t="shared" ref="AV564" si="1072">COUNTIF(AA564:AT564,"B")</f>
        <v>0</v>
      </c>
      <c r="AW564" s="622">
        <f t="shared" ref="AW564" si="1073">COUNTIF(AA564:AT564,"C")</f>
        <v>0</v>
      </c>
    </row>
    <row r="565" spans="1:49" ht="7.5" customHeight="1">
      <c r="A565" s="623"/>
      <c r="B565" s="622"/>
      <c r="C565" s="622"/>
      <c r="D565" s="622"/>
      <c r="E565" s="622"/>
      <c r="F565" s="622"/>
      <c r="G565" s="622"/>
      <c r="H565" s="622"/>
      <c r="I565" s="622"/>
      <c r="J565" s="622"/>
      <c r="K565" s="622"/>
      <c r="L565" s="622"/>
      <c r="M565" s="622"/>
      <c r="N565" s="622"/>
      <c r="O565" s="622"/>
      <c r="P565" s="622"/>
      <c r="Q565" s="622"/>
      <c r="R565" s="622"/>
      <c r="S565" s="622"/>
      <c r="T565" s="622"/>
      <c r="U565" s="622"/>
      <c r="V565" s="622"/>
      <c r="W565" s="622"/>
      <c r="X565" s="622"/>
      <c r="Y565" s="330"/>
      <c r="Z565" s="623"/>
      <c r="AA565" s="622"/>
      <c r="AB565" s="622"/>
      <c r="AC565" s="622"/>
      <c r="AD565" s="622"/>
      <c r="AE565" s="622"/>
      <c r="AF565" s="622"/>
      <c r="AG565" s="622"/>
      <c r="AH565" s="622"/>
      <c r="AI565" s="622"/>
      <c r="AJ565" s="622"/>
      <c r="AK565" s="622"/>
      <c r="AL565" s="622"/>
      <c r="AM565" s="622"/>
      <c r="AN565" s="622"/>
      <c r="AO565" s="622"/>
      <c r="AP565" s="622"/>
      <c r="AQ565" s="622"/>
      <c r="AR565" s="622"/>
      <c r="AS565" s="622"/>
      <c r="AT565" s="622"/>
      <c r="AU565" s="622"/>
      <c r="AV565" s="622"/>
      <c r="AW565" s="622"/>
    </row>
    <row r="566" spans="1:49" ht="7.5" customHeight="1">
      <c r="A566" s="623"/>
      <c r="B566" s="622"/>
      <c r="C566" s="622"/>
      <c r="D566" s="622"/>
      <c r="E566" s="622"/>
      <c r="F566" s="622"/>
      <c r="G566" s="622"/>
      <c r="H566" s="622"/>
      <c r="I566" s="622"/>
      <c r="J566" s="622"/>
      <c r="K566" s="622"/>
      <c r="L566" s="622"/>
      <c r="M566" s="622"/>
      <c r="N566" s="622"/>
      <c r="O566" s="622"/>
      <c r="P566" s="622"/>
      <c r="Q566" s="622"/>
      <c r="R566" s="622"/>
      <c r="S566" s="622"/>
      <c r="T566" s="622"/>
      <c r="U566" s="622"/>
      <c r="V566" s="622"/>
      <c r="W566" s="622"/>
      <c r="X566" s="622"/>
      <c r="Y566" s="330"/>
      <c r="Z566" s="623"/>
      <c r="AA566" s="622"/>
      <c r="AB566" s="622"/>
      <c r="AC566" s="622"/>
      <c r="AD566" s="622"/>
      <c r="AE566" s="622"/>
      <c r="AF566" s="622"/>
      <c r="AG566" s="622"/>
      <c r="AH566" s="622"/>
      <c r="AI566" s="622"/>
      <c r="AJ566" s="622"/>
      <c r="AK566" s="622"/>
      <c r="AL566" s="622"/>
      <c r="AM566" s="622"/>
      <c r="AN566" s="622"/>
      <c r="AO566" s="622"/>
      <c r="AP566" s="622"/>
      <c r="AQ566" s="622"/>
      <c r="AR566" s="622"/>
      <c r="AS566" s="622"/>
      <c r="AT566" s="622"/>
      <c r="AU566" s="622"/>
      <c r="AV566" s="622"/>
      <c r="AW566" s="622"/>
    </row>
    <row r="567" spans="1:49" ht="7.5" customHeight="1">
      <c r="A567" s="623">
        <v>11</v>
      </c>
      <c r="B567" s="622" t="str">
        <f>IF(NOT(ISBLANK('A-RACHNATMAK'!C603)),"A",IF(NOT(ISBLANK('A-RACHNATMAK'!C602)),"B",IF(NOT(ISBLANK('A-RACHNATMAK'!C601)),"C","")))</f>
        <v/>
      </c>
      <c r="C567" s="622" t="str">
        <f>IF(NOT(ISBLANK('A-RACHNATMAK'!D603)),"A",IF(NOT(ISBLANK('A-RACHNATMAK'!D602)),"B",IF(NOT(ISBLANK('A-RACHNATMAK'!D601)),"C","")))</f>
        <v/>
      </c>
      <c r="D567" s="622" t="str">
        <f>IF(NOT(ISBLANK('A-RACHNATMAK'!E603)),"A",IF(NOT(ISBLANK('A-RACHNATMAK'!E602)),"B",IF(NOT(ISBLANK('A-RACHNATMAK'!E601)),"C","")))</f>
        <v/>
      </c>
      <c r="E567" s="622" t="str">
        <f>IF(NOT(ISBLANK('A-RACHNATMAK'!F603)),"A",IF(NOT(ISBLANK('A-RACHNATMAK'!F602)),"B",IF(NOT(ISBLANK('A-RACHNATMAK'!F601)),"C","")))</f>
        <v/>
      </c>
      <c r="F567" s="622" t="str">
        <f>IF(NOT(ISBLANK('A-RACHNATMAK'!G603)),"A",IF(NOT(ISBLANK('A-RACHNATMAK'!G602)),"B",IF(NOT(ISBLANK('A-RACHNATMAK'!G601)),"C","")))</f>
        <v/>
      </c>
      <c r="G567" s="622" t="str">
        <f>IF(NOT(ISBLANK('A-RACHNATMAK'!H603)),"A",IF(NOT(ISBLANK('A-RACHNATMAK'!H602)),"B",IF(NOT(ISBLANK('A-RACHNATMAK'!H601)),"C","")))</f>
        <v/>
      </c>
      <c r="H567" s="622" t="str">
        <f>IF(NOT(ISBLANK('A-RACHNATMAK'!I603)),"A",IF(NOT(ISBLANK('A-RACHNATMAK'!I602)),"B",IF(NOT(ISBLANK('A-RACHNATMAK'!I601)),"C","")))</f>
        <v/>
      </c>
      <c r="I567" s="622" t="str">
        <f>IF(NOT(ISBLANK('A-RACHNATMAK'!J603)),"A",IF(NOT(ISBLANK('A-RACHNATMAK'!J602)),"B",IF(NOT(ISBLANK('A-RACHNATMAK'!J601)),"C","")))</f>
        <v/>
      </c>
      <c r="J567" s="622" t="str">
        <f>IF(NOT(ISBLANK('A-RACHNATMAK'!K603)),"A",IF(NOT(ISBLANK('A-RACHNATMAK'!K602)),"B",IF(NOT(ISBLANK('A-RACHNATMAK'!K601)),"C","")))</f>
        <v/>
      </c>
      <c r="K567" s="622" t="str">
        <f>IF(NOT(ISBLANK('A-RACHNATMAK'!L603)),"A",IF(NOT(ISBLANK('A-RACHNATMAK'!L602)),"B",IF(NOT(ISBLANK('A-RACHNATMAK'!L601)),"C","")))</f>
        <v/>
      </c>
      <c r="L567" s="622" t="str">
        <f>IF(NOT(ISBLANK('A-RACHNATMAK'!M603)),"A",IF(NOT(ISBLANK('A-RACHNATMAK'!M602)),"B",IF(NOT(ISBLANK('A-RACHNATMAK'!M601)),"C","")))</f>
        <v/>
      </c>
      <c r="M567" s="622" t="str">
        <f>IF(NOT(ISBLANK('A-RACHNATMAK'!N603)),"A",IF(NOT(ISBLANK('A-RACHNATMAK'!N602)),"B",IF(NOT(ISBLANK('A-RACHNATMAK'!N601)),"C","")))</f>
        <v/>
      </c>
      <c r="N567" s="622" t="str">
        <f>IF(NOT(ISBLANK('A-RACHNATMAK'!O603)),"A",IF(NOT(ISBLANK('A-RACHNATMAK'!O602)),"B",IF(NOT(ISBLANK('A-RACHNATMAK'!O601)),"C","")))</f>
        <v/>
      </c>
      <c r="O567" s="622" t="str">
        <f>IF(NOT(ISBLANK('A-RACHNATMAK'!P603)),"A",IF(NOT(ISBLANK('A-RACHNATMAK'!P602)),"B",IF(NOT(ISBLANK('A-RACHNATMAK'!P601)),"C","")))</f>
        <v/>
      </c>
      <c r="P567" s="622" t="str">
        <f>IF(NOT(ISBLANK('A-RACHNATMAK'!Q603)),"A",IF(NOT(ISBLANK('A-RACHNATMAK'!Q602)),"B",IF(NOT(ISBLANK('A-RACHNATMAK'!Q601)),"C","")))</f>
        <v/>
      </c>
      <c r="Q567" s="622" t="str">
        <f>IF(NOT(ISBLANK('A-RACHNATMAK'!R603)),"A",IF(NOT(ISBLANK('A-RACHNATMAK'!R602)),"B",IF(NOT(ISBLANK('A-RACHNATMAK'!R601)),"C","")))</f>
        <v/>
      </c>
      <c r="R567" s="622" t="str">
        <f>IF(NOT(ISBLANK('A-RACHNATMAK'!S603)),"A",IF(NOT(ISBLANK('A-RACHNATMAK'!S602)),"B",IF(NOT(ISBLANK('A-RACHNATMAK'!S601)),"C","")))</f>
        <v/>
      </c>
      <c r="S567" s="622" t="str">
        <f>IF(NOT(ISBLANK('A-RACHNATMAK'!T603)),"A",IF(NOT(ISBLANK('A-RACHNATMAK'!T602)),"B",IF(NOT(ISBLANK('A-RACHNATMAK'!T601)),"C","")))</f>
        <v/>
      </c>
      <c r="T567" s="622" t="str">
        <f>IF(NOT(ISBLANK('A-RACHNATMAK'!U603)),"A",IF(NOT(ISBLANK('A-RACHNATMAK'!U602)),"B",IF(NOT(ISBLANK('A-RACHNATMAK'!U601)),"C","")))</f>
        <v/>
      </c>
      <c r="U567" s="622" t="str">
        <f>IF(NOT(ISBLANK('A-RACHNATMAK'!V603)),"A",IF(NOT(ISBLANK('A-RACHNATMAK'!V602)),"B",IF(NOT(ISBLANK('A-RACHNATMAK'!V601)),"C","")))</f>
        <v/>
      </c>
      <c r="V567" s="622">
        <f t="shared" ref="V567" si="1074">COUNTIF(B567:U567,"A")</f>
        <v>0</v>
      </c>
      <c r="W567" s="622">
        <f t="shared" ref="W567" si="1075">COUNTIF(B567:U567,"B")</f>
        <v>0</v>
      </c>
      <c r="X567" s="622">
        <f t="shared" ref="X567" si="1076">COUNTIF(B567:U567,"C")</f>
        <v>0</v>
      </c>
      <c r="Y567" s="330"/>
      <c r="Z567" s="623">
        <v>11</v>
      </c>
      <c r="AA567" s="622" t="str">
        <f>IF(NOT(ISBLANK('A-RACHNATMAK'!AD603)),"A",IF(NOT(ISBLANK('A-RACHNATMAK'!AD602)),"B",IF(NOT(ISBLANK('A-RACHNATMAK'!AD601)),"C","")))</f>
        <v/>
      </c>
      <c r="AB567" s="622" t="str">
        <f>IF(NOT(ISBLANK('A-RACHNATMAK'!AE603)),"A",IF(NOT(ISBLANK('A-RACHNATMAK'!AE602)),"B",IF(NOT(ISBLANK('A-RACHNATMAK'!AE601)),"C","")))</f>
        <v/>
      </c>
      <c r="AC567" s="622" t="str">
        <f>IF(NOT(ISBLANK('A-RACHNATMAK'!AF603)),"A",IF(NOT(ISBLANK('A-RACHNATMAK'!AF602)),"B",IF(NOT(ISBLANK('A-RACHNATMAK'!AF601)),"C","")))</f>
        <v/>
      </c>
      <c r="AD567" s="622" t="str">
        <f>IF(NOT(ISBLANK('A-RACHNATMAK'!AG603)),"A",IF(NOT(ISBLANK('A-RACHNATMAK'!AG602)),"B",IF(NOT(ISBLANK('A-RACHNATMAK'!AG601)),"C","")))</f>
        <v/>
      </c>
      <c r="AE567" s="622" t="str">
        <f>IF(NOT(ISBLANK('A-RACHNATMAK'!AH603)),"A",IF(NOT(ISBLANK('A-RACHNATMAK'!AH602)),"B",IF(NOT(ISBLANK('A-RACHNATMAK'!AH601)),"C","")))</f>
        <v/>
      </c>
      <c r="AF567" s="622" t="str">
        <f>IF(NOT(ISBLANK('A-RACHNATMAK'!AI603)),"A",IF(NOT(ISBLANK('A-RACHNATMAK'!AI602)),"B",IF(NOT(ISBLANK('A-RACHNATMAK'!AI601)),"C","")))</f>
        <v/>
      </c>
      <c r="AG567" s="622" t="str">
        <f>IF(NOT(ISBLANK('A-RACHNATMAK'!AJ603)),"A",IF(NOT(ISBLANK('A-RACHNATMAK'!AJ602)),"B",IF(NOT(ISBLANK('A-RACHNATMAK'!AJ601)),"C","")))</f>
        <v/>
      </c>
      <c r="AH567" s="622" t="str">
        <f>IF(NOT(ISBLANK('A-RACHNATMAK'!AK603)),"A",IF(NOT(ISBLANK('A-RACHNATMAK'!AK602)),"B",IF(NOT(ISBLANK('A-RACHNATMAK'!AK601)),"C","")))</f>
        <v/>
      </c>
      <c r="AI567" s="622" t="str">
        <f>IF(NOT(ISBLANK('A-RACHNATMAK'!AL603)),"A",IF(NOT(ISBLANK('A-RACHNATMAK'!AL602)),"B",IF(NOT(ISBLANK('A-RACHNATMAK'!AL601)),"C","")))</f>
        <v/>
      </c>
      <c r="AJ567" s="622" t="str">
        <f>IF(NOT(ISBLANK('A-RACHNATMAK'!AM603)),"A",IF(NOT(ISBLANK('A-RACHNATMAK'!AM602)),"B",IF(NOT(ISBLANK('A-RACHNATMAK'!AM601)),"C","")))</f>
        <v/>
      </c>
      <c r="AK567" s="622" t="str">
        <f>IF(NOT(ISBLANK('A-RACHNATMAK'!AN603)),"A",IF(NOT(ISBLANK('A-RACHNATMAK'!AN602)),"B",IF(NOT(ISBLANK('A-RACHNATMAK'!AN601)),"C","")))</f>
        <v/>
      </c>
      <c r="AL567" s="622" t="str">
        <f>IF(NOT(ISBLANK('A-RACHNATMAK'!AO603)),"A",IF(NOT(ISBLANK('A-RACHNATMAK'!AO602)),"B",IF(NOT(ISBLANK('A-RACHNATMAK'!AO601)),"C","")))</f>
        <v/>
      </c>
      <c r="AM567" s="622" t="str">
        <f>IF(NOT(ISBLANK('A-RACHNATMAK'!AP603)),"A",IF(NOT(ISBLANK('A-RACHNATMAK'!AP602)),"B",IF(NOT(ISBLANK('A-RACHNATMAK'!AP601)),"C","")))</f>
        <v/>
      </c>
      <c r="AN567" s="622" t="str">
        <f>IF(NOT(ISBLANK('A-RACHNATMAK'!AQ603)),"A",IF(NOT(ISBLANK('A-RACHNATMAK'!AQ602)),"B",IF(NOT(ISBLANK('A-RACHNATMAK'!AQ601)),"C","")))</f>
        <v/>
      </c>
      <c r="AO567" s="622" t="str">
        <f>IF(NOT(ISBLANK('A-RACHNATMAK'!AR603)),"A",IF(NOT(ISBLANK('A-RACHNATMAK'!AR602)),"B",IF(NOT(ISBLANK('A-RACHNATMAK'!AR601)),"C","")))</f>
        <v/>
      </c>
      <c r="AP567" s="622" t="str">
        <f>IF(NOT(ISBLANK('A-RACHNATMAK'!AS603)),"A",IF(NOT(ISBLANK('A-RACHNATMAK'!AS602)),"B",IF(NOT(ISBLANK('A-RACHNATMAK'!AS601)),"C","")))</f>
        <v/>
      </c>
      <c r="AQ567" s="622" t="str">
        <f>IF(NOT(ISBLANK('A-RACHNATMAK'!AT603)),"A",IF(NOT(ISBLANK('A-RACHNATMAK'!AT602)),"B",IF(NOT(ISBLANK('A-RACHNATMAK'!AT601)),"C","")))</f>
        <v/>
      </c>
      <c r="AR567" s="622" t="str">
        <f>IF(NOT(ISBLANK('A-RACHNATMAK'!AU603)),"A",IF(NOT(ISBLANK('A-RACHNATMAK'!AU602)),"B",IF(NOT(ISBLANK('A-RACHNATMAK'!AU601)),"C","")))</f>
        <v/>
      </c>
      <c r="AS567" s="622" t="str">
        <f>IF(NOT(ISBLANK('A-RACHNATMAK'!AV603)),"A",IF(NOT(ISBLANK('A-RACHNATMAK'!AV602)),"B",IF(NOT(ISBLANK('A-RACHNATMAK'!AV601)),"C","")))</f>
        <v/>
      </c>
      <c r="AT567" s="622" t="str">
        <f>IF(NOT(ISBLANK('A-RACHNATMAK'!AW603)),"A",IF(NOT(ISBLANK('A-RACHNATMAK'!AW602)),"B",IF(NOT(ISBLANK('A-RACHNATMAK'!AW601)),"C","")))</f>
        <v/>
      </c>
      <c r="AU567" s="622">
        <f t="shared" ref="AU567" si="1077">COUNTIF(AA567:AT567,"A")</f>
        <v>0</v>
      </c>
      <c r="AV567" s="622">
        <f t="shared" ref="AV567" si="1078">COUNTIF(AA567:AT567,"B")</f>
        <v>0</v>
      </c>
      <c r="AW567" s="622">
        <f t="shared" ref="AW567" si="1079">COUNTIF(AA567:AT567,"C")</f>
        <v>0</v>
      </c>
    </row>
    <row r="568" spans="1:49" ht="7.5" customHeight="1">
      <c r="A568" s="623"/>
      <c r="B568" s="622"/>
      <c r="C568" s="622"/>
      <c r="D568" s="622"/>
      <c r="E568" s="622"/>
      <c r="F568" s="622"/>
      <c r="G568" s="622"/>
      <c r="H568" s="622"/>
      <c r="I568" s="622"/>
      <c r="J568" s="622"/>
      <c r="K568" s="622"/>
      <c r="L568" s="622"/>
      <c r="M568" s="622"/>
      <c r="N568" s="622"/>
      <c r="O568" s="622"/>
      <c r="P568" s="622"/>
      <c r="Q568" s="622"/>
      <c r="R568" s="622"/>
      <c r="S568" s="622"/>
      <c r="T568" s="622"/>
      <c r="U568" s="622"/>
      <c r="V568" s="622"/>
      <c r="W568" s="622"/>
      <c r="X568" s="622"/>
      <c r="Y568" s="330"/>
      <c r="Z568" s="623"/>
      <c r="AA568" s="622"/>
      <c r="AB568" s="622"/>
      <c r="AC568" s="622"/>
      <c r="AD568" s="622"/>
      <c r="AE568" s="622"/>
      <c r="AF568" s="622"/>
      <c r="AG568" s="622"/>
      <c r="AH568" s="622"/>
      <c r="AI568" s="622"/>
      <c r="AJ568" s="622"/>
      <c r="AK568" s="622"/>
      <c r="AL568" s="622"/>
      <c r="AM568" s="622"/>
      <c r="AN568" s="622"/>
      <c r="AO568" s="622"/>
      <c r="AP568" s="622"/>
      <c r="AQ568" s="622"/>
      <c r="AR568" s="622"/>
      <c r="AS568" s="622"/>
      <c r="AT568" s="622"/>
      <c r="AU568" s="622"/>
      <c r="AV568" s="622"/>
      <c r="AW568" s="622"/>
    </row>
    <row r="569" spans="1:49" ht="7.5" customHeight="1">
      <c r="A569" s="623"/>
      <c r="B569" s="622"/>
      <c r="C569" s="622"/>
      <c r="D569" s="622"/>
      <c r="E569" s="622"/>
      <c r="F569" s="622"/>
      <c r="G569" s="622"/>
      <c r="H569" s="622"/>
      <c r="I569" s="622"/>
      <c r="J569" s="622"/>
      <c r="K569" s="622"/>
      <c r="L569" s="622"/>
      <c r="M569" s="622"/>
      <c r="N569" s="622"/>
      <c r="O569" s="622"/>
      <c r="P569" s="622"/>
      <c r="Q569" s="622"/>
      <c r="R569" s="622"/>
      <c r="S569" s="622"/>
      <c r="T569" s="622"/>
      <c r="U569" s="622"/>
      <c r="V569" s="622"/>
      <c r="W569" s="622"/>
      <c r="X569" s="622"/>
      <c r="Y569" s="330"/>
      <c r="Z569" s="623"/>
      <c r="AA569" s="622"/>
      <c r="AB569" s="622"/>
      <c r="AC569" s="622"/>
      <c r="AD569" s="622"/>
      <c r="AE569" s="622"/>
      <c r="AF569" s="622"/>
      <c r="AG569" s="622"/>
      <c r="AH569" s="622"/>
      <c r="AI569" s="622"/>
      <c r="AJ569" s="622"/>
      <c r="AK569" s="622"/>
      <c r="AL569" s="622"/>
      <c r="AM569" s="622"/>
      <c r="AN569" s="622"/>
      <c r="AO569" s="622"/>
      <c r="AP569" s="622"/>
      <c r="AQ569" s="622"/>
      <c r="AR569" s="622"/>
      <c r="AS569" s="622"/>
      <c r="AT569" s="622"/>
      <c r="AU569" s="622"/>
      <c r="AV569" s="622"/>
      <c r="AW569" s="622"/>
    </row>
    <row r="570" spans="1:49" ht="7.5" customHeight="1">
      <c r="A570" s="623">
        <v>12</v>
      </c>
      <c r="B570" s="622" t="str">
        <f>IF(NOT(ISBLANK('A-RACHNATMAK'!C606)),"A",IF(NOT(ISBLANK('A-RACHNATMAK'!C605)),"B",IF(NOT(ISBLANK('A-RACHNATMAK'!C604)),"C","")))</f>
        <v/>
      </c>
      <c r="C570" s="622" t="str">
        <f>IF(NOT(ISBLANK('A-RACHNATMAK'!D606)),"A",IF(NOT(ISBLANK('A-RACHNATMAK'!D605)),"B",IF(NOT(ISBLANK('A-RACHNATMAK'!D604)),"C","")))</f>
        <v/>
      </c>
      <c r="D570" s="622" t="str">
        <f>IF(NOT(ISBLANK('A-RACHNATMAK'!E606)),"A",IF(NOT(ISBLANK('A-RACHNATMAK'!E605)),"B",IF(NOT(ISBLANK('A-RACHNATMAK'!E604)),"C","")))</f>
        <v/>
      </c>
      <c r="E570" s="622" t="str">
        <f>IF(NOT(ISBLANK('A-RACHNATMAK'!F606)),"A",IF(NOT(ISBLANK('A-RACHNATMAK'!F605)),"B",IF(NOT(ISBLANK('A-RACHNATMAK'!F604)),"C","")))</f>
        <v/>
      </c>
      <c r="F570" s="622" t="str">
        <f>IF(NOT(ISBLANK('A-RACHNATMAK'!G606)),"A",IF(NOT(ISBLANK('A-RACHNATMAK'!G605)),"B",IF(NOT(ISBLANK('A-RACHNATMAK'!G604)),"C","")))</f>
        <v/>
      </c>
      <c r="G570" s="622" t="str">
        <f>IF(NOT(ISBLANK('A-RACHNATMAK'!H606)),"A",IF(NOT(ISBLANK('A-RACHNATMAK'!H605)),"B",IF(NOT(ISBLANK('A-RACHNATMAK'!H604)),"C","")))</f>
        <v/>
      </c>
      <c r="H570" s="622" t="str">
        <f>IF(NOT(ISBLANK('A-RACHNATMAK'!I606)),"A",IF(NOT(ISBLANK('A-RACHNATMAK'!I605)),"B",IF(NOT(ISBLANK('A-RACHNATMAK'!I604)),"C","")))</f>
        <v/>
      </c>
      <c r="I570" s="622" t="str">
        <f>IF(NOT(ISBLANK('A-RACHNATMAK'!J606)),"A",IF(NOT(ISBLANK('A-RACHNATMAK'!J605)),"B",IF(NOT(ISBLANK('A-RACHNATMAK'!J604)),"C","")))</f>
        <v/>
      </c>
      <c r="J570" s="622" t="str">
        <f>IF(NOT(ISBLANK('A-RACHNATMAK'!K606)),"A",IF(NOT(ISBLANK('A-RACHNATMAK'!K605)),"B",IF(NOT(ISBLANK('A-RACHNATMAK'!K604)),"C","")))</f>
        <v/>
      </c>
      <c r="K570" s="622" t="str">
        <f>IF(NOT(ISBLANK('A-RACHNATMAK'!L606)),"A",IF(NOT(ISBLANK('A-RACHNATMAK'!L605)),"B",IF(NOT(ISBLANK('A-RACHNATMAK'!L604)),"C","")))</f>
        <v/>
      </c>
      <c r="L570" s="622" t="str">
        <f>IF(NOT(ISBLANK('A-RACHNATMAK'!M606)),"A",IF(NOT(ISBLANK('A-RACHNATMAK'!M605)),"B",IF(NOT(ISBLANK('A-RACHNATMAK'!M604)),"C","")))</f>
        <v/>
      </c>
      <c r="M570" s="622" t="str">
        <f>IF(NOT(ISBLANK('A-RACHNATMAK'!N606)),"A",IF(NOT(ISBLANK('A-RACHNATMAK'!N605)),"B",IF(NOT(ISBLANK('A-RACHNATMAK'!N604)),"C","")))</f>
        <v/>
      </c>
      <c r="N570" s="622" t="str">
        <f>IF(NOT(ISBLANK('A-RACHNATMAK'!O606)),"A",IF(NOT(ISBLANK('A-RACHNATMAK'!O605)),"B",IF(NOT(ISBLANK('A-RACHNATMAK'!O604)),"C","")))</f>
        <v/>
      </c>
      <c r="O570" s="622" t="str">
        <f>IF(NOT(ISBLANK('A-RACHNATMAK'!P606)),"A",IF(NOT(ISBLANK('A-RACHNATMAK'!P605)),"B",IF(NOT(ISBLANK('A-RACHNATMAK'!P604)),"C","")))</f>
        <v/>
      </c>
      <c r="P570" s="622" t="str">
        <f>IF(NOT(ISBLANK('A-RACHNATMAK'!Q606)),"A",IF(NOT(ISBLANK('A-RACHNATMAK'!Q605)),"B",IF(NOT(ISBLANK('A-RACHNATMAK'!Q604)),"C","")))</f>
        <v/>
      </c>
      <c r="Q570" s="622" t="str">
        <f>IF(NOT(ISBLANK('A-RACHNATMAK'!R606)),"A",IF(NOT(ISBLANK('A-RACHNATMAK'!R605)),"B",IF(NOT(ISBLANK('A-RACHNATMAK'!R604)),"C","")))</f>
        <v/>
      </c>
      <c r="R570" s="622" t="str">
        <f>IF(NOT(ISBLANK('A-RACHNATMAK'!S606)),"A",IF(NOT(ISBLANK('A-RACHNATMAK'!S605)),"B",IF(NOT(ISBLANK('A-RACHNATMAK'!S604)),"C","")))</f>
        <v/>
      </c>
      <c r="S570" s="622" t="str">
        <f>IF(NOT(ISBLANK('A-RACHNATMAK'!T606)),"A",IF(NOT(ISBLANK('A-RACHNATMAK'!T605)),"B",IF(NOT(ISBLANK('A-RACHNATMAK'!T604)),"C","")))</f>
        <v/>
      </c>
      <c r="T570" s="622" t="str">
        <f>IF(NOT(ISBLANK('A-RACHNATMAK'!U606)),"A",IF(NOT(ISBLANK('A-RACHNATMAK'!U605)),"B",IF(NOT(ISBLANK('A-RACHNATMAK'!U604)),"C","")))</f>
        <v/>
      </c>
      <c r="U570" s="622" t="str">
        <f>IF(NOT(ISBLANK('A-RACHNATMAK'!V606)),"A",IF(NOT(ISBLANK('A-RACHNATMAK'!V605)),"B",IF(NOT(ISBLANK('A-RACHNATMAK'!V604)),"C","")))</f>
        <v/>
      </c>
      <c r="V570" s="622">
        <f t="shared" ref="V570" si="1080">COUNTIF(B570:U570,"A")</f>
        <v>0</v>
      </c>
      <c r="W570" s="622">
        <f t="shared" ref="W570" si="1081">COUNTIF(B570:U570,"B")</f>
        <v>0</v>
      </c>
      <c r="X570" s="622">
        <f t="shared" ref="X570" si="1082">COUNTIF(B570:U570,"C")</f>
        <v>0</v>
      </c>
      <c r="Y570" s="330"/>
      <c r="Z570" s="623">
        <v>12</v>
      </c>
      <c r="AA570" s="622" t="str">
        <f>IF(NOT(ISBLANK('A-RACHNATMAK'!AD606)),"A",IF(NOT(ISBLANK('A-RACHNATMAK'!AD605)),"B",IF(NOT(ISBLANK('A-RACHNATMAK'!AD604)),"C","")))</f>
        <v/>
      </c>
      <c r="AB570" s="622" t="str">
        <f>IF(NOT(ISBLANK('A-RACHNATMAK'!AE606)),"A",IF(NOT(ISBLANK('A-RACHNATMAK'!AE605)),"B",IF(NOT(ISBLANK('A-RACHNATMAK'!AE604)),"C","")))</f>
        <v/>
      </c>
      <c r="AC570" s="622" t="str">
        <f>IF(NOT(ISBLANK('A-RACHNATMAK'!AF606)),"A",IF(NOT(ISBLANK('A-RACHNATMAK'!AF605)),"B",IF(NOT(ISBLANK('A-RACHNATMAK'!AF604)),"C","")))</f>
        <v/>
      </c>
      <c r="AD570" s="622" t="str">
        <f>IF(NOT(ISBLANK('A-RACHNATMAK'!AG606)),"A",IF(NOT(ISBLANK('A-RACHNATMAK'!AG605)),"B",IF(NOT(ISBLANK('A-RACHNATMAK'!AG604)),"C","")))</f>
        <v/>
      </c>
      <c r="AE570" s="622" t="str">
        <f>IF(NOT(ISBLANK('A-RACHNATMAK'!AH606)),"A",IF(NOT(ISBLANK('A-RACHNATMAK'!AH605)),"B",IF(NOT(ISBLANK('A-RACHNATMAK'!AH604)),"C","")))</f>
        <v/>
      </c>
      <c r="AF570" s="622" t="str">
        <f>IF(NOT(ISBLANK('A-RACHNATMAK'!AI606)),"A",IF(NOT(ISBLANK('A-RACHNATMAK'!AI605)),"B",IF(NOT(ISBLANK('A-RACHNATMAK'!AI604)),"C","")))</f>
        <v/>
      </c>
      <c r="AG570" s="622" t="str">
        <f>IF(NOT(ISBLANK('A-RACHNATMAK'!AJ606)),"A",IF(NOT(ISBLANK('A-RACHNATMAK'!AJ605)),"B",IF(NOT(ISBLANK('A-RACHNATMAK'!AJ604)),"C","")))</f>
        <v/>
      </c>
      <c r="AH570" s="622" t="str">
        <f>IF(NOT(ISBLANK('A-RACHNATMAK'!AK606)),"A",IF(NOT(ISBLANK('A-RACHNATMAK'!AK605)),"B",IF(NOT(ISBLANK('A-RACHNATMAK'!AK604)),"C","")))</f>
        <v/>
      </c>
      <c r="AI570" s="622" t="str">
        <f>IF(NOT(ISBLANK('A-RACHNATMAK'!AL606)),"A",IF(NOT(ISBLANK('A-RACHNATMAK'!AL605)),"B",IF(NOT(ISBLANK('A-RACHNATMAK'!AL604)),"C","")))</f>
        <v/>
      </c>
      <c r="AJ570" s="622" t="str">
        <f>IF(NOT(ISBLANK('A-RACHNATMAK'!AM606)),"A",IF(NOT(ISBLANK('A-RACHNATMAK'!AM605)),"B",IF(NOT(ISBLANK('A-RACHNATMAK'!AM604)),"C","")))</f>
        <v/>
      </c>
      <c r="AK570" s="622" t="str">
        <f>IF(NOT(ISBLANK('A-RACHNATMAK'!AN606)),"A",IF(NOT(ISBLANK('A-RACHNATMAK'!AN605)),"B",IF(NOT(ISBLANK('A-RACHNATMAK'!AN604)),"C","")))</f>
        <v/>
      </c>
      <c r="AL570" s="622" t="str">
        <f>IF(NOT(ISBLANK('A-RACHNATMAK'!AO606)),"A",IF(NOT(ISBLANK('A-RACHNATMAK'!AO605)),"B",IF(NOT(ISBLANK('A-RACHNATMAK'!AO604)),"C","")))</f>
        <v/>
      </c>
      <c r="AM570" s="622" t="str">
        <f>IF(NOT(ISBLANK('A-RACHNATMAK'!AP606)),"A",IF(NOT(ISBLANK('A-RACHNATMAK'!AP605)),"B",IF(NOT(ISBLANK('A-RACHNATMAK'!AP604)),"C","")))</f>
        <v/>
      </c>
      <c r="AN570" s="622" t="str">
        <f>IF(NOT(ISBLANK('A-RACHNATMAK'!AQ606)),"A",IF(NOT(ISBLANK('A-RACHNATMAK'!AQ605)),"B",IF(NOT(ISBLANK('A-RACHNATMAK'!AQ604)),"C","")))</f>
        <v/>
      </c>
      <c r="AO570" s="622" t="str">
        <f>IF(NOT(ISBLANK('A-RACHNATMAK'!AR606)),"A",IF(NOT(ISBLANK('A-RACHNATMAK'!AR605)),"B",IF(NOT(ISBLANK('A-RACHNATMAK'!AR604)),"C","")))</f>
        <v/>
      </c>
      <c r="AP570" s="622" t="str">
        <f>IF(NOT(ISBLANK('A-RACHNATMAK'!AS606)),"A",IF(NOT(ISBLANK('A-RACHNATMAK'!AS605)),"B",IF(NOT(ISBLANK('A-RACHNATMAK'!AS604)),"C","")))</f>
        <v/>
      </c>
      <c r="AQ570" s="622" t="str">
        <f>IF(NOT(ISBLANK('A-RACHNATMAK'!AT606)),"A",IF(NOT(ISBLANK('A-RACHNATMAK'!AT605)),"B",IF(NOT(ISBLANK('A-RACHNATMAK'!AT604)),"C","")))</f>
        <v/>
      </c>
      <c r="AR570" s="622" t="str">
        <f>IF(NOT(ISBLANK('A-RACHNATMAK'!AU606)),"A",IF(NOT(ISBLANK('A-RACHNATMAK'!AU605)),"B",IF(NOT(ISBLANK('A-RACHNATMAK'!AU604)),"C","")))</f>
        <v/>
      </c>
      <c r="AS570" s="622" t="str">
        <f>IF(NOT(ISBLANK('A-RACHNATMAK'!AV606)),"A",IF(NOT(ISBLANK('A-RACHNATMAK'!AV605)),"B",IF(NOT(ISBLANK('A-RACHNATMAK'!AV604)),"C","")))</f>
        <v/>
      </c>
      <c r="AT570" s="622" t="str">
        <f>IF(NOT(ISBLANK('A-RACHNATMAK'!AW606)),"A",IF(NOT(ISBLANK('A-RACHNATMAK'!AW605)),"B",IF(NOT(ISBLANK('A-RACHNATMAK'!AW604)),"C","")))</f>
        <v/>
      </c>
      <c r="AU570" s="622">
        <f t="shared" ref="AU570" si="1083">COUNTIF(AA570:AT570,"A")</f>
        <v>0</v>
      </c>
      <c r="AV570" s="622">
        <f t="shared" ref="AV570" si="1084">COUNTIF(AA570:AT570,"B")</f>
        <v>0</v>
      </c>
      <c r="AW570" s="622">
        <f t="shared" ref="AW570" si="1085">COUNTIF(AA570:AT570,"C")</f>
        <v>0</v>
      </c>
    </row>
    <row r="571" spans="1:49" ht="7.5" customHeight="1">
      <c r="A571" s="623"/>
      <c r="B571" s="622"/>
      <c r="C571" s="622"/>
      <c r="D571" s="622"/>
      <c r="E571" s="622"/>
      <c r="F571" s="622"/>
      <c r="G571" s="622"/>
      <c r="H571" s="622"/>
      <c r="I571" s="622"/>
      <c r="J571" s="622"/>
      <c r="K571" s="622"/>
      <c r="L571" s="622"/>
      <c r="M571" s="622"/>
      <c r="N571" s="622"/>
      <c r="O571" s="622"/>
      <c r="P571" s="622"/>
      <c r="Q571" s="622"/>
      <c r="R571" s="622"/>
      <c r="S571" s="622"/>
      <c r="T571" s="622"/>
      <c r="U571" s="622"/>
      <c r="V571" s="622"/>
      <c r="W571" s="622"/>
      <c r="X571" s="622"/>
      <c r="Y571" s="330"/>
      <c r="Z571" s="623"/>
      <c r="AA571" s="622"/>
      <c r="AB571" s="622"/>
      <c r="AC571" s="622"/>
      <c r="AD571" s="622"/>
      <c r="AE571" s="622"/>
      <c r="AF571" s="622"/>
      <c r="AG571" s="622"/>
      <c r="AH571" s="622"/>
      <c r="AI571" s="622"/>
      <c r="AJ571" s="622"/>
      <c r="AK571" s="622"/>
      <c r="AL571" s="622"/>
      <c r="AM571" s="622"/>
      <c r="AN571" s="622"/>
      <c r="AO571" s="622"/>
      <c r="AP571" s="622"/>
      <c r="AQ571" s="622"/>
      <c r="AR571" s="622"/>
      <c r="AS571" s="622"/>
      <c r="AT571" s="622"/>
      <c r="AU571" s="622"/>
      <c r="AV571" s="622"/>
      <c r="AW571" s="622"/>
    </row>
    <row r="572" spans="1:49" ht="7.5" customHeight="1">
      <c r="A572" s="623"/>
      <c r="B572" s="622"/>
      <c r="C572" s="622"/>
      <c r="D572" s="622"/>
      <c r="E572" s="622"/>
      <c r="F572" s="622"/>
      <c r="G572" s="622"/>
      <c r="H572" s="622"/>
      <c r="I572" s="622"/>
      <c r="J572" s="622"/>
      <c r="K572" s="622"/>
      <c r="L572" s="622"/>
      <c r="M572" s="622"/>
      <c r="N572" s="622"/>
      <c r="O572" s="622"/>
      <c r="P572" s="622"/>
      <c r="Q572" s="622"/>
      <c r="R572" s="622"/>
      <c r="S572" s="622"/>
      <c r="T572" s="622"/>
      <c r="U572" s="622"/>
      <c r="V572" s="622"/>
      <c r="W572" s="622"/>
      <c r="X572" s="622"/>
      <c r="Y572" s="330"/>
      <c r="Z572" s="623"/>
      <c r="AA572" s="622"/>
      <c r="AB572" s="622"/>
      <c r="AC572" s="622"/>
      <c r="AD572" s="622"/>
      <c r="AE572" s="622"/>
      <c r="AF572" s="622"/>
      <c r="AG572" s="622"/>
      <c r="AH572" s="622"/>
      <c r="AI572" s="622"/>
      <c r="AJ572" s="622"/>
      <c r="AK572" s="622"/>
      <c r="AL572" s="622"/>
      <c r="AM572" s="622"/>
      <c r="AN572" s="622"/>
      <c r="AO572" s="622"/>
      <c r="AP572" s="622"/>
      <c r="AQ572" s="622"/>
      <c r="AR572" s="622"/>
      <c r="AS572" s="622"/>
      <c r="AT572" s="622"/>
      <c r="AU572" s="622"/>
      <c r="AV572" s="622"/>
      <c r="AW572" s="622"/>
    </row>
    <row r="573" spans="1:49" ht="7.5" customHeight="1">
      <c r="A573" s="623">
        <v>13</v>
      </c>
      <c r="B573" s="622" t="str">
        <f>IF(NOT(ISBLANK('A-RACHNATMAK'!C609)),"A",IF(NOT(ISBLANK('A-RACHNATMAK'!C608)),"B",IF(NOT(ISBLANK('A-RACHNATMAK'!C607)),"C","")))</f>
        <v/>
      </c>
      <c r="C573" s="622" t="str">
        <f>IF(NOT(ISBLANK('A-RACHNATMAK'!D609)),"A",IF(NOT(ISBLANK('A-RACHNATMAK'!D608)),"B",IF(NOT(ISBLANK('A-RACHNATMAK'!D607)),"C","")))</f>
        <v/>
      </c>
      <c r="D573" s="622" t="str">
        <f>IF(NOT(ISBLANK('A-RACHNATMAK'!E609)),"A",IF(NOT(ISBLANK('A-RACHNATMAK'!E608)),"B",IF(NOT(ISBLANK('A-RACHNATMAK'!E607)),"C","")))</f>
        <v/>
      </c>
      <c r="E573" s="622" t="str">
        <f>IF(NOT(ISBLANK('A-RACHNATMAK'!F609)),"A",IF(NOT(ISBLANK('A-RACHNATMAK'!F608)),"B",IF(NOT(ISBLANK('A-RACHNATMAK'!F607)),"C","")))</f>
        <v/>
      </c>
      <c r="F573" s="622" t="str">
        <f>IF(NOT(ISBLANK('A-RACHNATMAK'!G609)),"A",IF(NOT(ISBLANK('A-RACHNATMAK'!G608)),"B",IF(NOT(ISBLANK('A-RACHNATMAK'!G607)),"C","")))</f>
        <v/>
      </c>
      <c r="G573" s="622" t="str">
        <f>IF(NOT(ISBLANK('A-RACHNATMAK'!H609)),"A",IF(NOT(ISBLANK('A-RACHNATMAK'!H608)),"B",IF(NOT(ISBLANK('A-RACHNATMAK'!H607)),"C","")))</f>
        <v/>
      </c>
      <c r="H573" s="622" t="str">
        <f>IF(NOT(ISBLANK('A-RACHNATMAK'!I609)),"A",IF(NOT(ISBLANK('A-RACHNATMAK'!I608)),"B",IF(NOT(ISBLANK('A-RACHNATMAK'!I607)),"C","")))</f>
        <v/>
      </c>
      <c r="I573" s="622" t="str">
        <f>IF(NOT(ISBLANK('A-RACHNATMAK'!J609)),"A",IF(NOT(ISBLANK('A-RACHNATMAK'!J608)),"B",IF(NOT(ISBLANK('A-RACHNATMAK'!J607)),"C","")))</f>
        <v/>
      </c>
      <c r="J573" s="622" t="str">
        <f>IF(NOT(ISBLANK('A-RACHNATMAK'!K609)),"A",IF(NOT(ISBLANK('A-RACHNATMAK'!K608)),"B",IF(NOT(ISBLANK('A-RACHNATMAK'!K607)),"C","")))</f>
        <v/>
      </c>
      <c r="K573" s="622" t="str">
        <f>IF(NOT(ISBLANK('A-RACHNATMAK'!L609)),"A",IF(NOT(ISBLANK('A-RACHNATMAK'!L608)),"B",IF(NOT(ISBLANK('A-RACHNATMAK'!L607)),"C","")))</f>
        <v/>
      </c>
      <c r="L573" s="622" t="str">
        <f>IF(NOT(ISBLANK('A-RACHNATMAK'!M609)),"A",IF(NOT(ISBLANK('A-RACHNATMAK'!M608)),"B",IF(NOT(ISBLANK('A-RACHNATMAK'!M607)),"C","")))</f>
        <v/>
      </c>
      <c r="M573" s="622" t="str">
        <f>IF(NOT(ISBLANK('A-RACHNATMAK'!N609)),"A",IF(NOT(ISBLANK('A-RACHNATMAK'!N608)),"B",IF(NOT(ISBLANK('A-RACHNATMAK'!N607)),"C","")))</f>
        <v/>
      </c>
      <c r="N573" s="622" t="str">
        <f>IF(NOT(ISBLANK('A-RACHNATMAK'!O609)),"A",IF(NOT(ISBLANK('A-RACHNATMAK'!O608)),"B",IF(NOT(ISBLANK('A-RACHNATMAK'!O607)),"C","")))</f>
        <v/>
      </c>
      <c r="O573" s="622" t="str">
        <f>IF(NOT(ISBLANK('A-RACHNATMAK'!P609)),"A",IF(NOT(ISBLANK('A-RACHNATMAK'!P608)),"B",IF(NOT(ISBLANK('A-RACHNATMAK'!P607)),"C","")))</f>
        <v/>
      </c>
      <c r="P573" s="622" t="str">
        <f>IF(NOT(ISBLANK('A-RACHNATMAK'!Q609)),"A",IF(NOT(ISBLANK('A-RACHNATMAK'!Q608)),"B",IF(NOT(ISBLANK('A-RACHNATMAK'!Q607)),"C","")))</f>
        <v/>
      </c>
      <c r="Q573" s="622" t="str">
        <f>IF(NOT(ISBLANK('A-RACHNATMAK'!R609)),"A",IF(NOT(ISBLANK('A-RACHNATMAK'!R608)),"B",IF(NOT(ISBLANK('A-RACHNATMAK'!R607)),"C","")))</f>
        <v/>
      </c>
      <c r="R573" s="622" t="str">
        <f>IF(NOT(ISBLANK('A-RACHNATMAK'!S609)),"A",IF(NOT(ISBLANK('A-RACHNATMAK'!S608)),"B",IF(NOT(ISBLANK('A-RACHNATMAK'!S607)),"C","")))</f>
        <v/>
      </c>
      <c r="S573" s="622" t="str">
        <f>IF(NOT(ISBLANK('A-RACHNATMAK'!T609)),"A",IF(NOT(ISBLANK('A-RACHNATMAK'!T608)),"B",IF(NOT(ISBLANK('A-RACHNATMAK'!T607)),"C","")))</f>
        <v/>
      </c>
      <c r="T573" s="622" t="str">
        <f>IF(NOT(ISBLANK('A-RACHNATMAK'!U609)),"A",IF(NOT(ISBLANK('A-RACHNATMAK'!U608)),"B",IF(NOT(ISBLANK('A-RACHNATMAK'!U607)),"C","")))</f>
        <v/>
      </c>
      <c r="U573" s="622" t="str">
        <f>IF(NOT(ISBLANK('A-RACHNATMAK'!V609)),"A",IF(NOT(ISBLANK('A-RACHNATMAK'!V608)),"B",IF(NOT(ISBLANK('A-RACHNATMAK'!V607)),"C","")))</f>
        <v/>
      </c>
      <c r="V573" s="622">
        <f t="shared" ref="V573" si="1086">COUNTIF(B573:U573,"A")</f>
        <v>0</v>
      </c>
      <c r="W573" s="622">
        <f t="shared" ref="W573" si="1087">COUNTIF(B573:U573,"B")</f>
        <v>0</v>
      </c>
      <c r="X573" s="622">
        <f t="shared" ref="X573" si="1088">COUNTIF(B573:U573,"C")</f>
        <v>0</v>
      </c>
      <c r="Y573" s="330"/>
      <c r="Z573" s="623">
        <v>13</v>
      </c>
      <c r="AA573" s="622" t="str">
        <f>IF(NOT(ISBLANK('A-RACHNATMAK'!AD609)),"A",IF(NOT(ISBLANK('A-RACHNATMAK'!AD608)),"B",IF(NOT(ISBLANK('A-RACHNATMAK'!AD607)),"C","")))</f>
        <v/>
      </c>
      <c r="AB573" s="622" t="str">
        <f>IF(NOT(ISBLANK('A-RACHNATMAK'!AE609)),"A",IF(NOT(ISBLANK('A-RACHNATMAK'!AE608)),"B",IF(NOT(ISBLANK('A-RACHNATMAK'!AE607)),"C","")))</f>
        <v/>
      </c>
      <c r="AC573" s="622" t="str">
        <f>IF(NOT(ISBLANK('A-RACHNATMAK'!AF609)),"A",IF(NOT(ISBLANK('A-RACHNATMAK'!AF608)),"B",IF(NOT(ISBLANK('A-RACHNATMAK'!AF607)),"C","")))</f>
        <v/>
      </c>
      <c r="AD573" s="622" t="str">
        <f>IF(NOT(ISBLANK('A-RACHNATMAK'!AG609)),"A",IF(NOT(ISBLANK('A-RACHNATMAK'!AG608)),"B",IF(NOT(ISBLANK('A-RACHNATMAK'!AG607)),"C","")))</f>
        <v/>
      </c>
      <c r="AE573" s="622" t="str">
        <f>IF(NOT(ISBLANK('A-RACHNATMAK'!AH609)),"A",IF(NOT(ISBLANK('A-RACHNATMAK'!AH608)),"B",IF(NOT(ISBLANK('A-RACHNATMAK'!AH607)),"C","")))</f>
        <v/>
      </c>
      <c r="AF573" s="622" t="str">
        <f>IF(NOT(ISBLANK('A-RACHNATMAK'!AI609)),"A",IF(NOT(ISBLANK('A-RACHNATMAK'!AI608)),"B",IF(NOT(ISBLANK('A-RACHNATMAK'!AI607)),"C","")))</f>
        <v/>
      </c>
      <c r="AG573" s="622" t="str">
        <f>IF(NOT(ISBLANK('A-RACHNATMAK'!AJ609)),"A",IF(NOT(ISBLANK('A-RACHNATMAK'!AJ608)),"B",IF(NOT(ISBLANK('A-RACHNATMAK'!AJ607)),"C","")))</f>
        <v/>
      </c>
      <c r="AH573" s="622" t="str">
        <f>IF(NOT(ISBLANK('A-RACHNATMAK'!AK609)),"A",IF(NOT(ISBLANK('A-RACHNATMAK'!AK608)),"B",IF(NOT(ISBLANK('A-RACHNATMAK'!AK607)),"C","")))</f>
        <v/>
      </c>
      <c r="AI573" s="622" t="str">
        <f>IF(NOT(ISBLANK('A-RACHNATMAK'!AL609)),"A",IF(NOT(ISBLANK('A-RACHNATMAK'!AL608)),"B",IF(NOT(ISBLANK('A-RACHNATMAK'!AL607)),"C","")))</f>
        <v/>
      </c>
      <c r="AJ573" s="622" t="str">
        <f>IF(NOT(ISBLANK('A-RACHNATMAK'!AM609)),"A",IF(NOT(ISBLANK('A-RACHNATMAK'!AM608)),"B",IF(NOT(ISBLANK('A-RACHNATMAK'!AM607)),"C","")))</f>
        <v/>
      </c>
      <c r="AK573" s="622" t="str">
        <f>IF(NOT(ISBLANK('A-RACHNATMAK'!AN609)),"A",IF(NOT(ISBLANK('A-RACHNATMAK'!AN608)),"B",IF(NOT(ISBLANK('A-RACHNATMAK'!AN607)),"C","")))</f>
        <v/>
      </c>
      <c r="AL573" s="622" t="str">
        <f>IF(NOT(ISBLANK('A-RACHNATMAK'!AO609)),"A",IF(NOT(ISBLANK('A-RACHNATMAK'!AO608)),"B",IF(NOT(ISBLANK('A-RACHNATMAK'!AO607)),"C","")))</f>
        <v/>
      </c>
      <c r="AM573" s="622" t="str">
        <f>IF(NOT(ISBLANK('A-RACHNATMAK'!AP609)),"A",IF(NOT(ISBLANK('A-RACHNATMAK'!AP608)),"B",IF(NOT(ISBLANK('A-RACHNATMAK'!AP607)),"C","")))</f>
        <v/>
      </c>
      <c r="AN573" s="622" t="str">
        <f>IF(NOT(ISBLANK('A-RACHNATMAK'!AQ609)),"A",IF(NOT(ISBLANK('A-RACHNATMAK'!AQ608)),"B",IF(NOT(ISBLANK('A-RACHNATMAK'!AQ607)),"C","")))</f>
        <v/>
      </c>
      <c r="AO573" s="622" t="str">
        <f>IF(NOT(ISBLANK('A-RACHNATMAK'!AR609)),"A",IF(NOT(ISBLANK('A-RACHNATMAK'!AR608)),"B",IF(NOT(ISBLANK('A-RACHNATMAK'!AR607)),"C","")))</f>
        <v/>
      </c>
      <c r="AP573" s="622" t="str">
        <f>IF(NOT(ISBLANK('A-RACHNATMAK'!AS609)),"A",IF(NOT(ISBLANK('A-RACHNATMAK'!AS608)),"B",IF(NOT(ISBLANK('A-RACHNATMAK'!AS607)),"C","")))</f>
        <v/>
      </c>
      <c r="AQ573" s="622" t="str">
        <f>IF(NOT(ISBLANK('A-RACHNATMAK'!AT609)),"A",IF(NOT(ISBLANK('A-RACHNATMAK'!AT608)),"B",IF(NOT(ISBLANK('A-RACHNATMAK'!AT607)),"C","")))</f>
        <v/>
      </c>
      <c r="AR573" s="622" t="str">
        <f>IF(NOT(ISBLANK('A-RACHNATMAK'!AU609)),"A",IF(NOT(ISBLANK('A-RACHNATMAK'!AU608)),"B",IF(NOT(ISBLANK('A-RACHNATMAK'!AU607)),"C","")))</f>
        <v/>
      </c>
      <c r="AS573" s="622" t="str">
        <f>IF(NOT(ISBLANK('A-RACHNATMAK'!AV609)),"A",IF(NOT(ISBLANK('A-RACHNATMAK'!AV608)),"B",IF(NOT(ISBLANK('A-RACHNATMAK'!AV607)),"C","")))</f>
        <v/>
      </c>
      <c r="AT573" s="622" t="str">
        <f>IF(NOT(ISBLANK('A-RACHNATMAK'!AW609)),"A",IF(NOT(ISBLANK('A-RACHNATMAK'!AW608)),"B",IF(NOT(ISBLANK('A-RACHNATMAK'!AW607)),"C","")))</f>
        <v/>
      </c>
      <c r="AU573" s="622">
        <f t="shared" ref="AU573" si="1089">COUNTIF(AA573:AT573,"A")</f>
        <v>0</v>
      </c>
      <c r="AV573" s="622">
        <f t="shared" ref="AV573" si="1090">COUNTIF(AA573:AT573,"B")</f>
        <v>0</v>
      </c>
      <c r="AW573" s="622">
        <f t="shared" ref="AW573" si="1091">COUNTIF(AA573:AT573,"C")</f>
        <v>0</v>
      </c>
    </row>
    <row r="574" spans="1:49" ht="7.5" customHeight="1">
      <c r="A574" s="623"/>
      <c r="B574" s="622"/>
      <c r="C574" s="622"/>
      <c r="D574" s="622"/>
      <c r="E574" s="622"/>
      <c r="F574" s="622"/>
      <c r="G574" s="622"/>
      <c r="H574" s="622"/>
      <c r="I574" s="622"/>
      <c r="J574" s="622"/>
      <c r="K574" s="622"/>
      <c r="L574" s="622"/>
      <c r="M574" s="622"/>
      <c r="N574" s="622"/>
      <c r="O574" s="622"/>
      <c r="P574" s="622"/>
      <c r="Q574" s="622"/>
      <c r="R574" s="622"/>
      <c r="S574" s="622"/>
      <c r="T574" s="622"/>
      <c r="U574" s="622"/>
      <c r="V574" s="622"/>
      <c r="W574" s="622"/>
      <c r="X574" s="622"/>
      <c r="Y574" s="330"/>
      <c r="Z574" s="623"/>
      <c r="AA574" s="622"/>
      <c r="AB574" s="622"/>
      <c r="AC574" s="622"/>
      <c r="AD574" s="622"/>
      <c r="AE574" s="622"/>
      <c r="AF574" s="622"/>
      <c r="AG574" s="622"/>
      <c r="AH574" s="622"/>
      <c r="AI574" s="622"/>
      <c r="AJ574" s="622"/>
      <c r="AK574" s="622"/>
      <c r="AL574" s="622"/>
      <c r="AM574" s="622"/>
      <c r="AN574" s="622"/>
      <c r="AO574" s="622"/>
      <c r="AP574" s="622"/>
      <c r="AQ574" s="622"/>
      <c r="AR574" s="622"/>
      <c r="AS574" s="622"/>
      <c r="AT574" s="622"/>
      <c r="AU574" s="622"/>
      <c r="AV574" s="622"/>
      <c r="AW574" s="622"/>
    </row>
    <row r="575" spans="1:49" ht="7.5" customHeight="1">
      <c r="A575" s="623"/>
      <c r="B575" s="622"/>
      <c r="C575" s="622"/>
      <c r="D575" s="622"/>
      <c r="E575" s="622"/>
      <c r="F575" s="622"/>
      <c r="G575" s="622"/>
      <c r="H575" s="622"/>
      <c r="I575" s="622"/>
      <c r="J575" s="622"/>
      <c r="K575" s="622"/>
      <c r="L575" s="622"/>
      <c r="M575" s="622"/>
      <c r="N575" s="622"/>
      <c r="O575" s="622"/>
      <c r="P575" s="622"/>
      <c r="Q575" s="622"/>
      <c r="R575" s="622"/>
      <c r="S575" s="622"/>
      <c r="T575" s="622"/>
      <c r="U575" s="622"/>
      <c r="V575" s="622"/>
      <c r="W575" s="622"/>
      <c r="X575" s="622"/>
      <c r="Y575" s="330"/>
      <c r="Z575" s="623"/>
      <c r="AA575" s="622"/>
      <c r="AB575" s="622"/>
      <c r="AC575" s="622"/>
      <c r="AD575" s="622"/>
      <c r="AE575" s="622"/>
      <c r="AF575" s="622"/>
      <c r="AG575" s="622"/>
      <c r="AH575" s="622"/>
      <c r="AI575" s="622"/>
      <c r="AJ575" s="622"/>
      <c r="AK575" s="622"/>
      <c r="AL575" s="622"/>
      <c r="AM575" s="622"/>
      <c r="AN575" s="622"/>
      <c r="AO575" s="622"/>
      <c r="AP575" s="622"/>
      <c r="AQ575" s="622"/>
      <c r="AR575" s="622"/>
      <c r="AS575" s="622"/>
      <c r="AT575" s="622"/>
      <c r="AU575" s="622"/>
      <c r="AV575" s="622"/>
      <c r="AW575" s="622"/>
    </row>
    <row r="576" spans="1:49" ht="7.5" customHeight="1">
      <c r="A576" s="623">
        <v>14</v>
      </c>
      <c r="B576" s="622" t="str">
        <f>IF(NOT(ISBLANK('A-RACHNATMAK'!C612)),"A",IF(NOT(ISBLANK('A-RACHNATMAK'!C611)),"B",IF(NOT(ISBLANK('A-RACHNATMAK'!C610)),"C","")))</f>
        <v/>
      </c>
      <c r="C576" s="622" t="str">
        <f>IF(NOT(ISBLANK('A-RACHNATMAK'!D612)),"A",IF(NOT(ISBLANK('A-RACHNATMAK'!D611)),"B",IF(NOT(ISBLANK('A-RACHNATMAK'!D610)),"C","")))</f>
        <v/>
      </c>
      <c r="D576" s="622" t="str">
        <f>IF(NOT(ISBLANK('A-RACHNATMAK'!E612)),"A",IF(NOT(ISBLANK('A-RACHNATMAK'!E611)),"B",IF(NOT(ISBLANK('A-RACHNATMAK'!E610)),"C","")))</f>
        <v/>
      </c>
      <c r="E576" s="622" t="str">
        <f>IF(NOT(ISBLANK('A-RACHNATMAK'!F612)),"A",IF(NOT(ISBLANK('A-RACHNATMAK'!F611)),"B",IF(NOT(ISBLANK('A-RACHNATMAK'!F610)),"C","")))</f>
        <v/>
      </c>
      <c r="F576" s="622" t="str">
        <f>IF(NOT(ISBLANK('A-RACHNATMAK'!G612)),"A",IF(NOT(ISBLANK('A-RACHNATMAK'!G611)),"B",IF(NOT(ISBLANK('A-RACHNATMAK'!G610)),"C","")))</f>
        <v/>
      </c>
      <c r="G576" s="622" t="str">
        <f>IF(NOT(ISBLANK('A-RACHNATMAK'!H612)),"A",IF(NOT(ISBLANK('A-RACHNATMAK'!H611)),"B",IF(NOT(ISBLANK('A-RACHNATMAK'!H610)),"C","")))</f>
        <v/>
      </c>
      <c r="H576" s="622" t="str">
        <f>IF(NOT(ISBLANK('A-RACHNATMAK'!I612)),"A",IF(NOT(ISBLANK('A-RACHNATMAK'!I611)),"B",IF(NOT(ISBLANK('A-RACHNATMAK'!I610)),"C","")))</f>
        <v/>
      </c>
      <c r="I576" s="622" t="str">
        <f>IF(NOT(ISBLANK('A-RACHNATMAK'!J612)),"A",IF(NOT(ISBLANK('A-RACHNATMAK'!J611)),"B",IF(NOT(ISBLANK('A-RACHNATMAK'!J610)),"C","")))</f>
        <v/>
      </c>
      <c r="J576" s="622" t="str">
        <f>IF(NOT(ISBLANK('A-RACHNATMAK'!K612)),"A",IF(NOT(ISBLANK('A-RACHNATMAK'!K611)),"B",IF(NOT(ISBLANK('A-RACHNATMAK'!K610)),"C","")))</f>
        <v/>
      </c>
      <c r="K576" s="622" t="str">
        <f>IF(NOT(ISBLANK('A-RACHNATMAK'!L612)),"A",IF(NOT(ISBLANK('A-RACHNATMAK'!L611)),"B",IF(NOT(ISBLANK('A-RACHNATMAK'!L610)),"C","")))</f>
        <v/>
      </c>
      <c r="L576" s="622" t="str">
        <f>IF(NOT(ISBLANK('A-RACHNATMAK'!M612)),"A",IF(NOT(ISBLANK('A-RACHNATMAK'!M611)),"B",IF(NOT(ISBLANK('A-RACHNATMAK'!M610)),"C","")))</f>
        <v/>
      </c>
      <c r="M576" s="622" t="str">
        <f>IF(NOT(ISBLANK('A-RACHNATMAK'!N612)),"A",IF(NOT(ISBLANK('A-RACHNATMAK'!N611)),"B",IF(NOT(ISBLANK('A-RACHNATMAK'!N610)),"C","")))</f>
        <v/>
      </c>
      <c r="N576" s="622" t="str">
        <f>IF(NOT(ISBLANK('A-RACHNATMAK'!O612)),"A",IF(NOT(ISBLANK('A-RACHNATMAK'!O611)),"B",IF(NOT(ISBLANK('A-RACHNATMAK'!O610)),"C","")))</f>
        <v/>
      </c>
      <c r="O576" s="622" t="str">
        <f>IF(NOT(ISBLANK('A-RACHNATMAK'!P612)),"A",IF(NOT(ISBLANK('A-RACHNATMAK'!P611)),"B",IF(NOT(ISBLANK('A-RACHNATMAK'!P610)),"C","")))</f>
        <v/>
      </c>
      <c r="P576" s="622" t="str">
        <f>IF(NOT(ISBLANK('A-RACHNATMAK'!Q612)),"A",IF(NOT(ISBLANK('A-RACHNATMAK'!Q611)),"B",IF(NOT(ISBLANK('A-RACHNATMAK'!Q610)),"C","")))</f>
        <v/>
      </c>
      <c r="Q576" s="622" t="str">
        <f>IF(NOT(ISBLANK('A-RACHNATMAK'!R612)),"A",IF(NOT(ISBLANK('A-RACHNATMAK'!R611)),"B",IF(NOT(ISBLANK('A-RACHNATMAK'!R610)),"C","")))</f>
        <v/>
      </c>
      <c r="R576" s="622" t="str">
        <f>IF(NOT(ISBLANK('A-RACHNATMAK'!S612)),"A",IF(NOT(ISBLANK('A-RACHNATMAK'!S611)),"B",IF(NOT(ISBLANK('A-RACHNATMAK'!S610)),"C","")))</f>
        <v/>
      </c>
      <c r="S576" s="622" t="str">
        <f>IF(NOT(ISBLANK('A-RACHNATMAK'!T612)),"A",IF(NOT(ISBLANK('A-RACHNATMAK'!T611)),"B",IF(NOT(ISBLANK('A-RACHNATMAK'!T610)),"C","")))</f>
        <v/>
      </c>
      <c r="T576" s="622" t="str">
        <f>IF(NOT(ISBLANK('A-RACHNATMAK'!U612)),"A",IF(NOT(ISBLANK('A-RACHNATMAK'!U611)),"B",IF(NOT(ISBLANK('A-RACHNATMAK'!U610)),"C","")))</f>
        <v/>
      </c>
      <c r="U576" s="622" t="str">
        <f>IF(NOT(ISBLANK('A-RACHNATMAK'!V612)),"A",IF(NOT(ISBLANK('A-RACHNATMAK'!V611)),"B",IF(NOT(ISBLANK('A-RACHNATMAK'!V610)),"C","")))</f>
        <v/>
      </c>
      <c r="V576" s="622">
        <f t="shared" ref="V576" si="1092">COUNTIF(B576:U576,"A")</f>
        <v>0</v>
      </c>
      <c r="W576" s="622">
        <f t="shared" ref="W576" si="1093">COUNTIF(B576:U576,"B")</f>
        <v>0</v>
      </c>
      <c r="X576" s="622">
        <f t="shared" ref="X576" si="1094">COUNTIF(B576:U576,"C")</f>
        <v>0</v>
      </c>
      <c r="Y576" s="330"/>
      <c r="Z576" s="623">
        <v>14</v>
      </c>
      <c r="AA576" s="622" t="str">
        <f>IF(NOT(ISBLANK('A-RACHNATMAK'!AD612)),"A",IF(NOT(ISBLANK('A-RACHNATMAK'!AD611)),"B",IF(NOT(ISBLANK('A-RACHNATMAK'!AD610)),"C","")))</f>
        <v/>
      </c>
      <c r="AB576" s="622" t="str">
        <f>IF(NOT(ISBLANK('A-RACHNATMAK'!AE612)),"A",IF(NOT(ISBLANK('A-RACHNATMAK'!AE611)),"B",IF(NOT(ISBLANK('A-RACHNATMAK'!AE610)),"C","")))</f>
        <v/>
      </c>
      <c r="AC576" s="622" t="str">
        <f>IF(NOT(ISBLANK('A-RACHNATMAK'!AF612)),"A",IF(NOT(ISBLANK('A-RACHNATMAK'!AF611)),"B",IF(NOT(ISBLANK('A-RACHNATMAK'!AF610)),"C","")))</f>
        <v/>
      </c>
      <c r="AD576" s="622" t="str">
        <f>IF(NOT(ISBLANK('A-RACHNATMAK'!AG612)),"A",IF(NOT(ISBLANK('A-RACHNATMAK'!AG611)),"B",IF(NOT(ISBLANK('A-RACHNATMAK'!AG610)),"C","")))</f>
        <v/>
      </c>
      <c r="AE576" s="622" t="str">
        <f>IF(NOT(ISBLANK('A-RACHNATMAK'!AH612)),"A",IF(NOT(ISBLANK('A-RACHNATMAK'!AH611)),"B",IF(NOT(ISBLANK('A-RACHNATMAK'!AH610)),"C","")))</f>
        <v/>
      </c>
      <c r="AF576" s="622" t="str">
        <f>IF(NOT(ISBLANK('A-RACHNATMAK'!AI612)),"A",IF(NOT(ISBLANK('A-RACHNATMAK'!AI611)),"B",IF(NOT(ISBLANK('A-RACHNATMAK'!AI610)),"C","")))</f>
        <v/>
      </c>
      <c r="AG576" s="622" t="str">
        <f>IF(NOT(ISBLANK('A-RACHNATMAK'!AJ612)),"A",IF(NOT(ISBLANK('A-RACHNATMAK'!AJ611)),"B",IF(NOT(ISBLANK('A-RACHNATMAK'!AJ610)),"C","")))</f>
        <v/>
      </c>
      <c r="AH576" s="622" t="str">
        <f>IF(NOT(ISBLANK('A-RACHNATMAK'!AK612)),"A",IF(NOT(ISBLANK('A-RACHNATMAK'!AK611)),"B",IF(NOT(ISBLANK('A-RACHNATMAK'!AK610)),"C","")))</f>
        <v/>
      </c>
      <c r="AI576" s="622" t="str">
        <f>IF(NOT(ISBLANK('A-RACHNATMAK'!AL612)),"A",IF(NOT(ISBLANK('A-RACHNATMAK'!AL611)),"B",IF(NOT(ISBLANK('A-RACHNATMAK'!AL610)),"C","")))</f>
        <v/>
      </c>
      <c r="AJ576" s="622" t="str">
        <f>IF(NOT(ISBLANK('A-RACHNATMAK'!AM612)),"A",IF(NOT(ISBLANK('A-RACHNATMAK'!AM611)),"B",IF(NOT(ISBLANK('A-RACHNATMAK'!AM610)),"C","")))</f>
        <v/>
      </c>
      <c r="AK576" s="622" t="str">
        <f>IF(NOT(ISBLANK('A-RACHNATMAK'!AN612)),"A",IF(NOT(ISBLANK('A-RACHNATMAK'!AN611)),"B",IF(NOT(ISBLANK('A-RACHNATMAK'!AN610)),"C","")))</f>
        <v/>
      </c>
      <c r="AL576" s="622" t="str">
        <f>IF(NOT(ISBLANK('A-RACHNATMAK'!AO612)),"A",IF(NOT(ISBLANK('A-RACHNATMAK'!AO611)),"B",IF(NOT(ISBLANK('A-RACHNATMAK'!AO610)),"C","")))</f>
        <v/>
      </c>
      <c r="AM576" s="622" t="str">
        <f>IF(NOT(ISBLANK('A-RACHNATMAK'!AP612)),"A",IF(NOT(ISBLANK('A-RACHNATMAK'!AP611)),"B",IF(NOT(ISBLANK('A-RACHNATMAK'!AP610)),"C","")))</f>
        <v/>
      </c>
      <c r="AN576" s="622" t="str">
        <f>IF(NOT(ISBLANK('A-RACHNATMAK'!AQ612)),"A",IF(NOT(ISBLANK('A-RACHNATMAK'!AQ611)),"B",IF(NOT(ISBLANK('A-RACHNATMAK'!AQ610)),"C","")))</f>
        <v/>
      </c>
      <c r="AO576" s="622" t="str">
        <f>IF(NOT(ISBLANK('A-RACHNATMAK'!AR612)),"A",IF(NOT(ISBLANK('A-RACHNATMAK'!AR611)),"B",IF(NOT(ISBLANK('A-RACHNATMAK'!AR610)),"C","")))</f>
        <v/>
      </c>
      <c r="AP576" s="622" t="str">
        <f>IF(NOT(ISBLANK('A-RACHNATMAK'!AS612)),"A",IF(NOT(ISBLANK('A-RACHNATMAK'!AS611)),"B",IF(NOT(ISBLANK('A-RACHNATMAK'!AS610)),"C","")))</f>
        <v/>
      </c>
      <c r="AQ576" s="622" t="str">
        <f>IF(NOT(ISBLANK('A-RACHNATMAK'!AT612)),"A",IF(NOT(ISBLANK('A-RACHNATMAK'!AT611)),"B",IF(NOT(ISBLANK('A-RACHNATMAK'!AT610)),"C","")))</f>
        <v/>
      </c>
      <c r="AR576" s="622" t="str">
        <f>IF(NOT(ISBLANK('A-RACHNATMAK'!AU612)),"A",IF(NOT(ISBLANK('A-RACHNATMAK'!AU611)),"B",IF(NOT(ISBLANK('A-RACHNATMAK'!AU610)),"C","")))</f>
        <v/>
      </c>
      <c r="AS576" s="622" t="str">
        <f>IF(NOT(ISBLANK('A-RACHNATMAK'!AV612)),"A",IF(NOT(ISBLANK('A-RACHNATMAK'!AV611)),"B",IF(NOT(ISBLANK('A-RACHNATMAK'!AV610)),"C","")))</f>
        <v/>
      </c>
      <c r="AT576" s="622" t="str">
        <f>IF(NOT(ISBLANK('A-RACHNATMAK'!AW612)),"A",IF(NOT(ISBLANK('A-RACHNATMAK'!AW611)),"B",IF(NOT(ISBLANK('A-RACHNATMAK'!AW610)),"C","")))</f>
        <v/>
      </c>
      <c r="AU576" s="622">
        <f t="shared" ref="AU576" si="1095">COUNTIF(AA576:AT576,"A")</f>
        <v>0</v>
      </c>
      <c r="AV576" s="622">
        <f t="shared" ref="AV576" si="1096">COUNTIF(AA576:AT576,"B")</f>
        <v>0</v>
      </c>
      <c r="AW576" s="622">
        <f t="shared" ref="AW576" si="1097">COUNTIF(AA576:AT576,"C")</f>
        <v>0</v>
      </c>
    </row>
    <row r="577" spans="1:49" ht="7.5" customHeight="1">
      <c r="A577" s="623"/>
      <c r="B577" s="622"/>
      <c r="C577" s="622"/>
      <c r="D577" s="622"/>
      <c r="E577" s="622"/>
      <c r="F577" s="622"/>
      <c r="G577" s="622"/>
      <c r="H577" s="622"/>
      <c r="I577" s="622"/>
      <c r="J577" s="622"/>
      <c r="K577" s="622"/>
      <c r="L577" s="622"/>
      <c r="M577" s="622"/>
      <c r="N577" s="622"/>
      <c r="O577" s="622"/>
      <c r="P577" s="622"/>
      <c r="Q577" s="622"/>
      <c r="R577" s="622"/>
      <c r="S577" s="622"/>
      <c r="T577" s="622"/>
      <c r="U577" s="622"/>
      <c r="V577" s="622"/>
      <c r="W577" s="622"/>
      <c r="X577" s="622"/>
      <c r="Y577" s="330"/>
      <c r="Z577" s="623"/>
      <c r="AA577" s="622"/>
      <c r="AB577" s="622"/>
      <c r="AC577" s="622"/>
      <c r="AD577" s="622"/>
      <c r="AE577" s="622"/>
      <c r="AF577" s="622"/>
      <c r="AG577" s="622"/>
      <c r="AH577" s="622"/>
      <c r="AI577" s="622"/>
      <c r="AJ577" s="622"/>
      <c r="AK577" s="622"/>
      <c r="AL577" s="622"/>
      <c r="AM577" s="622"/>
      <c r="AN577" s="622"/>
      <c r="AO577" s="622"/>
      <c r="AP577" s="622"/>
      <c r="AQ577" s="622"/>
      <c r="AR577" s="622"/>
      <c r="AS577" s="622"/>
      <c r="AT577" s="622"/>
      <c r="AU577" s="622"/>
      <c r="AV577" s="622"/>
      <c r="AW577" s="622"/>
    </row>
    <row r="578" spans="1:49" ht="7.5" customHeight="1">
      <c r="A578" s="623"/>
      <c r="B578" s="622"/>
      <c r="C578" s="622"/>
      <c r="D578" s="622"/>
      <c r="E578" s="622"/>
      <c r="F578" s="622"/>
      <c r="G578" s="622"/>
      <c r="H578" s="622"/>
      <c r="I578" s="622"/>
      <c r="J578" s="622"/>
      <c r="K578" s="622"/>
      <c r="L578" s="622"/>
      <c r="M578" s="622"/>
      <c r="N578" s="622"/>
      <c r="O578" s="622"/>
      <c r="P578" s="622"/>
      <c r="Q578" s="622"/>
      <c r="R578" s="622"/>
      <c r="S578" s="622"/>
      <c r="T578" s="622"/>
      <c r="U578" s="622"/>
      <c r="V578" s="622"/>
      <c r="W578" s="622"/>
      <c r="X578" s="622"/>
      <c r="Y578" s="330"/>
      <c r="Z578" s="623"/>
      <c r="AA578" s="622"/>
      <c r="AB578" s="622"/>
      <c r="AC578" s="622"/>
      <c r="AD578" s="622"/>
      <c r="AE578" s="622"/>
      <c r="AF578" s="622"/>
      <c r="AG578" s="622"/>
      <c r="AH578" s="622"/>
      <c r="AI578" s="622"/>
      <c r="AJ578" s="622"/>
      <c r="AK578" s="622"/>
      <c r="AL578" s="622"/>
      <c r="AM578" s="622"/>
      <c r="AN578" s="622"/>
      <c r="AO578" s="622"/>
      <c r="AP578" s="622"/>
      <c r="AQ578" s="622"/>
      <c r="AR578" s="622"/>
      <c r="AS578" s="622"/>
      <c r="AT578" s="622"/>
      <c r="AU578" s="622"/>
      <c r="AV578" s="622"/>
      <c r="AW578" s="622"/>
    </row>
    <row r="579" spans="1:49" ht="7.5" customHeight="1">
      <c r="A579" s="623">
        <v>15</v>
      </c>
      <c r="B579" s="622" t="str">
        <f>IF(NOT(ISBLANK('A-RACHNATMAK'!C615)),"A",IF(NOT(ISBLANK('A-RACHNATMAK'!C614)),"B",IF(NOT(ISBLANK('A-RACHNATMAK'!C613)),"C","")))</f>
        <v/>
      </c>
      <c r="C579" s="622" t="str">
        <f>IF(NOT(ISBLANK('A-RACHNATMAK'!D615)),"A",IF(NOT(ISBLANK('A-RACHNATMAK'!D614)),"B",IF(NOT(ISBLANK('A-RACHNATMAK'!D613)),"C","")))</f>
        <v/>
      </c>
      <c r="D579" s="622" t="str">
        <f>IF(NOT(ISBLANK('A-RACHNATMAK'!E615)),"A",IF(NOT(ISBLANK('A-RACHNATMAK'!E614)),"B",IF(NOT(ISBLANK('A-RACHNATMAK'!E613)),"C","")))</f>
        <v/>
      </c>
      <c r="E579" s="622" t="str">
        <f>IF(NOT(ISBLANK('A-RACHNATMAK'!F615)),"A",IF(NOT(ISBLANK('A-RACHNATMAK'!F614)),"B",IF(NOT(ISBLANK('A-RACHNATMAK'!F613)),"C","")))</f>
        <v/>
      </c>
      <c r="F579" s="622" t="str">
        <f>IF(NOT(ISBLANK('A-RACHNATMAK'!G615)),"A",IF(NOT(ISBLANK('A-RACHNATMAK'!G614)),"B",IF(NOT(ISBLANK('A-RACHNATMAK'!G613)),"C","")))</f>
        <v/>
      </c>
      <c r="G579" s="622" t="str">
        <f>IF(NOT(ISBLANK('A-RACHNATMAK'!H615)),"A",IF(NOT(ISBLANK('A-RACHNATMAK'!H614)),"B",IF(NOT(ISBLANK('A-RACHNATMAK'!H613)),"C","")))</f>
        <v/>
      </c>
      <c r="H579" s="622" t="str">
        <f>IF(NOT(ISBLANK('A-RACHNATMAK'!I615)),"A",IF(NOT(ISBLANK('A-RACHNATMAK'!I614)),"B",IF(NOT(ISBLANK('A-RACHNATMAK'!I613)),"C","")))</f>
        <v/>
      </c>
      <c r="I579" s="622" t="str">
        <f>IF(NOT(ISBLANK('A-RACHNATMAK'!J615)),"A",IF(NOT(ISBLANK('A-RACHNATMAK'!J614)),"B",IF(NOT(ISBLANK('A-RACHNATMAK'!J613)),"C","")))</f>
        <v/>
      </c>
      <c r="J579" s="622" t="str">
        <f>IF(NOT(ISBLANK('A-RACHNATMAK'!K615)),"A",IF(NOT(ISBLANK('A-RACHNATMAK'!K614)),"B",IF(NOT(ISBLANK('A-RACHNATMAK'!K613)),"C","")))</f>
        <v/>
      </c>
      <c r="K579" s="622" t="str">
        <f>IF(NOT(ISBLANK('A-RACHNATMAK'!L615)),"A",IF(NOT(ISBLANK('A-RACHNATMAK'!L614)),"B",IF(NOT(ISBLANK('A-RACHNATMAK'!L613)),"C","")))</f>
        <v/>
      </c>
      <c r="L579" s="622" t="str">
        <f>IF(NOT(ISBLANK('A-RACHNATMAK'!M615)),"A",IF(NOT(ISBLANK('A-RACHNATMAK'!M614)),"B",IF(NOT(ISBLANK('A-RACHNATMAK'!M613)),"C","")))</f>
        <v/>
      </c>
      <c r="M579" s="622" t="str">
        <f>IF(NOT(ISBLANK('A-RACHNATMAK'!N615)),"A",IF(NOT(ISBLANK('A-RACHNATMAK'!N614)),"B",IF(NOT(ISBLANK('A-RACHNATMAK'!N613)),"C","")))</f>
        <v/>
      </c>
      <c r="N579" s="622" t="str">
        <f>IF(NOT(ISBLANK('A-RACHNATMAK'!O615)),"A",IF(NOT(ISBLANK('A-RACHNATMAK'!O614)),"B",IF(NOT(ISBLANK('A-RACHNATMAK'!O613)),"C","")))</f>
        <v/>
      </c>
      <c r="O579" s="622" t="str">
        <f>IF(NOT(ISBLANK('A-RACHNATMAK'!P615)),"A",IF(NOT(ISBLANK('A-RACHNATMAK'!P614)),"B",IF(NOT(ISBLANK('A-RACHNATMAK'!P613)),"C","")))</f>
        <v>A</v>
      </c>
      <c r="P579" s="622" t="str">
        <f>IF(NOT(ISBLANK('A-RACHNATMAK'!Q615)),"A",IF(NOT(ISBLANK('A-RACHNATMAK'!Q614)),"B",IF(NOT(ISBLANK('A-RACHNATMAK'!Q613)),"C","")))</f>
        <v>A</v>
      </c>
      <c r="Q579" s="622" t="str">
        <f>IF(NOT(ISBLANK('A-RACHNATMAK'!R615)),"A",IF(NOT(ISBLANK('A-RACHNATMAK'!R614)),"B",IF(NOT(ISBLANK('A-RACHNATMAK'!R613)),"C","")))</f>
        <v/>
      </c>
      <c r="R579" s="622" t="str">
        <f>IF(NOT(ISBLANK('A-RACHNATMAK'!S615)),"A",IF(NOT(ISBLANK('A-RACHNATMAK'!S614)),"B",IF(NOT(ISBLANK('A-RACHNATMAK'!S613)),"C","")))</f>
        <v>B</v>
      </c>
      <c r="S579" s="622" t="str">
        <f>IF(NOT(ISBLANK('A-RACHNATMAK'!T615)),"A",IF(NOT(ISBLANK('A-RACHNATMAK'!T614)),"B",IF(NOT(ISBLANK('A-RACHNATMAK'!T613)),"C","")))</f>
        <v/>
      </c>
      <c r="T579" s="622" t="str">
        <f>IF(NOT(ISBLANK('A-RACHNATMAK'!U615)),"A",IF(NOT(ISBLANK('A-RACHNATMAK'!U614)),"B",IF(NOT(ISBLANK('A-RACHNATMAK'!U613)),"C","")))</f>
        <v>C</v>
      </c>
      <c r="U579" s="622" t="str">
        <f>IF(NOT(ISBLANK('A-RACHNATMAK'!V615)),"A",IF(NOT(ISBLANK('A-RACHNATMAK'!V614)),"B",IF(NOT(ISBLANK('A-RACHNATMAK'!V613)),"C","")))</f>
        <v/>
      </c>
      <c r="V579" s="622">
        <f t="shared" ref="V579" si="1098">COUNTIF(B579:U579,"A")</f>
        <v>2</v>
      </c>
      <c r="W579" s="622">
        <f t="shared" ref="W579" si="1099">COUNTIF(B579:U579,"B")</f>
        <v>1</v>
      </c>
      <c r="X579" s="622">
        <f t="shared" ref="X579" si="1100">COUNTIF(B579:U579,"C")</f>
        <v>1</v>
      </c>
      <c r="Y579" s="330"/>
      <c r="Z579" s="623">
        <v>15</v>
      </c>
      <c r="AA579" s="622" t="str">
        <f>IF(NOT(ISBLANK('A-RACHNATMAK'!AD615)),"A",IF(NOT(ISBLANK('A-RACHNATMAK'!AD614)),"B",IF(NOT(ISBLANK('A-RACHNATMAK'!AD613)),"C","")))</f>
        <v/>
      </c>
      <c r="AB579" s="622" t="str">
        <f>IF(NOT(ISBLANK('A-RACHNATMAK'!AE615)),"A",IF(NOT(ISBLANK('A-RACHNATMAK'!AE614)),"B",IF(NOT(ISBLANK('A-RACHNATMAK'!AE613)),"C","")))</f>
        <v/>
      </c>
      <c r="AC579" s="622" t="str">
        <f>IF(NOT(ISBLANK('A-RACHNATMAK'!AF615)),"A",IF(NOT(ISBLANK('A-RACHNATMAK'!AF614)),"B",IF(NOT(ISBLANK('A-RACHNATMAK'!AF613)),"C","")))</f>
        <v/>
      </c>
      <c r="AD579" s="622" t="str">
        <f>IF(NOT(ISBLANK('A-RACHNATMAK'!AG615)),"A",IF(NOT(ISBLANK('A-RACHNATMAK'!AG614)),"B",IF(NOT(ISBLANK('A-RACHNATMAK'!AG613)),"C","")))</f>
        <v/>
      </c>
      <c r="AE579" s="622" t="str">
        <f>IF(NOT(ISBLANK('A-RACHNATMAK'!AH615)),"A",IF(NOT(ISBLANK('A-RACHNATMAK'!AH614)),"B",IF(NOT(ISBLANK('A-RACHNATMAK'!AH613)),"C","")))</f>
        <v/>
      </c>
      <c r="AF579" s="622" t="str">
        <f>IF(NOT(ISBLANK('A-RACHNATMAK'!AI615)),"A",IF(NOT(ISBLANK('A-RACHNATMAK'!AI614)),"B",IF(NOT(ISBLANK('A-RACHNATMAK'!AI613)),"C","")))</f>
        <v/>
      </c>
      <c r="AG579" s="622" t="str">
        <f>IF(NOT(ISBLANK('A-RACHNATMAK'!AJ615)),"A",IF(NOT(ISBLANK('A-RACHNATMAK'!AJ614)),"B",IF(NOT(ISBLANK('A-RACHNATMAK'!AJ613)),"C","")))</f>
        <v/>
      </c>
      <c r="AH579" s="622" t="str">
        <f>IF(NOT(ISBLANK('A-RACHNATMAK'!AK615)),"A",IF(NOT(ISBLANK('A-RACHNATMAK'!AK614)),"B",IF(NOT(ISBLANK('A-RACHNATMAK'!AK613)),"C","")))</f>
        <v/>
      </c>
      <c r="AI579" s="622" t="str">
        <f>IF(NOT(ISBLANK('A-RACHNATMAK'!AL615)),"A",IF(NOT(ISBLANK('A-RACHNATMAK'!AL614)),"B",IF(NOT(ISBLANK('A-RACHNATMAK'!AL613)),"C","")))</f>
        <v/>
      </c>
      <c r="AJ579" s="622" t="str">
        <f>IF(NOT(ISBLANK('A-RACHNATMAK'!AM615)),"A",IF(NOT(ISBLANK('A-RACHNATMAK'!AM614)),"B",IF(NOT(ISBLANK('A-RACHNATMAK'!AM613)),"C","")))</f>
        <v/>
      </c>
      <c r="AK579" s="622" t="str">
        <f>IF(NOT(ISBLANK('A-RACHNATMAK'!AN615)),"A",IF(NOT(ISBLANK('A-RACHNATMAK'!AN614)),"B",IF(NOT(ISBLANK('A-RACHNATMAK'!AN613)),"C","")))</f>
        <v/>
      </c>
      <c r="AL579" s="622" t="str">
        <f>IF(NOT(ISBLANK('A-RACHNATMAK'!AO615)),"A",IF(NOT(ISBLANK('A-RACHNATMAK'!AO614)),"B",IF(NOT(ISBLANK('A-RACHNATMAK'!AO613)),"C","")))</f>
        <v/>
      </c>
      <c r="AM579" s="622" t="str">
        <f>IF(NOT(ISBLANK('A-RACHNATMAK'!AP615)),"A",IF(NOT(ISBLANK('A-RACHNATMAK'!AP614)),"B",IF(NOT(ISBLANK('A-RACHNATMAK'!AP613)),"C","")))</f>
        <v/>
      </c>
      <c r="AN579" s="622" t="str">
        <f>IF(NOT(ISBLANK('A-RACHNATMAK'!AQ615)),"A",IF(NOT(ISBLANK('A-RACHNATMAK'!AQ614)),"B",IF(NOT(ISBLANK('A-RACHNATMAK'!AQ613)),"C","")))</f>
        <v/>
      </c>
      <c r="AO579" s="622" t="str">
        <f>IF(NOT(ISBLANK('A-RACHNATMAK'!AR615)),"A",IF(NOT(ISBLANK('A-RACHNATMAK'!AR614)),"B",IF(NOT(ISBLANK('A-RACHNATMAK'!AR613)),"C","")))</f>
        <v/>
      </c>
      <c r="AP579" s="622" t="str">
        <f>IF(NOT(ISBLANK('A-RACHNATMAK'!AS615)),"A",IF(NOT(ISBLANK('A-RACHNATMAK'!AS614)),"B",IF(NOT(ISBLANK('A-RACHNATMAK'!AS613)),"C","")))</f>
        <v/>
      </c>
      <c r="AQ579" s="622" t="str">
        <f>IF(NOT(ISBLANK('A-RACHNATMAK'!AT615)),"A",IF(NOT(ISBLANK('A-RACHNATMAK'!AT614)),"B",IF(NOT(ISBLANK('A-RACHNATMAK'!AT613)),"C","")))</f>
        <v/>
      </c>
      <c r="AR579" s="622" t="str">
        <f>IF(NOT(ISBLANK('A-RACHNATMAK'!AU615)),"A",IF(NOT(ISBLANK('A-RACHNATMAK'!AU614)),"B",IF(NOT(ISBLANK('A-RACHNATMAK'!AU613)),"C","")))</f>
        <v/>
      </c>
      <c r="AS579" s="622" t="str">
        <f>IF(NOT(ISBLANK('A-RACHNATMAK'!AV615)),"A",IF(NOT(ISBLANK('A-RACHNATMAK'!AV614)),"B",IF(NOT(ISBLANK('A-RACHNATMAK'!AV613)),"C","")))</f>
        <v/>
      </c>
      <c r="AT579" s="622" t="str">
        <f>IF(NOT(ISBLANK('A-RACHNATMAK'!AW615)),"A",IF(NOT(ISBLANK('A-RACHNATMAK'!AW614)),"B",IF(NOT(ISBLANK('A-RACHNATMAK'!AW613)),"C","")))</f>
        <v/>
      </c>
      <c r="AU579" s="622">
        <f t="shared" ref="AU579" si="1101">COUNTIF(AA579:AT579,"A")</f>
        <v>0</v>
      </c>
      <c r="AV579" s="622">
        <f t="shared" ref="AV579" si="1102">COUNTIF(AA579:AT579,"B")</f>
        <v>0</v>
      </c>
      <c r="AW579" s="622">
        <f t="shared" ref="AW579" si="1103">COUNTIF(AA579:AT579,"C")</f>
        <v>0</v>
      </c>
    </row>
    <row r="580" spans="1:49" ht="7.5" customHeight="1">
      <c r="A580" s="623"/>
      <c r="B580" s="622"/>
      <c r="C580" s="622"/>
      <c r="D580" s="622"/>
      <c r="E580" s="622"/>
      <c r="F580" s="622"/>
      <c r="G580" s="622"/>
      <c r="H580" s="622"/>
      <c r="I580" s="622"/>
      <c r="J580" s="622"/>
      <c r="K580" s="622"/>
      <c r="L580" s="622"/>
      <c r="M580" s="622"/>
      <c r="N580" s="622"/>
      <c r="O580" s="622"/>
      <c r="P580" s="622"/>
      <c r="Q580" s="622"/>
      <c r="R580" s="622"/>
      <c r="S580" s="622"/>
      <c r="T580" s="622"/>
      <c r="U580" s="622"/>
      <c r="V580" s="622"/>
      <c r="W580" s="622"/>
      <c r="X580" s="622"/>
      <c r="Y580" s="330"/>
      <c r="Z580" s="623"/>
      <c r="AA580" s="622"/>
      <c r="AB580" s="622"/>
      <c r="AC580" s="622"/>
      <c r="AD580" s="622"/>
      <c r="AE580" s="622"/>
      <c r="AF580" s="622"/>
      <c r="AG580" s="622"/>
      <c r="AH580" s="622"/>
      <c r="AI580" s="622"/>
      <c r="AJ580" s="622"/>
      <c r="AK580" s="622"/>
      <c r="AL580" s="622"/>
      <c r="AM580" s="622"/>
      <c r="AN580" s="622"/>
      <c r="AO580" s="622"/>
      <c r="AP580" s="622"/>
      <c r="AQ580" s="622"/>
      <c r="AR580" s="622"/>
      <c r="AS580" s="622"/>
      <c r="AT580" s="622"/>
      <c r="AU580" s="622"/>
      <c r="AV580" s="622"/>
      <c r="AW580" s="622"/>
    </row>
    <row r="581" spans="1:49" ht="7.5" customHeight="1">
      <c r="A581" s="623"/>
      <c r="B581" s="622"/>
      <c r="C581" s="622"/>
      <c r="D581" s="622"/>
      <c r="E581" s="622"/>
      <c r="F581" s="622"/>
      <c r="G581" s="622"/>
      <c r="H581" s="622"/>
      <c r="I581" s="622"/>
      <c r="J581" s="622"/>
      <c r="K581" s="622"/>
      <c r="L581" s="622"/>
      <c r="M581" s="622"/>
      <c r="N581" s="622"/>
      <c r="O581" s="622"/>
      <c r="P581" s="622"/>
      <c r="Q581" s="622"/>
      <c r="R581" s="622"/>
      <c r="S581" s="622"/>
      <c r="T581" s="622"/>
      <c r="U581" s="622"/>
      <c r="V581" s="622"/>
      <c r="W581" s="622"/>
      <c r="X581" s="622"/>
      <c r="Y581" s="330"/>
      <c r="Z581" s="623"/>
      <c r="AA581" s="622"/>
      <c r="AB581" s="622"/>
      <c r="AC581" s="622"/>
      <c r="AD581" s="622"/>
      <c r="AE581" s="622"/>
      <c r="AF581" s="622"/>
      <c r="AG581" s="622"/>
      <c r="AH581" s="622"/>
      <c r="AI581" s="622"/>
      <c r="AJ581" s="622"/>
      <c r="AK581" s="622"/>
      <c r="AL581" s="622"/>
      <c r="AM581" s="622"/>
      <c r="AN581" s="622"/>
      <c r="AO581" s="622"/>
      <c r="AP581" s="622"/>
      <c r="AQ581" s="622"/>
      <c r="AR581" s="622"/>
      <c r="AS581" s="622"/>
      <c r="AT581" s="622"/>
      <c r="AU581" s="622"/>
      <c r="AV581" s="622"/>
      <c r="AW581" s="622"/>
    </row>
    <row r="582" spans="1:49" ht="7.5" customHeight="1">
      <c r="A582" s="623">
        <v>16</v>
      </c>
      <c r="B582" s="622" t="str">
        <f>IF(NOT(ISBLANK('A-RACHNATMAK'!C618)),"A",IF(NOT(ISBLANK('A-RACHNATMAK'!C617)),"B",IF(NOT(ISBLANK('A-RACHNATMAK'!C616)),"C","")))</f>
        <v/>
      </c>
      <c r="C582" s="622" t="str">
        <f>IF(NOT(ISBLANK('A-RACHNATMAK'!D618)),"A",IF(NOT(ISBLANK('A-RACHNATMAK'!D617)),"B",IF(NOT(ISBLANK('A-RACHNATMAK'!D616)),"C","")))</f>
        <v/>
      </c>
      <c r="D582" s="622" t="str">
        <f>IF(NOT(ISBLANK('A-RACHNATMAK'!E618)),"A",IF(NOT(ISBLANK('A-RACHNATMAK'!E617)),"B",IF(NOT(ISBLANK('A-RACHNATMAK'!E616)),"C","")))</f>
        <v/>
      </c>
      <c r="E582" s="622" t="str">
        <f>IF(NOT(ISBLANK('A-RACHNATMAK'!F618)),"A",IF(NOT(ISBLANK('A-RACHNATMAK'!F617)),"B",IF(NOT(ISBLANK('A-RACHNATMAK'!F616)),"C","")))</f>
        <v/>
      </c>
      <c r="F582" s="622" t="str">
        <f>IF(NOT(ISBLANK('A-RACHNATMAK'!G618)),"A",IF(NOT(ISBLANK('A-RACHNATMAK'!G617)),"B",IF(NOT(ISBLANK('A-RACHNATMAK'!G616)),"C","")))</f>
        <v/>
      </c>
      <c r="G582" s="622" t="str">
        <f>IF(NOT(ISBLANK('A-RACHNATMAK'!H618)),"A",IF(NOT(ISBLANK('A-RACHNATMAK'!H617)),"B",IF(NOT(ISBLANK('A-RACHNATMAK'!H616)),"C","")))</f>
        <v/>
      </c>
      <c r="H582" s="622" t="str">
        <f>IF(NOT(ISBLANK('A-RACHNATMAK'!I618)),"A",IF(NOT(ISBLANK('A-RACHNATMAK'!I617)),"B",IF(NOT(ISBLANK('A-RACHNATMAK'!I616)),"C","")))</f>
        <v/>
      </c>
      <c r="I582" s="622" t="str">
        <f>IF(NOT(ISBLANK('A-RACHNATMAK'!J618)),"A",IF(NOT(ISBLANK('A-RACHNATMAK'!J617)),"B",IF(NOT(ISBLANK('A-RACHNATMAK'!J616)),"C","")))</f>
        <v/>
      </c>
      <c r="J582" s="622" t="str">
        <f>IF(NOT(ISBLANK('A-RACHNATMAK'!K618)),"A",IF(NOT(ISBLANK('A-RACHNATMAK'!K617)),"B",IF(NOT(ISBLANK('A-RACHNATMAK'!K616)),"C","")))</f>
        <v/>
      </c>
      <c r="K582" s="622" t="str">
        <f>IF(NOT(ISBLANK('A-RACHNATMAK'!L618)),"A",IF(NOT(ISBLANK('A-RACHNATMAK'!L617)),"B",IF(NOT(ISBLANK('A-RACHNATMAK'!L616)),"C","")))</f>
        <v/>
      </c>
      <c r="L582" s="622" t="str">
        <f>IF(NOT(ISBLANK('A-RACHNATMAK'!M618)),"A",IF(NOT(ISBLANK('A-RACHNATMAK'!M617)),"B",IF(NOT(ISBLANK('A-RACHNATMAK'!M616)),"C","")))</f>
        <v/>
      </c>
      <c r="M582" s="622" t="str">
        <f>IF(NOT(ISBLANK('A-RACHNATMAK'!N618)),"A",IF(NOT(ISBLANK('A-RACHNATMAK'!N617)),"B",IF(NOT(ISBLANK('A-RACHNATMAK'!N616)),"C","")))</f>
        <v/>
      </c>
      <c r="N582" s="622" t="str">
        <f>IF(NOT(ISBLANK('A-RACHNATMAK'!O618)),"A",IF(NOT(ISBLANK('A-RACHNATMAK'!O617)),"B",IF(NOT(ISBLANK('A-RACHNATMAK'!O616)),"C","")))</f>
        <v/>
      </c>
      <c r="O582" s="622" t="str">
        <f>IF(NOT(ISBLANK('A-RACHNATMAK'!P618)),"A",IF(NOT(ISBLANK('A-RACHNATMAK'!P617)),"B",IF(NOT(ISBLANK('A-RACHNATMAK'!P616)),"C","")))</f>
        <v/>
      </c>
      <c r="P582" s="622" t="str">
        <f>IF(NOT(ISBLANK('A-RACHNATMAK'!Q618)),"A",IF(NOT(ISBLANK('A-RACHNATMAK'!Q617)),"B",IF(NOT(ISBLANK('A-RACHNATMAK'!Q616)),"C","")))</f>
        <v/>
      </c>
      <c r="Q582" s="622" t="str">
        <f>IF(NOT(ISBLANK('A-RACHNATMAK'!R618)),"A",IF(NOT(ISBLANK('A-RACHNATMAK'!R617)),"B",IF(NOT(ISBLANK('A-RACHNATMAK'!R616)),"C","")))</f>
        <v/>
      </c>
      <c r="R582" s="622" t="str">
        <f>IF(NOT(ISBLANK('A-RACHNATMAK'!S618)),"A",IF(NOT(ISBLANK('A-RACHNATMAK'!S617)),"B",IF(NOT(ISBLANK('A-RACHNATMAK'!S616)),"C","")))</f>
        <v/>
      </c>
      <c r="S582" s="622" t="str">
        <f>IF(NOT(ISBLANK('A-RACHNATMAK'!T618)),"A",IF(NOT(ISBLANK('A-RACHNATMAK'!T617)),"B",IF(NOT(ISBLANK('A-RACHNATMAK'!T616)),"C","")))</f>
        <v/>
      </c>
      <c r="T582" s="622" t="str">
        <f>IF(NOT(ISBLANK('A-RACHNATMAK'!U618)),"A",IF(NOT(ISBLANK('A-RACHNATMAK'!U617)),"B",IF(NOT(ISBLANK('A-RACHNATMAK'!U616)),"C","")))</f>
        <v/>
      </c>
      <c r="U582" s="622" t="str">
        <f>IF(NOT(ISBLANK('A-RACHNATMAK'!V618)),"A",IF(NOT(ISBLANK('A-RACHNATMAK'!V617)),"B",IF(NOT(ISBLANK('A-RACHNATMAK'!V616)),"C","")))</f>
        <v/>
      </c>
      <c r="V582" s="622">
        <f t="shared" ref="V582" si="1104">COUNTIF(B582:U582,"A")</f>
        <v>0</v>
      </c>
      <c r="W582" s="622">
        <f t="shared" ref="W582" si="1105">COUNTIF(B582:U582,"B")</f>
        <v>0</v>
      </c>
      <c r="X582" s="622">
        <f t="shared" ref="X582" si="1106">COUNTIF(B582:U582,"C")</f>
        <v>0</v>
      </c>
      <c r="Y582" s="330"/>
      <c r="Z582" s="623">
        <v>16</v>
      </c>
      <c r="AA582" s="622" t="str">
        <f>IF(NOT(ISBLANK('A-RACHNATMAK'!AD618)),"A",IF(NOT(ISBLANK('A-RACHNATMAK'!AD617)),"B",IF(NOT(ISBLANK('A-RACHNATMAK'!AD616)),"C","")))</f>
        <v/>
      </c>
      <c r="AB582" s="622" t="str">
        <f>IF(NOT(ISBLANK('A-RACHNATMAK'!AE618)),"A",IF(NOT(ISBLANK('A-RACHNATMAK'!AE617)),"B",IF(NOT(ISBLANK('A-RACHNATMAK'!AE616)),"C","")))</f>
        <v/>
      </c>
      <c r="AC582" s="622" t="str">
        <f>IF(NOT(ISBLANK('A-RACHNATMAK'!AF618)),"A",IF(NOT(ISBLANK('A-RACHNATMAK'!AF617)),"B",IF(NOT(ISBLANK('A-RACHNATMAK'!AF616)),"C","")))</f>
        <v/>
      </c>
      <c r="AD582" s="622" t="str">
        <f>IF(NOT(ISBLANK('A-RACHNATMAK'!AG618)),"A",IF(NOT(ISBLANK('A-RACHNATMAK'!AG617)),"B",IF(NOT(ISBLANK('A-RACHNATMAK'!AG616)),"C","")))</f>
        <v/>
      </c>
      <c r="AE582" s="622" t="str">
        <f>IF(NOT(ISBLANK('A-RACHNATMAK'!AH618)),"A",IF(NOT(ISBLANK('A-RACHNATMAK'!AH617)),"B",IF(NOT(ISBLANK('A-RACHNATMAK'!AH616)),"C","")))</f>
        <v/>
      </c>
      <c r="AF582" s="622" t="str">
        <f>IF(NOT(ISBLANK('A-RACHNATMAK'!AI618)),"A",IF(NOT(ISBLANK('A-RACHNATMAK'!AI617)),"B",IF(NOT(ISBLANK('A-RACHNATMAK'!AI616)),"C","")))</f>
        <v/>
      </c>
      <c r="AG582" s="622" t="str">
        <f>IF(NOT(ISBLANK('A-RACHNATMAK'!AJ618)),"A",IF(NOT(ISBLANK('A-RACHNATMAK'!AJ617)),"B",IF(NOT(ISBLANK('A-RACHNATMAK'!AJ616)),"C","")))</f>
        <v/>
      </c>
      <c r="AH582" s="622" t="str">
        <f>IF(NOT(ISBLANK('A-RACHNATMAK'!AK618)),"A",IF(NOT(ISBLANK('A-RACHNATMAK'!AK617)),"B",IF(NOT(ISBLANK('A-RACHNATMAK'!AK616)),"C","")))</f>
        <v/>
      </c>
      <c r="AI582" s="622" t="str">
        <f>IF(NOT(ISBLANK('A-RACHNATMAK'!AL618)),"A",IF(NOT(ISBLANK('A-RACHNATMAK'!AL617)),"B",IF(NOT(ISBLANK('A-RACHNATMAK'!AL616)),"C","")))</f>
        <v/>
      </c>
      <c r="AJ582" s="622" t="str">
        <f>IF(NOT(ISBLANK('A-RACHNATMAK'!AM618)),"A",IF(NOT(ISBLANK('A-RACHNATMAK'!AM617)),"B",IF(NOT(ISBLANK('A-RACHNATMAK'!AM616)),"C","")))</f>
        <v/>
      </c>
      <c r="AK582" s="622" t="str">
        <f>IF(NOT(ISBLANK('A-RACHNATMAK'!AN618)),"A",IF(NOT(ISBLANK('A-RACHNATMAK'!AN617)),"B",IF(NOT(ISBLANK('A-RACHNATMAK'!AN616)),"C","")))</f>
        <v/>
      </c>
      <c r="AL582" s="622" t="str">
        <f>IF(NOT(ISBLANK('A-RACHNATMAK'!AO618)),"A",IF(NOT(ISBLANK('A-RACHNATMAK'!AO617)),"B",IF(NOT(ISBLANK('A-RACHNATMAK'!AO616)),"C","")))</f>
        <v/>
      </c>
      <c r="AM582" s="622" t="str">
        <f>IF(NOT(ISBLANK('A-RACHNATMAK'!AP618)),"A",IF(NOT(ISBLANK('A-RACHNATMAK'!AP617)),"B",IF(NOT(ISBLANK('A-RACHNATMAK'!AP616)),"C","")))</f>
        <v/>
      </c>
      <c r="AN582" s="622" t="str">
        <f>IF(NOT(ISBLANK('A-RACHNATMAK'!AQ618)),"A",IF(NOT(ISBLANK('A-RACHNATMAK'!AQ617)),"B",IF(NOT(ISBLANK('A-RACHNATMAK'!AQ616)),"C","")))</f>
        <v/>
      </c>
      <c r="AO582" s="622" t="str">
        <f>IF(NOT(ISBLANK('A-RACHNATMAK'!AR618)),"A",IF(NOT(ISBLANK('A-RACHNATMAK'!AR617)),"B",IF(NOT(ISBLANK('A-RACHNATMAK'!AR616)),"C","")))</f>
        <v/>
      </c>
      <c r="AP582" s="622" t="str">
        <f>IF(NOT(ISBLANK('A-RACHNATMAK'!AS618)),"A",IF(NOT(ISBLANK('A-RACHNATMAK'!AS617)),"B",IF(NOT(ISBLANK('A-RACHNATMAK'!AS616)),"C","")))</f>
        <v/>
      </c>
      <c r="AQ582" s="622" t="str">
        <f>IF(NOT(ISBLANK('A-RACHNATMAK'!AT618)),"A",IF(NOT(ISBLANK('A-RACHNATMAK'!AT617)),"B",IF(NOT(ISBLANK('A-RACHNATMAK'!AT616)),"C","")))</f>
        <v/>
      </c>
      <c r="AR582" s="622" t="str">
        <f>IF(NOT(ISBLANK('A-RACHNATMAK'!AU618)),"A",IF(NOT(ISBLANK('A-RACHNATMAK'!AU617)),"B",IF(NOT(ISBLANK('A-RACHNATMAK'!AU616)),"C","")))</f>
        <v/>
      </c>
      <c r="AS582" s="622" t="str">
        <f>IF(NOT(ISBLANK('A-RACHNATMAK'!AV618)),"A",IF(NOT(ISBLANK('A-RACHNATMAK'!AV617)),"B",IF(NOT(ISBLANK('A-RACHNATMAK'!AV616)),"C","")))</f>
        <v/>
      </c>
      <c r="AT582" s="622" t="str">
        <f>IF(NOT(ISBLANK('A-RACHNATMAK'!AW618)),"A",IF(NOT(ISBLANK('A-RACHNATMAK'!AW617)),"B",IF(NOT(ISBLANK('A-RACHNATMAK'!AW616)),"C","")))</f>
        <v/>
      </c>
      <c r="AU582" s="622">
        <f t="shared" ref="AU582" si="1107">COUNTIF(AA582:AT582,"A")</f>
        <v>0</v>
      </c>
      <c r="AV582" s="622">
        <f t="shared" ref="AV582" si="1108">COUNTIF(AA582:AT582,"B")</f>
        <v>0</v>
      </c>
      <c r="AW582" s="622">
        <f t="shared" ref="AW582" si="1109">COUNTIF(AA582:AT582,"C")</f>
        <v>0</v>
      </c>
    </row>
    <row r="583" spans="1:49" ht="7.5" customHeight="1">
      <c r="A583" s="623"/>
      <c r="B583" s="622"/>
      <c r="C583" s="622"/>
      <c r="D583" s="622"/>
      <c r="E583" s="622"/>
      <c r="F583" s="622"/>
      <c r="G583" s="622"/>
      <c r="H583" s="622"/>
      <c r="I583" s="622"/>
      <c r="J583" s="622"/>
      <c r="K583" s="622"/>
      <c r="L583" s="622"/>
      <c r="M583" s="622"/>
      <c r="N583" s="622"/>
      <c r="O583" s="622"/>
      <c r="P583" s="622"/>
      <c r="Q583" s="622"/>
      <c r="R583" s="622"/>
      <c r="S583" s="622"/>
      <c r="T583" s="622"/>
      <c r="U583" s="622"/>
      <c r="V583" s="622"/>
      <c r="W583" s="622"/>
      <c r="X583" s="622"/>
      <c r="Y583" s="330"/>
      <c r="Z583" s="623"/>
      <c r="AA583" s="622"/>
      <c r="AB583" s="622"/>
      <c r="AC583" s="622"/>
      <c r="AD583" s="622"/>
      <c r="AE583" s="622"/>
      <c r="AF583" s="622"/>
      <c r="AG583" s="622"/>
      <c r="AH583" s="622"/>
      <c r="AI583" s="622"/>
      <c r="AJ583" s="622"/>
      <c r="AK583" s="622"/>
      <c r="AL583" s="622"/>
      <c r="AM583" s="622"/>
      <c r="AN583" s="622"/>
      <c r="AO583" s="622"/>
      <c r="AP583" s="622"/>
      <c r="AQ583" s="622"/>
      <c r="AR583" s="622"/>
      <c r="AS583" s="622"/>
      <c r="AT583" s="622"/>
      <c r="AU583" s="622"/>
      <c r="AV583" s="622"/>
      <c r="AW583" s="622"/>
    </row>
    <row r="584" spans="1:49" ht="7.5" customHeight="1">
      <c r="A584" s="623"/>
      <c r="B584" s="622"/>
      <c r="C584" s="622"/>
      <c r="D584" s="622"/>
      <c r="E584" s="622"/>
      <c r="F584" s="622"/>
      <c r="G584" s="622"/>
      <c r="H584" s="622"/>
      <c r="I584" s="622"/>
      <c r="J584" s="622"/>
      <c r="K584" s="622"/>
      <c r="L584" s="622"/>
      <c r="M584" s="622"/>
      <c r="N584" s="622"/>
      <c r="O584" s="622"/>
      <c r="P584" s="622"/>
      <c r="Q584" s="622"/>
      <c r="R584" s="622"/>
      <c r="S584" s="622"/>
      <c r="T584" s="622"/>
      <c r="U584" s="622"/>
      <c r="V584" s="622"/>
      <c r="W584" s="622"/>
      <c r="X584" s="622"/>
      <c r="Y584" s="330"/>
      <c r="Z584" s="623"/>
      <c r="AA584" s="622"/>
      <c r="AB584" s="622"/>
      <c r="AC584" s="622"/>
      <c r="AD584" s="622"/>
      <c r="AE584" s="622"/>
      <c r="AF584" s="622"/>
      <c r="AG584" s="622"/>
      <c r="AH584" s="622"/>
      <c r="AI584" s="622"/>
      <c r="AJ584" s="622"/>
      <c r="AK584" s="622"/>
      <c r="AL584" s="622"/>
      <c r="AM584" s="622"/>
      <c r="AN584" s="622"/>
      <c r="AO584" s="622"/>
      <c r="AP584" s="622"/>
      <c r="AQ584" s="622"/>
      <c r="AR584" s="622"/>
      <c r="AS584" s="622"/>
      <c r="AT584" s="622"/>
      <c r="AU584" s="622"/>
      <c r="AV584" s="622"/>
      <c r="AW584" s="622"/>
    </row>
    <row r="585" spans="1:49" ht="7.5" customHeight="1">
      <c r="A585" s="623">
        <v>17</v>
      </c>
      <c r="B585" s="622" t="str">
        <f>IF(NOT(ISBLANK('A-RACHNATMAK'!C621)),"A",IF(NOT(ISBLANK('A-RACHNATMAK'!C620)),"B",IF(NOT(ISBLANK('A-RACHNATMAK'!C619)),"C","")))</f>
        <v/>
      </c>
      <c r="C585" s="622" t="str">
        <f>IF(NOT(ISBLANK('A-RACHNATMAK'!D621)),"A",IF(NOT(ISBLANK('A-RACHNATMAK'!D620)),"B",IF(NOT(ISBLANK('A-RACHNATMAK'!D619)),"C","")))</f>
        <v/>
      </c>
      <c r="D585" s="622" t="str">
        <f>IF(NOT(ISBLANK('A-RACHNATMAK'!E621)),"A",IF(NOT(ISBLANK('A-RACHNATMAK'!E620)),"B",IF(NOT(ISBLANK('A-RACHNATMAK'!E619)),"C","")))</f>
        <v/>
      </c>
      <c r="E585" s="622" t="str">
        <f>IF(NOT(ISBLANK('A-RACHNATMAK'!F621)),"A",IF(NOT(ISBLANK('A-RACHNATMAK'!F620)),"B",IF(NOT(ISBLANK('A-RACHNATMAK'!F619)),"C","")))</f>
        <v/>
      </c>
      <c r="F585" s="622" t="str">
        <f>IF(NOT(ISBLANK('A-RACHNATMAK'!G621)),"A",IF(NOT(ISBLANK('A-RACHNATMAK'!G620)),"B",IF(NOT(ISBLANK('A-RACHNATMAK'!G619)),"C","")))</f>
        <v/>
      </c>
      <c r="G585" s="622" t="str">
        <f>IF(NOT(ISBLANK('A-RACHNATMAK'!H621)),"A",IF(NOT(ISBLANK('A-RACHNATMAK'!H620)),"B",IF(NOT(ISBLANK('A-RACHNATMAK'!H619)),"C","")))</f>
        <v/>
      </c>
      <c r="H585" s="622" t="str">
        <f>IF(NOT(ISBLANK('A-RACHNATMAK'!I621)),"A",IF(NOT(ISBLANK('A-RACHNATMAK'!I620)),"B",IF(NOT(ISBLANK('A-RACHNATMAK'!I619)),"C","")))</f>
        <v/>
      </c>
      <c r="I585" s="622" t="str">
        <f>IF(NOT(ISBLANK('A-RACHNATMAK'!J621)),"A",IF(NOT(ISBLANK('A-RACHNATMAK'!J620)),"B",IF(NOT(ISBLANK('A-RACHNATMAK'!J619)),"C","")))</f>
        <v/>
      </c>
      <c r="J585" s="622" t="str">
        <f>IF(NOT(ISBLANK('A-RACHNATMAK'!K621)),"A",IF(NOT(ISBLANK('A-RACHNATMAK'!K620)),"B",IF(NOT(ISBLANK('A-RACHNATMAK'!K619)),"C","")))</f>
        <v/>
      </c>
      <c r="K585" s="622" t="str">
        <f>IF(NOT(ISBLANK('A-RACHNATMAK'!L621)),"A",IF(NOT(ISBLANK('A-RACHNATMAK'!L620)),"B",IF(NOT(ISBLANK('A-RACHNATMAK'!L619)),"C","")))</f>
        <v/>
      </c>
      <c r="L585" s="622" t="str">
        <f>IF(NOT(ISBLANK('A-RACHNATMAK'!M621)),"A",IF(NOT(ISBLANK('A-RACHNATMAK'!M620)),"B",IF(NOT(ISBLANK('A-RACHNATMAK'!M619)),"C","")))</f>
        <v/>
      </c>
      <c r="M585" s="622" t="str">
        <f>IF(NOT(ISBLANK('A-RACHNATMAK'!N621)),"A",IF(NOT(ISBLANK('A-RACHNATMAK'!N620)),"B",IF(NOT(ISBLANK('A-RACHNATMAK'!N619)),"C","")))</f>
        <v/>
      </c>
      <c r="N585" s="622" t="str">
        <f>IF(NOT(ISBLANK('A-RACHNATMAK'!O621)),"A",IF(NOT(ISBLANK('A-RACHNATMAK'!O620)),"B",IF(NOT(ISBLANK('A-RACHNATMAK'!O619)),"C","")))</f>
        <v/>
      </c>
      <c r="O585" s="622" t="str">
        <f>IF(NOT(ISBLANK('A-RACHNATMAK'!P621)),"A",IF(NOT(ISBLANK('A-RACHNATMAK'!P620)),"B",IF(NOT(ISBLANK('A-RACHNATMAK'!P619)),"C","")))</f>
        <v/>
      </c>
      <c r="P585" s="622" t="str">
        <f>IF(NOT(ISBLANK('A-RACHNATMAK'!Q621)),"A",IF(NOT(ISBLANK('A-RACHNATMAK'!Q620)),"B",IF(NOT(ISBLANK('A-RACHNATMAK'!Q619)),"C","")))</f>
        <v/>
      </c>
      <c r="Q585" s="622" t="str">
        <f>IF(NOT(ISBLANK('A-RACHNATMAK'!R621)),"A",IF(NOT(ISBLANK('A-RACHNATMAK'!R620)),"B",IF(NOT(ISBLANK('A-RACHNATMAK'!R619)),"C","")))</f>
        <v/>
      </c>
      <c r="R585" s="622" t="str">
        <f>IF(NOT(ISBLANK('A-RACHNATMAK'!S621)),"A",IF(NOT(ISBLANK('A-RACHNATMAK'!S620)),"B",IF(NOT(ISBLANK('A-RACHNATMAK'!S619)),"C","")))</f>
        <v/>
      </c>
      <c r="S585" s="622" t="str">
        <f>IF(NOT(ISBLANK('A-RACHNATMAK'!T621)),"A",IF(NOT(ISBLANK('A-RACHNATMAK'!T620)),"B",IF(NOT(ISBLANK('A-RACHNATMAK'!T619)),"C","")))</f>
        <v/>
      </c>
      <c r="T585" s="622" t="str">
        <f>IF(NOT(ISBLANK('A-RACHNATMAK'!U621)),"A",IF(NOT(ISBLANK('A-RACHNATMAK'!U620)),"B",IF(NOT(ISBLANK('A-RACHNATMAK'!U619)),"C","")))</f>
        <v/>
      </c>
      <c r="U585" s="622" t="str">
        <f>IF(NOT(ISBLANK('A-RACHNATMAK'!V621)),"A",IF(NOT(ISBLANK('A-RACHNATMAK'!V620)),"B",IF(NOT(ISBLANK('A-RACHNATMAK'!V619)),"C","")))</f>
        <v/>
      </c>
      <c r="V585" s="622">
        <f t="shared" ref="V585" si="1110">COUNTIF(B585:U585,"A")</f>
        <v>0</v>
      </c>
      <c r="W585" s="622">
        <f t="shared" ref="W585" si="1111">COUNTIF(B585:U585,"B")</f>
        <v>0</v>
      </c>
      <c r="X585" s="622">
        <f t="shared" ref="X585" si="1112">COUNTIF(B585:U585,"C")</f>
        <v>0</v>
      </c>
      <c r="Y585" s="330"/>
      <c r="Z585" s="623">
        <v>17</v>
      </c>
      <c r="AA585" s="622" t="str">
        <f>IF(NOT(ISBLANK('A-RACHNATMAK'!AD621)),"A",IF(NOT(ISBLANK('A-RACHNATMAK'!AD620)),"B",IF(NOT(ISBLANK('A-RACHNATMAK'!AD619)),"C","")))</f>
        <v/>
      </c>
      <c r="AB585" s="622" t="str">
        <f>IF(NOT(ISBLANK('A-RACHNATMAK'!AE621)),"A",IF(NOT(ISBLANK('A-RACHNATMAK'!AE620)),"B",IF(NOT(ISBLANK('A-RACHNATMAK'!AE619)),"C","")))</f>
        <v/>
      </c>
      <c r="AC585" s="622" t="str">
        <f>IF(NOT(ISBLANK('A-RACHNATMAK'!AF621)),"A",IF(NOT(ISBLANK('A-RACHNATMAK'!AF620)),"B",IF(NOT(ISBLANK('A-RACHNATMAK'!AF619)),"C","")))</f>
        <v/>
      </c>
      <c r="AD585" s="622" t="str">
        <f>IF(NOT(ISBLANK('A-RACHNATMAK'!AG621)),"A",IF(NOT(ISBLANK('A-RACHNATMAK'!AG620)),"B",IF(NOT(ISBLANK('A-RACHNATMAK'!AG619)),"C","")))</f>
        <v/>
      </c>
      <c r="AE585" s="622" t="str">
        <f>IF(NOT(ISBLANK('A-RACHNATMAK'!AH621)),"A",IF(NOT(ISBLANK('A-RACHNATMAK'!AH620)),"B",IF(NOT(ISBLANK('A-RACHNATMAK'!AH619)),"C","")))</f>
        <v>A</v>
      </c>
      <c r="AF585" s="622" t="str">
        <f>IF(NOT(ISBLANK('A-RACHNATMAK'!AI621)),"A",IF(NOT(ISBLANK('A-RACHNATMAK'!AI620)),"B",IF(NOT(ISBLANK('A-RACHNATMAK'!AI619)),"C","")))</f>
        <v/>
      </c>
      <c r="AG585" s="622" t="str">
        <f>IF(NOT(ISBLANK('A-RACHNATMAK'!AJ621)),"A",IF(NOT(ISBLANK('A-RACHNATMAK'!AJ620)),"B",IF(NOT(ISBLANK('A-RACHNATMAK'!AJ619)),"C","")))</f>
        <v/>
      </c>
      <c r="AH585" s="622" t="str">
        <f>IF(NOT(ISBLANK('A-RACHNATMAK'!AK621)),"A",IF(NOT(ISBLANK('A-RACHNATMAK'!AK620)),"B",IF(NOT(ISBLANK('A-RACHNATMAK'!AK619)),"C","")))</f>
        <v/>
      </c>
      <c r="AI585" s="622" t="str">
        <f>IF(NOT(ISBLANK('A-RACHNATMAK'!AL621)),"A",IF(NOT(ISBLANK('A-RACHNATMAK'!AL620)),"B",IF(NOT(ISBLANK('A-RACHNATMAK'!AL619)),"C","")))</f>
        <v/>
      </c>
      <c r="AJ585" s="622" t="str">
        <f>IF(NOT(ISBLANK('A-RACHNATMAK'!AM621)),"A",IF(NOT(ISBLANK('A-RACHNATMAK'!AM620)),"B",IF(NOT(ISBLANK('A-RACHNATMAK'!AM619)),"C","")))</f>
        <v/>
      </c>
      <c r="AK585" s="622" t="str">
        <f>IF(NOT(ISBLANK('A-RACHNATMAK'!AN621)),"A",IF(NOT(ISBLANK('A-RACHNATMAK'!AN620)),"B",IF(NOT(ISBLANK('A-RACHNATMAK'!AN619)),"C","")))</f>
        <v/>
      </c>
      <c r="AL585" s="622" t="str">
        <f>IF(NOT(ISBLANK('A-RACHNATMAK'!AO621)),"A",IF(NOT(ISBLANK('A-RACHNATMAK'!AO620)),"B",IF(NOT(ISBLANK('A-RACHNATMAK'!AO619)),"C","")))</f>
        <v/>
      </c>
      <c r="AM585" s="622" t="str">
        <f>IF(NOT(ISBLANK('A-RACHNATMAK'!AP621)),"A",IF(NOT(ISBLANK('A-RACHNATMAK'!AP620)),"B",IF(NOT(ISBLANK('A-RACHNATMAK'!AP619)),"C","")))</f>
        <v/>
      </c>
      <c r="AN585" s="622" t="str">
        <f>IF(NOT(ISBLANK('A-RACHNATMAK'!AQ621)),"A",IF(NOT(ISBLANK('A-RACHNATMAK'!AQ620)),"B",IF(NOT(ISBLANK('A-RACHNATMAK'!AQ619)),"C","")))</f>
        <v/>
      </c>
      <c r="AO585" s="622" t="str">
        <f>IF(NOT(ISBLANK('A-RACHNATMAK'!AR621)),"A",IF(NOT(ISBLANK('A-RACHNATMAK'!AR620)),"B",IF(NOT(ISBLANK('A-RACHNATMAK'!AR619)),"C","")))</f>
        <v/>
      </c>
      <c r="AP585" s="622" t="str">
        <f>IF(NOT(ISBLANK('A-RACHNATMAK'!AS621)),"A",IF(NOT(ISBLANK('A-RACHNATMAK'!AS620)),"B",IF(NOT(ISBLANK('A-RACHNATMAK'!AS619)),"C","")))</f>
        <v/>
      </c>
      <c r="AQ585" s="622" t="str">
        <f>IF(NOT(ISBLANK('A-RACHNATMAK'!AT621)),"A",IF(NOT(ISBLANK('A-RACHNATMAK'!AT620)),"B",IF(NOT(ISBLANK('A-RACHNATMAK'!AT619)),"C","")))</f>
        <v/>
      </c>
      <c r="AR585" s="622" t="str">
        <f>IF(NOT(ISBLANK('A-RACHNATMAK'!AU621)),"A",IF(NOT(ISBLANK('A-RACHNATMAK'!AU620)),"B",IF(NOT(ISBLANK('A-RACHNATMAK'!AU619)),"C","")))</f>
        <v/>
      </c>
      <c r="AS585" s="622" t="str">
        <f>IF(NOT(ISBLANK('A-RACHNATMAK'!AV621)),"A",IF(NOT(ISBLANK('A-RACHNATMAK'!AV620)),"B",IF(NOT(ISBLANK('A-RACHNATMAK'!AV619)),"C","")))</f>
        <v/>
      </c>
      <c r="AT585" s="622" t="str">
        <f>IF(NOT(ISBLANK('A-RACHNATMAK'!AW621)),"A",IF(NOT(ISBLANK('A-RACHNATMAK'!AW620)),"B",IF(NOT(ISBLANK('A-RACHNATMAK'!AW619)),"C","")))</f>
        <v/>
      </c>
      <c r="AU585" s="622">
        <f t="shared" ref="AU585" si="1113">COUNTIF(AA585:AT585,"A")</f>
        <v>1</v>
      </c>
      <c r="AV585" s="622">
        <f t="shared" ref="AV585" si="1114">COUNTIF(AA585:AT585,"B")</f>
        <v>0</v>
      </c>
      <c r="AW585" s="622">
        <f t="shared" ref="AW585" si="1115">COUNTIF(AA585:AT585,"C")</f>
        <v>0</v>
      </c>
    </row>
    <row r="586" spans="1:49" ht="7.5" customHeight="1">
      <c r="A586" s="623"/>
      <c r="B586" s="622"/>
      <c r="C586" s="622"/>
      <c r="D586" s="622"/>
      <c r="E586" s="622"/>
      <c r="F586" s="622"/>
      <c r="G586" s="622"/>
      <c r="H586" s="622"/>
      <c r="I586" s="622"/>
      <c r="J586" s="622"/>
      <c r="K586" s="622"/>
      <c r="L586" s="622"/>
      <c r="M586" s="622"/>
      <c r="N586" s="622"/>
      <c r="O586" s="622"/>
      <c r="P586" s="622"/>
      <c r="Q586" s="622"/>
      <c r="R586" s="622"/>
      <c r="S586" s="622"/>
      <c r="T586" s="622"/>
      <c r="U586" s="622"/>
      <c r="V586" s="622"/>
      <c r="W586" s="622"/>
      <c r="X586" s="622"/>
      <c r="Y586" s="330"/>
      <c r="Z586" s="623"/>
      <c r="AA586" s="622"/>
      <c r="AB586" s="622"/>
      <c r="AC586" s="622"/>
      <c r="AD586" s="622"/>
      <c r="AE586" s="622"/>
      <c r="AF586" s="622"/>
      <c r="AG586" s="622"/>
      <c r="AH586" s="622"/>
      <c r="AI586" s="622"/>
      <c r="AJ586" s="622"/>
      <c r="AK586" s="622"/>
      <c r="AL586" s="622"/>
      <c r="AM586" s="622"/>
      <c r="AN586" s="622"/>
      <c r="AO586" s="622"/>
      <c r="AP586" s="622"/>
      <c r="AQ586" s="622"/>
      <c r="AR586" s="622"/>
      <c r="AS586" s="622"/>
      <c r="AT586" s="622"/>
      <c r="AU586" s="622"/>
      <c r="AV586" s="622"/>
      <c r="AW586" s="622"/>
    </row>
    <row r="587" spans="1:49" ht="7.5" customHeight="1">
      <c r="A587" s="623"/>
      <c r="B587" s="622"/>
      <c r="C587" s="622"/>
      <c r="D587" s="622"/>
      <c r="E587" s="622"/>
      <c r="F587" s="622"/>
      <c r="G587" s="622"/>
      <c r="H587" s="622"/>
      <c r="I587" s="622"/>
      <c r="J587" s="622"/>
      <c r="K587" s="622"/>
      <c r="L587" s="622"/>
      <c r="M587" s="622"/>
      <c r="N587" s="622"/>
      <c r="O587" s="622"/>
      <c r="P587" s="622"/>
      <c r="Q587" s="622"/>
      <c r="R587" s="622"/>
      <c r="S587" s="622"/>
      <c r="T587" s="622"/>
      <c r="U587" s="622"/>
      <c r="V587" s="622"/>
      <c r="W587" s="622"/>
      <c r="X587" s="622"/>
      <c r="Y587" s="330"/>
      <c r="Z587" s="623"/>
      <c r="AA587" s="622"/>
      <c r="AB587" s="622"/>
      <c r="AC587" s="622"/>
      <c r="AD587" s="622"/>
      <c r="AE587" s="622"/>
      <c r="AF587" s="622"/>
      <c r="AG587" s="622"/>
      <c r="AH587" s="622"/>
      <c r="AI587" s="622"/>
      <c r="AJ587" s="622"/>
      <c r="AK587" s="622"/>
      <c r="AL587" s="622"/>
      <c r="AM587" s="622"/>
      <c r="AN587" s="622"/>
      <c r="AO587" s="622"/>
      <c r="AP587" s="622"/>
      <c r="AQ587" s="622"/>
      <c r="AR587" s="622"/>
      <c r="AS587" s="622"/>
      <c r="AT587" s="622"/>
      <c r="AU587" s="622"/>
      <c r="AV587" s="622"/>
      <c r="AW587" s="622"/>
    </row>
    <row r="588" spans="1:49" ht="7.5" customHeight="1">
      <c r="A588" s="623">
        <v>18</v>
      </c>
      <c r="B588" s="622" t="str">
        <f>IF(NOT(ISBLANK('A-RACHNATMAK'!C624)),"A",IF(NOT(ISBLANK('A-RACHNATMAK'!C623)),"B",IF(NOT(ISBLANK('A-RACHNATMAK'!C622)),"C","")))</f>
        <v/>
      </c>
      <c r="C588" s="622" t="str">
        <f>IF(NOT(ISBLANK('A-RACHNATMAK'!D624)),"A",IF(NOT(ISBLANK('A-RACHNATMAK'!D623)),"B",IF(NOT(ISBLANK('A-RACHNATMAK'!D622)),"C","")))</f>
        <v/>
      </c>
      <c r="D588" s="622" t="str">
        <f>IF(NOT(ISBLANK('A-RACHNATMAK'!E624)),"A",IF(NOT(ISBLANK('A-RACHNATMAK'!E623)),"B",IF(NOT(ISBLANK('A-RACHNATMAK'!E622)),"C","")))</f>
        <v/>
      </c>
      <c r="E588" s="622" t="str">
        <f>IF(NOT(ISBLANK('A-RACHNATMAK'!F624)),"A",IF(NOT(ISBLANK('A-RACHNATMAK'!F623)),"B",IF(NOT(ISBLANK('A-RACHNATMAK'!F622)),"C","")))</f>
        <v/>
      </c>
      <c r="F588" s="622" t="str">
        <f>IF(NOT(ISBLANK('A-RACHNATMAK'!G624)),"A",IF(NOT(ISBLANK('A-RACHNATMAK'!G623)),"B",IF(NOT(ISBLANK('A-RACHNATMAK'!G622)),"C","")))</f>
        <v/>
      </c>
      <c r="G588" s="622" t="str">
        <f>IF(NOT(ISBLANK('A-RACHNATMAK'!H624)),"A",IF(NOT(ISBLANK('A-RACHNATMAK'!H623)),"B",IF(NOT(ISBLANK('A-RACHNATMAK'!H622)),"C","")))</f>
        <v/>
      </c>
      <c r="H588" s="622" t="str">
        <f>IF(NOT(ISBLANK('A-RACHNATMAK'!I624)),"A",IF(NOT(ISBLANK('A-RACHNATMAK'!I623)),"B",IF(NOT(ISBLANK('A-RACHNATMAK'!I622)),"C","")))</f>
        <v/>
      </c>
      <c r="I588" s="622" t="str">
        <f>IF(NOT(ISBLANK('A-RACHNATMAK'!J624)),"A",IF(NOT(ISBLANK('A-RACHNATMAK'!J623)),"B",IF(NOT(ISBLANK('A-RACHNATMAK'!J622)),"C","")))</f>
        <v/>
      </c>
      <c r="J588" s="622" t="str">
        <f>IF(NOT(ISBLANK('A-RACHNATMAK'!K624)),"A",IF(NOT(ISBLANK('A-RACHNATMAK'!K623)),"B",IF(NOT(ISBLANK('A-RACHNATMAK'!K622)),"C","")))</f>
        <v/>
      </c>
      <c r="K588" s="622" t="str">
        <f>IF(NOT(ISBLANK('A-RACHNATMAK'!L624)),"A",IF(NOT(ISBLANK('A-RACHNATMAK'!L623)),"B",IF(NOT(ISBLANK('A-RACHNATMAK'!L622)),"C","")))</f>
        <v/>
      </c>
      <c r="L588" s="622" t="str">
        <f>IF(NOT(ISBLANK('A-RACHNATMAK'!M624)),"A",IF(NOT(ISBLANK('A-RACHNATMAK'!M623)),"B",IF(NOT(ISBLANK('A-RACHNATMAK'!M622)),"C","")))</f>
        <v/>
      </c>
      <c r="M588" s="622" t="str">
        <f>IF(NOT(ISBLANK('A-RACHNATMAK'!N624)),"A",IF(NOT(ISBLANK('A-RACHNATMAK'!N623)),"B",IF(NOT(ISBLANK('A-RACHNATMAK'!N622)),"C","")))</f>
        <v/>
      </c>
      <c r="N588" s="622" t="str">
        <f>IF(NOT(ISBLANK('A-RACHNATMAK'!O624)),"A",IF(NOT(ISBLANK('A-RACHNATMAK'!O623)),"B",IF(NOT(ISBLANK('A-RACHNATMAK'!O622)),"C","")))</f>
        <v/>
      </c>
      <c r="O588" s="622" t="str">
        <f>IF(NOT(ISBLANK('A-RACHNATMAK'!P624)),"A",IF(NOT(ISBLANK('A-RACHNATMAK'!P623)),"B",IF(NOT(ISBLANK('A-RACHNATMAK'!P622)),"C","")))</f>
        <v/>
      </c>
      <c r="P588" s="622" t="str">
        <f>IF(NOT(ISBLANK('A-RACHNATMAK'!Q624)),"A",IF(NOT(ISBLANK('A-RACHNATMAK'!Q623)),"B",IF(NOT(ISBLANK('A-RACHNATMAK'!Q622)),"C","")))</f>
        <v/>
      </c>
      <c r="Q588" s="622" t="str">
        <f>IF(NOT(ISBLANK('A-RACHNATMAK'!R624)),"A",IF(NOT(ISBLANK('A-RACHNATMAK'!R623)),"B",IF(NOT(ISBLANK('A-RACHNATMAK'!R622)),"C","")))</f>
        <v/>
      </c>
      <c r="R588" s="622" t="str">
        <f>IF(NOT(ISBLANK('A-RACHNATMAK'!S624)),"A",IF(NOT(ISBLANK('A-RACHNATMAK'!S623)),"B",IF(NOT(ISBLANK('A-RACHNATMAK'!S622)),"C","")))</f>
        <v/>
      </c>
      <c r="S588" s="622" t="str">
        <f>IF(NOT(ISBLANK('A-RACHNATMAK'!T624)),"A",IF(NOT(ISBLANK('A-RACHNATMAK'!T623)),"B",IF(NOT(ISBLANK('A-RACHNATMAK'!T622)),"C","")))</f>
        <v/>
      </c>
      <c r="T588" s="622" t="str">
        <f>IF(NOT(ISBLANK('A-RACHNATMAK'!U624)),"A",IF(NOT(ISBLANK('A-RACHNATMAK'!U623)),"B",IF(NOT(ISBLANK('A-RACHNATMAK'!U622)),"C","")))</f>
        <v/>
      </c>
      <c r="U588" s="622" t="str">
        <f>IF(NOT(ISBLANK('A-RACHNATMAK'!V624)),"A",IF(NOT(ISBLANK('A-RACHNATMAK'!V623)),"B",IF(NOT(ISBLANK('A-RACHNATMAK'!V622)),"C","")))</f>
        <v/>
      </c>
      <c r="V588" s="622">
        <f t="shared" ref="V588" si="1116">COUNTIF(B588:U588,"A")</f>
        <v>0</v>
      </c>
      <c r="W588" s="622">
        <f t="shared" ref="W588" si="1117">COUNTIF(B588:U588,"B")</f>
        <v>0</v>
      </c>
      <c r="X588" s="622">
        <f t="shared" ref="X588" si="1118">COUNTIF(B588:U588,"C")</f>
        <v>0</v>
      </c>
      <c r="Y588" s="330"/>
      <c r="Z588" s="623">
        <v>18</v>
      </c>
      <c r="AA588" s="622" t="str">
        <f>IF(NOT(ISBLANK('A-RACHNATMAK'!AD624)),"A",IF(NOT(ISBLANK('A-RACHNATMAK'!AD623)),"B",IF(NOT(ISBLANK('A-RACHNATMAK'!AD622)),"C","")))</f>
        <v/>
      </c>
      <c r="AB588" s="622" t="str">
        <f>IF(NOT(ISBLANK('A-RACHNATMAK'!AE624)),"A",IF(NOT(ISBLANK('A-RACHNATMAK'!AE623)),"B",IF(NOT(ISBLANK('A-RACHNATMAK'!AE622)),"C","")))</f>
        <v/>
      </c>
      <c r="AC588" s="622" t="str">
        <f>IF(NOT(ISBLANK('A-RACHNATMAK'!AF624)),"A",IF(NOT(ISBLANK('A-RACHNATMAK'!AF623)),"B",IF(NOT(ISBLANK('A-RACHNATMAK'!AF622)),"C","")))</f>
        <v/>
      </c>
      <c r="AD588" s="622" t="str">
        <f>IF(NOT(ISBLANK('A-RACHNATMAK'!AG624)),"A",IF(NOT(ISBLANK('A-RACHNATMAK'!AG623)),"B",IF(NOT(ISBLANK('A-RACHNATMAK'!AG622)),"C","")))</f>
        <v/>
      </c>
      <c r="AE588" s="622" t="str">
        <f>IF(NOT(ISBLANK('A-RACHNATMAK'!AH624)),"A",IF(NOT(ISBLANK('A-RACHNATMAK'!AH623)),"B",IF(NOT(ISBLANK('A-RACHNATMAK'!AH622)),"C","")))</f>
        <v/>
      </c>
      <c r="AF588" s="622" t="str">
        <f>IF(NOT(ISBLANK('A-RACHNATMAK'!AI624)),"A",IF(NOT(ISBLANK('A-RACHNATMAK'!AI623)),"B",IF(NOT(ISBLANK('A-RACHNATMAK'!AI622)),"C","")))</f>
        <v/>
      </c>
      <c r="AG588" s="622" t="str">
        <f>IF(NOT(ISBLANK('A-RACHNATMAK'!AJ624)),"A",IF(NOT(ISBLANK('A-RACHNATMAK'!AJ623)),"B",IF(NOT(ISBLANK('A-RACHNATMAK'!AJ622)),"C","")))</f>
        <v/>
      </c>
      <c r="AH588" s="622" t="str">
        <f>IF(NOT(ISBLANK('A-RACHNATMAK'!AK624)),"A",IF(NOT(ISBLANK('A-RACHNATMAK'!AK623)),"B",IF(NOT(ISBLANK('A-RACHNATMAK'!AK622)),"C","")))</f>
        <v/>
      </c>
      <c r="AI588" s="622" t="str">
        <f>IF(NOT(ISBLANK('A-RACHNATMAK'!AL624)),"A",IF(NOT(ISBLANK('A-RACHNATMAK'!AL623)),"B",IF(NOT(ISBLANK('A-RACHNATMAK'!AL622)),"C","")))</f>
        <v/>
      </c>
      <c r="AJ588" s="622" t="str">
        <f>IF(NOT(ISBLANK('A-RACHNATMAK'!AM624)),"A",IF(NOT(ISBLANK('A-RACHNATMAK'!AM623)),"B",IF(NOT(ISBLANK('A-RACHNATMAK'!AM622)),"C","")))</f>
        <v/>
      </c>
      <c r="AK588" s="622" t="str">
        <f>IF(NOT(ISBLANK('A-RACHNATMAK'!AN624)),"A",IF(NOT(ISBLANK('A-RACHNATMAK'!AN623)),"B",IF(NOT(ISBLANK('A-RACHNATMAK'!AN622)),"C","")))</f>
        <v/>
      </c>
      <c r="AL588" s="622" t="str">
        <f>IF(NOT(ISBLANK('A-RACHNATMAK'!AO624)),"A",IF(NOT(ISBLANK('A-RACHNATMAK'!AO623)),"B",IF(NOT(ISBLANK('A-RACHNATMAK'!AO622)),"C","")))</f>
        <v/>
      </c>
      <c r="AM588" s="622" t="str">
        <f>IF(NOT(ISBLANK('A-RACHNATMAK'!AP624)),"A",IF(NOT(ISBLANK('A-RACHNATMAK'!AP623)),"B",IF(NOT(ISBLANK('A-RACHNATMAK'!AP622)),"C","")))</f>
        <v/>
      </c>
      <c r="AN588" s="622" t="str">
        <f>IF(NOT(ISBLANK('A-RACHNATMAK'!AQ624)),"A",IF(NOT(ISBLANK('A-RACHNATMAK'!AQ623)),"B",IF(NOT(ISBLANK('A-RACHNATMAK'!AQ622)),"C","")))</f>
        <v/>
      </c>
      <c r="AO588" s="622" t="str">
        <f>IF(NOT(ISBLANK('A-RACHNATMAK'!AR624)),"A",IF(NOT(ISBLANK('A-RACHNATMAK'!AR623)),"B",IF(NOT(ISBLANK('A-RACHNATMAK'!AR622)),"C","")))</f>
        <v/>
      </c>
      <c r="AP588" s="622" t="str">
        <f>IF(NOT(ISBLANK('A-RACHNATMAK'!AS624)),"A",IF(NOT(ISBLANK('A-RACHNATMAK'!AS623)),"B",IF(NOT(ISBLANK('A-RACHNATMAK'!AS622)),"C","")))</f>
        <v/>
      </c>
      <c r="AQ588" s="622" t="str">
        <f>IF(NOT(ISBLANK('A-RACHNATMAK'!AT624)),"A",IF(NOT(ISBLANK('A-RACHNATMAK'!AT623)),"B",IF(NOT(ISBLANK('A-RACHNATMAK'!AT622)),"C","")))</f>
        <v/>
      </c>
      <c r="AR588" s="622" t="str">
        <f>IF(NOT(ISBLANK('A-RACHNATMAK'!AU624)),"A",IF(NOT(ISBLANK('A-RACHNATMAK'!AU623)),"B",IF(NOT(ISBLANK('A-RACHNATMAK'!AU622)),"C","")))</f>
        <v/>
      </c>
      <c r="AS588" s="622" t="str">
        <f>IF(NOT(ISBLANK('A-RACHNATMAK'!AV624)),"A",IF(NOT(ISBLANK('A-RACHNATMAK'!AV623)),"B",IF(NOT(ISBLANK('A-RACHNATMAK'!AV622)),"C","")))</f>
        <v/>
      </c>
      <c r="AT588" s="622" t="str">
        <f>IF(NOT(ISBLANK('A-RACHNATMAK'!AW624)),"A",IF(NOT(ISBLANK('A-RACHNATMAK'!AW623)),"B",IF(NOT(ISBLANK('A-RACHNATMAK'!AW622)),"C","")))</f>
        <v/>
      </c>
      <c r="AU588" s="622">
        <f t="shared" ref="AU588" si="1119">COUNTIF(AA588:AT588,"A")</f>
        <v>0</v>
      </c>
      <c r="AV588" s="622">
        <f t="shared" ref="AV588" si="1120">COUNTIF(AA588:AT588,"B")</f>
        <v>0</v>
      </c>
      <c r="AW588" s="622">
        <f t="shared" ref="AW588" si="1121">COUNTIF(AA588:AT588,"C")</f>
        <v>0</v>
      </c>
    </row>
    <row r="589" spans="1:49" ht="7.5" customHeight="1">
      <c r="A589" s="623"/>
      <c r="B589" s="622"/>
      <c r="C589" s="622"/>
      <c r="D589" s="622"/>
      <c r="E589" s="622"/>
      <c r="F589" s="622"/>
      <c r="G589" s="622"/>
      <c r="H589" s="622"/>
      <c r="I589" s="622"/>
      <c r="J589" s="622"/>
      <c r="K589" s="622"/>
      <c r="L589" s="622"/>
      <c r="M589" s="622"/>
      <c r="N589" s="622"/>
      <c r="O589" s="622"/>
      <c r="P589" s="622"/>
      <c r="Q589" s="622"/>
      <c r="R589" s="622"/>
      <c r="S589" s="622"/>
      <c r="T589" s="622"/>
      <c r="U589" s="622"/>
      <c r="V589" s="622"/>
      <c r="W589" s="622"/>
      <c r="X589" s="622"/>
      <c r="Y589" s="330"/>
      <c r="Z589" s="623"/>
      <c r="AA589" s="622"/>
      <c r="AB589" s="622"/>
      <c r="AC589" s="622"/>
      <c r="AD589" s="622"/>
      <c r="AE589" s="622"/>
      <c r="AF589" s="622"/>
      <c r="AG589" s="622"/>
      <c r="AH589" s="622"/>
      <c r="AI589" s="622"/>
      <c r="AJ589" s="622"/>
      <c r="AK589" s="622"/>
      <c r="AL589" s="622"/>
      <c r="AM589" s="622"/>
      <c r="AN589" s="622"/>
      <c r="AO589" s="622"/>
      <c r="AP589" s="622"/>
      <c r="AQ589" s="622"/>
      <c r="AR589" s="622"/>
      <c r="AS589" s="622"/>
      <c r="AT589" s="622"/>
      <c r="AU589" s="622"/>
      <c r="AV589" s="622"/>
      <c r="AW589" s="622"/>
    </row>
    <row r="590" spans="1:49" ht="7.5" customHeight="1">
      <c r="A590" s="623"/>
      <c r="B590" s="622"/>
      <c r="C590" s="622"/>
      <c r="D590" s="622"/>
      <c r="E590" s="622"/>
      <c r="F590" s="622"/>
      <c r="G590" s="622"/>
      <c r="H590" s="622"/>
      <c r="I590" s="622"/>
      <c r="J590" s="622"/>
      <c r="K590" s="622"/>
      <c r="L590" s="622"/>
      <c r="M590" s="622"/>
      <c r="N590" s="622"/>
      <c r="O590" s="622"/>
      <c r="P590" s="622"/>
      <c r="Q590" s="622"/>
      <c r="R590" s="622"/>
      <c r="S590" s="622"/>
      <c r="T590" s="622"/>
      <c r="U590" s="622"/>
      <c r="V590" s="622"/>
      <c r="W590" s="622"/>
      <c r="X590" s="622"/>
      <c r="Y590" s="330"/>
      <c r="Z590" s="623"/>
      <c r="AA590" s="622"/>
      <c r="AB590" s="622"/>
      <c r="AC590" s="622"/>
      <c r="AD590" s="622"/>
      <c r="AE590" s="622"/>
      <c r="AF590" s="622"/>
      <c r="AG590" s="622"/>
      <c r="AH590" s="622"/>
      <c r="AI590" s="622"/>
      <c r="AJ590" s="622"/>
      <c r="AK590" s="622"/>
      <c r="AL590" s="622"/>
      <c r="AM590" s="622"/>
      <c r="AN590" s="622"/>
      <c r="AO590" s="622"/>
      <c r="AP590" s="622"/>
      <c r="AQ590" s="622"/>
      <c r="AR590" s="622"/>
      <c r="AS590" s="622"/>
      <c r="AT590" s="622"/>
      <c r="AU590" s="622"/>
      <c r="AV590" s="622"/>
      <c r="AW590" s="622"/>
    </row>
    <row r="591" spans="1:49" ht="7.5" customHeight="1">
      <c r="A591" s="623">
        <v>19</v>
      </c>
      <c r="B591" s="622" t="str">
        <f>IF(NOT(ISBLANK('A-RACHNATMAK'!C627)),"A",IF(NOT(ISBLANK('A-RACHNATMAK'!C626)),"B",IF(NOT(ISBLANK('A-RACHNATMAK'!C625)),"C","")))</f>
        <v/>
      </c>
      <c r="C591" s="622" t="str">
        <f>IF(NOT(ISBLANK('A-RACHNATMAK'!D627)),"A",IF(NOT(ISBLANK('A-RACHNATMAK'!D626)),"B",IF(NOT(ISBLANK('A-RACHNATMAK'!D625)),"C","")))</f>
        <v/>
      </c>
      <c r="D591" s="622" t="str">
        <f>IF(NOT(ISBLANK('A-RACHNATMAK'!E627)),"A",IF(NOT(ISBLANK('A-RACHNATMAK'!E626)),"B",IF(NOT(ISBLANK('A-RACHNATMAK'!E625)),"C","")))</f>
        <v/>
      </c>
      <c r="E591" s="622" t="str">
        <f>IF(NOT(ISBLANK('A-RACHNATMAK'!F627)),"A",IF(NOT(ISBLANK('A-RACHNATMAK'!F626)),"B",IF(NOT(ISBLANK('A-RACHNATMAK'!F625)),"C","")))</f>
        <v/>
      </c>
      <c r="F591" s="622" t="str">
        <f>IF(NOT(ISBLANK('A-RACHNATMAK'!G627)),"A",IF(NOT(ISBLANK('A-RACHNATMAK'!G626)),"B",IF(NOT(ISBLANK('A-RACHNATMAK'!G625)),"C","")))</f>
        <v/>
      </c>
      <c r="G591" s="622" t="str">
        <f>IF(NOT(ISBLANK('A-RACHNATMAK'!H627)),"A",IF(NOT(ISBLANK('A-RACHNATMAK'!H626)),"B",IF(NOT(ISBLANK('A-RACHNATMAK'!H625)),"C","")))</f>
        <v/>
      </c>
      <c r="H591" s="622" t="str">
        <f>IF(NOT(ISBLANK('A-RACHNATMAK'!I627)),"A",IF(NOT(ISBLANK('A-RACHNATMAK'!I626)),"B",IF(NOT(ISBLANK('A-RACHNATMAK'!I625)),"C","")))</f>
        <v/>
      </c>
      <c r="I591" s="622" t="str">
        <f>IF(NOT(ISBLANK('A-RACHNATMAK'!J627)),"A",IF(NOT(ISBLANK('A-RACHNATMAK'!J626)),"B",IF(NOT(ISBLANK('A-RACHNATMAK'!J625)),"C","")))</f>
        <v/>
      </c>
      <c r="J591" s="622" t="str">
        <f>IF(NOT(ISBLANK('A-RACHNATMAK'!K627)),"A",IF(NOT(ISBLANK('A-RACHNATMAK'!K626)),"B",IF(NOT(ISBLANK('A-RACHNATMAK'!K625)),"C","")))</f>
        <v/>
      </c>
      <c r="K591" s="622" t="str">
        <f>IF(NOT(ISBLANK('A-RACHNATMAK'!L627)),"A",IF(NOT(ISBLANK('A-RACHNATMAK'!L626)),"B",IF(NOT(ISBLANK('A-RACHNATMAK'!L625)),"C","")))</f>
        <v/>
      </c>
      <c r="L591" s="622" t="str">
        <f>IF(NOT(ISBLANK('A-RACHNATMAK'!M627)),"A",IF(NOT(ISBLANK('A-RACHNATMAK'!M626)),"B",IF(NOT(ISBLANK('A-RACHNATMAK'!M625)),"C","")))</f>
        <v/>
      </c>
      <c r="M591" s="622" t="str">
        <f>IF(NOT(ISBLANK('A-RACHNATMAK'!N627)),"A",IF(NOT(ISBLANK('A-RACHNATMAK'!N626)),"B",IF(NOT(ISBLANK('A-RACHNATMAK'!N625)),"C","")))</f>
        <v/>
      </c>
      <c r="N591" s="622" t="str">
        <f>IF(NOT(ISBLANK('A-RACHNATMAK'!O627)),"A",IF(NOT(ISBLANK('A-RACHNATMAK'!O626)),"B",IF(NOT(ISBLANK('A-RACHNATMAK'!O625)),"C","")))</f>
        <v/>
      </c>
      <c r="O591" s="622" t="str">
        <f>IF(NOT(ISBLANK('A-RACHNATMAK'!P627)),"A",IF(NOT(ISBLANK('A-RACHNATMAK'!P626)),"B",IF(NOT(ISBLANK('A-RACHNATMAK'!P625)),"C","")))</f>
        <v/>
      </c>
      <c r="P591" s="622" t="str">
        <f>IF(NOT(ISBLANK('A-RACHNATMAK'!Q627)),"A",IF(NOT(ISBLANK('A-RACHNATMAK'!Q626)),"B",IF(NOT(ISBLANK('A-RACHNATMAK'!Q625)),"C","")))</f>
        <v/>
      </c>
      <c r="Q591" s="622" t="str">
        <f>IF(NOT(ISBLANK('A-RACHNATMAK'!R627)),"A",IF(NOT(ISBLANK('A-RACHNATMAK'!R626)),"B",IF(NOT(ISBLANK('A-RACHNATMAK'!R625)),"C","")))</f>
        <v/>
      </c>
      <c r="R591" s="622" t="str">
        <f>IF(NOT(ISBLANK('A-RACHNATMAK'!S627)),"A",IF(NOT(ISBLANK('A-RACHNATMAK'!S626)),"B",IF(NOT(ISBLANK('A-RACHNATMAK'!S625)),"C","")))</f>
        <v/>
      </c>
      <c r="S591" s="622" t="str">
        <f>IF(NOT(ISBLANK('A-RACHNATMAK'!T627)),"A",IF(NOT(ISBLANK('A-RACHNATMAK'!T626)),"B",IF(NOT(ISBLANK('A-RACHNATMAK'!T625)),"C","")))</f>
        <v/>
      </c>
      <c r="T591" s="622" t="str">
        <f>IF(NOT(ISBLANK('A-RACHNATMAK'!U627)),"A",IF(NOT(ISBLANK('A-RACHNATMAK'!U626)),"B",IF(NOT(ISBLANK('A-RACHNATMAK'!U625)),"C","")))</f>
        <v/>
      </c>
      <c r="U591" s="622" t="str">
        <f>IF(NOT(ISBLANK('A-RACHNATMAK'!V627)),"A",IF(NOT(ISBLANK('A-RACHNATMAK'!V626)),"B",IF(NOT(ISBLANK('A-RACHNATMAK'!V625)),"C","")))</f>
        <v/>
      </c>
      <c r="V591" s="622">
        <f t="shared" ref="V591" si="1122">COUNTIF(B591:U591,"A")</f>
        <v>0</v>
      </c>
      <c r="W591" s="622">
        <f t="shared" ref="W591" si="1123">COUNTIF(B591:U591,"B")</f>
        <v>0</v>
      </c>
      <c r="X591" s="622">
        <f t="shared" ref="X591" si="1124">COUNTIF(B591:U591,"C")</f>
        <v>0</v>
      </c>
      <c r="Y591" s="330"/>
      <c r="Z591" s="623">
        <v>19</v>
      </c>
      <c r="AA591" s="622" t="str">
        <f>IF(NOT(ISBLANK('A-RACHNATMAK'!AD627)),"A",IF(NOT(ISBLANK('A-RACHNATMAK'!AD626)),"B",IF(NOT(ISBLANK('A-RACHNATMAK'!AD625)),"C","")))</f>
        <v/>
      </c>
      <c r="AB591" s="622" t="str">
        <f>IF(NOT(ISBLANK('A-RACHNATMAK'!AE627)),"A",IF(NOT(ISBLANK('A-RACHNATMAK'!AE626)),"B",IF(NOT(ISBLANK('A-RACHNATMAK'!AE625)),"C","")))</f>
        <v/>
      </c>
      <c r="AC591" s="622" t="str">
        <f>IF(NOT(ISBLANK('A-RACHNATMAK'!AF627)),"A",IF(NOT(ISBLANK('A-RACHNATMAK'!AF626)),"B",IF(NOT(ISBLANK('A-RACHNATMAK'!AF625)),"C","")))</f>
        <v/>
      </c>
      <c r="AD591" s="622" t="str">
        <f>IF(NOT(ISBLANK('A-RACHNATMAK'!AG627)),"A",IF(NOT(ISBLANK('A-RACHNATMAK'!AG626)),"B",IF(NOT(ISBLANK('A-RACHNATMAK'!AG625)),"C","")))</f>
        <v/>
      </c>
      <c r="AE591" s="622" t="str">
        <f>IF(NOT(ISBLANK('A-RACHNATMAK'!AH627)),"A",IF(NOT(ISBLANK('A-RACHNATMAK'!AH626)),"B",IF(NOT(ISBLANK('A-RACHNATMAK'!AH625)),"C","")))</f>
        <v/>
      </c>
      <c r="AF591" s="622" t="str">
        <f>IF(NOT(ISBLANK('A-RACHNATMAK'!AI627)),"A",IF(NOT(ISBLANK('A-RACHNATMAK'!AI626)),"B",IF(NOT(ISBLANK('A-RACHNATMAK'!AI625)),"C","")))</f>
        <v/>
      </c>
      <c r="AG591" s="622" t="str">
        <f>IF(NOT(ISBLANK('A-RACHNATMAK'!AJ627)),"A",IF(NOT(ISBLANK('A-RACHNATMAK'!AJ626)),"B",IF(NOT(ISBLANK('A-RACHNATMAK'!AJ625)),"C","")))</f>
        <v/>
      </c>
      <c r="AH591" s="622" t="str">
        <f>IF(NOT(ISBLANK('A-RACHNATMAK'!AK627)),"A",IF(NOT(ISBLANK('A-RACHNATMAK'!AK626)),"B",IF(NOT(ISBLANK('A-RACHNATMAK'!AK625)),"C","")))</f>
        <v/>
      </c>
      <c r="AI591" s="622" t="str">
        <f>IF(NOT(ISBLANK('A-RACHNATMAK'!AL627)),"A",IF(NOT(ISBLANK('A-RACHNATMAK'!AL626)),"B",IF(NOT(ISBLANK('A-RACHNATMAK'!AL625)),"C","")))</f>
        <v/>
      </c>
      <c r="AJ591" s="622" t="str">
        <f>IF(NOT(ISBLANK('A-RACHNATMAK'!AM627)),"A",IF(NOT(ISBLANK('A-RACHNATMAK'!AM626)),"B",IF(NOT(ISBLANK('A-RACHNATMAK'!AM625)),"C","")))</f>
        <v/>
      </c>
      <c r="AK591" s="622" t="str">
        <f>IF(NOT(ISBLANK('A-RACHNATMAK'!AN627)),"A",IF(NOT(ISBLANK('A-RACHNATMAK'!AN626)),"B",IF(NOT(ISBLANK('A-RACHNATMAK'!AN625)),"C","")))</f>
        <v/>
      </c>
      <c r="AL591" s="622" t="str">
        <f>IF(NOT(ISBLANK('A-RACHNATMAK'!AO627)),"A",IF(NOT(ISBLANK('A-RACHNATMAK'!AO626)),"B",IF(NOT(ISBLANK('A-RACHNATMAK'!AO625)),"C","")))</f>
        <v/>
      </c>
      <c r="AM591" s="622" t="str">
        <f>IF(NOT(ISBLANK('A-RACHNATMAK'!AP627)),"A",IF(NOT(ISBLANK('A-RACHNATMAK'!AP626)),"B",IF(NOT(ISBLANK('A-RACHNATMAK'!AP625)),"C","")))</f>
        <v/>
      </c>
      <c r="AN591" s="622" t="str">
        <f>IF(NOT(ISBLANK('A-RACHNATMAK'!AQ627)),"A",IF(NOT(ISBLANK('A-RACHNATMAK'!AQ626)),"B",IF(NOT(ISBLANK('A-RACHNATMAK'!AQ625)),"C","")))</f>
        <v/>
      </c>
      <c r="AO591" s="622" t="str">
        <f>IF(NOT(ISBLANK('A-RACHNATMAK'!AR627)),"A",IF(NOT(ISBLANK('A-RACHNATMAK'!AR626)),"B",IF(NOT(ISBLANK('A-RACHNATMAK'!AR625)),"C","")))</f>
        <v/>
      </c>
      <c r="AP591" s="622" t="str">
        <f>IF(NOT(ISBLANK('A-RACHNATMAK'!AS627)),"A",IF(NOT(ISBLANK('A-RACHNATMAK'!AS626)),"B",IF(NOT(ISBLANK('A-RACHNATMAK'!AS625)),"C","")))</f>
        <v/>
      </c>
      <c r="AQ591" s="622" t="str">
        <f>IF(NOT(ISBLANK('A-RACHNATMAK'!AT627)),"A",IF(NOT(ISBLANK('A-RACHNATMAK'!AT626)),"B",IF(NOT(ISBLANK('A-RACHNATMAK'!AT625)),"C","")))</f>
        <v/>
      </c>
      <c r="AR591" s="622" t="str">
        <f>IF(NOT(ISBLANK('A-RACHNATMAK'!AU627)),"A",IF(NOT(ISBLANK('A-RACHNATMAK'!AU626)),"B",IF(NOT(ISBLANK('A-RACHNATMAK'!AU625)),"C","")))</f>
        <v/>
      </c>
      <c r="AS591" s="622" t="str">
        <f>IF(NOT(ISBLANK('A-RACHNATMAK'!AV627)),"A",IF(NOT(ISBLANK('A-RACHNATMAK'!AV626)),"B",IF(NOT(ISBLANK('A-RACHNATMAK'!AV625)),"C","")))</f>
        <v/>
      </c>
      <c r="AT591" s="622" t="str">
        <f>IF(NOT(ISBLANK('A-RACHNATMAK'!AW627)),"A",IF(NOT(ISBLANK('A-RACHNATMAK'!AW626)),"B",IF(NOT(ISBLANK('A-RACHNATMAK'!AW625)),"C","")))</f>
        <v/>
      </c>
      <c r="AU591" s="622">
        <f t="shared" ref="AU591" si="1125">COUNTIF(AA591:AT591,"A")</f>
        <v>0</v>
      </c>
      <c r="AV591" s="622">
        <f t="shared" ref="AV591" si="1126">COUNTIF(AA591:AT591,"B")</f>
        <v>0</v>
      </c>
      <c r="AW591" s="622">
        <f t="shared" ref="AW591" si="1127">COUNTIF(AA591:AT591,"C")</f>
        <v>0</v>
      </c>
    </row>
    <row r="592" spans="1:49" ht="7.5" customHeight="1">
      <c r="A592" s="623"/>
      <c r="B592" s="622"/>
      <c r="C592" s="622"/>
      <c r="D592" s="622"/>
      <c r="E592" s="622"/>
      <c r="F592" s="622"/>
      <c r="G592" s="622"/>
      <c r="H592" s="622"/>
      <c r="I592" s="622"/>
      <c r="J592" s="622"/>
      <c r="K592" s="622"/>
      <c r="L592" s="622"/>
      <c r="M592" s="622"/>
      <c r="N592" s="622"/>
      <c r="O592" s="622"/>
      <c r="P592" s="622"/>
      <c r="Q592" s="622"/>
      <c r="R592" s="622"/>
      <c r="S592" s="622"/>
      <c r="T592" s="622"/>
      <c r="U592" s="622"/>
      <c r="V592" s="622"/>
      <c r="W592" s="622"/>
      <c r="X592" s="622"/>
      <c r="Y592" s="330"/>
      <c r="Z592" s="623"/>
      <c r="AA592" s="622"/>
      <c r="AB592" s="622"/>
      <c r="AC592" s="622"/>
      <c r="AD592" s="622"/>
      <c r="AE592" s="622"/>
      <c r="AF592" s="622"/>
      <c r="AG592" s="622"/>
      <c r="AH592" s="622"/>
      <c r="AI592" s="622"/>
      <c r="AJ592" s="622"/>
      <c r="AK592" s="622"/>
      <c r="AL592" s="622"/>
      <c r="AM592" s="622"/>
      <c r="AN592" s="622"/>
      <c r="AO592" s="622"/>
      <c r="AP592" s="622"/>
      <c r="AQ592" s="622"/>
      <c r="AR592" s="622"/>
      <c r="AS592" s="622"/>
      <c r="AT592" s="622"/>
      <c r="AU592" s="622"/>
      <c r="AV592" s="622"/>
      <c r="AW592" s="622"/>
    </row>
    <row r="593" spans="1:49" ht="7.5" customHeight="1">
      <c r="A593" s="623"/>
      <c r="B593" s="622"/>
      <c r="C593" s="622"/>
      <c r="D593" s="622"/>
      <c r="E593" s="622"/>
      <c r="F593" s="622"/>
      <c r="G593" s="622"/>
      <c r="H593" s="622"/>
      <c r="I593" s="622"/>
      <c r="J593" s="622"/>
      <c r="K593" s="622"/>
      <c r="L593" s="622"/>
      <c r="M593" s="622"/>
      <c r="N593" s="622"/>
      <c r="O593" s="622"/>
      <c r="P593" s="622"/>
      <c r="Q593" s="622"/>
      <c r="R593" s="622"/>
      <c r="S593" s="622"/>
      <c r="T593" s="622"/>
      <c r="U593" s="622"/>
      <c r="V593" s="622"/>
      <c r="W593" s="622"/>
      <c r="X593" s="622"/>
      <c r="Y593" s="330"/>
      <c r="Z593" s="623"/>
      <c r="AA593" s="622"/>
      <c r="AB593" s="622"/>
      <c r="AC593" s="622"/>
      <c r="AD593" s="622"/>
      <c r="AE593" s="622"/>
      <c r="AF593" s="622"/>
      <c r="AG593" s="622"/>
      <c r="AH593" s="622"/>
      <c r="AI593" s="622"/>
      <c r="AJ593" s="622"/>
      <c r="AK593" s="622"/>
      <c r="AL593" s="622"/>
      <c r="AM593" s="622"/>
      <c r="AN593" s="622"/>
      <c r="AO593" s="622"/>
      <c r="AP593" s="622"/>
      <c r="AQ593" s="622"/>
      <c r="AR593" s="622"/>
      <c r="AS593" s="622"/>
      <c r="AT593" s="622"/>
      <c r="AU593" s="622"/>
      <c r="AV593" s="622"/>
      <c r="AW593" s="622"/>
    </row>
    <row r="594" spans="1:49" ht="7.5" customHeight="1">
      <c r="A594" s="623">
        <v>20</v>
      </c>
      <c r="B594" s="622" t="str">
        <f>IF(NOT(ISBLANK('A-RACHNATMAK'!C630)),"A",IF(NOT(ISBLANK('A-RACHNATMAK'!C629)),"B",IF(NOT(ISBLANK('A-RACHNATMAK'!C628)),"C","")))</f>
        <v/>
      </c>
      <c r="C594" s="622" t="str">
        <f>IF(NOT(ISBLANK('A-RACHNATMAK'!D630)),"A",IF(NOT(ISBLANK('A-RACHNATMAK'!D629)),"B",IF(NOT(ISBLANK('A-RACHNATMAK'!D628)),"C","")))</f>
        <v/>
      </c>
      <c r="D594" s="622" t="str">
        <f>IF(NOT(ISBLANK('A-RACHNATMAK'!E630)),"A",IF(NOT(ISBLANK('A-RACHNATMAK'!E629)),"B",IF(NOT(ISBLANK('A-RACHNATMAK'!E628)),"C","")))</f>
        <v/>
      </c>
      <c r="E594" s="622" t="str">
        <f>IF(NOT(ISBLANK('A-RACHNATMAK'!F630)),"A",IF(NOT(ISBLANK('A-RACHNATMAK'!F629)),"B",IF(NOT(ISBLANK('A-RACHNATMAK'!F628)),"C","")))</f>
        <v/>
      </c>
      <c r="F594" s="622" t="str">
        <f>IF(NOT(ISBLANK('A-RACHNATMAK'!G630)),"A",IF(NOT(ISBLANK('A-RACHNATMAK'!G629)),"B",IF(NOT(ISBLANK('A-RACHNATMAK'!G628)),"C","")))</f>
        <v/>
      </c>
      <c r="G594" s="622" t="str">
        <f>IF(NOT(ISBLANK('A-RACHNATMAK'!H630)),"A",IF(NOT(ISBLANK('A-RACHNATMAK'!H629)),"B",IF(NOT(ISBLANK('A-RACHNATMAK'!H628)),"C","")))</f>
        <v/>
      </c>
      <c r="H594" s="622" t="str">
        <f>IF(NOT(ISBLANK('A-RACHNATMAK'!I630)),"A",IF(NOT(ISBLANK('A-RACHNATMAK'!I629)),"B",IF(NOT(ISBLANK('A-RACHNATMAK'!I628)),"C","")))</f>
        <v/>
      </c>
      <c r="I594" s="622" t="str">
        <f>IF(NOT(ISBLANK('A-RACHNATMAK'!J630)),"A",IF(NOT(ISBLANK('A-RACHNATMAK'!J629)),"B",IF(NOT(ISBLANK('A-RACHNATMAK'!J628)),"C","")))</f>
        <v/>
      </c>
      <c r="J594" s="622" t="str">
        <f>IF(NOT(ISBLANK('A-RACHNATMAK'!K630)),"A",IF(NOT(ISBLANK('A-RACHNATMAK'!K629)),"B",IF(NOT(ISBLANK('A-RACHNATMAK'!K628)),"C","")))</f>
        <v/>
      </c>
      <c r="K594" s="622" t="str">
        <f>IF(NOT(ISBLANK('A-RACHNATMAK'!L630)),"A",IF(NOT(ISBLANK('A-RACHNATMAK'!L629)),"B",IF(NOT(ISBLANK('A-RACHNATMAK'!L628)),"C","")))</f>
        <v/>
      </c>
      <c r="L594" s="622" t="str">
        <f>IF(NOT(ISBLANK('A-RACHNATMAK'!M630)),"A",IF(NOT(ISBLANK('A-RACHNATMAK'!M629)),"B",IF(NOT(ISBLANK('A-RACHNATMAK'!M628)),"C","")))</f>
        <v/>
      </c>
      <c r="M594" s="622" t="str">
        <f>IF(NOT(ISBLANK('A-RACHNATMAK'!N630)),"A",IF(NOT(ISBLANK('A-RACHNATMAK'!N629)),"B",IF(NOT(ISBLANK('A-RACHNATMAK'!N628)),"C","")))</f>
        <v/>
      </c>
      <c r="N594" s="622" t="str">
        <f>IF(NOT(ISBLANK('A-RACHNATMAK'!O630)),"A",IF(NOT(ISBLANK('A-RACHNATMAK'!O629)),"B",IF(NOT(ISBLANK('A-RACHNATMAK'!O628)),"C","")))</f>
        <v/>
      </c>
      <c r="O594" s="622" t="str">
        <f>IF(NOT(ISBLANK('A-RACHNATMAK'!P630)),"A",IF(NOT(ISBLANK('A-RACHNATMAK'!P629)),"B",IF(NOT(ISBLANK('A-RACHNATMAK'!P628)),"C","")))</f>
        <v/>
      </c>
      <c r="P594" s="622" t="str">
        <f>IF(NOT(ISBLANK('A-RACHNATMAK'!Q630)),"A",IF(NOT(ISBLANK('A-RACHNATMAK'!Q629)),"B",IF(NOT(ISBLANK('A-RACHNATMAK'!Q628)),"C","")))</f>
        <v/>
      </c>
      <c r="Q594" s="622" t="str">
        <f>IF(NOT(ISBLANK('A-RACHNATMAK'!R630)),"A",IF(NOT(ISBLANK('A-RACHNATMAK'!R629)),"B",IF(NOT(ISBLANK('A-RACHNATMAK'!R628)),"C","")))</f>
        <v/>
      </c>
      <c r="R594" s="622" t="str">
        <f>IF(NOT(ISBLANK('A-RACHNATMAK'!S630)),"A",IF(NOT(ISBLANK('A-RACHNATMAK'!S629)),"B",IF(NOT(ISBLANK('A-RACHNATMAK'!S628)),"C","")))</f>
        <v/>
      </c>
      <c r="S594" s="622" t="str">
        <f>IF(NOT(ISBLANK('A-RACHNATMAK'!T630)),"A",IF(NOT(ISBLANK('A-RACHNATMAK'!T629)),"B",IF(NOT(ISBLANK('A-RACHNATMAK'!T628)),"C","")))</f>
        <v/>
      </c>
      <c r="T594" s="622" t="str">
        <f>IF(NOT(ISBLANK('A-RACHNATMAK'!U630)),"A",IF(NOT(ISBLANK('A-RACHNATMAK'!U629)),"B",IF(NOT(ISBLANK('A-RACHNATMAK'!U628)),"C","")))</f>
        <v/>
      </c>
      <c r="U594" s="622" t="str">
        <f>IF(NOT(ISBLANK('A-RACHNATMAK'!V630)),"A",IF(NOT(ISBLANK('A-RACHNATMAK'!V629)),"B",IF(NOT(ISBLANK('A-RACHNATMAK'!V628)),"C","")))</f>
        <v/>
      </c>
      <c r="V594" s="622">
        <f t="shared" ref="V594" si="1128">COUNTIF(B594:U594,"A")</f>
        <v>0</v>
      </c>
      <c r="W594" s="622">
        <f t="shared" ref="W594" si="1129">COUNTIF(B594:U594,"B")</f>
        <v>0</v>
      </c>
      <c r="X594" s="622">
        <f t="shared" ref="X594" si="1130">COUNTIF(B594:U594,"C")</f>
        <v>0</v>
      </c>
      <c r="Y594" s="330"/>
      <c r="Z594" s="623">
        <v>20</v>
      </c>
      <c r="AA594" s="622" t="str">
        <f>IF(NOT(ISBLANK('A-RACHNATMAK'!AD630)),"A",IF(NOT(ISBLANK('A-RACHNATMAK'!AD629)),"B",IF(NOT(ISBLANK('A-RACHNATMAK'!AD628)),"C","")))</f>
        <v/>
      </c>
      <c r="AB594" s="622" t="str">
        <f>IF(NOT(ISBLANK('A-RACHNATMAK'!AE630)),"A",IF(NOT(ISBLANK('A-RACHNATMAK'!AE629)),"B",IF(NOT(ISBLANK('A-RACHNATMAK'!AE628)),"C","")))</f>
        <v/>
      </c>
      <c r="AC594" s="622" t="str">
        <f>IF(NOT(ISBLANK('A-RACHNATMAK'!AF630)),"A",IF(NOT(ISBLANK('A-RACHNATMAK'!AF629)),"B",IF(NOT(ISBLANK('A-RACHNATMAK'!AF628)),"C","")))</f>
        <v/>
      </c>
      <c r="AD594" s="622" t="str">
        <f>IF(NOT(ISBLANK('A-RACHNATMAK'!AG630)),"A",IF(NOT(ISBLANK('A-RACHNATMAK'!AG629)),"B",IF(NOT(ISBLANK('A-RACHNATMAK'!AG628)),"C","")))</f>
        <v/>
      </c>
      <c r="AE594" s="622" t="str">
        <f>IF(NOT(ISBLANK('A-RACHNATMAK'!AH630)),"A",IF(NOT(ISBLANK('A-RACHNATMAK'!AH629)),"B",IF(NOT(ISBLANK('A-RACHNATMAK'!AH628)),"C","")))</f>
        <v/>
      </c>
      <c r="AF594" s="622" t="str">
        <f>IF(NOT(ISBLANK('A-RACHNATMAK'!AI630)),"A",IF(NOT(ISBLANK('A-RACHNATMAK'!AI629)),"B",IF(NOT(ISBLANK('A-RACHNATMAK'!AI628)),"C","")))</f>
        <v/>
      </c>
      <c r="AG594" s="622" t="str">
        <f>IF(NOT(ISBLANK('A-RACHNATMAK'!AJ630)),"A",IF(NOT(ISBLANK('A-RACHNATMAK'!AJ629)),"B",IF(NOT(ISBLANK('A-RACHNATMAK'!AJ628)),"C","")))</f>
        <v/>
      </c>
      <c r="AH594" s="622" t="str">
        <f>IF(NOT(ISBLANK('A-RACHNATMAK'!AK630)),"A",IF(NOT(ISBLANK('A-RACHNATMAK'!AK629)),"B",IF(NOT(ISBLANK('A-RACHNATMAK'!AK628)),"C","")))</f>
        <v/>
      </c>
      <c r="AI594" s="622" t="str">
        <f>IF(NOT(ISBLANK('A-RACHNATMAK'!AL630)),"A",IF(NOT(ISBLANK('A-RACHNATMAK'!AL629)),"B",IF(NOT(ISBLANK('A-RACHNATMAK'!AL628)),"C","")))</f>
        <v/>
      </c>
      <c r="AJ594" s="622" t="str">
        <f>IF(NOT(ISBLANK('A-RACHNATMAK'!AM630)),"A",IF(NOT(ISBLANK('A-RACHNATMAK'!AM629)),"B",IF(NOT(ISBLANK('A-RACHNATMAK'!AM628)),"C","")))</f>
        <v/>
      </c>
      <c r="AK594" s="622" t="str">
        <f>IF(NOT(ISBLANK('A-RACHNATMAK'!AN630)),"A",IF(NOT(ISBLANK('A-RACHNATMAK'!AN629)),"B",IF(NOT(ISBLANK('A-RACHNATMAK'!AN628)),"C","")))</f>
        <v/>
      </c>
      <c r="AL594" s="622" t="str">
        <f>IF(NOT(ISBLANK('A-RACHNATMAK'!AO630)),"A",IF(NOT(ISBLANK('A-RACHNATMAK'!AO629)),"B",IF(NOT(ISBLANK('A-RACHNATMAK'!AO628)),"C","")))</f>
        <v/>
      </c>
      <c r="AM594" s="622" t="str">
        <f>IF(NOT(ISBLANK('A-RACHNATMAK'!AP630)),"A",IF(NOT(ISBLANK('A-RACHNATMAK'!AP629)),"B",IF(NOT(ISBLANK('A-RACHNATMAK'!AP628)),"C","")))</f>
        <v/>
      </c>
      <c r="AN594" s="622" t="str">
        <f>IF(NOT(ISBLANK('A-RACHNATMAK'!AQ630)),"A",IF(NOT(ISBLANK('A-RACHNATMAK'!AQ629)),"B",IF(NOT(ISBLANK('A-RACHNATMAK'!AQ628)),"C","")))</f>
        <v/>
      </c>
      <c r="AO594" s="622" t="str">
        <f>IF(NOT(ISBLANK('A-RACHNATMAK'!AR630)),"A",IF(NOT(ISBLANK('A-RACHNATMAK'!AR629)),"B",IF(NOT(ISBLANK('A-RACHNATMAK'!AR628)),"C","")))</f>
        <v/>
      </c>
      <c r="AP594" s="622" t="str">
        <f>IF(NOT(ISBLANK('A-RACHNATMAK'!AS630)),"A",IF(NOT(ISBLANK('A-RACHNATMAK'!AS629)),"B",IF(NOT(ISBLANK('A-RACHNATMAK'!AS628)),"C","")))</f>
        <v/>
      </c>
      <c r="AQ594" s="622" t="str">
        <f>IF(NOT(ISBLANK('A-RACHNATMAK'!AT630)),"A",IF(NOT(ISBLANK('A-RACHNATMAK'!AT629)),"B",IF(NOT(ISBLANK('A-RACHNATMAK'!AT628)),"C","")))</f>
        <v/>
      </c>
      <c r="AR594" s="622" t="str">
        <f>IF(NOT(ISBLANK('A-RACHNATMAK'!AU630)),"A",IF(NOT(ISBLANK('A-RACHNATMAK'!AU629)),"B",IF(NOT(ISBLANK('A-RACHNATMAK'!AU628)),"C","")))</f>
        <v/>
      </c>
      <c r="AS594" s="622" t="str">
        <f>IF(NOT(ISBLANK('A-RACHNATMAK'!AV630)),"A",IF(NOT(ISBLANK('A-RACHNATMAK'!AV629)),"B",IF(NOT(ISBLANK('A-RACHNATMAK'!AV628)),"C","")))</f>
        <v/>
      </c>
      <c r="AT594" s="622" t="str">
        <f>IF(NOT(ISBLANK('A-RACHNATMAK'!AW630)),"A",IF(NOT(ISBLANK('A-RACHNATMAK'!AW629)),"B",IF(NOT(ISBLANK('A-RACHNATMAK'!AW628)),"C","")))</f>
        <v/>
      </c>
      <c r="AU594" s="622">
        <f t="shared" ref="AU594" si="1131">COUNTIF(AA594:AT594,"A")</f>
        <v>0</v>
      </c>
      <c r="AV594" s="622">
        <f t="shared" ref="AV594" si="1132">COUNTIF(AA594:AT594,"B")</f>
        <v>0</v>
      </c>
      <c r="AW594" s="622">
        <f t="shared" ref="AW594" si="1133">COUNTIF(AA594:AT594,"C")</f>
        <v>0</v>
      </c>
    </row>
    <row r="595" spans="1:49" ht="7.5" customHeight="1">
      <c r="A595" s="623"/>
      <c r="B595" s="622"/>
      <c r="C595" s="622"/>
      <c r="D595" s="622"/>
      <c r="E595" s="622"/>
      <c r="F595" s="622"/>
      <c r="G595" s="622"/>
      <c r="H595" s="622"/>
      <c r="I595" s="622"/>
      <c r="J595" s="622"/>
      <c r="K595" s="622"/>
      <c r="L595" s="622"/>
      <c r="M595" s="622"/>
      <c r="N595" s="622"/>
      <c r="O595" s="622"/>
      <c r="P595" s="622"/>
      <c r="Q595" s="622"/>
      <c r="R595" s="622"/>
      <c r="S595" s="622"/>
      <c r="T595" s="622"/>
      <c r="U595" s="622"/>
      <c r="V595" s="622"/>
      <c r="W595" s="622"/>
      <c r="X595" s="622"/>
      <c r="Y595" s="330"/>
      <c r="Z595" s="623"/>
      <c r="AA595" s="622"/>
      <c r="AB595" s="622"/>
      <c r="AC595" s="622"/>
      <c r="AD595" s="622"/>
      <c r="AE595" s="622"/>
      <c r="AF595" s="622"/>
      <c r="AG595" s="622"/>
      <c r="AH595" s="622"/>
      <c r="AI595" s="622"/>
      <c r="AJ595" s="622"/>
      <c r="AK595" s="622"/>
      <c r="AL595" s="622"/>
      <c r="AM595" s="622"/>
      <c r="AN595" s="622"/>
      <c r="AO595" s="622"/>
      <c r="AP595" s="622"/>
      <c r="AQ595" s="622"/>
      <c r="AR595" s="622"/>
      <c r="AS595" s="622"/>
      <c r="AT595" s="622"/>
      <c r="AU595" s="622"/>
      <c r="AV595" s="622"/>
      <c r="AW595" s="622"/>
    </row>
    <row r="596" spans="1:49" ht="7.5" customHeight="1">
      <c r="A596" s="623"/>
      <c r="B596" s="622"/>
      <c r="C596" s="622"/>
      <c r="D596" s="622"/>
      <c r="E596" s="622"/>
      <c r="F596" s="622"/>
      <c r="G596" s="622"/>
      <c r="H596" s="622"/>
      <c r="I596" s="622"/>
      <c r="J596" s="622"/>
      <c r="K596" s="622"/>
      <c r="L596" s="622"/>
      <c r="M596" s="622"/>
      <c r="N596" s="622"/>
      <c r="O596" s="622"/>
      <c r="P596" s="622"/>
      <c r="Q596" s="622"/>
      <c r="R596" s="622"/>
      <c r="S596" s="622"/>
      <c r="T596" s="622"/>
      <c r="U596" s="622"/>
      <c r="V596" s="622"/>
      <c r="W596" s="622"/>
      <c r="X596" s="622"/>
      <c r="Y596" s="330"/>
      <c r="Z596" s="623"/>
      <c r="AA596" s="622"/>
      <c r="AB596" s="622"/>
      <c r="AC596" s="622"/>
      <c r="AD596" s="622"/>
      <c r="AE596" s="622"/>
      <c r="AF596" s="622"/>
      <c r="AG596" s="622"/>
      <c r="AH596" s="622"/>
      <c r="AI596" s="622"/>
      <c r="AJ596" s="622"/>
      <c r="AK596" s="622"/>
      <c r="AL596" s="622"/>
      <c r="AM596" s="622"/>
      <c r="AN596" s="622"/>
      <c r="AO596" s="622"/>
      <c r="AP596" s="622"/>
      <c r="AQ596" s="622"/>
      <c r="AR596" s="622"/>
      <c r="AS596" s="622"/>
      <c r="AT596" s="622"/>
      <c r="AU596" s="622"/>
      <c r="AV596" s="622"/>
      <c r="AW596" s="622"/>
    </row>
    <row r="597" spans="1:49" ht="7.5" customHeight="1">
      <c r="A597" s="623">
        <v>21</v>
      </c>
      <c r="B597" s="622" t="str">
        <f>IF(NOT(ISBLANK('A-RACHNATMAK'!C633)),"A",IF(NOT(ISBLANK('A-RACHNATMAK'!C632)),"B",IF(NOT(ISBLANK('A-RACHNATMAK'!C631)),"C","")))</f>
        <v/>
      </c>
      <c r="C597" s="622" t="str">
        <f>IF(NOT(ISBLANK('A-RACHNATMAK'!D633)),"A",IF(NOT(ISBLANK('A-RACHNATMAK'!D632)),"B",IF(NOT(ISBLANK('A-RACHNATMAK'!D631)),"C","")))</f>
        <v/>
      </c>
      <c r="D597" s="622" t="str">
        <f>IF(NOT(ISBLANK('A-RACHNATMAK'!E633)),"A",IF(NOT(ISBLANK('A-RACHNATMAK'!E632)),"B",IF(NOT(ISBLANK('A-RACHNATMAK'!E631)),"C","")))</f>
        <v/>
      </c>
      <c r="E597" s="622" t="str">
        <f>IF(NOT(ISBLANK('A-RACHNATMAK'!F633)),"A",IF(NOT(ISBLANK('A-RACHNATMAK'!F632)),"B",IF(NOT(ISBLANK('A-RACHNATMAK'!F631)),"C","")))</f>
        <v/>
      </c>
      <c r="F597" s="622" t="str">
        <f>IF(NOT(ISBLANK('A-RACHNATMAK'!G633)),"A",IF(NOT(ISBLANK('A-RACHNATMAK'!G632)),"B",IF(NOT(ISBLANK('A-RACHNATMAK'!G631)),"C","")))</f>
        <v/>
      </c>
      <c r="G597" s="622" t="str">
        <f>IF(NOT(ISBLANK('A-RACHNATMAK'!H633)),"A",IF(NOT(ISBLANK('A-RACHNATMAK'!H632)),"B",IF(NOT(ISBLANK('A-RACHNATMAK'!H631)),"C","")))</f>
        <v/>
      </c>
      <c r="H597" s="622" t="str">
        <f>IF(NOT(ISBLANK('A-RACHNATMAK'!I633)),"A",IF(NOT(ISBLANK('A-RACHNATMAK'!I632)),"B",IF(NOT(ISBLANK('A-RACHNATMAK'!I631)),"C","")))</f>
        <v/>
      </c>
      <c r="I597" s="622" t="str">
        <f>IF(NOT(ISBLANK('A-RACHNATMAK'!J633)),"A",IF(NOT(ISBLANK('A-RACHNATMAK'!J632)),"B",IF(NOT(ISBLANK('A-RACHNATMAK'!J631)),"C","")))</f>
        <v/>
      </c>
      <c r="J597" s="622" t="str">
        <f>IF(NOT(ISBLANK('A-RACHNATMAK'!K633)),"A",IF(NOT(ISBLANK('A-RACHNATMAK'!K632)),"B",IF(NOT(ISBLANK('A-RACHNATMAK'!K631)),"C","")))</f>
        <v/>
      </c>
      <c r="K597" s="622" t="str">
        <f>IF(NOT(ISBLANK('A-RACHNATMAK'!L633)),"A",IF(NOT(ISBLANK('A-RACHNATMAK'!L632)),"B",IF(NOT(ISBLANK('A-RACHNATMAK'!L631)),"C","")))</f>
        <v/>
      </c>
      <c r="L597" s="622" t="str">
        <f>IF(NOT(ISBLANK('A-RACHNATMAK'!M633)),"A",IF(NOT(ISBLANK('A-RACHNATMAK'!M632)),"B",IF(NOT(ISBLANK('A-RACHNATMAK'!M631)),"C","")))</f>
        <v/>
      </c>
      <c r="M597" s="622" t="str">
        <f>IF(NOT(ISBLANK('A-RACHNATMAK'!N633)),"A",IF(NOT(ISBLANK('A-RACHNATMAK'!N632)),"B",IF(NOT(ISBLANK('A-RACHNATMAK'!N631)),"C","")))</f>
        <v/>
      </c>
      <c r="N597" s="622" t="str">
        <f>IF(NOT(ISBLANK('A-RACHNATMAK'!O633)),"A",IF(NOT(ISBLANK('A-RACHNATMAK'!O632)),"B",IF(NOT(ISBLANK('A-RACHNATMAK'!O631)),"C","")))</f>
        <v/>
      </c>
      <c r="O597" s="622" t="str">
        <f>IF(NOT(ISBLANK('A-RACHNATMAK'!P633)),"A",IF(NOT(ISBLANK('A-RACHNATMAK'!P632)),"B",IF(NOT(ISBLANK('A-RACHNATMAK'!P631)),"C","")))</f>
        <v/>
      </c>
      <c r="P597" s="622" t="str">
        <f>IF(NOT(ISBLANK('A-RACHNATMAK'!Q633)),"A",IF(NOT(ISBLANK('A-RACHNATMAK'!Q632)),"B",IF(NOT(ISBLANK('A-RACHNATMAK'!Q631)),"C","")))</f>
        <v/>
      </c>
      <c r="Q597" s="622" t="str">
        <f>IF(NOT(ISBLANK('A-RACHNATMAK'!R633)),"A",IF(NOT(ISBLANK('A-RACHNATMAK'!R632)),"B",IF(NOT(ISBLANK('A-RACHNATMAK'!R631)),"C","")))</f>
        <v/>
      </c>
      <c r="R597" s="622" t="str">
        <f>IF(NOT(ISBLANK('A-RACHNATMAK'!S633)),"A",IF(NOT(ISBLANK('A-RACHNATMAK'!S632)),"B",IF(NOT(ISBLANK('A-RACHNATMAK'!S631)),"C","")))</f>
        <v/>
      </c>
      <c r="S597" s="622" t="str">
        <f>IF(NOT(ISBLANK('A-RACHNATMAK'!T633)),"A",IF(NOT(ISBLANK('A-RACHNATMAK'!T632)),"B",IF(NOT(ISBLANK('A-RACHNATMAK'!T631)),"C","")))</f>
        <v/>
      </c>
      <c r="T597" s="622" t="str">
        <f>IF(NOT(ISBLANK('A-RACHNATMAK'!U633)),"A",IF(NOT(ISBLANK('A-RACHNATMAK'!U632)),"B",IF(NOT(ISBLANK('A-RACHNATMAK'!U631)),"C","")))</f>
        <v/>
      </c>
      <c r="U597" s="622" t="str">
        <f>IF(NOT(ISBLANK('A-RACHNATMAK'!V633)),"A",IF(NOT(ISBLANK('A-RACHNATMAK'!V632)),"B",IF(NOT(ISBLANK('A-RACHNATMAK'!V631)),"C","")))</f>
        <v/>
      </c>
      <c r="V597" s="622">
        <f t="shared" ref="V597" si="1134">COUNTIF(B597:U597,"A")</f>
        <v>0</v>
      </c>
      <c r="W597" s="622">
        <f t="shared" ref="W597" si="1135">COUNTIF(B597:U597,"B")</f>
        <v>0</v>
      </c>
      <c r="X597" s="622">
        <f t="shared" ref="X597" si="1136">COUNTIF(B597:U597,"C")</f>
        <v>0</v>
      </c>
      <c r="Y597" s="330"/>
      <c r="Z597" s="623">
        <v>21</v>
      </c>
      <c r="AA597" s="622" t="str">
        <f>IF(NOT(ISBLANK('A-RACHNATMAK'!AD633)),"A",IF(NOT(ISBLANK('A-RACHNATMAK'!AD632)),"B",IF(NOT(ISBLANK('A-RACHNATMAK'!AD631)),"C","")))</f>
        <v/>
      </c>
      <c r="AB597" s="622" t="str">
        <f>IF(NOT(ISBLANK('A-RACHNATMAK'!AE633)),"A",IF(NOT(ISBLANK('A-RACHNATMAK'!AE632)),"B",IF(NOT(ISBLANK('A-RACHNATMAK'!AE631)),"C","")))</f>
        <v/>
      </c>
      <c r="AC597" s="622" t="str">
        <f>IF(NOT(ISBLANK('A-RACHNATMAK'!AF633)),"A",IF(NOT(ISBLANK('A-RACHNATMAK'!AF632)),"B",IF(NOT(ISBLANK('A-RACHNATMAK'!AF631)),"C","")))</f>
        <v/>
      </c>
      <c r="AD597" s="622" t="str">
        <f>IF(NOT(ISBLANK('A-RACHNATMAK'!AG633)),"A",IF(NOT(ISBLANK('A-RACHNATMAK'!AG632)),"B",IF(NOT(ISBLANK('A-RACHNATMAK'!AG631)),"C","")))</f>
        <v/>
      </c>
      <c r="AE597" s="622" t="str">
        <f>IF(NOT(ISBLANK('A-RACHNATMAK'!AH633)),"A",IF(NOT(ISBLANK('A-RACHNATMAK'!AH632)),"B",IF(NOT(ISBLANK('A-RACHNATMAK'!AH631)),"C","")))</f>
        <v/>
      </c>
      <c r="AF597" s="622" t="str">
        <f>IF(NOT(ISBLANK('A-RACHNATMAK'!AI633)),"A",IF(NOT(ISBLANK('A-RACHNATMAK'!AI632)),"B",IF(NOT(ISBLANK('A-RACHNATMAK'!AI631)),"C","")))</f>
        <v/>
      </c>
      <c r="AG597" s="622" t="str">
        <f>IF(NOT(ISBLANK('A-RACHNATMAK'!AJ633)),"A",IF(NOT(ISBLANK('A-RACHNATMAK'!AJ632)),"B",IF(NOT(ISBLANK('A-RACHNATMAK'!AJ631)),"C","")))</f>
        <v/>
      </c>
      <c r="AH597" s="622" t="str">
        <f>IF(NOT(ISBLANK('A-RACHNATMAK'!AK633)),"A",IF(NOT(ISBLANK('A-RACHNATMAK'!AK632)),"B",IF(NOT(ISBLANK('A-RACHNATMAK'!AK631)),"C","")))</f>
        <v/>
      </c>
      <c r="AI597" s="622" t="str">
        <f>IF(NOT(ISBLANK('A-RACHNATMAK'!AL633)),"A",IF(NOT(ISBLANK('A-RACHNATMAK'!AL632)),"B",IF(NOT(ISBLANK('A-RACHNATMAK'!AL631)),"C","")))</f>
        <v/>
      </c>
      <c r="AJ597" s="622" t="str">
        <f>IF(NOT(ISBLANK('A-RACHNATMAK'!AM633)),"A",IF(NOT(ISBLANK('A-RACHNATMAK'!AM632)),"B",IF(NOT(ISBLANK('A-RACHNATMAK'!AM631)),"C","")))</f>
        <v/>
      </c>
      <c r="AK597" s="622" t="str">
        <f>IF(NOT(ISBLANK('A-RACHNATMAK'!AN633)),"A",IF(NOT(ISBLANK('A-RACHNATMAK'!AN632)),"B",IF(NOT(ISBLANK('A-RACHNATMAK'!AN631)),"C","")))</f>
        <v/>
      </c>
      <c r="AL597" s="622" t="str">
        <f>IF(NOT(ISBLANK('A-RACHNATMAK'!AO633)),"A",IF(NOT(ISBLANK('A-RACHNATMAK'!AO632)),"B",IF(NOT(ISBLANK('A-RACHNATMAK'!AO631)),"C","")))</f>
        <v/>
      </c>
      <c r="AM597" s="622" t="str">
        <f>IF(NOT(ISBLANK('A-RACHNATMAK'!AP633)),"A",IF(NOT(ISBLANK('A-RACHNATMAK'!AP632)),"B",IF(NOT(ISBLANK('A-RACHNATMAK'!AP631)),"C","")))</f>
        <v/>
      </c>
      <c r="AN597" s="622" t="str">
        <f>IF(NOT(ISBLANK('A-RACHNATMAK'!AQ633)),"A",IF(NOT(ISBLANK('A-RACHNATMAK'!AQ632)),"B",IF(NOT(ISBLANK('A-RACHNATMAK'!AQ631)),"C","")))</f>
        <v/>
      </c>
      <c r="AO597" s="622" t="str">
        <f>IF(NOT(ISBLANK('A-RACHNATMAK'!AR633)),"A",IF(NOT(ISBLANK('A-RACHNATMAK'!AR632)),"B",IF(NOT(ISBLANK('A-RACHNATMAK'!AR631)),"C","")))</f>
        <v/>
      </c>
      <c r="AP597" s="622" t="str">
        <f>IF(NOT(ISBLANK('A-RACHNATMAK'!AS633)),"A",IF(NOT(ISBLANK('A-RACHNATMAK'!AS632)),"B",IF(NOT(ISBLANK('A-RACHNATMAK'!AS631)),"C","")))</f>
        <v/>
      </c>
      <c r="AQ597" s="622" t="str">
        <f>IF(NOT(ISBLANK('A-RACHNATMAK'!AT633)),"A",IF(NOT(ISBLANK('A-RACHNATMAK'!AT632)),"B",IF(NOT(ISBLANK('A-RACHNATMAK'!AT631)),"C","")))</f>
        <v/>
      </c>
      <c r="AR597" s="622" t="str">
        <f>IF(NOT(ISBLANK('A-RACHNATMAK'!AU633)),"A",IF(NOT(ISBLANK('A-RACHNATMAK'!AU632)),"B",IF(NOT(ISBLANK('A-RACHNATMAK'!AU631)),"C","")))</f>
        <v/>
      </c>
      <c r="AS597" s="622" t="str">
        <f>IF(NOT(ISBLANK('A-RACHNATMAK'!AV633)),"A",IF(NOT(ISBLANK('A-RACHNATMAK'!AV632)),"B",IF(NOT(ISBLANK('A-RACHNATMAK'!AV631)),"C","")))</f>
        <v/>
      </c>
      <c r="AT597" s="622" t="str">
        <f>IF(NOT(ISBLANK('A-RACHNATMAK'!AW633)),"A",IF(NOT(ISBLANK('A-RACHNATMAK'!AW632)),"B",IF(NOT(ISBLANK('A-RACHNATMAK'!AW631)),"C","")))</f>
        <v/>
      </c>
      <c r="AU597" s="622">
        <f t="shared" ref="AU597" si="1137">COUNTIF(AA597:AT597,"A")</f>
        <v>0</v>
      </c>
      <c r="AV597" s="622">
        <f t="shared" ref="AV597" si="1138">COUNTIF(AA597:AT597,"B")</f>
        <v>0</v>
      </c>
      <c r="AW597" s="622">
        <f t="shared" ref="AW597" si="1139">COUNTIF(AA597:AT597,"C")</f>
        <v>0</v>
      </c>
    </row>
    <row r="598" spans="1:49" ht="7.5" customHeight="1">
      <c r="A598" s="623"/>
      <c r="B598" s="622"/>
      <c r="C598" s="622"/>
      <c r="D598" s="622"/>
      <c r="E598" s="622"/>
      <c r="F598" s="622"/>
      <c r="G598" s="622"/>
      <c r="H598" s="622"/>
      <c r="I598" s="622"/>
      <c r="J598" s="622"/>
      <c r="K598" s="622"/>
      <c r="L598" s="622"/>
      <c r="M598" s="622"/>
      <c r="N598" s="622"/>
      <c r="O598" s="622"/>
      <c r="P598" s="622"/>
      <c r="Q598" s="622"/>
      <c r="R598" s="622"/>
      <c r="S598" s="622"/>
      <c r="T598" s="622"/>
      <c r="U598" s="622"/>
      <c r="V598" s="622"/>
      <c r="W598" s="622"/>
      <c r="X598" s="622"/>
      <c r="Y598" s="330"/>
      <c r="Z598" s="623"/>
      <c r="AA598" s="622"/>
      <c r="AB598" s="622"/>
      <c r="AC598" s="622"/>
      <c r="AD598" s="622"/>
      <c r="AE598" s="622"/>
      <c r="AF598" s="622"/>
      <c r="AG598" s="622"/>
      <c r="AH598" s="622"/>
      <c r="AI598" s="622"/>
      <c r="AJ598" s="622"/>
      <c r="AK598" s="622"/>
      <c r="AL598" s="622"/>
      <c r="AM598" s="622"/>
      <c r="AN598" s="622"/>
      <c r="AO598" s="622"/>
      <c r="AP598" s="622"/>
      <c r="AQ598" s="622"/>
      <c r="AR598" s="622"/>
      <c r="AS598" s="622"/>
      <c r="AT598" s="622"/>
      <c r="AU598" s="622"/>
      <c r="AV598" s="622"/>
      <c r="AW598" s="622"/>
    </row>
    <row r="599" spans="1:49" ht="7.5" customHeight="1">
      <c r="A599" s="623"/>
      <c r="B599" s="622"/>
      <c r="C599" s="622"/>
      <c r="D599" s="622"/>
      <c r="E599" s="622"/>
      <c r="F599" s="622"/>
      <c r="G599" s="622"/>
      <c r="H599" s="622"/>
      <c r="I599" s="622"/>
      <c r="J599" s="622"/>
      <c r="K599" s="622"/>
      <c r="L599" s="622"/>
      <c r="M599" s="622"/>
      <c r="N599" s="622"/>
      <c r="O599" s="622"/>
      <c r="P599" s="622"/>
      <c r="Q599" s="622"/>
      <c r="R599" s="622"/>
      <c r="S599" s="622"/>
      <c r="T599" s="622"/>
      <c r="U599" s="622"/>
      <c r="V599" s="622"/>
      <c r="W599" s="622"/>
      <c r="X599" s="622"/>
      <c r="Y599" s="330"/>
      <c r="Z599" s="623"/>
      <c r="AA599" s="622"/>
      <c r="AB599" s="622"/>
      <c r="AC599" s="622"/>
      <c r="AD599" s="622"/>
      <c r="AE599" s="622"/>
      <c r="AF599" s="622"/>
      <c r="AG599" s="622"/>
      <c r="AH599" s="622"/>
      <c r="AI599" s="622"/>
      <c r="AJ599" s="622"/>
      <c r="AK599" s="622"/>
      <c r="AL599" s="622"/>
      <c r="AM599" s="622"/>
      <c r="AN599" s="622"/>
      <c r="AO599" s="622"/>
      <c r="AP599" s="622"/>
      <c r="AQ599" s="622"/>
      <c r="AR599" s="622"/>
      <c r="AS599" s="622"/>
      <c r="AT599" s="622"/>
      <c r="AU599" s="622"/>
      <c r="AV599" s="622"/>
      <c r="AW599" s="622"/>
    </row>
    <row r="600" spans="1:49" ht="7.5" customHeight="1">
      <c r="A600" s="623">
        <v>22</v>
      </c>
      <c r="B600" s="622" t="str">
        <f>IF(NOT(ISBLANK('A-RACHNATMAK'!C636)),"A",IF(NOT(ISBLANK('A-RACHNATMAK'!C635)),"B",IF(NOT(ISBLANK('A-RACHNATMAK'!C634)),"C","")))</f>
        <v/>
      </c>
      <c r="C600" s="622" t="str">
        <f>IF(NOT(ISBLANK('A-RACHNATMAK'!D636)),"A",IF(NOT(ISBLANK('A-RACHNATMAK'!D635)),"B",IF(NOT(ISBLANK('A-RACHNATMAK'!D634)),"C","")))</f>
        <v/>
      </c>
      <c r="D600" s="622" t="str">
        <f>IF(NOT(ISBLANK('A-RACHNATMAK'!E636)),"A",IF(NOT(ISBLANK('A-RACHNATMAK'!E635)),"B",IF(NOT(ISBLANK('A-RACHNATMAK'!E634)),"C","")))</f>
        <v/>
      </c>
      <c r="E600" s="622" t="str">
        <f>IF(NOT(ISBLANK('A-RACHNATMAK'!F636)),"A",IF(NOT(ISBLANK('A-RACHNATMAK'!F635)),"B",IF(NOT(ISBLANK('A-RACHNATMAK'!F634)),"C","")))</f>
        <v/>
      </c>
      <c r="F600" s="622" t="str">
        <f>IF(NOT(ISBLANK('A-RACHNATMAK'!G636)),"A",IF(NOT(ISBLANK('A-RACHNATMAK'!G635)),"B",IF(NOT(ISBLANK('A-RACHNATMAK'!G634)),"C","")))</f>
        <v/>
      </c>
      <c r="G600" s="622" t="str">
        <f>IF(NOT(ISBLANK('A-RACHNATMAK'!H636)),"A",IF(NOT(ISBLANK('A-RACHNATMAK'!H635)),"B",IF(NOT(ISBLANK('A-RACHNATMAK'!H634)),"C","")))</f>
        <v/>
      </c>
      <c r="H600" s="622" t="str">
        <f>IF(NOT(ISBLANK('A-RACHNATMAK'!I636)),"A",IF(NOT(ISBLANK('A-RACHNATMAK'!I635)),"B",IF(NOT(ISBLANK('A-RACHNATMAK'!I634)),"C","")))</f>
        <v/>
      </c>
      <c r="I600" s="622" t="str">
        <f>IF(NOT(ISBLANK('A-RACHNATMAK'!J636)),"A",IF(NOT(ISBLANK('A-RACHNATMAK'!J635)),"B",IF(NOT(ISBLANK('A-RACHNATMAK'!J634)),"C","")))</f>
        <v/>
      </c>
      <c r="J600" s="622" t="str">
        <f>IF(NOT(ISBLANK('A-RACHNATMAK'!K636)),"A",IF(NOT(ISBLANK('A-RACHNATMAK'!K635)),"B",IF(NOT(ISBLANK('A-RACHNATMAK'!K634)),"C","")))</f>
        <v/>
      </c>
      <c r="K600" s="622" t="str">
        <f>IF(NOT(ISBLANK('A-RACHNATMAK'!L636)),"A",IF(NOT(ISBLANK('A-RACHNATMAK'!L635)),"B",IF(NOT(ISBLANK('A-RACHNATMAK'!L634)),"C","")))</f>
        <v/>
      </c>
      <c r="L600" s="622" t="str">
        <f>IF(NOT(ISBLANK('A-RACHNATMAK'!M636)),"A",IF(NOT(ISBLANK('A-RACHNATMAK'!M635)),"B",IF(NOT(ISBLANK('A-RACHNATMAK'!M634)),"C","")))</f>
        <v/>
      </c>
      <c r="M600" s="622" t="str">
        <f>IF(NOT(ISBLANK('A-RACHNATMAK'!N636)),"A",IF(NOT(ISBLANK('A-RACHNATMAK'!N635)),"B",IF(NOT(ISBLANK('A-RACHNATMAK'!N634)),"C","")))</f>
        <v/>
      </c>
      <c r="N600" s="622" t="str">
        <f>IF(NOT(ISBLANK('A-RACHNATMAK'!O636)),"A",IF(NOT(ISBLANK('A-RACHNATMAK'!O635)),"B",IF(NOT(ISBLANK('A-RACHNATMAK'!O634)),"C","")))</f>
        <v/>
      </c>
      <c r="O600" s="622" t="str">
        <f>IF(NOT(ISBLANK('A-RACHNATMAK'!P636)),"A",IF(NOT(ISBLANK('A-RACHNATMAK'!P635)),"B",IF(NOT(ISBLANK('A-RACHNATMAK'!P634)),"C","")))</f>
        <v/>
      </c>
      <c r="P600" s="622" t="str">
        <f>IF(NOT(ISBLANK('A-RACHNATMAK'!Q636)),"A",IF(NOT(ISBLANK('A-RACHNATMAK'!Q635)),"B",IF(NOT(ISBLANK('A-RACHNATMAK'!Q634)),"C","")))</f>
        <v/>
      </c>
      <c r="Q600" s="622" t="str">
        <f>IF(NOT(ISBLANK('A-RACHNATMAK'!R636)),"A",IF(NOT(ISBLANK('A-RACHNATMAK'!R635)),"B",IF(NOT(ISBLANK('A-RACHNATMAK'!R634)),"C","")))</f>
        <v/>
      </c>
      <c r="R600" s="622" t="str">
        <f>IF(NOT(ISBLANK('A-RACHNATMAK'!S636)),"A",IF(NOT(ISBLANK('A-RACHNATMAK'!S635)),"B",IF(NOT(ISBLANK('A-RACHNATMAK'!S634)),"C","")))</f>
        <v/>
      </c>
      <c r="S600" s="622" t="str">
        <f>IF(NOT(ISBLANK('A-RACHNATMAK'!T636)),"A",IF(NOT(ISBLANK('A-RACHNATMAK'!T635)),"B",IF(NOT(ISBLANK('A-RACHNATMAK'!T634)),"C","")))</f>
        <v/>
      </c>
      <c r="T600" s="622" t="str">
        <f>IF(NOT(ISBLANK('A-RACHNATMAK'!U636)),"A",IF(NOT(ISBLANK('A-RACHNATMAK'!U635)),"B",IF(NOT(ISBLANK('A-RACHNATMAK'!U634)),"C","")))</f>
        <v/>
      </c>
      <c r="U600" s="622" t="str">
        <f>IF(NOT(ISBLANK('A-RACHNATMAK'!V636)),"A",IF(NOT(ISBLANK('A-RACHNATMAK'!V635)),"B",IF(NOT(ISBLANK('A-RACHNATMAK'!V634)),"C","")))</f>
        <v/>
      </c>
      <c r="V600" s="622">
        <f t="shared" ref="V600" si="1140">COUNTIF(B600:U600,"A")</f>
        <v>0</v>
      </c>
      <c r="W600" s="622">
        <f t="shared" ref="W600" si="1141">COUNTIF(B600:U600,"B")</f>
        <v>0</v>
      </c>
      <c r="X600" s="622">
        <f t="shared" ref="X600" si="1142">COUNTIF(B600:U600,"C")</f>
        <v>0</v>
      </c>
      <c r="Y600" s="330"/>
      <c r="Z600" s="623">
        <v>22</v>
      </c>
      <c r="AA600" s="622" t="str">
        <f>IF(NOT(ISBLANK('A-RACHNATMAK'!AD636)),"A",IF(NOT(ISBLANK('A-RACHNATMAK'!AD635)),"B",IF(NOT(ISBLANK('A-RACHNATMAK'!AD634)),"C","")))</f>
        <v/>
      </c>
      <c r="AB600" s="622" t="str">
        <f>IF(NOT(ISBLANK('A-RACHNATMAK'!AE636)),"A",IF(NOT(ISBLANK('A-RACHNATMAK'!AE635)),"B",IF(NOT(ISBLANK('A-RACHNATMAK'!AE634)),"C","")))</f>
        <v/>
      </c>
      <c r="AC600" s="622" t="str">
        <f>IF(NOT(ISBLANK('A-RACHNATMAK'!AF636)),"A",IF(NOT(ISBLANK('A-RACHNATMAK'!AF635)),"B",IF(NOT(ISBLANK('A-RACHNATMAK'!AF634)),"C","")))</f>
        <v/>
      </c>
      <c r="AD600" s="622" t="str">
        <f>IF(NOT(ISBLANK('A-RACHNATMAK'!AG636)),"A",IF(NOT(ISBLANK('A-RACHNATMAK'!AG635)),"B",IF(NOT(ISBLANK('A-RACHNATMAK'!AG634)),"C","")))</f>
        <v/>
      </c>
      <c r="AE600" s="622" t="str">
        <f>IF(NOT(ISBLANK('A-RACHNATMAK'!AH636)),"A",IF(NOT(ISBLANK('A-RACHNATMAK'!AH635)),"B",IF(NOT(ISBLANK('A-RACHNATMAK'!AH634)),"C","")))</f>
        <v/>
      </c>
      <c r="AF600" s="622" t="str">
        <f>IF(NOT(ISBLANK('A-RACHNATMAK'!AI636)),"A",IF(NOT(ISBLANK('A-RACHNATMAK'!AI635)),"B",IF(NOT(ISBLANK('A-RACHNATMAK'!AI634)),"C","")))</f>
        <v/>
      </c>
      <c r="AG600" s="622" t="str">
        <f>IF(NOT(ISBLANK('A-RACHNATMAK'!AJ636)),"A",IF(NOT(ISBLANK('A-RACHNATMAK'!AJ635)),"B",IF(NOT(ISBLANK('A-RACHNATMAK'!AJ634)),"C","")))</f>
        <v/>
      </c>
      <c r="AH600" s="622" t="str">
        <f>IF(NOT(ISBLANK('A-RACHNATMAK'!AK636)),"A",IF(NOT(ISBLANK('A-RACHNATMAK'!AK635)),"B",IF(NOT(ISBLANK('A-RACHNATMAK'!AK634)),"C","")))</f>
        <v/>
      </c>
      <c r="AI600" s="622" t="str">
        <f>IF(NOT(ISBLANK('A-RACHNATMAK'!AL636)),"A",IF(NOT(ISBLANK('A-RACHNATMAK'!AL635)),"B",IF(NOT(ISBLANK('A-RACHNATMAK'!AL634)),"C","")))</f>
        <v/>
      </c>
      <c r="AJ600" s="622" t="str">
        <f>IF(NOT(ISBLANK('A-RACHNATMAK'!AM636)),"A",IF(NOT(ISBLANK('A-RACHNATMAK'!AM635)),"B",IF(NOT(ISBLANK('A-RACHNATMAK'!AM634)),"C","")))</f>
        <v/>
      </c>
      <c r="AK600" s="622" t="str">
        <f>IF(NOT(ISBLANK('A-RACHNATMAK'!AN636)),"A",IF(NOT(ISBLANK('A-RACHNATMAK'!AN635)),"B",IF(NOT(ISBLANK('A-RACHNATMAK'!AN634)),"C","")))</f>
        <v/>
      </c>
      <c r="AL600" s="622" t="str">
        <f>IF(NOT(ISBLANK('A-RACHNATMAK'!AO636)),"A",IF(NOT(ISBLANK('A-RACHNATMAK'!AO635)),"B",IF(NOT(ISBLANK('A-RACHNATMAK'!AO634)),"C","")))</f>
        <v/>
      </c>
      <c r="AM600" s="622" t="str">
        <f>IF(NOT(ISBLANK('A-RACHNATMAK'!AP636)),"A",IF(NOT(ISBLANK('A-RACHNATMAK'!AP635)),"B",IF(NOT(ISBLANK('A-RACHNATMAK'!AP634)),"C","")))</f>
        <v/>
      </c>
      <c r="AN600" s="622" t="str">
        <f>IF(NOT(ISBLANK('A-RACHNATMAK'!AQ636)),"A",IF(NOT(ISBLANK('A-RACHNATMAK'!AQ635)),"B",IF(NOT(ISBLANK('A-RACHNATMAK'!AQ634)),"C","")))</f>
        <v/>
      </c>
      <c r="AO600" s="622" t="str">
        <f>IF(NOT(ISBLANK('A-RACHNATMAK'!AR636)),"A",IF(NOT(ISBLANK('A-RACHNATMAK'!AR635)),"B",IF(NOT(ISBLANK('A-RACHNATMAK'!AR634)),"C","")))</f>
        <v/>
      </c>
      <c r="AP600" s="622" t="str">
        <f>IF(NOT(ISBLANK('A-RACHNATMAK'!AS636)),"A",IF(NOT(ISBLANK('A-RACHNATMAK'!AS635)),"B",IF(NOT(ISBLANK('A-RACHNATMAK'!AS634)),"C","")))</f>
        <v/>
      </c>
      <c r="AQ600" s="622" t="str">
        <f>IF(NOT(ISBLANK('A-RACHNATMAK'!AT636)),"A",IF(NOT(ISBLANK('A-RACHNATMAK'!AT635)),"B",IF(NOT(ISBLANK('A-RACHNATMAK'!AT634)),"C","")))</f>
        <v/>
      </c>
      <c r="AR600" s="622" t="str">
        <f>IF(NOT(ISBLANK('A-RACHNATMAK'!AU636)),"A",IF(NOT(ISBLANK('A-RACHNATMAK'!AU635)),"B",IF(NOT(ISBLANK('A-RACHNATMAK'!AU634)),"C","")))</f>
        <v/>
      </c>
      <c r="AS600" s="622" t="str">
        <f>IF(NOT(ISBLANK('A-RACHNATMAK'!AV636)),"A",IF(NOT(ISBLANK('A-RACHNATMAK'!AV635)),"B",IF(NOT(ISBLANK('A-RACHNATMAK'!AV634)),"C","")))</f>
        <v/>
      </c>
      <c r="AT600" s="622" t="str">
        <f>IF(NOT(ISBLANK('A-RACHNATMAK'!AW636)),"A",IF(NOT(ISBLANK('A-RACHNATMAK'!AW635)),"B",IF(NOT(ISBLANK('A-RACHNATMAK'!AW634)),"C","")))</f>
        <v/>
      </c>
      <c r="AU600" s="622">
        <f t="shared" ref="AU600" si="1143">COUNTIF(AA600:AT600,"A")</f>
        <v>0</v>
      </c>
      <c r="AV600" s="622">
        <f t="shared" ref="AV600" si="1144">COUNTIF(AA600:AT600,"B")</f>
        <v>0</v>
      </c>
      <c r="AW600" s="622">
        <f t="shared" ref="AW600" si="1145">COUNTIF(AA600:AT600,"C")</f>
        <v>0</v>
      </c>
    </row>
    <row r="601" spans="1:49" ht="7.5" customHeight="1">
      <c r="A601" s="623"/>
      <c r="B601" s="622"/>
      <c r="C601" s="622"/>
      <c r="D601" s="622"/>
      <c r="E601" s="622"/>
      <c r="F601" s="622"/>
      <c r="G601" s="622"/>
      <c r="H601" s="622"/>
      <c r="I601" s="622"/>
      <c r="J601" s="622"/>
      <c r="K601" s="622"/>
      <c r="L601" s="622"/>
      <c r="M601" s="622"/>
      <c r="N601" s="622"/>
      <c r="O601" s="622"/>
      <c r="P601" s="622"/>
      <c r="Q601" s="622"/>
      <c r="R601" s="622"/>
      <c r="S601" s="622"/>
      <c r="T601" s="622"/>
      <c r="U601" s="622"/>
      <c r="V601" s="622"/>
      <c r="W601" s="622"/>
      <c r="X601" s="622"/>
      <c r="Y601" s="330"/>
      <c r="Z601" s="623"/>
      <c r="AA601" s="622"/>
      <c r="AB601" s="622"/>
      <c r="AC601" s="622"/>
      <c r="AD601" s="622"/>
      <c r="AE601" s="622"/>
      <c r="AF601" s="622"/>
      <c r="AG601" s="622"/>
      <c r="AH601" s="622"/>
      <c r="AI601" s="622"/>
      <c r="AJ601" s="622"/>
      <c r="AK601" s="622"/>
      <c r="AL601" s="622"/>
      <c r="AM601" s="622"/>
      <c r="AN601" s="622"/>
      <c r="AO601" s="622"/>
      <c r="AP601" s="622"/>
      <c r="AQ601" s="622"/>
      <c r="AR601" s="622"/>
      <c r="AS601" s="622"/>
      <c r="AT601" s="622"/>
      <c r="AU601" s="622"/>
      <c r="AV601" s="622"/>
      <c r="AW601" s="622"/>
    </row>
    <row r="602" spans="1:49" ht="7.5" customHeight="1">
      <c r="A602" s="623"/>
      <c r="B602" s="622"/>
      <c r="C602" s="622"/>
      <c r="D602" s="622"/>
      <c r="E602" s="622"/>
      <c r="F602" s="622"/>
      <c r="G602" s="622"/>
      <c r="H602" s="622"/>
      <c r="I602" s="622"/>
      <c r="J602" s="622"/>
      <c r="K602" s="622"/>
      <c r="L602" s="622"/>
      <c r="M602" s="622"/>
      <c r="N602" s="622"/>
      <c r="O602" s="622"/>
      <c r="P602" s="622"/>
      <c r="Q602" s="622"/>
      <c r="R602" s="622"/>
      <c r="S602" s="622"/>
      <c r="T602" s="622"/>
      <c r="U602" s="622"/>
      <c r="V602" s="622"/>
      <c r="W602" s="622"/>
      <c r="X602" s="622"/>
      <c r="Y602" s="330"/>
      <c r="Z602" s="623"/>
      <c r="AA602" s="622"/>
      <c r="AB602" s="622"/>
      <c r="AC602" s="622"/>
      <c r="AD602" s="622"/>
      <c r="AE602" s="622"/>
      <c r="AF602" s="622"/>
      <c r="AG602" s="622"/>
      <c r="AH602" s="622"/>
      <c r="AI602" s="622"/>
      <c r="AJ602" s="622"/>
      <c r="AK602" s="622"/>
      <c r="AL602" s="622"/>
      <c r="AM602" s="622"/>
      <c r="AN602" s="622"/>
      <c r="AO602" s="622"/>
      <c r="AP602" s="622"/>
      <c r="AQ602" s="622"/>
      <c r="AR602" s="622"/>
      <c r="AS602" s="622"/>
      <c r="AT602" s="622"/>
      <c r="AU602" s="622"/>
      <c r="AV602" s="622"/>
      <c r="AW602" s="622"/>
    </row>
    <row r="603" spans="1:49" ht="7.5" customHeight="1">
      <c r="A603" s="623">
        <v>23</v>
      </c>
      <c r="B603" s="622" t="str">
        <f>IF(NOT(ISBLANK('A-RACHNATMAK'!C639)),"A",IF(NOT(ISBLANK('A-RACHNATMAK'!C638)),"B",IF(NOT(ISBLANK('A-RACHNATMAK'!C637)),"C","")))</f>
        <v/>
      </c>
      <c r="C603" s="622" t="str">
        <f>IF(NOT(ISBLANK('A-RACHNATMAK'!D639)),"A",IF(NOT(ISBLANK('A-RACHNATMAK'!D638)),"B",IF(NOT(ISBLANK('A-RACHNATMAK'!D637)),"C","")))</f>
        <v/>
      </c>
      <c r="D603" s="622" t="str">
        <f>IF(NOT(ISBLANK('A-RACHNATMAK'!E639)),"A",IF(NOT(ISBLANK('A-RACHNATMAK'!E638)),"B",IF(NOT(ISBLANK('A-RACHNATMAK'!E637)),"C","")))</f>
        <v/>
      </c>
      <c r="E603" s="622" t="str">
        <f>IF(NOT(ISBLANK('A-RACHNATMAK'!F639)),"A",IF(NOT(ISBLANK('A-RACHNATMAK'!F638)),"B",IF(NOT(ISBLANK('A-RACHNATMAK'!F637)),"C","")))</f>
        <v/>
      </c>
      <c r="F603" s="622" t="str">
        <f>IF(NOT(ISBLANK('A-RACHNATMAK'!G639)),"A",IF(NOT(ISBLANK('A-RACHNATMAK'!G638)),"B",IF(NOT(ISBLANK('A-RACHNATMAK'!G637)),"C","")))</f>
        <v/>
      </c>
      <c r="G603" s="622" t="str">
        <f>IF(NOT(ISBLANK('A-RACHNATMAK'!H639)),"A",IF(NOT(ISBLANK('A-RACHNATMAK'!H638)),"B",IF(NOT(ISBLANK('A-RACHNATMAK'!H637)),"C","")))</f>
        <v/>
      </c>
      <c r="H603" s="622" t="str">
        <f>IF(NOT(ISBLANK('A-RACHNATMAK'!I639)),"A",IF(NOT(ISBLANK('A-RACHNATMAK'!I638)),"B",IF(NOT(ISBLANK('A-RACHNATMAK'!I637)),"C","")))</f>
        <v/>
      </c>
      <c r="I603" s="622" t="str">
        <f>IF(NOT(ISBLANK('A-RACHNATMAK'!J639)),"A",IF(NOT(ISBLANK('A-RACHNATMAK'!J638)),"B",IF(NOT(ISBLANK('A-RACHNATMAK'!J637)),"C","")))</f>
        <v/>
      </c>
      <c r="J603" s="622" t="str">
        <f>IF(NOT(ISBLANK('A-RACHNATMAK'!K639)),"A",IF(NOT(ISBLANK('A-RACHNATMAK'!K638)),"B",IF(NOT(ISBLANK('A-RACHNATMAK'!K637)),"C","")))</f>
        <v/>
      </c>
      <c r="K603" s="622" t="str">
        <f>IF(NOT(ISBLANK('A-RACHNATMAK'!L639)),"A",IF(NOT(ISBLANK('A-RACHNATMAK'!L638)),"B",IF(NOT(ISBLANK('A-RACHNATMAK'!L637)),"C","")))</f>
        <v/>
      </c>
      <c r="L603" s="622" t="str">
        <f>IF(NOT(ISBLANK('A-RACHNATMAK'!M639)),"A",IF(NOT(ISBLANK('A-RACHNATMAK'!M638)),"B",IF(NOT(ISBLANK('A-RACHNATMAK'!M637)),"C","")))</f>
        <v/>
      </c>
      <c r="M603" s="622" t="str">
        <f>IF(NOT(ISBLANK('A-RACHNATMAK'!N639)),"A",IF(NOT(ISBLANK('A-RACHNATMAK'!N638)),"B",IF(NOT(ISBLANK('A-RACHNATMAK'!N637)),"C","")))</f>
        <v/>
      </c>
      <c r="N603" s="622" t="str">
        <f>IF(NOT(ISBLANK('A-RACHNATMAK'!O639)),"A",IF(NOT(ISBLANK('A-RACHNATMAK'!O638)),"B",IF(NOT(ISBLANK('A-RACHNATMAK'!O637)),"C","")))</f>
        <v/>
      </c>
      <c r="O603" s="622" t="str">
        <f>IF(NOT(ISBLANK('A-RACHNATMAK'!P639)),"A",IF(NOT(ISBLANK('A-RACHNATMAK'!P638)),"B",IF(NOT(ISBLANK('A-RACHNATMAK'!P637)),"C","")))</f>
        <v/>
      </c>
      <c r="P603" s="622" t="str">
        <f>IF(NOT(ISBLANK('A-RACHNATMAK'!Q639)),"A",IF(NOT(ISBLANK('A-RACHNATMAK'!Q638)),"B",IF(NOT(ISBLANK('A-RACHNATMAK'!Q637)),"C","")))</f>
        <v/>
      </c>
      <c r="Q603" s="622" t="str">
        <f>IF(NOT(ISBLANK('A-RACHNATMAK'!R639)),"A",IF(NOT(ISBLANK('A-RACHNATMAK'!R638)),"B",IF(NOT(ISBLANK('A-RACHNATMAK'!R637)),"C","")))</f>
        <v/>
      </c>
      <c r="R603" s="622" t="str">
        <f>IF(NOT(ISBLANK('A-RACHNATMAK'!S639)),"A",IF(NOT(ISBLANK('A-RACHNATMAK'!S638)),"B",IF(NOT(ISBLANK('A-RACHNATMAK'!S637)),"C","")))</f>
        <v/>
      </c>
      <c r="S603" s="622" t="str">
        <f>IF(NOT(ISBLANK('A-RACHNATMAK'!T639)),"A",IF(NOT(ISBLANK('A-RACHNATMAK'!T638)),"B",IF(NOT(ISBLANK('A-RACHNATMAK'!T637)),"C","")))</f>
        <v/>
      </c>
      <c r="T603" s="622" t="str">
        <f>IF(NOT(ISBLANK('A-RACHNATMAK'!U639)),"A",IF(NOT(ISBLANK('A-RACHNATMAK'!U638)),"B",IF(NOT(ISBLANK('A-RACHNATMAK'!U637)),"C","")))</f>
        <v/>
      </c>
      <c r="U603" s="622" t="str">
        <f>IF(NOT(ISBLANK('A-RACHNATMAK'!V639)),"A",IF(NOT(ISBLANK('A-RACHNATMAK'!V638)),"B",IF(NOT(ISBLANK('A-RACHNATMAK'!V637)),"C","")))</f>
        <v/>
      </c>
      <c r="V603" s="622">
        <f t="shared" ref="V603" si="1146">COUNTIF(B603:U603,"A")</f>
        <v>0</v>
      </c>
      <c r="W603" s="622">
        <f t="shared" ref="W603" si="1147">COUNTIF(B603:U603,"B")</f>
        <v>0</v>
      </c>
      <c r="X603" s="622">
        <f t="shared" ref="X603" si="1148">COUNTIF(B603:U603,"C")</f>
        <v>0</v>
      </c>
      <c r="Y603" s="330"/>
      <c r="Z603" s="623">
        <v>23</v>
      </c>
      <c r="AA603" s="622" t="str">
        <f>IF(NOT(ISBLANK('A-RACHNATMAK'!AD639)),"A",IF(NOT(ISBLANK('A-RACHNATMAK'!AD638)),"B",IF(NOT(ISBLANK('A-RACHNATMAK'!AD637)),"C","")))</f>
        <v/>
      </c>
      <c r="AB603" s="622" t="str">
        <f>IF(NOT(ISBLANK('A-RACHNATMAK'!AE639)),"A",IF(NOT(ISBLANK('A-RACHNATMAK'!AE638)),"B",IF(NOT(ISBLANK('A-RACHNATMAK'!AE637)),"C","")))</f>
        <v/>
      </c>
      <c r="AC603" s="622" t="str">
        <f>IF(NOT(ISBLANK('A-RACHNATMAK'!AF639)),"A",IF(NOT(ISBLANK('A-RACHNATMAK'!AF638)),"B",IF(NOT(ISBLANK('A-RACHNATMAK'!AF637)),"C","")))</f>
        <v/>
      </c>
      <c r="AD603" s="622" t="str">
        <f>IF(NOT(ISBLANK('A-RACHNATMAK'!AG639)),"A",IF(NOT(ISBLANK('A-RACHNATMAK'!AG638)),"B",IF(NOT(ISBLANK('A-RACHNATMAK'!AG637)),"C","")))</f>
        <v/>
      </c>
      <c r="AE603" s="622" t="str">
        <f>IF(NOT(ISBLANK('A-RACHNATMAK'!AH639)),"A",IF(NOT(ISBLANK('A-RACHNATMAK'!AH638)),"B",IF(NOT(ISBLANK('A-RACHNATMAK'!AH637)),"C","")))</f>
        <v/>
      </c>
      <c r="AF603" s="622" t="str">
        <f>IF(NOT(ISBLANK('A-RACHNATMAK'!AI639)),"A",IF(NOT(ISBLANK('A-RACHNATMAK'!AI638)),"B",IF(NOT(ISBLANK('A-RACHNATMAK'!AI637)),"C","")))</f>
        <v/>
      </c>
      <c r="AG603" s="622" t="str">
        <f>IF(NOT(ISBLANK('A-RACHNATMAK'!AJ639)),"A",IF(NOT(ISBLANK('A-RACHNATMAK'!AJ638)),"B",IF(NOT(ISBLANK('A-RACHNATMAK'!AJ637)),"C","")))</f>
        <v/>
      </c>
      <c r="AH603" s="622" t="str">
        <f>IF(NOT(ISBLANK('A-RACHNATMAK'!AK639)),"A",IF(NOT(ISBLANK('A-RACHNATMAK'!AK638)),"B",IF(NOT(ISBLANK('A-RACHNATMAK'!AK637)),"C","")))</f>
        <v/>
      </c>
      <c r="AI603" s="622" t="str">
        <f>IF(NOT(ISBLANK('A-RACHNATMAK'!AL639)),"A",IF(NOT(ISBLANK('A-RACHNATMAK'!AL638)),"B",IF(NOT(ISBLANK('A-RACHNATMAK'!AL637)),"C","")))</f>
        <v/>
      </c>
      <c r="AJ603" s="622" t="str">
        <f>IF(NOT(ISBLANK('A-RACHNATMAK'!AM639)),"A",IF(NOT(ISBLANK('A-RACHNATMAK'!AM638)),"B",IF(NOT(ISBLANK('A-RACHNATMAK'!AM637)),"C","")))</f>
        <v/>
      </c>
      <c r="AK603" s="622" t="str">
        <f>IF(NOT(ISBLANK('A-RACHNATMAK'!AN639)),"A",IF(NOT(ISBLANK('A-RACHNATMAK'!AN638)),"B",IF(NOT(ISBLANK('A-RACHNATMAK'!AN637)),"C","")))</f>
        <v/>
      </c>
      <c r="AL603" s="622" t="str">
        <f>IF(NOT(ISBLANK('A-RACHNATMAK'!AO639)),"A",IF(NOT(ISBLANK('A-RACHNATMAK'!AO638)),"B",IF(NOT(ISBLANK('A-RACHNATMAK'!AO637)),"C","")))</f>
        <v/>
      </c>
      <c r="AM603" s="622" t="str">
        <f>IF(NOT(ISBLANK('A-RACHNATMAK'!AP639)),"A",IF(NOT(ISBLANK('A-RACHNATMAK'!AP638)),"B",IF(NOT(ISBLANK('A-RACHNATMAK'!AP637)),"C","")))</f>
        <v/>
      </c>
      <c r="AN603" s="622" t="str">
        <f>IF(NOT(ISBLANK('A-RACHNATMAK'!AQ639)),"A",IF(NOT(ISBLANK('A-RACHNATMAK'!AQ638)),"B",IF(NOT(ISBLANK('A-RACHNATMAK'!AQ637)),"C","")))</f>
        <v/>
      </c>
      <c r="AO603" s="622" t="str">
        <f>IF(NOT(ISBLANK('A-RACHNATMAK'!AR639)),"A",IF(NOT(ISBLANK('A-RACHNATMAK'!AR638)),"B",IF(NOT(ISBLANK('A-RACHNATMAK'!AR637)),"C","")))</f>
        <v/>
      </c>
      <c r="AP603" s="622" t="str">
        <f>IF(NOT(ISBLANK('A-RACHNATMAK'!AS639)),"A",IF(NOT(ISBLANK('A-RACHNATMAK'!AS638)),"B",IF(NOT(ISBLANK('A-RACHNATMAK'!AS637)),"C","")))</f>
        <v/>
      </c>
      <c r="AQ603" s="622" t="str">
        <f>IF(NOT(ISBLANK('A-RACHNATMAK'!AT639)),"A",IF(NOT(ISBLANK('A-RACHNATMAK'!AT638)),"B",IF(NOT(ISBLANK('A-RACHNATMAK'!AT637)),"C","")))</f>
        <v/>
      </c>
      <c r="AR603" s="622" t="str">
        <f>IF(NOT(ISBLANK('A-RACHNATMAK'!AU639)),"A",IF(NOT(ISBLANK('A-RACHNATMAK'!AU638)),"B",IF(NOT(ISBLANK('A-RACHNATMAK'!AU637)),"C","")))</f>
        <v/>
      </c>
      <c r="AS603" s="622" t="str">
        <f>IF(NOT(ISBLANK('A-RACHNATMAK'!AV639)),"A",IF(NOT(ISBLANK('A-RACHNATMAK'!AV638)),"B",IF(NOT(ISBLANK('A-RACHNATMAK'!AV637)),"C","")))</f>
        <v/>
      </c>
      <c r="AT603" s="622" t="str">
        <f>IF(NOT(ISBLANK('A-RACHNATMAK'!AW639)),"A",IF(NOT(ISBLANK('A-RACHNATMAK'!AW638)),"B",IF(NOT(ISBLANK('A-RACHNATMAK'!AW637)),"C","")))</f>
        <v/>
      </c>
      <c r="AU603" s="622">
        <f t="shared" ref="AU603" si="1149">COUNTIF(AA603:AT603,"A")</f>
        <v>0</v>
      </c>
      <c r="AV603" s="622">
        <f t="shared" ref="AV603" si="1150">COUNTIF(AA603:AT603,"B")</f>
        <v>0</v>
      </c>
      <c r="AW603" s="622">
        <f t="shared" ref="AW603" si="1151">COUNTIF(AA603:AT603,"C")</f>
        <v>0</v>
      </c>
    </row>
    <row r="604" spans="1:49" ht="7.5" customHeight="1">
      <c r="A604" s="623"/>
      <c r="B604" s="622"/>
      <c r="C604" s="622"/>
      <c r="D604" s="622"/>
      <c r="E604" s="622"/>
      <c r="F604" s="622"/>
      <c r="G604" s="622"/>
      <c r="H604" s="622"/>
      <c r="I604" s="622"/>
      <c r="J604" s="622"/>
      <c r="K604" s="622"/>
      <c r="L604" s="622"/>
      <c r="M604" s="622"/>
      <c r="N604" s="622"/>
      <c r="O604" s="622"/>
      <c r="P604" s="622"/>
      <c r="Q604" s="622"/>
      <c r="R604" s="622"/>
      <c r="S604" s="622"/>
      <c r="T604" s="622"/>
      <c r="U604" s="622"/>
      <c r="V604" s="622"/>
      <c r="W604" s="622"/>
      <c r="X604" s="622"/>
      <c r="Y604" s="330"/>
      <c r="Z604" s="623"/>
      <c r="AA604" s="622"/>
      <c r="AB604" s="622"/>
      <c r="AC604" s="622"/>
      <c r="AD604" s="622"/>
      <c r="AE604" s="622"/>
      <c r="AF604" s="622"/>
      <c r="AG604" s="622"/>
      <c r="AH604" s="622"/>
      <c r="AI604" s="622"/>
      <c r="AJ604" s="622"/>
      <c r="AK604" s="622"/>
      <c r="AL604" s="622"/>
      <c r="AM604" s="622"/>
      <c r="AN604" s="622"/>
      <c r="AO604" s="622"/>
      <c r="AP604" s="622"/>
      <c r="AQ604" s="622"/>
      <c r="AR604" s="622"/>
      <c r="AS604" s="622"/>
      <c r="AT604" s="622"/>
      <c r="AU604" s="622"/>
      <c r="AV604" s="622"/>
      <c r="AW604" s="622"/>
    </row>
    <row r="605" spans="1:49" ht="7.5" customHeight="1">
      <c r="A605" s="623"/>
      <c r="B605" s="622"/>
      <c r="C605" s="622"/>
      <c r="D605" s="622"/>
      <c r="E605" s="622"/>
      <c r="F605" s="622"/>
      <c r="G605" s="622"/>
      <c r="H605" s="622"/>
      <c r="I605" s="622"/>
      <c r="J605" s="622"/>
      <c r="K605" s="622"/>
      <c r="L605" s="622"/>
      <c r="M605" s="622"/>
      <c r="N605" s="622"/>
      <c r="O605" s="622"/>
      <c r="P605" s="622"/>
      <c r="Q605" s="622"/>
      <c r="R605" s="622"/>
      <c r="S605" s="622"/>
      <c r="T605" s="622"/>
      <c r="U605" s="622"/>
      <c r="V605" s="622"/>
      <c r="W605" s="622"/>
      <c r="X605" s="622"/>
      <c r="Y605" s="330"/>
      <c r="Z605" s="623"/>
      <c r="AA605" s="622"/>
      <c r="AB605" s="622"/>
      <c r="AC605" s="622"/>
      <c r="AD605" s="622"/>
      <c r="AE605" s="622"/>
      <c r="AF605" s="622"/>
      <c r="AG605" s="622"/>
      <c r="AH605" s="622"/>
      <c r="AI605" s="622"/>
      <c r="AJ605" s="622"/>
      <c r="AK605" s="622"/>
      <c r="AL605" s="622"/>
      <c r="AM605" s="622"/>
      <c r="AN605" s="622"/>
      <c r="AO605" s="622"/>
      <c r="AP605" s="622"/>
      <c r="AQ605" s="622"/>
      <c r="AR605" s="622"/>
      <c r="AS605" s="622"/>
      <c r="AT605" s="622"/>
      <c r="AU605" s="622"/>
      <c r="AV605" s="622"/>
      <c r="AW605" s="622"/>
    </row>
    <row r="606" spans="1:49" ht="7.5" customHeight="1">
      <c r="A606" s="623">
        <v>24</v>
      </c>
      <c r="B606" s="622" t="str">
        <f>IF(NOT(ISBLANK('A-RACHNATMAK'!C642)),"A",IF(NOT(ISBLANK('A-RACHNATMAK'!C641)),"B",IF(NOT(ISBLANK('A-RACHNATMAK'!C640)),"C","")))</f>
        <v/>
      </c>
      <c r="C606" s="622" t="str">
        <f>IF(NOT(ISBLANK('A-RACHNATMAK'!D642)),"A",IF(NOT(ISBLANK('A-RACHNATMAK'!D641)),"B",IF(NOT(ISBLANK('A-RACHNATMAK'!D640)),"C","")))</f>
        <v/>
      </c>
      <c r="D606" s="622" t="str">
        <f>IF(NOT(ISBLANK('A-RACHNATMAK'!E642)),"A",IF(NOT(ISBLANK('A-RACHNATMAK'!E641)),"B",IF(NOT(ISBLANK('A-RACHNATMAK'!E640)),"C","")))</f>
        <v/>
      </c>
      <c r="E606" s="622" t="str">
        <f>IF(NOT(ISBLANK('A-RACHNATMAK'!F642)),"A",IF(NOT(ISBLANK('A-RACHNATMAK'!F641)),"B",IF(NOT(ISBLANK('A-RACHNATMAK'!F640)),"C","")))</f>
        <v/>
      </c>
      <c r="F606" s="622" t="str">
        <f>IF(NOT(ISBLANK('A-RACHNATMAK'!G642)),"A",IF(NOT(ISBLANK('A-RACHNATMAK'!G641)),"B",IF(NOT(ISBLANK('A-RACHNATMAK'!G640)),"C","")))</f>
        <v/>
      </c>
      <c r="G606" s="622" t="str">
        <f>IF(NOT(ISBLANK('A-RACHNATMAK'!H642)),"A",IF(NOT(ISBLANK('A-RACHNATMAK'!H641)),"B",IF(NOT(ISBLANK('A-RACHNATMAK'!H640)),"C","")))</f>
        <v/>
      </c>
      <c r="H606" s="622" t="str">
        <f>IF(NOT(ISBLANK('A-RACHNATMAK'!I642)),"A",IF(NOT(ISBLANK('A-RACHNATMAK'!I641)),"B",IF(NOT(ISBLANK('A-RACHNATMAK'!I640)),"C","")))</f>
        <v/>
      </c>
      <c r="I606" s="622" t="str">
        <f>IF(NOT(ISBLANK('A-RACHNATMAK'!J642)),"A",IF(NOT(ISBLANK('A-RACHNATMAK'!J641)),"B",IF(NOT(ISBLANK('A-RACHNATMAK'!J640)),"C","")))</f>
        <v/>
      </c>
      <c r="J606" s="622" t="str">
        <f>IF(NOT(ISBLANK('A-RACHNATMAK'!K642)),"A",IF(NOT(ISBLANK('A-RACHNATMAK'!K641)),"B",IF(NOT(ISBLANK('A-RACHNATMAK'!K640)),"C","")))</f>
        <v/>
      </c>
      <c r="K606" s="622" t="str">
        <f>IF(NOT(ISBLANK('A-RACHNATMAK'!L642)),"A",IF(NOT(ISBLANK('A-RACHNATMAK'!L641)),"B",IF(NOT(ISBLANK('A-RACHNATMAK'!L640)),"C","")))</f>
        <v/>
      </c>
      <c r="L606" s="622" t="str">
        <f>IF(NOT(ISBLANK('A-RACHNATMAK'!M642)),"A",IF(NOT(ISBLANK('A-RACHNATMAK'!M641)),"B",IF(NOT(ISBLANK('A-RACHNATMAK'!M640)),"C","")))</f>
        <v/>
      </c>
      <c r="M606" s="622" t="str">
        <f>IF(NOT(ISBLANK('A-RACHNATMAK'!N642)),"A",IF(NOT(ISBLANK('A-RACHNATMAK'!N641)),"B",IF(NOT(ISBLANK('A-RACHNATMAK'!N640)),"C","")))</f>
        <v/>
      </c>
      <c r="N606" s="622" t="str">
        <f>IF(NOT(ISBLANK('A-RACHNATMAK'!O642)),"A",IF(NOT(ISBLANK('A-RACHNATMAK'!O641)),"B",IF(NOT(ISBLANK('A-RACHNATMAK'!O640)),"C","")))</f>
        <v/>
      </c>
      <c r="O606" s="622" t="str">
        <f>IF(NOT(ISBLANK('A-RACHNATMAK'!P642)),"A",IF(NOT(ISBLANK('A-RACHNATMAK'!P641)),"B",IF(NOT(ISBLANK('A-RACHNATMAK'!P640)),"C","")))</f>
        <v/>
      </c>
      <c r="P606" s="622" t="str">
        <f>IF(NOT(ISBLANK('A-RACHNATMAK'!Q642)),"A",IF(NOT(ISBLANK('A-RACHNATMAK'!Q641)),"B",IF(NOT(ISBLANK('A-RACHNATMAK'!Q640)),"C","")))</f>
        <v/>
      </c>
      <c r="Q606" s="622" t="str">
        <f>IF(NOT(ISBLANK('A-RACHNATMAK'!R642)),"A",IF(NOT(ISBLANK('A-RACHNATMAK'!R641)),"B",IF(NOT(ISBLANK('A-RACHNATMAK'!R640)),"C","")))</f>
        <v/>
      </c>
      <c r="R606" s="622" t="str">
        <f>IF(NOT(ISBLANK('A-RACHNATMAK'!S642)),"A",IF(NOT(ISBLANK('A-RACHNATMAK'!S641)),"B",IF(NOT(ISBLANK('A-RACHNATMAK'!S640)),"C","")))</f>
        <v/>
      </c>
      <c r="S606" s="622" t="str">
        <f>IF(NOT(ISBLANK('A-RACHNATMAK'!T642)),"A",IF(NOT(ISBLANK('A-RACHNATMAK'!T641)),"B",IF(NOT(ISBLANK('A-RACHNATMAK'!T640)),"C","")))</f>
        <v/>
      </c>
      <c r="T606" s="622" t="str">
        <f>IF(NOT(ISBLANK('A-RACHNATMAK'!U642)),"A",IF(NOT(ISBLANK('A-RACHNATMAK'!U641)),"B",IF(NOT(ISBLANK('A-RACHNATMAK'!U640)),"C","")))</f>
        <v/>
      </c>
      <c r="U606" s="622" t="str">
        <f>IF(NOT(ISBLANK('A-RACHNATMAK'!V642)),"A",IF(NOT(ISBLANK('A-RACHNATMAK'!V641)),"B",IF(NOT(ISBLANK('A-RACHNATMAK'!V640)),"C","")))</f>
        <v/>
      </c>
      <c r="V606" s="622">
        <f t="shared" ref="V606" si="1152">COUNTIF(B606:U606,"A")</f>
        <v>0</v>
      </c>
      <c r="W606" s="622">
        <f t="shared" ref="W606" si="1153">COUNTIF(B606:U606,"B")</f>
        <v>0</v>
      </c>
      <c r="X606" s="622">
        <f t="shared" ref="X606" si="1154">COUNTIF(B606:U606,"C")</f>
        <v>0</v>
      </c>
      <c r="Y606" s="330"/>
      <c r="Z606" s="623">
        <v>24</v>
      </c>
      <c r="AA606" s="622" t="str">
        <f>IF(NOT(ISBLANK('A-RACHNATMAK'!AD642)),"A",IF(NOT(ISBLANK('A-RACHNATMAK'!AD641)),"B",IF(NOT(ISBLANK('A-RACHNATMAK'!AD640)),"C","")))</f>
        <v/>
      </c>
      <c r="AB606" s="622" t="str">
        <f>IF(NOT(ISBLANK('A-RACHNATMAK'!AE642)),"A",IF(NOT(ISBLANK('A-RACHNATMAK'!AE641)),"B",IF(NOT(ISBLANK('A-RACHNATMAK'!AE640)),"C","")))</f>
        <v/>
      </c>
      <c r="AC606" s="622" t="str">
        <f>IF(NOT(ISBLANK('A-RACHNATMAK'!AF642)),"A",IF(NOT(ISBLANK('A-RACHNATMAK'!AF641)),"B",IF(NOT(ISBLANK('A-RACHNATMAK'!AF640)),"C","")))</f>
        <v/>
      </c>
      <c r="AD606" s="622" t="str">
        <f>IF(NOT(ISBLANK('A-RACHNATMAK'!AG642)),"A",IF(NOT(ISBLANK('A-RACHNATMAK'!AG641)),"B",IF(NOT(ISBLANK('A-RACHNATMAK'!AG640)),"C","")))</f>
        <v/>
      </c>
      <c r="AE606" s="622" t="str">
        <f>IF(NOT(ISBLANK('A-RACHNATMAK'!AH642)),"A",IF(NOT(ISBLANK('A-RACHNATMAK'!AH641)),"B",IF(NOT(ISBLANK('A-RACHNATMAK'!AH640)),"C","")))</f>
        <v/>
      </c>
      <c r="AF606" s="622" t="str">
        <f>IF(NOT(ISBLANK('A-RACHNATMAK'!AI642)),"A",IF(NOT(ISBLANK('A-RACHNATMAK'!AI641)),"B",IF(NOT(ISBLANK('A-RACHNATMAK'!AI640)),"C","")))</f>
        <v/>
      </c>
      <c r="AG606" s="622" t="str">
        <f>IF(NOT(ISBLANK('A-RACHNATMAK'!AJ642)),"A",IF(NOT(ISBLANK('A-RACHNATMAK'!AJ641)),"B",IF(NOT(ISBLANK('A-RACHNATMAK'!AJ640)),"C","")))</f>
        <v/>
      </c>
      <c r="AH606" s="622" t="str">
        <f>IF(NOT(ISBLANK('A-RACHNATMAK'!AK642)),"A",IF(NOT(ISBLANK('A-RACHNATMAK'!AK641)),"B",IF(NOT(ISBLANK('A-RACHNATMAK'!AK640)),"C","")))</f>
        <v/>
      </c>
      <c r="AI606" s="622" t="str">
        <f>IF(NOT(ISBLANK('A-RACHNATMAK'!AL642)),"A",IF(NOT(ISBLANK('A-RACHNATMAK'!AL641)),"B",IF(NOT(ISBLANK('A-RACHNATMAK'!AL640)),"C","")))</f>
        <v/>
      </c>
      <c r="AJ606" s="622" t="str">
        <f>IF(NOT(ISBLANK('A-RACHNATMAK'!AM642)),"A",IF(NOT(ISBLANK('A-RACHNATMAK'!AM641)),"B",IF(NOT(ISBLANK('A-RACHNATMAK'!AM640)),"C","")))</f>
        <v/>
      </c>
      <c r="AK606" s="622" t="str">
        <f>IF(NOT(ISBLANK('A-RACHNATMAK'!AN642)),"A",IF(NOT(ISBLANK('A-RACHNATMAK'!AN641)),"B",IF(NOT(ISBLANK('A-RACHNATMAK'!AN640)),"C","")))</f>
        <v/>
      </c>
      <c r="AL606" s="622" t="str">
        <f>IF(NOT(ISBLANK('A-RACHNATMAK'!AO642)),"A",IF(NOT(ISBLANK('A-RACHNATMAK'!AO641)),"B",IF(NOT(ISBLANK('A-RACHNATMAK'!AO640)),"C","")))</f>
        <v/>
      </c>
      <c r="AM606" s="622" t="str">
        <f>IF(NOT(ISBLANK('A-RACHNATMAK'!AP642)),"A",IF(NOT(ISBLANK('A-RACHNATMAK'!AP641)),"B",IF(NOT(ISBLANK('A-RACHNATMAK'!AP640)),"C","")))</f>
        <v/>
      </c>
      <c r="AN606" s="622" t="str">
        <f>IF(NOT(ISBLANK('A-RACHNATMAK'!AQ642)),"A",IF(NOT(ISBLANK('A-RACHNATMAK'!AQ641)),"B",IF(NOT(ISBLANK('A-RACHNATMAK'!AQ640)),"C","")))</f>
        <v/>
      </c>
      <c r="AO606" s="622" t="str">
        <f>IF(NOT(ISBLANK('A-RACHNATMAK'!AR642)),"A",IF(NOT(ISBLANK('A-RACHNATMAK'!AR641)),"B",IF(NOT(ISBLANK('A-RACHNATMAK'!AR640)),"C","")))</f>
        <v/>
      </c>
      <c r="AP606" s="622" t="str">
        <f>IF(NOT(ISBLANK('A-RACHNATMAK'!AS642)),"A",IF(NOT(ISBLANK('A-RACHNATMAK'!AS641)),"B",IF(NOT(ISBLANK('A-RACHNATMAK'!AS640)),"C","")))</f>
        <v/>
      </c>
      <c r="AQ606" s="622" t="str">
        <f>IF(NOT(ISBLANK('A-RACHNATMAK'!AT642)),"A",IF(NOT(ISBLANK('A-RACHNATMAK'!AT641)),"B",IF(NOT(ISBLANK('A-RACHNATMAK'!AT640)),"C","")))</f>
        <v/>
      </c>
      <c r="AR606" s="622" t="str">
        <f>IF(NOT(ISBLANK('A-RACHNATMAK'!AU642)),"A",IF(NOT(ISBLANK('A-RACHNATMAK'!AU641)),"B",IF(NOT(ISBLANK('A-RACHNATMAK'!AU640)),"C","")))</f>
        <v/>
      </c>
      <c r="AS606" s="622" t="str">
        <f>IF(NOT(ISBLANK('A-RACHNATMAK'!AV642)),"A",IF(NOT(ISBLANK('A-RACHNATMAK'!AV641)),"B",IF(NOT(ISBLANK('A-RACHNATMAK'!AV640)),"C","")))</f>
        <v/>
      </c>
      <c r="AT606" s="622" t="str">
        <f>IF(NOT(ISBLANK('A-RACHNATMAK'!AW642)),"A",IF(NOT(ISBLANK('A-RACHNATMAK'!AW641)),"B",IF(NOT(ISBLANK('A-RACHNATMAK'!AW640)),"C","")))</f>
        <v/>
      </c>
      <c r="AU606" s="622">
        <f t="shared" ref="AU606" si="1155">COUNTIF(AA606:AT606,"A")</f>
        <v>0</v>
      </c>
      <c r="AV606" s="622">
        <f t="shared" ref="AV606" si="1156">COUNTIF(AA606:AT606,"B")</f>
        <v>0</v>
      </c>
      <c r="AW606" s="622">
        <f t="shared" ref="AW606" si="1157">COUNTIF(AA606:AT606,"C")</f>
        <v>0</v>
      </c>
    </row>
    <row r="607" spans="1:49" ht="7.5" customHeight="1">
      <c r="A607" s="623"/>
      <c r="B607" s="622"/>
      <c r="C607" s="622"/>
      <c r="D607" s="622"/>
      <c r="E607" s="622"/>
      <c r="F607" s="622"/>
      <c r="G607" s="622"/>
      <c r="H607" s="622"/>
      <c r="I607" s="622"/>
      <c r="J607" s="622"/>
      <c r="K607" s="622"/>
      <c r="L607" s="622"/>
      <c r="M607" s="622"/>
      <c r="N607" s="622"/>
      <c r="O607" s="622"/>
      <c r="P607" s="622"/>
      <c r="Q607" s="622"/>
      <c r="R607" s="622"/>
      <c r="S607" s="622"/>
      <c r="T607" s="622"/>
      <c r="U607" s="622"/>
      <c r="V607" s="622"/>
      <c r="W607" s="622"/>
      <c r="X607" s="622"/>
      <c r="Y607" s="330"/>
      <c r="Z607" s="623"/>
      <c r="AA607" s="622"/>
      <c r="AB607" s="622"/>
      <c r="AC607" s="622"/>
      <c r="AD607" s="622"/>
      <c r="AE607" s="622"/>
      <c r="AF607" s="622"/>
      <c r="AG607" s="622"/>
      <c r="AH607" s="622"/>
      <c r="AI607" s="622"/>
      <c r="AJ607" s="622"/>
      <c r="AK607" s="622"/>
      <c r="AL607" s="622"/>
      <c r="AM607" s="622"/>
      <c r="AN607" s="622"/>
      <c r="AO607" s="622"/>
      <c r="AP607" s="622"/>
      <c r="AQ607" s="622"/>
      <c r="AR607" s="622"/>
      <c r="AS607" s="622"/>
      <c r="AT607" s="622"/>
      <c r="AU607" s="622"/>
      <c r="AV607" s="622"/>
      <c r="AW607" s="622"/>
    </row>
    <row r="608" spans="1:49" ht="7.5" customHeight="1">
      <c r="A608" s="623"/>
      <c r="B608" s="622"/>
      <c r="C608" s="622"/>
      <c r="D608" s="622"/>
      <c r="E608" s="622"/>
      <c r="F608" s="622"/>
      <c r="G608" s="622"/>
      <c r="H608" s="622"/>
      <c r="I608" s="622"/>
      <c r="J608" s="622"/>
      <c r="K608" s="622"/>
      <c r="L608" s="622"/>
      <c r="M608" s="622"/>
      <c r="N608" s="622"/>
      <c r="O608" s="622"/>
      <c r="P608" s="622"/>
      <c r="Q608" s="622"/>
      <c r="R608" s="622"/>
      <c r="S608" s="622"/>
      <c r="T608" s="622"/>
      <c r="U608" s="622"/>
      <c r="V608" s="622"/>
      <c r="W608" s="622"/>
      <c r="X608" s="622"/>
      <c r="Y608" s="330"/>
      <c r="Z608" s="623"/>
      <c r="AA608" s="622"/>
      <c r="AB608" s="622"/>
      <c r="AC608" s="622"/>
      <c r="AD608" s="622"/>
      <c r="AE608" s="622"/>
      <c r="AF608" s="622"/>
      <c r="AG608" s="622"/>
      <c r="AH608" s="622"/>
      <c r="AI608" s="622"/>
      <c r="AJ608" s="622"/>
      <c r="AK608" s="622"/>
      <c r="AL608" s="622"/>
      <c r="AM608" s="622"/>
      <c r="AN608" s="622"/>
      <c r="AO608" s="622"/>
      <c r="AP608" s="622"/>
      <c r="AQ608" s="622"/>
      <c r="AR608" s="622"/>
      <c r="AS608" s="622"/>
      <c r="AT608" s="622"/>
      <c r="AU608" s="622"/>
      <c r="AV608" s="622"/>
      <c r="AW608" s="622"/>
    </row>
    <row r="609" spans="1:49" ht="7.5" customHeight="1">
      <c r="A609" s="623">
        <v>25</v>
      </c>
      <c r="B609" s="622" t="str">
        <f>IF(NOT(ISBLANK('A-RACHNATMAK'!C645)),"A",IF(NOT(ISBLANK('A-RACHNATMAK'!C644)),"B",IF(NOT(ISBLANK('A-RACHNATMAK'!C643)),"C","")))</f>
        <v/>
      </c>
      <c r="C609" s="622" t="str">
        <f>IF(NOT(ISBLANK('A-RACHNATMAK'!D645)),"A",IF(NOT(ISBLANK('A-RACHNATMAK'!D644)),"B",IF(NOT(ISBLANK('A-RACHNATMAK'!D643)),"C","")))</f>
        <v/>
      </c>
      <c r="D609" s="622" t="str">
        <f>IF(NOT(ISBLANK('A-RACHNATMAK'!E645)),"A",IF(NOT(ISBLANK('A-RACHNATMAK'!E644)),"B",IF(NOT(ISBLANK('A-RACHNATMAK'!E643)),"C","")))</f>
        <v/>
      </c>
      <c r="E609" s="622" t="str">
        <f>IF(NOT(ISBLANK('A-RACHNATMAK'!F645)),"A",IF(NOT(ISBLANK('A-RACHNATMAK'!F644)),"B",IF(NOT(ISBLANK('A-RACHNATMAK'!F643)),"C","")))</f>
        <v/>
      </c>
      <c r="F609" s="622" t="str">
        <f>IF(NOT(ISBLANK('A-RACHNATMAK'!G645)),"A",IF(NOT(ISBLANK('A-RACHNATMAK'!G644)),"B",IF(NOT(ISBLANK('A-RACHNATMAK'!G643)),"C","")))</f>
        <v/>
      </c>
      <c r="G609" s="622" t="str">
        <f>IF(NOT(ISBLANK('A-RACHNATMAK'!H645)),"A",IF(NOT(ISBLANK('A-RACHNATMAK'!H644)),"B",IF(NOT(ISBLANK('A-RACHNATMAK'!H643)),"C","")))</f>
        <v/>
      </c>
      <c r="H609" s="622" t="str">
        <f>IF(NOT(ISBLANK('A-RACHNATMAK'!I645)),"A",IF(NOT(ISBLANK('A-RACHNATMAK'!I644)),"B",IF(NOT(ISBLANK('A-RACHNATMAK'!I643)),"C","")))</f>
        <v/>
      </c>
      <c r="I609" s="622" t="str">
        <f>IF(NOT(ISBLANK('A-RACHNATMAK'!J645)),"A",IF(NOT(ISBLANK('A-RACHNATMAK'!J644)),"B",IF(NOT(ISBLANK('A-RACHNATMAK'!J643)),"C","")))</f>
        <v/>
      </c>
      <c r="J609" s="622" t="str">
        <f>IF(NOT(ISBLANK('A-RACHNATMAK'!K645)),"A",IF(NOT(ISBLANK('A-RACHNATMAK'!K644)),"B",IF(NOT(ISBLANK('A-RACHNATMAK'!K643)),"C","")))</f>
        <v/>
      </c>
      <c r="K609" s="622" t="str">
        <f>IF(NOT(ISBLANK('A-RACHNATMAK'!L645)),"A",IF(NOT(ISBLANK('A-RACHNATMAK'!L644)),"B",IF(NOT(ISBLANK('A-RACHNATMAK'!L643)),"C","")))</f>
        <v/>
      </c>
      <c r="L609" s="622" t="str">
        <f>IF(NOT(ISBLANK('A-RACHNATMAK'!M645)),"A",IF(NOT(ISBLANK('A-RACHNATMAK'!M644)),"B",IF(NOT(ISBLANK('A-RACHNATMAK'!M643)),"C","")))</f>
        <v/>
      </c>
      <c r="M609" s="622" t="str">
        <f>IF(NOT(ISBLANK('A-RACHNATMAK'!N645)),"A",IF(NOT(ISBLANK('A-RACHNATMAK'!N644)),"B",IF(NOT(ISBLANK('A-RACHNATMAK'!N643)),"C","")))</f>
        <v/>
      </c>
      <c r="N609" s="622" t="str">
        <f>IF(NOT(ISBLANK('A-RACHNATMAK'!O645)),"A",IF(NOT(ISBLANK('A-RACHNATMAK'!O644)),"B",IF(NOT(ISBLANK('A-RACHNATMAK'!O643)),"C","")))</f>
        <v/>
      </c>
      <c r="O609" s="622" t="str">
        <f>IF(NOT(ISBLANK('A-RACHNATMAK'!P645)),"A",IF(NOT(ISBLANK('A-RACHNATMAK'!P644)),"B",IF(NOT(ISBLANK('A-RACHNATMAK'!P643)),"C","")))</f>
        <v/>
      </c>
      <c r="P609" s="622" t="str">
        <f>IF(NOT(ISBLANK('A-RACHNATMAK'!Q645)),"A",IF(NOT(ISBLANK('A-RACHNATMAK'!Q644)),"B",IF(NOT(ISBLANK('A-RACHNATMAK'!Q643)),"C","")))</f>
        <v/>
      </c>
      <c r="Q609" s="622" t="str">
        <f>IF(NOT(ISBLANK('A-RACHNATMAK'!R645)),"A",IF(NOT(ISBLANK('A-RACHNATMAK'!R644)),"B",IF(NOT(ISBLANK('A-RACHNATMAK'!R643)),"C","")))</f>
        <v/>
      </c>
      <c r="R609" s="622" t="str">
        <f>IF(NOT(ISBLANK('A-RACHNATMAK'!S645)),"A",IF(NOT(ISBLANK('A-RACHNATMAK'!S644)),"B",IF(NOT(ISBLANK('A-RACHNATMAK'!S643)),"C","")))</f>
        <v/>
      </c>
      <c r="S609" s="622" t="str">
        <f>IF(NOT(ISBLANK('A-RACHNATMAK'!T645)),"A",IF(NOT(ISBLANK('A-RACHNATMAK'!T644)),"B",IF(NOT(ISBLANK('A-RACHNATMAK'!T643)),"C","")))</f>
        <v/>
      </c>
      <c r="T609" s="622" t="str">
        <f>IF(NOT(ISBLANK('A-RACHNATMAK'!U645)),"A",IF(NOT(ISBLANK('A-RACHNATMAK'!U644)),"B",IF(NOT(ISBLANK('A-RACHNATMAK'!U643)),"C","")))</f>
        <v/>
      </c>
      <c r="U609" s="622" t="str">
        <f>IF(NOT(ISBLANK('A-RACHNATMAK'!V645)),"A",IF(NOT(ISBLANK('A-RACHNATMAK'!V644)),"B",IF(NOT(ISBLANK('A-RACHNATMAK'!V643)),"C","")))</f>
        <v/>
      </c>
      <c r="V609" s="622">
        <f t="shared" ref="V609" si="1158">COUNTIF(B609:U609,"A")</f>
        <v>0</v>
      </c>
      <c r="W609" s="622">
        <f t="shared" ref="W609" si="1159">COUNTIF(B609:U609,"B")</f>
        <v>0</v>
      </c>
      <c r="X609" s="622">
        <f t="shared" ref="X609" si="1160">COUNTIF(B609:U609,"C")</f>
        <v>0</v>
      </c>
      <c r="Y609" s="330"/>
      <c r="Z609" s="623">
        <v>25</v>
      </c>
      <c r="AA609" s="622" t="str">
        <f>IF(NOT(ISBLANK('A-RACHNATMAK'!AD645)),"A",IF(NOT(ISBLANK('A-RACHNATMAK'!AD644)),"B",IF(NOT(ISBLANK('A-RACHNATMAK'!AD643)),"C","")))</f>
        <v/>
      </c>
      <c r="AB609" s="622" t="str">
        <f>IF(NOT(ISBLANK('A-RACHNATMAK'!AE645)),"A",IF(NOT(ISBLANK('A-RACHNATMAK'!AE644)),"B",IF(NOT(ISBLANK('A-RACHNATMAK'!AE643)),"C","")))</f>
        <v/>
      </c>
      <c r="AC609" s="622" t="str">
        <f>IF(NOT(ISBLANK('A-RACHNATMAK'!AF645)),"A",IF(NOT(ISBLANK('A-RACHNATMAK'!AF644)),"B",IF(NOT(ISBLANK('A-RACHNATMAK'!AF643)),"C","")))</f>
        <v/>
      </c>
      <c r="AD609" s="622" t="str">
        <f>IF(NOT(ISBLANK('A-RACHNATMAK'!AG645)),"A",IF(NOT(ISBLANK('A-RACHNATMAK'!AG644)),"B",IF(NOT(ISBLANK('A-RACHNATMAK'!AG643)),"C","")))</f>
        <v/>
      </c>
      <c r="AE609" s="622" t="str">
        <f>IF(NOT(ISBLANK('A-RACHNATMAK'!AH645)),"A",IF(NOT(ISBLANK('A-RACHNATMAK'!AH644)),"B",IF(NOT(ISBLANK('A-RACHNATMAK'!AH643)),"C","")))</f>
        <v/>
      </c>
      <c r="AF609" s="622" t="str">
        <f>IF(NOT(ISBLANK('A-RACHNATMAK'!AI645)),"A",IF(NOT(ISBLANK('A-RACHNATMAK'!AI644)),"B",IF(NOT(ISBLANK('A-RACHNATMAK'!AI643)),"C","")))</f>
        <v/>
      </c>
      <c r="AG609" s="622" t="str">
        <f>IF(NOT(ISBLANK('A-RACHNATMAK'!AJ645)),"A",IF(NOT(ISBLANK('A-RACHNATMAK'!AJ644)),"B",IF(NOT(ISBLANK('A-RACHNATMAK'!AJ643)),"C","")))</f>
        <v/>
      </c>
      <c r="AH609" s="622" t="str">
        <f>IF(NOT(ISBLANK('A-RACHNATMAK'!AK645)),"A",IF(NOT(ISBLANK('A-RACHNATMAK'!AK644)),"B",IF(NOT(ISBLANK('A-RACHNATMAK'!AK643)),"C","")))</f>
        <v/>
      </c>
      <c r="AI609" s="622" t="str">
        <f>IF(NOT(ISBLANK('A-RACHNATMAK'!AL645)),"A",IF(NOT(ISBLANK('A-RACHNATMAK'!AL644)),"B",IF(NOT(ISBLANK('A-RACHNATMAK'!AL643)),"C","")))</f>
        <v/>
      </c>
      <c r="AJ609" s="622" t="str">
        <f>IF(NOT(ISBLANK('A-RACHNATMAK'!AM645)),"A",IF(NOT(ISBLANK('A-RACHNATMAK'!AM644)),"B",IF(NOT(ISBLANK('A-RACHNATMAK'!AM643)),"C","")))</f>
        <v/>
      </c>
      <c r="AK609" s="622" t="str">
        <f>IF(NOT(ISBLANK('A-RACHNATMAK'!AN645)),"A",IF(NOT(ISBLANK('A-RACHNATMAK'!AN644)),"B",IF(NOT(ISBLANK('A-RACHNATMAK'!AN643)),"C","")))</f>
        <v/>
      </c>
      <c r="AL609" s="622" t="str">
        <f>IF(NOT(ISBLANK('A-RACHNATMAK'!AO645)),"A",IF(NOT(ISBLANK('A-RACHNATMAK'!AO644)),"B",IF(NOT(ISBLANK('A-RACHNATMAK'!AO643)),"C","")))</f>
        <v/>
      </c>
      <c r="AM609" s="622" t="str">
        <f>IF(NOT(ISBLANK('A-RACHNATMAK'!AP645)),"A",IF(NOT(ISBLANK('A-RACHNATMAK'!AP644)),"B",IF(NOT(ISBLANK('A-RACHNATMAK'!AP643)),"C","")))</f>
        <v/>
      </c>
      <c r="AN609" s="622" t="str">
        <f>IF(NOT(ISBLANK('A-RACHNATMAK'!AQ645)),"A",IF(NOT(ISBLANK('A-RACHNATMAK'!AQ644)),"B",IF(NOT(ISBLANK('A-RACHNATMAK'!AQ643)),"C","")))</f>
        <v/>
      </c>
      <c r="AO609" s="622" t="str">
        <f>IF(NOT(ISBLANK('A-RACHNATMAK'!AR645)),"A",IF(NOT(ISBLANK('A-RACHNATMAK'!AR644)),"B",IF(NOT(ISBLANK('A-RACHNATMAK'!AR643)),"C","")))</f>
        <v/>
      </c>
      <c r="AP609" s="622" t="str">
        <f>IF(NOT(ISBLANK('A-RACHNATMAK'!AS645)),"A",IF(NOT(ISBLANK('A-RACHNATMAK'!AS644)),"B",IF(NOT(ISBLANK('A-RACHNATMAK'!AS643)),"C","")))</f>
        <v/>
      </c>
      <c r="AQ609" s="622" t="str">
        <f>IF(NOT(ISBLANK('A-RACHNATMAK'!AT645)),"A",IF(NOT(ISBLANK('A-RACHNATMAK'!AT644)),"B",IF(NOT(ISBLANK('A-RACHNATMAK'!AT643)),"C","")))</f>
        <v/>
      </c>
      <c r="AR609" s="622" t="str">
        <f>IF(NOT(ISBLANK('A-RACHNATMAK'!AU645)),"A",IF(NOT(ISBLANK('A-RACHNATMAK'!AU644)),"B",IF(NOT(ISBLANK('A-RACHNATMAK'!AU643)),"C","")))</f>
        <v/>
      </c>
      <c r="AS609" s="622" t="str">
        <f>IF(NOT(ISBLANK('A-RACHNATMAK'!AV645)),"A",IF(NOT(ISBLANK('A-RACHNATMAK'!AV644)),"B",IF(NOT(ISBLANK('A-RACHNATMAK'!AV643)),"C","")))</f>
        <v/>
      </c>
      <c r="AT609" s="622" t="str">
        <f>IF(NOT(ISBLANK('A-RACHNATMAK'!AW645)),"A",IF(NOT(ISBLANK('A-RACHNATMAK'!AW644)),"B",IF(NOT(ISBLANK('A-RACHNATMAK'!AW643)),"C","")))</f>
        <v/>
      </c>
      <c r="AU609" s="622">
        <f t="shared" ref="AU609" si="1161">COUNTIF(AA609:AT609,"A")</f>
        <v>0</v>
      </c>
      <c r="AV609" s="622">
        <f t="shared" ref="AV609" si="1162">COUNTIF(AA609:AT609,"B")</f>
        <v>0</v>
      </c>
      <c r="AW609" s="622">
        <f t="shared" ref="AW609" si="1163">COUNTIF(AA609:AT609,"C")</f>
        <v>0</v>
      </c>
    </row>
    <row r="610" spans="1:49" ht="7.5" customHeight="1">
      <c r="A610" s="623"/>
      <c r="B610" s="622"/>
      <c r="C610" s="622"/>
      <c r="D610" s="622"/>
      <c r="E610" s="622"/>
      <c r="F610" s="622"/>
      <c r="G610" s="622"/>
      <c r="H610" s="622"/>
      <c r="I610" s="622"/>
      <c r="J610" s="622"/>
      <c r="K610" s="622"/>
      <c r="L610" s="622"/>
      <c r="M610" s="622"/>
      <c r="N610" s="622"/>
      <c r="O610" s="622"/>
      <c r="P610" s="622"/>
      <c r="Q610" s="622"/>
      <c r="R610" s="622"/>
      <c r="S610" s="622"/>
      <c r="T610" s="622"/>
      <c r="U610" s="622"/>
      <c r="V610" s="622"/>
      <c r="W610" s="622"/>
      <c r="X610" s="622"/>
      <c r="Y610" s="330"/>
      <c r="Z610" s="623"/>
      <c r="AA610" s="622"/>
      <c r="AB610" s="622"/>
      <c r="AC610" s="622"/>
      <c r="AD610" s="622"/>
      <c r="AE610" s="622"/>
      <c r="AF610" s="622"/>
      <c r="AG610" s="622"/>
      <c r="AH610" s="622"/>
      <c r="AI610" s="622"/>
      <c r="AJ610" s="622"/>
      <c r="AK610" s="622"/>
      <c r="AL610" s="622"/>
      <c r="AM610" s="622"/>
      <c r="AN610" s="622"/>
      <c r="AO610" s="622"/>
      <c r="AP610" s="622"/>
      <c r="AQ610" s="622"/>
      <c r="AR610" s="622"/>
      <c r="AS610" s="622"/>
      <c r="AT610" s="622"/>
      <c r="AU610" s="622"/>
      <c r="AV610" s="622"/>
      <c r="AW610" s="622"/>
    </row>
    <row r="611" spans="1:49" ht="7.5" customHeight="1">
      <c r="A611" s="623"/>
      <c r="B611" s="622"/>
      <c r="C611" s="622"/>
      <c r="D611" s="622"/>
      <c r="E611" s="622"/>
      <c r="F611" s="622"/>
      <c r="G611" s="622"/>
      <c r="H611" s="622"/>
      <c r="I611" s="622"/>
      <c r="J611" s="622"/>
      <c r="K611" s="622"/>
      <c r="L611" s="622"/>
      <c r="M611" s="622"/>
      <c r="N611" s="622"/>
      <c r="O611" s="622"/>
      <c r="P611" s="622"/>
      <c r="Q611" s="622"/>
      <c r="R611" s="622"/>
      <c r="S611" s="622"/>
      <c r="T611" s="622"/>
      <c r="U611" s="622"/>
      <c r="V611" s="622"/>
      <c r="W611" s="622"/>
      <c r="X611" s="622"/>
      <c r="Y611" s="330"/>
      <c r="Z611" s="623"/>
      <c r="AA611" s="622"/>
      <c r="AB611" s="622"/>
      <c r="AC611" s="622"/>
      <c r="AD611" s="622"/>
      <c r="AE611" s="622"/>
      <c r="AF611" s="622"/>
      <c r="AG611" s="622"/>
      <c r="AH611" s="622"/>
      <c r="AI611" s="622"/>
      <c r="AJ611" s="622"/>
      <c r="AK611" s="622"/>
      <c r="AL611" s="622"/>
      <c r="AM611" s="622"/>
      <c r="AN611" s="622"/>
      <c r="AO611" s="622"/>
      <c r="AP611" s="622"/>
      <c r="AQ611" s="622"/>
      <c r="AR611" s="622"/>
      <c r="AS611" s="622"/>
      <c r="AT611" s="622"/>
      <c r="AU611" s="622"/>
      <c r="AV611" s="622"/>
      <c r="AW611" s="622"/>
    </row>
    <row r="612" spans="1:49" ht="7.5" customHeight="1">
      <c r="A612" s="623">
        <v>26</v>
      </c>
      <c r="B612" s="622" t="str">
        <f>IF(NOT(ISBLANK('A-RACHNATMAK'!C648)),"A",IF(NOT(ISBLANK('A-RACHNATMAK'!C647)),"B",IF(NOT(ISBLANK('A-RACHNATMAK'!C646)),"C","")))</f>
        <v/>
      </c>
      <c r="C612" s="622" t="str">
        <f>IF(NOT(ISBLANK('A-RACHNATMAK'!D648)),"A",IF(NOT(ISBLANK('A-RACHNATMAK'!D647)),"B",IF(NOT(ISBLANK('A-RACHNATMAK'!D646)),"C","")))</f>
        <v/>
      </c>
      <c r="D612" s="622" t="str">
        <f>IF(NOT(ISBLANK('A-RACHNATMAK'!E648)),"A",IF(NOT(ISBLANK('A-RACHNATMAK'!E647)),"B",IF(NOT(ISBLANK('A-RACHNATMAK'!E646)),"C","")))</f>
        <v/>
      </c>
      <c r="E612" s="622" t="str">
        <f>IF(NOT(ISBLANK('A-RACHNATMAK'!F648)),"A",IF(NOT(ISBLANK('A-RACHNATMAK'!F647)),"B",IF(NOT(ISBLANK('A-RACHNATMAK'!F646)),"C","")))</f>
        <v/>
      </c>
      <c r="F612" s="622" t="str">
        <f>IF(NOT(ISBLANK('A-RACHNATMAK'!G648)),"A",IF(NOT(ISBLANK('A-RACHNATMAK'!G647)),"B",IF(NOT(ISBLANK('A-RACHNATMAK'!G646)),"C","")))</f>
        <v/>
      </c>
      <c r="G612" s="622" t="str">
        <f>IF(NOT(ISBLANK('A-RACHNATMAK'!H648)),"A",IF(NOT(ISBLANK('A-RACHNATMAK'!H647)),"B",IF(NOT(ISBLANK('A-RACHNATMAK'!H646)),"C","")))</f>
        <v/>
      </c>
      <c r="H612" s="622" t="str">
        <f>IF(NOT(ISBLANK('A-RACHNATMAK'!I648)),"A",IF(NOT(ISBLANK('A-RACHNATMAK'!I647)),"B",IF(NOT(ISBLANK('A-RACHNATMAK'!I646)),"C","")))</f>
        <v/>
      </c>
      <c r="I612" s="622" t="str">
        <f>IF(NOT(ISBLANK('A-RACHNATMAK'!J648)),"A",IF(NOT(ISBLANK('A-RACHNATMAK'!J647)),"B",IF(NOT(ISBLANK('A-RACHNATMAK'!J646)),"C","")))</f>
        <v/>
      </c>
      <c r="J612" s="622" t="str">
        <f>IF(NOT(ISBLANK('A-RACHNATMAK'!K648)),"A",IF(NOT(ISBLANK('A-RACHNATMAK'!K647)),"B",IF(NOT(ISBLANK('A-RACHNATMAK'!K646)),"C","")))</f>
        <v/>
      </c>
      <c r="K612" s="622" t="str">
        <f>IF(NOT(ISBLANK('A-RACHNATMAK'!L648)),"A",IF(NOT(ISBLANK('A-RACHNATMAK'!L647)),"B",IF(NOT(ISBLANK('A-RACHNATMAK'!L646)),"C","")))</f>
        <v/>
      </c>
      <c r="L612" s="622" t="str">
        <f>IF(NOT(ISBLANK('A-RACHNATMAK'!M648)),"A",IF(NOT(ISBLANK('A-RACHNATMAK'!M647)),"B",IF(NOT(ISBLANK('A-RACHNATMAK'!M646)),"C","")))</f>
        <v/>
      </c>
      <c r="M612" s="622" t="str">
        <f>IF(NOT(ISBLANK('A-RACHNATMAK'!N648)),"A",IF(NOT(ISBLANK('A-RACHNATMAK'!N647)),"B",IF(NOT(ISBLANK('A-RACHNATMAK'!N646)),"C","")))</f>
        <v/>
      </c>
      <c r="N612" s="622" t="str">
        <f>IF(NOT(ISBLANK('A-RACHNATMAK'!O648)),"A",IF(NOT(ISBLANK('A-RACHNATMAK'!O647)),"B",IF(NOT(ISBLANK('A-RACHNATMAK'!O646)),"C","")))</f>
        <v/>
      </c>
      <c r="O612" s="622" t="str">
        <f>IF(NOT(ISBLANK('A-RACHNATMAK'!P648)),"A",IF(NOT(ISBLANK('A-RACHNATMAK'!P647)),"B",IF(NOT(ISBLANK('A-RACHNATMAK'!P646)),"C","")))</f>
        <v/>
      </c>
      <c r="P612" s="622" t="str">
        <f>IF(NOT(ISBLANK('A-RACHNATMAK'!Q648)),"A",IF(NOT(ISBLANK('A-RACHNATMAK'!Q647)),"B",IF(NOT(ISBLANK('A-RACHNATMAK'!Q646)),"C","")))</f>
        <v/>
      </c>
      <c r="Q612" s="622" t="str">
        <f>IF(NOT(ISBLANK('A-RACHNATMAK'!R648)),"A",IF(NOT(ISBLANK('A-RACHNATMAK'!R647)),"B",IF(NOT(ISBLANK('A-RACHNATMAK'!R646)),"C","")))</f>
        <v/>
      </c>
      <c r="R612" s="622" t="str">
        <f>IF(NOT(ISBLANK('A-RACHNATMAK'!S648)),"A",IF(NOT(ISBLANK('A-RACHNATMAK'!S647)),"B",IF(NOT(ISBLANK('A-RACHNATMAK'!S646)),"C","")))</f>
        <v/>
      </c>
      <c r="S612" s="622" t="str">
        <f>IF(NOT(ISBLANK('A-RACHNATMAK'!T648)),"A",IF(NOT(ISBLANK('A-RACHNATMAK'!T647)),"B",IF(NOT(ISBLANK('A-RACHNATMAK'!T646)),"C","")))</f>
        <v/>
      </c>
      <c r="T612" s="622" t="str">
        <f>IF(NOT(ISBLANK('A-RACHNATMAK'!U648)),"A",IF(NOT(ISBLANK('A-RACHNATMAK'!U647)),"B",IF(NOT(ISBLANK('A-RACHNATMAK'!U646)),"C","")))</f>
        <v/>
      </c>
      <c r="U612" s="622" t="str">
        <f>IF(NOT(ISBLANK('A-RACHNATMAK'!V648)),"A",IF(NOT(ISBLANK('A-RACHNATMAK'!V647)),"B",IF(NOT(ISBLANK('A-RACHNATMAK'!V646)),"C","")))</f>
        <v/>
      </c>
      <c r="V612" s="622">
        <f t="shared" ref="V612" si="1164">COUNTIF(B612:U612,"A")</f>
        <v>0</v>
      </c>
      <c r="W612" s="622">
        <f t="shared" ref="W612" si="1165">COUNTIF(B612:U612,"B")</f>
        <v>0</v>
      </c>
      <c r="X612" s="622">
        <f t="shared" ref="X612" si="1166">COUNTIF(B612:U612,"C")</f>
        <v>0</v>
      </c>
      <c r="Y612" s="330"/>
      <c r="Z612" s="623">
        <v>26</v>
      </c>
      <c r="AA612" s="622" t="str">
        <f>IF(NOT(ISBLANK('A-RACHNATMAK'!AD648)),"A",IF(NOT(ISBLANK('A-RACHNATMAK'!AD647)),"B",IF(NOT(ISBLANK('A-RACHNATMAK'!AD646)),"C","")))</f>
        <v/>
      </c>
      <c r="AB612" s="622" t="str">
        <f>IF(NOT(ISBLANK('A-RACHNATMAK'!AE648)),"A",IF(NOT(ISBLANK('A-RACHNATMAK'!AE647)),"B",IF(NOT(ISBLANK('A-RACHNATMAK'!AE646)),"C","")))</f>
        <v/>
      </c>
      <c r="AC612" s="622" t="str">
        <f>IF(NOT(ISBLANK('A-RACHNATMAK'!AF648)),"A",IF(NOT(ISBLANK('A-RACHNATMAK'!AF647)),"B",IF(NOT(ISBLANK('A-RACHNATMAK'!AF646)),"C","")))</f>
        <v/>
      </c>
      <c r="AD612" s="622" t="str">
        <f>IF(NOT(ISBLANK('A-RACHNATMAK'!AG648)),"A",IF(NOT(ISBLANK('A-RACHNATMAK'!AG647)),"B",IF(NOT(ISBLANK('A-RACHNATMAK'!AG646)),"C","")))</f>
        <v/>
      </c>
      <c r="AE612" s="622" t="str">
        <f>IF(NOT(ISBLANK('A-RACHNATMAK'!AH648)),"A",IF(NOT(ISBLANK('A-RACHNATMAK'!AH647)),"B",IF(NOT(ISBLANK('A-RACHNATMAK'!AH646)),"C","")))</f>
        <v/>
      </c>
      <c r="AF612" s="622" t="str">
        <f>IF(NOT(ISBLANK('A-RACHNATMAK'!AI648)),"A",IF(NOT(ISBLANK('A-RACHNATMAK'!AI647)),"B",IF(NOT(ISBLANK('A-RACHNATMAK'!AI646)),"C","")))</f>
        <v/>
      </c>
      <c r="AG612" s="622" t="str">
        <f>IF(NOT(ISBLANK('A-RACHNATMAK'!AJ648)),"A",IF(NOT(ISBLANK('A-RACHNATMAK'!AJ647)),"B",IF(NOT(ISBLANK('A-RACHNATMAK'!AJ646)),"C","")))</f>
        <v/>
      </c>
      <c r="AH612" s="622" t="str">
        <f>IF(NOT(ISBLANK('A-RACHNATMAK'!AK648)),"A",IF(NOT(ISBLANK('A-RACHNATMAK'!AK647)),"B",IF(NOT(ISBLANK('A-RACHNATMAK'!AK646)),"C","")))</f>
        <v/>
      </c>
      <c r="AI612" s="622" t="str">
        <f>IF(NOT(ISBLANK('A-RACHNATMAK'!AL648)),"A",IF(NOT(ISBLANK('A-RACHNATMAK'!AL647)),"B",IF(NOT(ISBLANK('A-RACHNATMAK'!AL646)),"C","")))</f>
        <v/>
      </c>
      <c r="AJ612" s="622" t="str">
        <f>IF(NOT(ISBLANK('A-RACHNATMAK'!AM648)),"A",IF(NOT(ISBLANK('A-RACHNATMAK'!AM647)),"B",IF(NOT(ISBLANK('A-RACHNATMAK'!AM646)),"C","")))</f>
        <v/>
      </c>
      <c r="AK612" s="622" t="str">
        <f>IF(NOT(ISBLANK('A-RACHNATMAK'!AN648)),"A",IF(NOT(ISBLANK('A-RACHNATMAK'!AN647)),"B",IF(NOT(ISBLANK('A-RACHNATMAK'!AN646)),"C","")))</f>
        <v/>
      </c>
      <c r="AL612" s="622" t="str">
        <f>IF(NOT(ISBLANK('A-RACHNATMAK'!AO648)),"A",IF(NOT(ISBLANK('A-RACHNATMAK'!AO647)),"B",IF(NOT(ISBLANK('A-RACHNATMAK'!AO646)),"C","")))</f>
        <v/>
      </c>
      <c r="AM612" s="622" t="str">
        <f>IF(NOT(ISBLANK('A-RACHNATMAK'!AP648)),"A",IF(NOT(ISBLANK('A-RACHNATMAK'!AP647)),"B",IF(NOT(ISBLANK('A-RACHNATMAK'!AP646)),"C","")))</f>
        <v/>
      </c>
      <c r="AN612" s="622" t="str">
        <f>IF(NOT(ISBLANK('A-RACHNATMAK'!AQ648)),"A",IF(NOT(ISBLANK('A-RACHNATMAK'!AQ647)),"B",IF(NOT(ISBLANK('A-RACHNATMAK'!AQ646)),"C","")))</f>
        <v/>
      </c>
      <c r="AO612" s="622" t="str">
        <f>IF(NOT(ISBLANK('A-RACHNATMAK'!AR648)),"A",IF(NOT(ISBLANK('A-RACHNATMAK'!AR647)),"B",IF(NOT(ISBLANK('A-RACHNATMAK'!AR646)),"C","")))</f>
        <v/>
      </c>
      <c r="AP612" s="622" t="str">
        <f>IF(NOT(ISBLANK('A-RACHNATMAK'!AS648)),"A",IF(NOT(ISBLANK('A-RACHNATMAK'!AS647)),"B",IF(NOT(ISBLANK('A-RACHNATMAK'!AS646)),"C","")))</f>
        <v/>
      </c>
      <c r="AQ612" s="622" t="str">
        <f>IF(NOT(ISBLANK('A-RACHNATMAK'!AT648)),"A",IF(NOT(ISBLANK('A-RACHNATMAK'!AT647)),"B",IF(NOT(ISBLANK('A-RACHNATMAK'!AT646)),"C","")))</f>
        <v/>
      </c>
      <c r="AR612" s="622" t="str">
        <f>IF(NOT(ISBLANK('A-RACHNATMAK'!AU648)),"A",IF(NOT(ISBLANK('A-RACHNATMAK'!AU647)),"B",IF(NOT(ISBLANK('A-RACHNATMAK'!AU646)),"C","")))</f>
        <v/>
      </c>
      <c r="AS612" s="622" t="str">
        <f>IF(NOT(ISBLANK('A-RACHNATMAK'!AV648)),"A",IF(NOT(ISBLANK('A-RACHNATMAK'!AV647)),"B",IF(NOT(ISBLANK('A-RACHNATMAK'!AV646)),"C","")))</f>
        <v/>
      </c>
      <c r="AT612" s="622" t="str">
        <f>IF(NOT(ISBLANK('A-RACHNATMAK'!AW648)),"A",IF(NOT(ISBLANK('A-RACHNATMAK'!AW647)),"B",IF(NOT(ISBLANK('A-RACHNATMAK'!AW646)),"C","")))</f>
        <v/>
      </c>
      <c r="AU612" s="622">
        <f t="shared" ref="AU612" si="1167">COUNTIF(AA612:AT612,"A")</f>
        <v>0</v>
      </c>
      <c r="AV612" s="622">
        <f t="shared" ref="AV612" si="1168">COUNTIF(AA612:AT612,"B")</f>
        <v>0</v>
      </c>
      <c r="AW612" s="622">
        <f t="shared" ref="AW612" si="1169">COUNTIF(AA612:AT612,"C")</f>
        <v>0</v>
      </c>
    </row>
    <row r="613" spans="1:49" ht="7.5" customHeight="1">
      <c r="A613" s="623"/>
      <c r="B613" s="622"/>
      <c r="C613" s="622"/>
      <c r="D613" s="622"/>
      <c r="E613" s="622"/>
      <c r="F613" s="622"/>
      <c r="G613" s="622"/>
      <c r="H613" s="622"/>
      <c r="I613" s="622"/>
      <c r="J613" s="622"/>
      <c r="K613" s="622"/>
      <c r="L613" s="622"/>
      <c r="M613" s="622"/>
      <c r="N613" s="622"/>
      <c r="O613" s="622"/>
      <c r="P613" s="622"/>
      <c r="Q613" s="622"/>
      <c r="R613" s="622"/>
      <c r="S613" s="622"/>
      <c r="T613" s="622"/>
      <c r="U613" s="622"/>
      <c r="V613" s="622"/>
      <c r="W613" s="622"/>
      <c r="X613" s="622"/>
      <c r="Y613" s="330"/>
      <c r="Z613" s="623"/>
      <c r="AA613" s="622"/>
      <c r="AB613" s="622"/>
      <c r="AC613" s="622"/>
      <c r="AD613" s="622"/>
      <c r="AE613" s="622"/>
      <c r="AF613" s="622"/>
      <c r="AG613" s="622"/>
      <c r="AH613" s="622"/>
      <c r="AI613" s="622"/>
      <c r="AJ613" s="622"/>
      <c r="AK613" s="622"/>
      <c r="AL613" s="622"/>
      <c r="AM613" s="622"/>
      <c r="AN613" s="622"/>
      <c r="AO613" s="622"/>
      <c r="AP613" s="622"/>
      <c r="AQ613" s="622"/>
      <c r="AR613" s="622"/>
      <c r="AS613" s="622"/>
      <c r="AT613" s="622"/>
      <c r="AU613" s="622"/>
      <c r="AV613" s="622"/>
      <c r="AW613" s="622"/>
    </row>
    <row r="614" spans="1:49" ht="7.5" customHeight="1">
      <c r="A614" s="623"/>
      <c r="B614" s="622"/>
      <c r="C614" s="622"/>
      <c r="D614" s="622"/>
      <c r="E614" s="622"/>
      <c r="F614" s="622"/>
      <c r="G614" s="622"/>
      <c r="H614" s="622"/>
      <c r="I614" s="622"/>
      <c r="J614" s="622"/>
      <c r="K614" s="622"/>
      <c r="L614" s="622"/>
      <c r="M614" s="622"/>
      <c r="N614" s="622"/>
      <c r="O614" s="622"/>
      <c r="P614" s="622"/>
      <c r="Q614" s="622"/>
      <c r="R614" s="622"/>
      <c r="S614" s="622"/>
      <c r="T614" s="622"/>
      <c r="U614" s="622"/>
      <c r="V614" s="622"/>
      <c r="W614" s="622"/>
      <c r="X614" s="622"/>
      <c r="Y614" s="330"/>
      <c r="Z614" s="623"/>
      <c r="AA614" s="622"/>
      <c r="AB614" s="622"/>
      <c r="AC614" s="622"/>
      <c r="AD614" s="622"/>
      <c r="AE614" s="622"/>
      <c r="AF614" s="622"/>
      <c r="AG614" s="622"/>
      <c r="AH614" s="622"/>
      <c r="AI614" s="622"/>
      <c r="AJ614" s="622"/>
      <c r="AK614" s="622"/>
      <c r="AL614" s="622"/>
      <c r="AM614" s="622"/>
      <c r="AN614" s="622"/>
      <c r="AO614" s="622"/>
      <c r="AP614" s="622"/>
      <c r="AQ614" s="622"/>
      <c r="AR614" s="622"/>
      <c r="AS614" s="622"/>
      <c r="AT614" s="622"/>
      <c r="AU614" s="622"/>
      <c r="AV614" s="622"/>
      <c r="AW614" s="622"/>
    </row>
    <row r="615" spans="1:49" ht="7.5" customHeight="1">
      <c r="A615" s="623">
        <v>27</v>
      </c>
      <c r="B615" s="622" t="str">
        <f>IF(NOT(ISBLANK('A-RACHNATMAK'!C651)),"A",IF(NOT(ISBLANK('A-RACHNATMAK'!C650)),"B",IF(NOT(ISBLANK('A-RACHNATMAK'!C649)),"C","")))</f>
        <v/>
      </c>
      <c r="C615" s="622" t="str">
        <f>IF(NOT(ISBLANK('A-RACHNATMAK'!D651)),"A",IF(NOT(ISBLANK('A-RACHNATMAK'!D650)),"B",IF(NOT(ISBLANK('A-RACHNATMAK'!D649)),"C","")))</f>
        <v/>
      </c>
      <c r="D615" s="622" t="str">
        <f>IF(NOT(ISBLANK('A-RACHNATMAK'!E651)),"A",IF(NOT(ISBLANK('A-RACHNATMAK'!E650)),"B",IF(NOT(ISBLANK('A-RACHNATMAK'!E649)),"C","")))</f>
        <v/>
      </c>
      <c r="E615" s="622" t="str">
        <f>IF(NOT(ISBLANK('A-RACHNATMAK'!F651)),"A",IF(NOT(ISBLANK('A-RACHNATMAK'!F650)),"B",IF(NOT(ISBLANK('A-RACHNATMAK'!F649)),"C","")))</f>
        <v/>
      </c>
      <c r="F615" s="622" t="str">
        <f>IF(NOT(ISBLANK('A-RACHNATMAK'!G651)),"A",IF(NOT(ISBLANK('A-RACHNATMAK'!G650)),"B",IF(NOT(ISBLANK('A-RACHNATMAK'!G649)),"C","")))</f>
        <v/>
      </c>
      <c r="G615" s="622" t="str">
        <f>IF(NOT(ISBLANK('A-RACHNATMAK'!H651)),"A",IF(NOT(ISBLANK('A-RACHNATMAK'!H650)),"B",IF(NOT(ISBLANK('A-RACHNATMAK'!H649)),"C","")))</f>
        <v/>
      </c>
      <c r="H615" s="622" t="str">
        <f>IF(NOT(ISBLANK('A-RACHNATMAK'!I651)),"A",IF(NOT(ISBLANK('A-RACHNATMAK'!I650)),"B",IF(NOT(ISBLANK('A-RACHNATMAK'!I649)),"C","")))</f>
        <v/>
      </c>
      <c r="I615" s="622" t="str">
        <f>IF(NOT(ISBLANK('A-RACHNATMAK'!J651)),"A",IF(NOT(ISBLANK('A-RACHNATMAK'!J650)),"B",IF(NOT(ISBLANK('A-RACHNATMAK'!J649)),"C","")))</f>
        <v/>
      </c>
      <c r="J615" s="622" t="str">
        <f>IF(NOT(ISBLANK('A-RACHNATMAK'!K651)),"A",IF(NOT(ISBLANK('A-RACHNATMAK'!K650)),"B",IF(NOT(ISBLANK('A-RACHNATMAK'!K649)),"C","")))</f>
        <v/>
      </c>
      <c r="K615" s="622" t="str">
        <f>IF(NOT(ISBLANK('A-RACHNATMAK'!L651)),"A",IF(NOT(ISBLANK('A-RACHNATMAK'!L650)),"B",IF(NOT(ISBLANK('A-RACHNATMAK'!L649)),"C","")))</f>
        <v/>
      </c>
      <c r="L615" s="622" t="str">
        <f>IF(NOT(ISBLANK('A-RACHNATMAK'!M651)),"A",IF(NOT(ISBLANK('A-RACHNATMAK'!M650)),"B",IF(NOT(ISBLANK('A-RACHNATMAK'!M649)),"C","")))</f>
        <v/>
      </c>
      <c r="M615" s="622" t="str">
        <f>IF(NOT(ISBLANK('A-RACHNATMAK'!N651)),"A",IF(NOT(ISBLANK('A-RACHNATMAK'!N650)),"B",IF(NOT(ISBLANK('A-RACHNATMAK'!N649)),"C","")))</f>
        <v/>
      </c>
      <c r="N615" s="622" t="str">
        <f>IF(NOT(ISBLANK('A-RACHNATMAK'!O651)),"A",IF(NOT(ISBLANK('A-RACHNATMAK'!O650)),"B",IF(NOT(ISBLANK('A-RACHNATMAK'!O649)),"C","")))</f>
        <v/>
      </c>
      <c r="O615" s="622" t="str">
        <f>IF(NOT(ISBLANK('A-RACHNATMAK'!P651)),"A",IF(NOT(ISBLANK('A-RACHNATMAK'!P650)),"B",IF(NOT(ISBLANK('A-RACHNATMAK'!P649)),"C","")))</f>
        <v/>
      </c>
      <c r="P615" s="622" t="str">
        <f>IF(NOT(ISBLANK('A-RACHNATMAK'!Q651)),"A",IF(NOT(ISBLANK('A-RACHNATMAK'!Q650)),"B",IF(NOT(ISBLANK('A-RACHNATMAK'!Q649)),"C","")))</f>
        <v/>
      </c>
      <c r="Q615" s="622" t="str">
        <f>IF(NOT(ISBLANK('A-RACHNATMAK'!R651)),"A",IF(NOT(ISBLANK('A-RACHNATMAK'!R650)),"B",IF(NOT(ISBLANK('A-RACHNATMAK'!R649)),"C","")))</f>
        <v/>
      </c>
      <c r="R615" s="622" t="str">
        <f>IF(NOT(ISBLANK('A-RACHNATMAK'!S651)),"A",IF(NOT(ISBLANK('A-RACHNATMAK'!S650)),"B",IF(NOT(ISBLANK('A-RACHNATMAK'!S649)),"C","")))</f>
        <v/>
      </c>
      <c r="S615" s="622" t="str">
        <f>IF(NOT(ISBLANK('A-RACHNATMAK'!T651)),"A",IF(NOT(ISBLANK('A-RACHNATMAK'!T650)),"B",IF(NOT(ISBLANK('A-RACHNATMAK'!T649)),"C","")))</f>
        <v/>
      </c>
      <c r="T615" s="622" t="str">
        <f>IF(NOT(ISBLANK('A-RACHNATMAK'!U651)),"A",IF(NOT(ISBLANK('A-RACHNATMAK'!U650)),"B",IF(NOT(ISBLANK('A-RACHNATMAK'!U649)),"C","")))</f>
        <v/>
      </c>
      <c r="U615" s="622" t="str">
        <f>IF(NOT(ISBLANK('A-RACHNATMAK'!V651)),"A",IF(NOT(ISBLANK('A-RACHNATMAK'!V650)),"B",IF(NOT(ISBLANK('A-RACHNATMAK'!V649)),"C","")))</f>
        <v/>
      </c>
      <c r="V615" s="622">
        <f t="shared" ref="V615" si="1170">COUNTIF(B615:U615,"A")</f>
        <v>0</v>
      </c>
      <c r="W615" s="622">
        <f t="shared" ref="W615" si="1171">COUNTIF(B615:U615,"B")</f>
        <v>0</v>
      </c>
      <c r="X615" s="622">
        <f t="shared" ref="X615" si="1172">COUNTIF(B615:U615,"C")</f>
        <v>0</v>
      </c>
      <c r="Y615" s="330"/>
      <c r="Z615" s="623">
        <v>27</v>
      </c>
      <c r="AA615" s="622" t="str">
        <f>IF(NOT(ISBLANK('A-RACHNATMAK'!AD651)),"A",IF(NOT(ISBLANK('A-RACHNATMAK'!AD650)),"B",IF(NOT(ISBLANK('A-RACHNATMAK'!AD649)),"C","")))</f>
        <v/>
      </c>
      <c r="AB615" s="622" t="str">
        <f>IF(NOT(ISBLANK('A-RACHNATMAK'!AE651)),"A",IF(NOT(ISBLANK('A-RACHNATMAK'!AE650)),"B",IF(NOT(ISBLANK('A-RACHNATMAK'!AE649)),"C","")))</f>
        <v/>
      </c>
      <c r="AC615" s="622" t="str">
        <f>IF(NOT(ISBLANK('A-RACHNATMAK'!AF651)),"A",IF(NOT(ISBLANK('A-RACHNATMAK'!AF650)),"B",IF(NOT(ISBLANK('A-RACHNATMAK'!AF649)),"C","")))</f>
        <v/>
      </c>
      <c r="AD615" s="622" t="str">
        <f>IF(NOT(ISBLANK('A-RACHNATMAK'!AG651)),"A",IF(NOT(ISBLANK('A-RACHNATMAK'!AG650)),"B",IF(NOT(ISBLANK('A-RACHNATMAK'!AG649)),"C","")))</f>
        <v/>
      </c>
      <c r="AE615" s="622" t="str">
        <f>IF(NOT(ISBLANK('A-RACHNATMAK'!AH651)),"A",IF(NOT(ISBLANK('A-RACHNATMAK'!AH650)),"B",IF(NOT(ISBLANK('A-RACHNATMAK'!AH649)),"C","")))</f>
        <v/>
      </c>
      <c r="AF615" s="622" t="str">
        <f>IF(NOT(ISBLANK('A-RACHNATMAK'!AI651)),"A",IF(NOT(ISBLANK('A-RACHNATMAK'!AI650)),"B",IF(NOT(ISBLANK('A-RACHNATMAK'!AI649)),"C","")))</f>
        <v/>
      </c>
      <c r="AG615" s="622" t="str">
        <f>IF(NOT(ISBLANK('A-RACHNATMAK'!AJ651)),"A",IF(NOT(ISBLANK('A-RACHNATMAK'!AJ650)),"B",IF(NOT(ISBLANK('A-RACHNATMAK'!AJ649)),"C","")))</f>
        <v/>
      </c>
      <c r="AH615" s="622" t="str">
        <f>IF(NOT(ISBLANK('A-RACHNATMAK'!AK651)),"A",IF(NOT(ISBLANK('A-RACHNATMAK'!AK650)),"B",IF(NOT(ISBLANK('A-RACHNATMAK'!AK649)),"C","")))</f>
        <v/>
      </c>
      <c r="AI615" s="622" t="str">
        <f>IF(NOT(ISBLANK('A-RACHNATMAK'!AL651)),"A",IF(NOT(ISBLANK('A-RACHNATMAK'!AL650)),"B",IF(NOT(ISBLANK('A-RACHNATMAK'!AL649)),"C","")))</f>
        <v/>
      </c>
      <c r="AJ615" s="622" t="str">
        <f>IF(NOT(ISBLANK('A-RACHNATMAK'!AM651)),"A",IF(NOT(ISBLANK('A-RACHNATMAK'!AM650)),"B",IF(NOT(ISBLANK('A-RACHNATMAK'!AM649)),"C","")))</f>
        <v/>
      </c>
      <c r="AK615" s="622" t="str">
        <f>IF(NOT(ISBLANK('A-RACHNATMAK'!AN651)),"A",IF(NOT(ISBLANK('A-RACHNATMAK'!AN650)),"B",IF(NOT(ISBLANK('A-RACHNATMAK'!AN649)),"C","")))</f>
        <v/>
      </c>
      <c r="AL615" s="622" t="str">
        <f>IF(NOT(ISBLANK('A-RACHNATMAK'!AO651)),"A",IF(NOT(ISBLANK('A-RACHNATMAK'!AO650)),"B",IF(NOT(ISBLANK('A-RACHNATMAK'!AO649)),"C","")))</f>
        <v/>
      </c>
      <c r="AM615" s="622" t="str">
        <f>IF(NOT(ISBLANK('A-RACHNATMAK'!AP651)),"A",IF(NOT(ISBLANK('A-RACHNATMAK'!AP650)),"B",IF(NOT(ISBLANK('A-RACHNATMAK'!AP649)),"C","")))</f>
        <v/>
      </c>
      <c r="AN615" s="622" t="str">
        <f>IF(NOT(ISBLANK('A-RACHNATMAK'!AQ651)),"A",IF(NOT(ISBLANK('A-RACHNATMAK'!AQ650)),"B",IF(NOT(ISBLANK('A-RACHNATMAK'!AQ649)),"C","")))</f>
        <v/>
      </c>
      <c r="AO615" s="622" t="str">
        <f>IF(NOT(ISBLANK('A-RACHNATMAK'!AR651)),"A",IF(NOT(ISBLANK('A-RACHNATMAK'!AR650)),"B",IF(NOT(ISBLANK('A-RACHNATMAK'!AR649)),"C","")))</f>
        <v/>
      </c>
      <c r="AP615" s="622" t="str">
        <f>IF(NOT(ISBLANK('A-RACHNATMAK'!AS651)),"A",IF(NOT(ISBLANK('A-RACHNATMAK'!AS650)),"B",IF(NOT(ISBLANK('A-RACHNATMAK'!AS649)),"C","")))</f>
        <v/>
      </c>
      <c r="AQ615" s="622" t="str">
        <f>IF(NOT(ISBLANK('A-RACHNATMAK'!AT651)),"A",IF(NOT(ISBLANK('A-RACHNATMAK'!AT650)),"B",IF(NOT(ISBLANK('A-RACHNATMAK'!AT649)),"C","")))</f>
        <v/>
      </c>
      <c r="AR615" s="622" t="str">
        <f>IF(NOT(ISBLANK('A-RACHNATMAK'!AU651)),"A",IF(NOT(ISBLANK('A-RACHNATMAK'!AU650)),"B",IF(NOT(ISBLANK('A-RACHNATMAK'!AU649)),"C","")))</f>
        <v/>
      </c>
      <c r="AS615" s="622" t="str">
        <f>IF(NOT(ISBLANK('A-RACHNATMAK'!AV651)),"A",IF(NOT(ISBLANK('A-RACHNATMAK'!AV650)),"B",IF(NOT(ISBLANK('A-RACHNATMAK'!AV649)),"C","")))</f>
        <v/>
      </c>
      <c r="AT615" s="622" t="str">
        <f>IF(NOT(ISBLANK('A-RACHNATMAK'!AW651)),"A",IF(NOT(ISBLANK('A-RACHNATMAK'!AW650)),"B",IF(NOT(ISBLANK('A-RACHNATMAK'!AW649)),"C","")))</f>
        <v/>
      </c>
      <c r="AU615" s="622">
        <f t="shared" ref="AU615" si="1173">COUNTIF(AA615:AT615,"A")</f>
        <v>0</v>
      </c>
      <c r="AV615" s="622">
        <f t="shared" ref="AV615" si="1174">COUNTIF(AA615:AT615,"B")</f>
        <v>0</v>
      </c>
      <c r="AW615" s="622">
        <f t="shared" ref="AW615" si="1175">COUNTIF(AA615:AT615,"C")</f>
        <v>0</v>
      </c>
    </row>
    <row r="616" spans="1:49" ht="7.5" customHeight="1">
      <c r="A616" s="623"/>
      <c r="B616" s="622"/>
      <c r="C616" s="622"/>
      <c r="D616" s="622"/>
      <c r="E616" s="622"/>
      <c r="F616" s="622"/>
      <c r="G616" s="622"/>
      <c r="H616" s="622"/>
      <c r="I616" s="622"/>
      <c r="J616" s="622"/>
      <c r="K616" s="622"/>
      <c r="L616" s="622"/>
      <c r="M616" s="622"/>
      <c r="N616" s="622"/>
      <c r="O616" s="622"/>
      <c r="P616" s="622"/>
      <c r="Q616" s="622"/>
      <c r="R616" s="622"/>
      <c r="S616" s="622"/>
      <c r="T616" s="622"/>
      <c r="U616" s="622"/>
      <c r="V616" s="622"/>
      <c r="W616" s="622"/>
      <c r="X616" s="622"/>
      <c r="Y616" s="330"/>
      <c r="Z616" s="623"/>
      <c r="AA616" s="622"/>
      <c r="AB616" s="622"/>
      <c r="AC616" s="622"/>
      <c r="AD616" s="622"/>
      <c r="AE616" s="622"/>
      <c r="AF616" s="622"/>
      <c r="AG616" s="622"/>
      <c r="AH616" s="622"/>
      <c r="AI616" s="622"/>
      <c r="AJ616" s="622"/>
      <c r="AK616" s="622"/>
      <c r="AL616" s="622"/>
      <c r="AM616" s="622"/>
      <c r="AN616" s="622"/>
      <c r="AO616" s="622"/>
      <c r="AP616" s="622"/>
      <c r="AQ616" s="622"/>
      <c r="AR616" s="622"/>
      <c r="AS616" s="622"/>
      <c r="AT616" s="622"/>
      <c r="AU616" s="622"/>
      <c r="AV616" s="622"/>
      <c r="AW616" s="622"/>
    </row>
    <row r="617" spans="1:49" ht="7.5" customHeight="1">
      <c r="A617" s="623"/>
      <c r="B617" s="622"/>
      <c r="C617" s="622"/>
      <c r="D617" s="622"/>
      <c r="E617" s="622"/>
      <c r="F617" s="622"/>
      <c r="G617" s="622"/>
      <c r="H617" s="622"/>
      <c r="I617" s="622"/>
      <c r="J617" s="622"/>
      <c r="K617" s="622"/>
      <c r="L617" s="622"/>
      <c r="M617" s="622"/>
      <c r="N617" s="622"/>
      <c r="O617" s="622"/>
      <c r="P617" s="622"/>
      <c r="Q617" s="622"/>
      <c r="R617" s="622"/>
      <c r="S617" s="622"/>
      <c r="T617" s="622"/>
      <c r="U617" s="622"/>
      <c r="V617" s="622"/>
      <c r="W617" s="622"/>
      <c r="X617" s="622"/>
      <c r="Y617" s="330"/>
      <c r="Z617" s="623"/>
      <c r="AA617" s="622"/>
      <c r="AB617" s="622"/>
      <c r="AC617" s="622"/>
      <c r="AD617" s="622"/>
      <c r="AE617" s="622"/>
      <c r="AF617" s="622"/>
      <c r="AG617" s="622"/>
      <c r="AH617" s="622"/>
      <c r="AI617" s="622"/>
      <c r="AJ617" s="622"/>
      <c r="AK617" s="622"/>
      <c r="AL617" s="622"/>
      <c r="AM617" s="622"/>
      <c r="AN617" s="622"/>
      <c r="AO617" s="622"/>
      <c r="AP617" s="622"/>
      <c r="AQ617" s="622"/>
      <c r="AR617" s="622"/>
      <c r="AS617" s="622"/>
      <c r="AT617" s="622"/>
      <c r="AU617" s="622"/>
      <c r="AV617" s="622"/>
      <c r="AW617" s="622"/>
    </row>
    <row r="618" spans="1:49" ht="7.5" customHeight="1">
      <c r="A618" s="623">
        <v>28</v>
      </c>
      <c r="B618" s="622" t="str">
        <f>IF(NOT(ISBLANK('A-RACHNATMAK'!C654)),"A",IF(NOT(ISBLANK('A-RACHNATMAK'!C653)),"B",IF(NOT(ISBLANK('A-RACHNATMAK'!C652)),"C","")))</f>
        <v/>
      </c>
      <c r="C618" s="622" t="str">
        <f>IF(NOT(ISBLANK('A-RACHNATMAK'!D654)),"A",IF(NOT(ISBLANK('A-RACHNATMAK'!D653)),"B",IF(NOT(ISBLANK('A-RACHNATMAK'!D652)),"C","")))</f>
        <v/>
      </c>
      <c r="D618" s="622" t="str">
        <f>IF(NOT(ISBLANK('A-RACHNATMAK'!E654)),"A",IF(NOT(ISBLANK('A-RACHNATMAK'!E653)),"B",IF(NOT(ISBLANK('A-RACHNATMAK'!E652)),"C","")))</f>
        <v/>
      </c>
      <c r="E618" s="622" t="str">
        <f>IF(NOT(ISBLANK('A-RACHNATMAK'!F654)),"A",IF(NOT(ISBLANK('A-RACHNATMAK'!F653)),"B",IF(NOT(ISBLANK('A-RACHNATMAK'!F652)),"C","")))</f>
        <v/>
      </c>
      <c r="F618" s="622" t="str">
        <f>IF(NOT(ISBLANK('A-RACHNATMAK'!G654)),"A",IF(NOT(ISBLANK('A-RACHNATMAK'!G653)),"B",IF(NOT(ISBLANK('A-RACHNATMAK'!G652)),"C","")))</f>
        <v/>
      </c>
      <c r="G618" s="622" t="str">
        <f>IF(NOT(ISBLANK('A-RACHNATMAK'!H654)),"A",IF(NOT(ISBLANK('A-RACHNATMAK'!H653)),"B",IF(NOT(ISBLANK('A-RACHNATMAK'!H652)),"C","")))</f>
        <v/>
      </c>
      <c r="H618" s="622" t="str">
        <f>IF(NOT(ISBLANK('A-RACHNATMAK'!I654)),"A",IF(NOT(ISBLANK('A-RACHNATMAK'!I653)),"B",IF(NOT(ISBLANK('A-RACHNATMAK'!I652)),"C","")))</f>
        <v/>
      </c>
      <c r="I618" s="622" t="str">
        <f>IF(NOT(ISBLANK('A-RACHNATMAK'!J654)),"A",IF(NOT(ISBLANK('A-RACHNATMAK'!J653)),"B",IF(NOT(ISBLANK('A-RACHNATMAK'!J652)),"C","")))</f>
        <v/>
      </c>
      <c r="J618" s="622" t="str">
        <f>IF(NOT(ISBLANK('A-RACHNATMAK'!K654)),"A",IF(NOT(ISBLANK('A-RACHNATMAK'!K653)),"B",IF(NOT(ISBLANK('A-RACHNATMAK'!K652)),"C","")))</f>
        <v/>
      </c>
      <c r="K618" s="622" t="str">
        <f>IF(NOT(ISBLANK('A-RACHNATMAK'!L654)),"A",IF(NOT(ISBLANK('A-RACHNATMAK'!L653)),"B",IF(NOT(ISBLANK('A-RACHNATMAK'!L652)),"C","")))</f>
        <v/>
      </c>
      <c r="L618" s="622" t="str">
        <f>IF(NOT(ISBLANK('A-RACHNATMAK'!M654)),"A",IF(NOT(ISBLANK('A-RACHNATMAK'!M653)),"B",IF(NOT(ISBLANK('A-RACHNATMAK'!M652)),"C","")))</f>
        <v/>
      </c>
      <c r="M618" s="622" t="str">
        <f>IF(NOT(ISBLANK('A-RACHNATMAK'!N654)),"A",IF(NOT(ISBLANK('A-RACHNATMAK'!N653)),"B",IF(NOT(ISBLANK('A-RACHNATMAK'!N652)),"C","")))</f>
        <v/>
      </c>
      <c r="N618" s="622" t="str">
        <f>IF(NOT(ISBLANK('A-RACHNATMAK'!O654)),"A",IF(NOT(ISBLANK('A-RACHNATMAK'!O653)),"B",IF(NOT(ISBLANK('A-RACHNATMAK'!O652)),"C","")))</f>
        <v/>
      </c>
      <c r="O618" s="622" t="str">
        <f>IF(NOT(ISBLANK('A-RACHNATMAK'!P654)),"A",IF(NOT(ISBLANK('A-RACHNATMAK'!P653)),"B",IF(NOT(ISBLANK('A-RACHNATMAK'!P652)),"C","")))</f>
        <v/>
      </c>
      <c r="P618" s="622" t="str">
        <f>IF(NOT(ISBLANK('A-RACHNATMAK'!Q654)),"A",IF(NOT(ISBLANK('A-RACHNATMAK'!Q653)),"B",IF(NOT(ISBLANK('A-RACHNATMAK'!Q652)),"C","")))</f>
        <v/>
      </c>
      <c r="Q618" s="622" t="str">
        <f>IF(NOT(ISBLANK('A-RACHNATMAK'!R654)),"A",IF(NOT(ISBLANK('A-RACHNATMAK'!R653)),"B",IF(NOT(ISBLANK('A-RACHNATMAK'!R652)),"C","")))</f>
        <v/>
      </c>
      <c r="R618" s="622" t="str">
        <f>IF(NOT(ISBLANK('A-RACHNATMAK'!S654)),"A",IF(NOT(ISBLANK('A-RACHNATMAK'!S653)),"B",IF(NOT(ISBLANK('A-RACHNATMAK'!S652)),"C","")))</f>
        <v/>
      </c>
      <c r="S618" s="622" t="str">
        <f>IF(NOT(ISBLANK('A-RACHNATMAK'!T654)),"A",IF(NOT(ISBLANK('A-RACHNATMAK'!T653)),"B",IF(NOT(ISBLANK('A-RACHNATMAK'!T652)),"C","")))</f>
        <v/>
      </c>
      <c r="T618" s="622" t="str">
        <f>IF(NOT(ISBLANK('A-RACHNATMAK'!U654)),"A",IF(NOT(ISBLANK('A-RACHNATMAK'!U653)),"B",IF(NOT(ISBLANK('A-RACHNATMAK'!U652)),"C","")))</f>
        <v/>
      </c>
      <c r="U618" s="622" t="str">
        <f>IF(NOT(ISBLANK('A-RACHNATMAK'!V654)),"A",IF(NOT(ISBLANK('A-RACHNATMAK'!V653)),"B",IF(NOT(ISBLANK('A-RACHNATMAK'!V652)),"C","")))</f>
        <v/>
      </c>
      <c r="V618" s="622">
        <f t="shared" ref="V618" si="1176">COUNTIF(B618:U618,"A")</f>
        <v>0</v>
      </c>
      <c r="W618" s="622">
        <f t="shared" ref="W618" si="1177">COUNTIF(B618:U618,"B")</f>
        <v>0</v>
      </c>
      <c r="X618" s="622">
        <f t="shared" ref="X618" si="1178">COUNTIF(B618:U618,"C")</f>
        <v>0</v>
      </c>
      <c r="Y618" s="330"/>
      <c r="Z618" s="623">
        <v>28</v>
      </c>
      <c r="AA618" s="622" t="str">
        <f>IF(NOT(ISBLANK('A-RACHNATMAK'!AD654)),"A",IF(NOT(ISBLANK('A-RACHNATMAK'!AD653)),"B",IF(NOT(ISBLANK('A-RACHNATMAK'!AD652)),"C","")))</f>
        <v/>
      </c>
      <c r="AB618" s="622" t="str">
        <f>IF(NOT(ISBLANK('A-RACHNATMAK'!AE654)),"A",IF(NOT(ISBLANK('A-RACHNATMAK'!AE653)),"B",IF(NOT(ISBLANK('A-RACHNATMAK'!AE652)),"C","")))</f>
        <v/>
      </c>
      <c r="AC618" s="622" t="str">
        <f>IF(NOT(ISBLANK('A-RACHNATMAK'!AF654)),"A",IF(NOT(ISBLANK('A-RACHNATMAK'!AF653)),"B",IF(NOT(ISBLANK('A-RACHNATMAK'!AF652)),"C","")))</f>
        <v/>
      </c>
      <c r="AD618" s="622" t="str">
        <f>IF(NOT(ISBLANK('A-RACHNATMAK'!AG654)),"A",IF(NOT(ISBLANK('A-RACHNATMAK'!AG653)),"B",IF(NOT(ISBLANK('A-RACHNATMAK'!AG652)),"C","")))</f>
        <v/>
      </c>
      <c r="AE618" s="622" t="str">
        <f>IF(NOT(ISBLANK('A-RACHNATMAK'!AH654)),"A",IF(NOT(ISBLANK('A-RACHNATMAK'!AH653)),"B",IF(NOT(ISBLANK('A-RACHNATMAK'!AH652)),"C","")))</f>
        <v/>
      </c>
      <c r="AF618" s="622" t="str">
        <f>IF(NOT(ISBLANK('A-RACHNATMAK'!AI654)),"A",IF(NOT(ISBLANK('A-RACHNATMAK'!AI653)),"B",IF(NOT(ISBLANK('A-RACHNATMAK'!AI652)),"C","")))</f>
        <v/>
      </c>
      <c r="AG618" s="622" t="str">
        <f>IF(NOT(ISBLANK('A-RACHNATMAK'!AJ654)),"A",IF(NOT(ISBLANK('A-RACHNATMAK'!AJ653)),"B",IF(NOT(ISBLANK('A-RACHNATMAK'!AJ652)),"C","")))</f>
        <v/>
      </c>
      <c r="AH618" s="622" t="str">
        <f>IF(NOT(ISBLANK('A-RACHNATMAK'!AK654)),"A",IF(NOT(ISBLANK('A-RACHNATMAK'!AK653)),"B",IF(NOT(ISBLANK('A-RACHNATMAK'!AK652)),"C","")))</f>
        <v/>
      </c>
      <c r="AI618" s="622" t="str">
        <f>IF(NOT(ISBLANK('A-RACHNATMAK'!AL654)),"A",IF(NOT(ISBLANK('A-RACHNATMAK'!AL653)),"B",IF(NOT(ISBLANK('A-RACHNATMAK'!AL652)),"C","")))</f>
        <v/>
      </c>
      <c r="AJ618" s="622" t="str">
        <f>IF(NOT(ISBLANK('A-RACHNATMAK'!AM654)),"A",IF(NOT(ISBLANK('A-RACHNATMAK'!AM653)),"B",IF(NOT(ISBLANK('A-RACHNATMAK'!AM652)),"C","")))</f>
        <v/>
      </c>
      <c r="AK618" s="622" t="str">
        <f>IF(NOT(ISBLANK('A-RACHNATMAK'!AN654)),"A",IF(NOT(ISBLANK('A-RACHNATMAK'!AN653)),"B",IF(NOT(ISBLANK('A-RACHNATMAK'!AN652)),"C","")))</f>
        <v/>
      </c>
      <c r="AL618" s="622" t="str">
        <f>IF(NOT(ISBLANK('A-RACHNATMAK'!AO654)),"A",IF(NOT(ISBLANK('A-RACHNATMAK'!AO653)),"B",IF(NOT(ISBLANK('A-RACHNATMAK'!AO652)),"C","")))</f>
        <v/>
      </c>
      <c r="AM618" s="622" t="str">
        <f>IF(NOT(ISBLANK('A-RACHNATMAK'!AP654)),"A",IF(NOT(ISBLANK('A-RACHNATMAK'!AP653)),"B",IF(NOT(ISBLANK('A-RACHNATMAK'!AP652)),"C","")))</f>
        <v/>
      </c>
      <c r="AN618" s="622" t="str">
        <f>IF(NOT(ISBLANK('A-RACHNATMAK'!AQ654)),"A",IF(NOT(ISBLANK('A-RACHNATMAK'!AQ653)),"B",IF(NOT(ISBLANK('A-RACHNATMAK'!AQ652)),"C","")))</f>
        <v/>
      </c>
      <c r="AO618" s="622" t="str">
        <f>IF(NOT(ISBLANK('A-RACHNATMAK'!AR654)),"A",IF(NOT(ISBLANK('A-RACHNATMAK'!AR653)),"B",IF(NOT(ISBLANK('A-RACHNATMAK'!AR652)),"C","")))</f>
        <v/>
      </c>
      <c r="AP618" s="622" t="str">
        <f>IF(NOT(ISBLANK('A-RACHNATMAK'!AS654)),"A",IF(NOT(ISBLANK('A-RACHNATMAK'!AS653)),"B",IF(NOT(ISBLANK('A-RACHNATMAK'!AS652)),"C","")))</f>
        <v/>
      </c>
      <c r="AQ618" s="622" t="str">
        <f>IF(NOT(ISBLANK('A-RACHNATMAK'!AT654)),"A",IF(NOT(ISBLANK('A-RACHNATMAK'!AT653)),"B",IF(NOT(ISBLANK('A-RACHNATMAK'!AT652)),"C","")))</f>
        <v/>
      </c>
      <c r="AR618" s="622" t="str">
        <f>IF(NOT(ISBLANK('A-RACHNATMAK'!AU654)),"A",IF(NOT(ISBLANK('A-RACHNATMAK'!AU653)),"B",IF(NOT(ISBLANK('A-RACHNATMAK'!AU652)),"C","")))</f>
        <v/>
      </c>
      <c r="AS618" s="622" t="str">
        <f>IF(NOT(ISBLANK('A-RACHNATMAK'!AV654)),"A",IF(NOT(ISBLANK('A-RACHNATMAK'!AV653)),"B",IF(NOT(ISBLANK('A-RACHNATMAK'!AV652)),"C","")))</f>
        <v/>
      </c>
      <c r="AT618" s="622" t="str">
        <f>IF(NOT(ISBLANK('A-RACHNATMAK'!AW654)),"A",IF(NOT(ISBLANK('A-RACHNATMAK'!AW653)),"B",IF(NOT(ISBLANK('A-RACHNATMAK'!AW652)),"C","")))</f>
        <v/>
      </c>
      <c r="AU618" s="622">
        <f t="shared" ref="AU618" si="1179">COUNTIF(AA618:AT618,"A")</f>
        <v>0</v>
      </c>
      <c r="AV618" s="622">
        <f t="shared" ref="AV618" si="1180">COUNTIF(AA618:AT618,"B")</f>
        <v>0</v>
      </c>
      <c r="AW618" s="622">
        <f t="shared" ref="AW618" si="1181">COUNTIF(AA618:AT618,"C")</f>
        <v>0</v>
      </c>
    </row>
    <row r="619" spans="1:49" ht="7.5" customHeight="1">
      <c r="A619" s="623"/>
      <c r="B619" s="622"/>
      <c r="C619" s="622"/>
      <c r="D619" s="622"/>
      <c r="E619" s="622"/>
      <c r="F619" s="622"/>
      <c r="G619" s="622"/>
      <c r="H619" s="622"/>
      <c r="I619" s="622"/>
      <c r="J619" s="622"/>
      <c r="K619" s="622"/>
      <c r="L619" s="622"/>
      <c r="M619" s="622"/>
      <c r="N619" s="622"/>
      <c r="O619" s="622"/>
      <c r="P619" s="622"/>
      <c r="Q619" s="622"/>
      <c r="R619" s="622"/>
      <c r="S619" s="622"/>
      <c r="T619" s="622"/>
      <c r="U619" s="622"/>
      <c r="V619" s="622"/>
      <c r="W619" s="622"/>
      <c r="X619" s="622"/>
      <c r="Y619" s="330"/>
      <c r="Z619" s="623"/>
      <c r="AA619" s="622"/>
      <c r="AB619" s="622"/>
      <c r="AC619" s="622"/>
      <c r="AD619" s="622"/>
      <c r="AE619" s="622"/>
      <c r="AF619" s="622"/>
      <c r="AG619" s="622"/>
      <c r="AH619" s="622"/>
      <c r="AI619" s="622"/>
      <c r="AJ619" s="622"/>
      <c r="AK619" s="622"/>
      <c r="AL619" s="622"/>
      <c r="AM619" s="622"/>
      <c r="AN619" s="622"/>
      <c r="AO619" s="622"/>
      <c r="AP619" s="622"/>
      <c r="AQ619" s="622"/>
      <c r="AR619" s="622"/>
      <c r="AS619" s="622"/>
      <c r="AT619" s="622"/>
      <c r="AU619" s="622"/>
      <c r="AV619" s="622"/>
      <c r="AW619" s="622"/>
    </row>
    <row r="620" spans="1:49" ht="7.5" customHeight="1">
      <c r="A620" s="623"/>
      <c r="B620" s="622"/>
      <c r="C620" s="622"/>
      <c r="D620" s="622"/>
      <c r="E620" s="622"/>
      <c r="F620" s="622"/>
      <c r="G620" s="622"/>
      <c r="H620" s="622"/>
      <c r="I620" s="622"/>
      <c r="J620" s="622"/>
      <c r="K620" s="622"/>
      <c r="L620" s="622"/>
      <c r="M620" s="622"/>
      <c r="N620" s="622"/>
      <c r="O620" s="622"/>
      <c r="P620" s="622"/>
      <c r="Q620" s="622"/>
      <c r="R620" s="622"/>
      <c r="S620" s="622"/>
      <c r="T620" s="622"/>
      <c r="U620" s="622"/>
      <c r="V620" s="622"/>
      <c r="W620" s="622"/>
      <c r="X620" s="622"/>
      <c r="Y620" s="330"/>
      <c r="Z620" s="623"/>
      <c r="AA620" s="622"/>
      <c r="AB620" s="622"/>
      <c r="AC620" s="622"/>
      <c r="AD620" s="622"/>
      <c r="AE620" s="622"/>
      <c r="AF620" s="622"/>
      <c r="AG620" s="622"/>
      <c r="AH620" s="622"/>
      <c r="AI620" s="622"/>
      <c r="AJ620" s="622"/>
      <c r="AK620" s="622"/>
      <c r="AL620" s="622"/>
      <c r="AM620" s="622"/>
      <c r="AN620" s="622"/>
      <c r="AO620" s="622"/>
      <c r="AP620" s="622"/>
      <c r="AQ620" s="622"/>
      <c r="AR620" s="622"/>
      <c r="AS620" s="622"/>
      <c r="AT620" s="622"/>
      <c r="AU620" s="622"/>
      <c r="AV620" s="622"/>
      <c r="AW620" s="622"/>
    </row>
    <row r="621" spans="1:49" ht="7.5" customHeight="1">
      <c r="A621" s="623">
        <v>29</v>
      </c>
      <c r="B621" s="622" t="str">
        <f>IF(NOT(ISBLANK('A-RACHNATMAK'!C657)),"A",IF(NOT(ISBLANK('A-RACHNATMAK'!C656)),"B",IF(NOT(ISBLANK('A-RACHNATMAK'!C655)),"C","")))</f>
        <v/>
      </c>
      <c r="C621" s="622" t="str">
        <f>IF(NOT(ISBLANK('A-RACHNATMAK'!D657)),"A",IF(NOT(ISBLANK('A-RACHNATMAK'!D656)),"B",IF(NOT(ISBLANK('A-RACHNATMAK'!D655)),"C","")))</f>
        <v/>
      </c>
      <c r="D621" s="622" t="str">
        <f>IF(NOT(ISBLANK('A-RACHNATMAK'!E657)),"A",IF(NOT(ISBLANK('A-RACHNATMAK'!E656)),"B",IF(NOT(ISBLANK('A-RACHNATMAK'!E655)),"C","")))</f>
        <v/>
      </c>
      <c r="E621" s="622" t="str">
        <f>IF(NOT(ISBLANK('A-RACHNATMAK'!F657)),"A",IF(NOT(ISBLANK('A-RACHNATMAK'!F656)),"B",IF(NOT(ISBLANK('A-RACHNATMAK'!F655)),"C","")))</f>
        <v/>
      </c>
      <c r="F621" s="622" t="str">
        <f>IF(NOT(ISBLANK('A-RACHNATMAK'!G657)),"A",IF(NOT(ISBLANK('A-RACHNATMAK'!G656)),"B",IF(NOT(ISBLANK('A-RACHNATMAK'!G655)),"C","")))</f>
        <v/>
      </c>
      <c r="G621" s="622" t="str">
        <f>IF(NOT(ISBLANK('A-RACHNATMAK'!H657)),"A",IF(NOT(ISBLANK('A-RACHNATMAK'!H656)),"B",IF(NOT(ISBLANK('A-RACHNATMAK'!H655)),"C","")))</f>
        <v/>
      </c>
      <c r="H621" s="622" t="str">
        <f>IF(NOT(ISBLANK('A-RACHNATMAK'!I657)),"A",IF(NOT(ISBLANK('A-RACHNATMAK'!I656)),"B",IF(NOT(ISBLANK('A-RACHNATMAK'!I655)),"C","")))</f>
        <v/>
      </c>
      <c r="I621" s="622" t="str">
        <f>IF(NOT(ISBLANK('A-RACHNATMAK'!J657)),"A",IF(NOT(ISBLANK('A-RACHNATMAK'!J656)),"B",IF(NOT(ISBLANK('A-RACHNATMAK'!J655)),"C","")))</f>
        <v/>
      </c>
      <c r="J621" s="622" t="str">
        <f>IF(NOT(ISBLANK('A-RACHNATMAK'!K657)),"A",IF(NOT(ISBLANK('A-RACHNATMAK'!K656)),"B",IF(NOT(ISBLANK('A-RACHNATMAK'!K655)),"C","")))</f>
        <v/>
      </c>
      <c r="K621" s="622" t="str">
        <f>IF(NOT(ISBLANK('A-RACHNATMAK'!L657)),"A",IF(NOT(ISBLANK('A-RACHNATMAK'!L656)),"B",IF(NOT(ISBLANK('A-RACHNATMAK'!L655)),"C","")))</f>
        <v/>
      </c>
      <c r="L621" s="622" t="str">
        <f>IF(NOT(ISBLANK('A-RACHNATMAK'!M657)),"A",IF(NOT(ISBLANK('A-RACHNATMAK'!M656)),"B",IF(NOT(ISBLANK('A-RACHNATMAK'!M655)),"C","")))</f>
        <v/>
      </c>
      <c r="M621" s="622" t="str">
        <f>IF(NOT(ISBLANK('A-RACHNATMAK'!N657)),"A",IF(NOT(ISBLANK('A-RACHNATMAK'!N656)),"B",IF(NOT(ISBLANK('A-RACHNATMAK'!N655)),"C","")))</f>
        <v/>
      </c>
      <c r="N621" s="622" t="str">
        <f>IF(NOT(ISBLANK('A-RACHNATMAK'!O657)),"A",IF(NOT(ISBLANK('A-RACHNATMAK'!O656)),"B",IF(NOT(ISBLANK('A-RACHNATMAK'!O655)),"C","")))</f>
        <v/>
      </c>
      <c r="O621" s="622" t="str">
        <f>IF(NOT(ISBLANK('A-RACHNATMAK'!P657)),"A",IF(NOT(ISBLANK('A-RACHNATMAK'!P656)),"B",IF(NOT(ISBLANK('A-RACHNATMAK'!P655)),"C","")))</f>
        <v/>
      </c>
      <c r="P621" s="622" t="str">
        <f>IF(NOT(ISBLANK('A-RACHNATMAK'!Q657)),"A",IF(NOT(ISBLANK('A-RACHNATMAK'!Q656)),"B",IF(NOT(ISBLANK('A-RACHNATMAK'!Q655)),"C","")))</f>
        <v/>
      </c>
      <c r="Q621" s="622" t="str">
        <f>IF(NOT(ISBLANK('A-RACHNATMAK'!R657)),"A",IF(NOT(ISBLANK('A-RACHNATMAK'!R656)),"B",IF(NOT(ISBLANK('A-RACHNATMAK'!R655)),"C","")))</f>
        <v/>
      </c>
      <c r="R621" s="622" t="str">
        <f>IF(NOT(ISBLANK('A-RACHNATMAK'!S657)),"A",IF(NOT(ISBLANK('A-RACHNATMAK'!S656)),"B",IF(NOT(ISBLANK('A-RACHNATMAK'!S655)),"C","")))</f>
        <v/>
      </c>
      <c r="S621" s="622" t="str">
        <f>IF(NOT(ISBLANK('A-RACHNATMAK'!T657)),"A",IF(NOT(ISBLANK('A-RACHNATMAK'!T656)),"B",IF(NOT(ISBLANK('A-RACHNATMAK'!T655)),"C","")))</f>
        <v/>
      </c>
      <c r="T621" s="622" t="str">
        <f>IF(NOT(ISBLANK('A-RACHNATMAK'!U657)),"A",IF(NOT(ISBLANK('A-RACHNATMAK'!U656)),"B",IF(NOT(ISBLANK('A-RACHNATMAK'!U655)),"C","")))</f>
        <v/>
      </c>
      <c r="U621" s="622" t="str">
        <f>IF(NOT(ISBLANK('A-RACHNATMAK'!V657)),"A",IF(NOT(ISBLANK('A-RACHNATMAK'!V656)),"B",IF(NOT(ISBLANK('A-RACHNATMAK'!V655)),"C","")))</f>
        <v/>
      </c>
      <c r="V621" s="622">
        <f t="shared" ref="V621" si="1182">COUNTIF(B621:U621,"A")</f>
        <v>0</v>
      </c>
      <c r="W621" s="622">
        <f t="shared" ref="W621" si="1183">COUNTIF(B621:U621,"B")</f>
        <v>0</v>
      </c>
      <c r="X621" s="622">
        <f t="shared" ref="X621" si="1184">COUNTIF(B621:U621,"C")</f>
        <v>0</v>
      </c>
      <c r="Y621" s="330"/>
      <c r="Z621" s="623">
        <v>29</v>
      </c>
      <c r="AA621" s="622" t="str">
        <f>IF(NOT(ISBLANK('A-RACHNATMAK'!AD657)),"A",IF(NOT(ISBLANK('A-RACHNATMAK'!AD656)),"B",IF(NOT(ISBLANK('A-RACHNATMAK'!AD655)),"C","")))</f>
        <v/>
      </c>
      <c r="AB621" s="622" t="str">
        <f>IF(NOT(ISBLANK('A-RACHNATMAK'!AE657)),"A",IF(NOT(ISBLANK('A-RACHNATMAK'!AE656)),"B",IF(NOT(ISBLANK('A-RACHNATMAK'!AE655)),"C","")))</f>
        <v/>
      </c>
      <c r="AC621" s="622" t="str">
        <f>IF(NOT(ISBLANK('A-RACHNATMAK'!AF657)),"A",IF(NOT(ISBLANK('A-RACHNATMAK'!AF656)),"B",IF(NOT(ISBLANK('A-RACHNATMAK'!AF655)),"C","")))</f>
        <v/>
      </c>
      <c r="AD621" s="622" t="str">
        <f>IF(NOT(ISBLANK('A-RACHNATMAK'!AG657)),"A",IF(NOT(ISBLANK('A-RACHNATMAK'!AG656)),"B",IF(NOT(ISBLANK('A-RACHNATMAK'!AG655)),"C","")))</f>
        <v/>
      </c>
      <c r="AE621" s="622" t="str">
        <f>IF(NOT(ISBLANK('A-RACHNATMAK'!AH657)),"A",IF(NOT(ISBLANK('A-RACHNATMAK'!AH656)),"B",IF(NOT(ISBLANK('A-RACHNATMAK'!AH655)),"C","")))</f>
        <v/>
      </c>
      <c r="AF621" s="622" t="str">
        <f>IF(NOT(ISBLANK('A-RACHNATMAK'!AI657)),"A",IF(NOT(ISBLANK('A-RACHNATMAK'!AI656)),"B",IF(NOT(ISBLANK('A-RACHNATMAK'!AI655)),"C","")))</f>
        <v/>
      </c>
      <c r="AG621" s="622" t="str">
        <f>IF(NOT(ISBLANK('A-RACHNATMAK'!AJ657)),"A",IF(NOT(ISBLANK('A-RACHNATMAK'!AJ656)),"B",IF(NOT(ISBLANK('A-RACHNATMAK'!AJ655)),"C","")))</f>
        <v/>
      </c>
      <c r="AH621" s="622" t="str">
        <f>IF(NOT(ISBLANK('A-RACHNATMAK'!AK657)),"A",IF(NOT(ISBLANK('A-RACHNATMAK'!AK656)),"B",IF(NOT(ISBLANK('A-RACHNATMAK'!AK655)),"C","")))</f>
        <v/>
      </c>
      <c r="AI621" s="622" t="str">
        <f>IF(NOT(ISBLANK('A-RACHNATMAK'!AL657)),"A",IF(NOT(ISBLANK('A-RACHNATMAK'!AL656)),"B",IF(NOT(ISBLANK('A-RACHNATMAK'!AL655)),"C","")))</f>
        <v/>
      </c>
      <c r="AJ621" s="622" t="str">
        <f>IF(NOT(ISBLANK('A-RACHNATMAK'!AM657)),"A",IF(NOT(ISBLANK('A-RACHNATMAK'!AM656)),"B",IF(NOT(ISBLANK('A-RACHNATMAK'!AM655)),"C","")))</f>
        <v/>
      </c>
      <c r="AK621" s="622" t="str">
        <f>IF(NOT(ISBLANK('A-RACHNATMAK'!AN657)),"A",IF(NOT(ISBLANK('A-RACHNATMAK'!AN656)),"B",IF(NOT(ISBLANK('A-RACHNATMAK'!AN655)),"C","")))</f>
        <v/>
      </c>
      <c r="AL621" s="622" t="str">
        <f>IF(NOT(ISBLANK('A-RACHNATMAK'!AO657)),"A",IF(NOT(ISBLANK('A-RACHNATMAK'!AO656)),"B",IF(NOT(ISBLANK('A-RACHNATMAK'!AO655)),"C","")))</f>
        <v/>
      </c>
      <c r="AM621" s="622" t="str">
        <f>IF(NOT(ISBLANK('A-RACHNATMAK'!AP657)),"A",IF(NOT(ISBLANK('A-RACHNATMAK'!AP656)),"B",IF(NOT(ISBLANK('A-RACHNATMAK'!AP655)),"C","")))</f>
        <v/>
      </c>
      <c r="AN621" s="622" t="str">
        <f>IF(NOT(ISBLANK('A-RACHNATMAK'!AQ657)),"A",IF(NOT(ISBLANK('A-RACHNATMAK'!AQ656)),"B",IF(NOT(ISBLANK('A-RACHNATMAK'!AQ655)),"C","")))</f>
        <v/>
      </c>
      <c r="AO621" s="622" t="str">
        <f>IF(NOT(ISBLANK('A-RACHNATMAK'!AR657)),"A",IF(NOT(ISBLANK('A-RACHNATMAK'!AR656)),"B",IF(NOT(ISBLANK('A-RACHNATMAK'!AR655)),"C","")))</f>
        <v/>
      </c>
      <c r="AP621" s="622" t="str">
        <f>IF(NOT(ISBLANK('A-RACHNATMAK'!AS657)),"A",IF(NOT(ISBLANK('A-RACHNATMAK'!AS656)),"B",IF(NOT(ISBLANK('A-RACHNATMAK'!AS655)),"C","")))</f>
        <v/>
      </c>
      <c r="AQ621" s="622" t="str">
        <f>IF(NOT(ISBLANK('A-RACHNATMAK'!AT657)),"A",IF(NOT(ISBLANK('A-RACHNATMAK'!AT656)),"B",IF(NOT(ISBLANK('A-RACHNATMAK'!AT655)),"C","")))</f>
        <v/>
      </c>
      <c r="AR621" s="622" t="str">
        <f>IF(NOT(ISBLANK('A-RACHNATMAK'!AU657)),"A",IF(NOT(ISBLANK('A-RACHNATMAK'!AU656)),"B",IF(NOT(ISBLANK('A-RACHNATMAK'!AU655)),"C","")))</f>
        <v/>
      </c>
      <c r="AS621" s="622" t="str">
        <f>IF(NOT(ISBLANK('A-RACHNATMAK'!AV657)),"A",IF(NOT(ISBLANK('A-RACHNATMAK'!AV656)),"B",IF(NOT(ISBLANK('A-RACHNATMAK'!AV655)),"C","")))</f>
        <v/>
      </c>
      <c r="AT621" s="622" t="str">
        <f>IF(NOT(ISBLANK('A-RACHNATMAK'!AW657)),"A",IF(NOT(ISBLANK('A-RACHNATMAK'!AW656)),"B",IF(NOT(ISBLANK('A-RACHNATMAK'!AW655)),"C","")))</f>
        <v/>
      </c>
      <c r="AU621" s="622">
        <f t="shared" ref="AU621" si="1185">COUNTIF(AA621:AT621,"A")</f>
        <v>0</v>
      </c>
      <c r="AV621" s="622">
        <f t="shared" ref="AV621" si="1186">COUNTIF(AA621:AT621,"B")</f>
        <v>0</v>
      </c>
      <c r="AW621" s="622">
        <f t="shared" ref="AW621" si="1187">COUNTIF(AA621:AT621,"C")</f>
        <v>0</v>
      </c>
    </row>
    <row r="622" spans="1:49" ht="7.5" customHeight="1">
      <c r="A622" s="623"/>
      <c r="B622" s="622"/>
      <c r="C622" s="622"/>
      <c r="D622" s="622"/>
      <c r="E622" s="622"/>
      <c r="F622" s="622"/>
      <c r="G622" s="622"/>
      <c r="H622" s="622"/>
      <c r="I622" s="622"/>
      <c r="J622" s="622"/>
      <c r="K622" s="622"/>
      <c r="L622" s="622"/>
      <c r="M622" s="622"/>
      <c r="N622" s="622"/>
      <c r="O622" s="622"/>
      <c r="P622" s="622"/>
      <c r="Q622" s="622"/>
      <c r="R622" s="622"/>
      <c r="S622" s="622"/>
      <c r="T622" s="622"/>
      <c r="U622" s="622"/>
      <c r="V622" s="622"/>
      <c r="W622" s="622"/>
      <c r="X622" s="622"/>
      <c r="Y622" s="330"/>
      <c r="Z622" s="623"/>
      <c r="AA622" s="622"/>
      <c r="AB622" s="622"/>
      <c r="AC622" s="622"/>
      <c r="AD622" s="622"/>
      <c r="AE622" s="622"/>
      <c r="AF622" s="622"/>
      <c r="AG622" s="622"/>
      <c r="AH622" s="622"/>
      <c r="AI622" s="622"/>
      <c r="AJ622" s="622"/>
      <c r="AK622" s="622"/>
      <c r="AL622" s="622"/>
      <c r="AM622" s="622"/>
      <c r="AN622" s="622"/>
      <c r="AO622" s="622"/>
      <c r="AP622" s="622"/>
      <c r="AQ622" s="622"/>
      <c r="AR622" s="622"/>
      <c r="AS622" s="622"/>
      <c r="AT622" s="622"/>
      <c r="AU622" s="622"/>
      <c r="AV622" s="622"/>
      <c r="AW622" s="622"/>
    </row>
    <row r="623" spans="1:49" ht="7.5" customHeight="1">
      <c r="A623" s="623"/>
      <c r="B623" s="622"/>
      <c r="C623" s="622"/>
      <c r="D623" s="622"/>
      <c r="E623" s="622"/>
      <c r="F623" s="622"/>
      <c r="G623" s="622"/>
      <c r="H623" s="622"/>
      <c r="I623" s="622"/>
      <c r="J623" s="622"/>
      <c r="K623" s="622"/>
      <c r="L623" s="622"/>
      <c r="M623" s="622"/>
      <c r="N623" s="622"/>
      <c r="O623" s="622"/>
      <c r="P623" s="622"/>
      <c r="Q623" s="622"/>
      <c r="R623" s="622"/>
      <c r="S623" s="622"/>
      <c r="T623" s="622"/>
      <c r="U623" s="622"/>
      <c r="V623" s="622"/>
      <c r="W623" s="622"/>
      <c r="X623" s="622"/>
      <c r="Y623" s="330"/>
      <c r="Z623" s="623"/>
      <c r="AA623" s="622"/>
      <c r="AB623" s="622"/>
      <c r="AC623" s="622"/>
      <c r="AD623" s="622"/>
      <c r="AE623" s="622"/>
      <c r="AF623" s="622"/>
      <c r="AG623" s="622"/>
      <c r="AH623" s="622"/>
      <c r="AI623" s="622"/>
      <c r="AJ623" s="622"/>
      <c r="AK623" s="622"/>
      <c r="AL623" s="622"/>
      <c r="AM623" s="622"/>
      <c r="AN623" s="622"/>
      <c r="AO623" s="622"/>
      <c r="AP623" s="622"/>
      <c r="AQ623" s="622"/>
      <c r="AR623" s="622"/>
      <c r="AS623" s="622"/>
      <c r="AT623" s="622"/>
      <c r="AU623" s="622"/>
      <c r="AV623" s="622"/>
      <c r="AW623" s="622"/>
    </row>
    <row r="624" spans="1:49" ht="7.5" customHeight="1">
      <c r="A624" s="623">
        <v>30</v>
      </c>
      <c r="B624" s="622" t="str">
        <f>IF(NOT(ISBLANK('A-RACHNATMAK'!C660)),"A",IF(NOT(ISBLANK('A-RACHNATMAK'!C659)),"B",IF(NOT(ISBLANK('A-RACHNATMAK'!C658)),"C","")))</f>
        <v/>
      </c>
      <c r="C624" s="622" t="str">
        <f>IF(NOT(ISBLANK('A-RACHNATMAK'!D660)),"A",IF(NOT(ISBLANK('A-RACHNATMAK'!D659)),"B",IF(NOT(ISBLANK('A-RACHNATMAK'!D658)),"C","")))</f>
        <v/>
      </c>
      <c r="D624" s="622" t="str">
        <f>IF(NOT(ISBLANK('A-RACHNATMAK'!E660)),"A",IF(NOT(ISBLANK('A-RACHNATMAK'!E659)),"B",IF(NOT(ISBLANK('A-RACHNATMAK'!E658)),"C","")))</f>
        <v/>
      </c>
      <c r="E624" s="622" t="str">
        <f>IF(NOT(ISBLANK('A-RACHNATMAK'!F660)),"A",IF(NOT(ISBLANK('A-RACHNATMAK'!F659)),"B",IF(NOT(ISBLANK('A-RACHNATMAK'!F658)),"C","")))</f>
        <v/>
      </c>
      <c r="F624" s="622" t="str">
        <f>IF(NOT(ISBLANK('A-RACHNATMAK'!G660)),"A",IF(NOT(ISBLANK('A-RACHNATMAK'!G659)),"B",IF(NOT(ISBLANK('A-RACHNATMAK'!G658)),"C","")))</f>
        <v/>
      </c>
      <c r="G624" s="622" t="str">
        <f>IF(NOT(ISBLANK('A-RACHNATMAK'!H660)),"A",IF(NOT(ISBLANK('A-RACHNATMAK'!H659)),"B",IF(NOT(ISBLANK('A-RACHNATMAK'!H658)),"C","")))</f>
        <v/>
      </c>
      <c r="H624" s="622" t="str">
        <f>IF(NOT(ISBLANK('A-RACHNATMAK'!I660)),"A",IF(NOT(ISBLANK('A-RACHNATMAK'!I659)),"B",IF(NOT(ISBLANK('A-RACHNATMAK'!I658)),"C","")))</f>
        <v/>
      </c>
      <c r="I624" s="622" t="str">
        <f>IF(NOT(ISBLANK('A-RACHNATMAK'!J660)),"A",IF(NOT(ISBLANK('A-RACHNATMAK'!J659)),"B",IF(NOT(ISBLANK('A-RACHNATMAK'!J658)),"C","")))</f>
        <v/>
      </c>
      <c r="J624" s="622" t="str">
        <f>IF(NOT(ISBLANK('A-RACHNATMAK'!K660)),"A",IF(NOT(ISBLANK('A-RACHNATMAK'!K659)),"B",IF(NOT(ISBLANK('A-RACHNATMAK'!K658)),"C","")))</f>
        <v/>
      </c>
      <c r="K624" s="622" t="str">
        <f>IF(NOT(ISBLANK('A-RACHNATMAK'!L660)),"A",IF(NOT(ISBLANK('A-RACHNATMAK'!L659)),"B",IF(NOT(ISBLANK('A-RACHNATMAK'!L658)),"C","")))</f>
        <v/>
      </c>
      <c r="L624" s="622" t="str">
        <f>IF(NOT(ISBLANK('A-RACHNATMAK'!M660)),"A",IF(NOT(ISBLANK('A-RACHNATMAK'!M659)),"B",IF(NOT(ISBLANK('A-RACHNATMAK'!M658)),"C","")))</f>
        <v/>
      </c>
      <c r="M624" s="622" t="str">
        <f>IF(NOT(ISBLANK('A-RACHNATMAK'!N660)),"A",IF(NOT(ISBLANK('A-RACHNATMAK'!N659)),"B",IF(NOT(ISBLANK('A-RACHNATMAK'!N658)),"C","")))</f>
        <v/>
      </c>
      <c r="N624" s="622" t="str">
        <f>IF(NOT(ISBLANK('A-RACHNATMAK'!O660)),"A",IF(NOT(ISBLANK('A-RACHNATMAK'!O659)),"B",IF(NOT(ISBLANK('A-RACHNATMAK'!O658)),"C","")))</f>
        <v/>
      </c>
      <c r="O624" s="622" t="str">
        <f>IF(NOT(ISBLANK('A-RACHNATMAK'!P660)),"A",IF(NOT(ISBLANK('A-RACHNATMAK'!P659)),"B",IF(NOT(ISBLANK('A-RACHNATMAK'!P658)),"C","")))</f>
        <v/>
      </c>
      <c r="P624" s="622" t="str">
        <f>IF(NOT(ISBLANK('A-RACHNATMAK'!Q660)),"A",IF(NOT(ISBLANK('A-RACHNATMAK'!Q659)),"B",IF(NOT(ISBLANK('A-RACHNATMAK'!Q658)),"C","")))</f>
        <v/>
      </c>
      <c r="Q624" s="622" t="str">
        <f>IF(NOT(ISBLANK('A-RACHNATMAK'!R660)),"A",IF(NOT(ISBLANK('A-RACHNATMAK'!R659)),"B",IF(NOT(ISBLANK('A-RACHNATMAK'!R658)),"C","")))</f>
        <v/>
      </c>
      <c r="R624" s="622" t="str">
        <f>IF(NOT(ISBLANK('A-RACHNATMAK'!S660)),"A",IF(NOT(ISBLANK('A-RACHNATMAK'!S659)),"B",IF(NOT(ISBLANK('A-RACHNATMAK'!S658)),"C","")))</f>
        <v/>
      </c>
      <c r="S624" s="622" t="str">
        <f>IF(NOT(ISBLANK('A-RACHNATMAK'!T660)),"A",IF(NOT(ISBLANK('A-RACHNATMAK'!T659)),"B",IF(NOT(ISBLANK('A-RACHNATMAK'!T658)),"C","")))</f>
        <v/>
      </c>
      <c r="T624" s="622" t="str">
        <f>IF(NOT(ISBLANK('A-RACHNATMAK'!U660)),"A",IF(NOT(ISBLANK('A-RACHNATMAK'!U659)),"B",IF(NOT(ISBLANK('A-RACHNATMAK'!U658)),"C","")))</f>
        <v/>
      </c>
      <c r="U624" s="622" t="str">
        <f>IF(NOT(ISBLANK('A-RACHNATMAK'!V660)),"A",IF(NOT(ISBLANK('A-RACHNATMAK'!V659)),"B",IF(NOT(ISBLANK('A-RACHNATMAK'!V658)),"C","")))</f>
        <v/>
      </c>
      <c r="V624" s="622">
        <f t="shared" ref="V624" si="1188">COUNTIF(B624:U624,"A")</f>
        <v>0</v>
      </c>
      <c r="W624" s="622">
        <f t="shared" ref="W624" si="1189">COUNTIF(B624:U624,"B")</f>
        <v>0</v>
      </c>
      <c r="X624" s="622">
        <f t="shared" ref="X624" si="1190">COUNTIF(B624:U624,"C")</f>
        <v>0</v>
      </c>
      <c r="Y624" s="330"/>
      <c r="Z624" s="623">
        <v>30</v>
      </c>
      <c r="AA624" s="622" t="str">
        <f>IF(NOT(ISBLANK('A-RACHNATMAK'!AD660)),"A",IF(NOT(ISBLANK('A-RACHNATMAK'!AD659)),"B",IF(NOT(ISBLANK('A-RACHNATMAK'!AD658)),"C","")))</f>
        <v/>
      </c>
      <c r="AB624" s="622" t="str">
        <f>IF(NOT(ISBLANK('A-RACHNATMAK'!AE660)),"A",IF(NOT(ISBLANK('A-RACHNATMAK'!AE659)),"B",IF(NOT(ISBLANK('A-RACHNATMAK'!AE658)),"C","")))</f>
        <v/>
      </c>
      <c r="AC624" s="622" t="str">
        <f>IF(NOT(ISBLANK('A-RACHNATMAK'!AF660)),"A",IF(NOT(ISBLANK('A-RACHNATMAK'!AF659)),"B",IF(NOT(ISBLANK('A-RACHNATMAK'!AF658)),"C","")))</f>
        <v/>
      </c>
      <c r="AD624" s="622" t="str">
        <f>IF(NOT(ISBLANK('A-RACHNATMAK'!AG660)),"A",IF(NOT(ISBLANK('A-RACHNATMAK'!AG659)),"B",IF(NOT(ISBLANK('A-RACHNATMAK'!AG658)),"C","")))</f>
        <v/>
      </c>
      <c r="AE624" s="622" t="str">
        <f>IF(NOT(ISBLANK('A-RACHNATMAK'!AH660)),"A",IF(NOT(ISBLANK('A-RACHNATMAK'!AH659)),"B",IF(NOT(ISBLANK('A-RACHNATMAK'!AH658)),"C","")))</f>
        <v/>
      </c>
      <c r="AF624" s="622" t="str">
        <f>IF(NOT(ISBLANK('A-RACHNATMAK'!AI660)),"A",IF(NOT(ISBLANK('A-RACHNATMAK'!AI659)),"B",IF(NOT(ISBLANK('A-RACHNATMAK'!AI658)),"C","")))</f>
        <v/>
      </c>
      <c r="AG624" s="622" t="str">
        <f>IF(NOT(ISBLANK('A-RACHNATMAK'!AJ660)),"A",IF(NOT(ISBLANK('A-RACHNATMAK'!AJ659)),"B",IF(NOT(ISBLANK('A-RACHNATMAK'!AJ658)),"C","")))</f>
        <v/>
      </c>
      <c r="AH624" s="622" t="str">
        <f>IF(NOT(ISBLANK('A-RACHNATMAK'!AK660)),"A",IF(NOT(ISBLANK('A-RACHNATMAK'!AK659)),"B",IF(NOT(ISBLANK('A-RACHNATMAK'!AK658)),"C","")))</f>
        <v/>
      </c>
      <c r="AI624" s="622" t="str">
        <f>IF(NOT(ISBLANK('A-RACHNATMAK'!AL660)),"A",IF(NOT(ISBLANK('A-RACHNATMAK'!AL659)),"B",IF(NOT(ISBLANK('A-RACHNATMAK'!AL658)),"C","")))</f>
        <v/>
      </c>
      <c r="AJ624" s="622" t="str">
        <f>IF(NOT(ISBLANK('A-RACHNATMAK'!AM660)),"A",IF(NOT(ISBLANK('A-RACHNATMAK'!AM659)),"B",IF(NOT(ISBLANK('A-RACHNATMAK'!AM658)),"C","")))</f>
        <v/>
      </c>
      <c r="AK624" s="622" t="str">
        <f>IF(NOT(ISBLANK('A-RACHNATMAK'!AN660)),"A",IF(NOT(ISBLANK('A-RACHNATMAK'!AN659)),"B",IF(NOT(ISBLANK('A-RACHNATMAK'!AN658)),"C","")))</f>
        <v/>
      </c>
      <c r="AL624" s="622" t="str">
        <f>IF(NOT(ISBLANK('A-RACHNATMAK'!AO660)),"A",IF(NOT(ISBLANK('A-RACHNATMAK'!AO659)),"B",IF(NOT(ISBLANK('A-RACHNATMAK'!AO658)),"C","")))</f>
        <v/>
      </c>
      <c r="AM624" s="622" t="str">
        <f>IF(NOT(ISBLANK('A-RACHNATMAK'!AP660)),"A",IF(NOT(ISBLANK('A-RACHNATMAK'!AP659)),"B",IF(NOT(ISBLANK('A-RACHNATMAK'!AP658)),"C","")))</f>
        <v/>
      </c>
      <c r="AN624" s="622" t="str">
        <f>IF(NOT(ISBLANK('A-RACHNATMAK'!AQ660)),"A",IF(NOT(ISBLANK('A-RACHNATMAK'!AQ659)),"B",IF(NOT(ISBLANK('A-RACHNATMAK'!AQ658)),"C","")))</f>
        <v/>
      </c>
      <c r="AO624" s="622" t="str">
        <f>IF(NOT(ISBLANK('A-RACHNATMAK'!AR660)),"A",IF(NOT(ISBLANK('A-RACHNATMAK'!AR659)),"B",IF(NOT(ISBLANK('A-RACHNATMAK'!AR658)),"C","")))</f>
        <v/>
      </c>
      <c r="AP624" s="622" t="str">
        <f>IF(NOT(ISBLANK('A-RACHNATMAK'!AS660)),"A",IF(NOT(ISBLANK('A-RACHNATMAK'!AS659)),"B",IF(NOT(ISBLANK('A-RACHNATMAK'!AS658)),"C","")))</f>
        <v/>
      </c>
      <c r="AQ624" s="622" t="str">
        <f>IF(NOT(ISBLANK('A-RACHNATMAK'!AT660)),"A",IF(NOT(ISBLANK('A-RACHNATMAK'!AT659)),"B",IF(NOT(ISBLANK('A-RACHNATMAK'!AT658)),"C","")))</f>
        <v/>
      </c>
      <c r="AR624" s="622" t="str">
        <f>IF(NOT(ISBLANK('A-RACHNATMAK'!AU660)),"A",IF(NOT(ISBLANK('A-RACHNATMAK'!AU659)),"B",IF(NOT(ISBLANK('A-RACHNATMAK'!AU658)),"C","")))</f>
        <v/>
      </c>
      <c r="AS624" s="622" t="str">
        <f>IF(NOT(ISBLANK('A-RACHNATMAK'!AV660)),"A",IF(NOT(ISBLANK('A-RACHNATMAK'!AV659)),"B",IF(NOT(ISBLANK('A-RACHNATMAK'!AV658)),"C","")))</f>
        <v/>
      </c>
      <c r="AT624" s="622" t="str">
        <f>IF(NOT(ISBLANK('A-RACHNATMAK'!AW660)),"A",IF(NOT(ISBLANK('A-RACHNATMAK'!AW659)),"B",IF(NOT(ISBLANK('A-RACHNATMAK'!AW658)),"C","")))</f>
        <v/>
      </c>
      <c r="AU624" s="622">
        <f t="shared" ref="AU624" si="1191">COUNTIF(AA624:AT624,"A")</f>
        <v>0</v>
      </c>
      <c r="AV624" s="622">
        <f t="shared" ref="AV624" si="1192">COUNTIF(AA624:AT624,"B")</f>
        <v>0</v>
      </c>
      <c r="AW624" s="622">
        <f t="shared" ref="AW624" si="1193">COUNTIF(AA624:AT624,"C")</f>
        <v>0</v>
      </c>
    </row>
    <row r="625" spans="1:49" ht="7.5" customHeight="1">
      <c r="A625" s="623"/>
      <c r="B625" s="622"/>
      <c r="C625" s="622"/>
      <c r="D625" s="622"/>
      <c r="E625" s="622"/>
      <c r="F625" s="622"/>
      <c r="G625" s="622"/>
      <c r="H625" s="622"/>
      <c r="I625" s="622"/>
      <c r="J625" s="622"/>
      <c r="K625" s="622"/>
      <c r="L625" s="622"/>
      <c r="M625" s="622"/>
      <c r="N625" s="622"/>
      <c r="O625" s="622"/>
      <c r="P625" s="622"/>
      <c r="Q625" s="622"/>
      <c r="R625" s="622"/>
      <c r="S625" s="622"/>
      <c r="T625" s="622"/>
      <c r="U625" s="622"/>
      <c r="V625" s="622"/>
      <c r="W625" s="622"/>
      <c r="X625" s="622"/>
      <c r="Y625" s="330"/>
      <c r="Z625" s="623"/>
      <c r="AA625" s="622"/>
      <c r="AB625" s="622"/>
      <c r="AC625" s="622"/>
      <c r="AD625" s="622"/>
      <c r="AE625" s="622"/>
      <c r="AF625" s="622"/>
      <c r="AG625" s="622"/>
      <c r="AH625" s="622"/>
      <c r="AI625" s="622"/>
      <c r="AJ625" s="622"/>
      <c r="AK625" s="622"/>
      <c r="AL625" s="622"/>
      <c r="AM625" s="622"/>
      <c r="AN625" s="622"/>
      <c r="AO625" s="622"/>
      <c r="AP625" s="622"/>
      <c r="AQ625" s="622"/>
      <c r="AR625" s="622"/>
      <c r="AS625" s="622"/>
      <c r="AT625" s="622"/>
      <c r="AU625" s="622"/>
      <c r="AV625" s="622"/>
      <c r="AW625" s="622"/>
    </row>
    <row r="626" spans="1:49" ht="7.5" customHeight="1">
      <c r="A626" s="623"/>
      <c r="B626" s="622"/>
      <c r="C626" s="622"/>
      <c r="D626" s="622"/>
      <c r="E626" s="622"/>
      <c r="F626" s="622"/>
      <c r="G626" s="622"/>
      <c r="H626" s="622"/>
      <c r="I626" s="622"/>
      <c r="J626" s="622"/>
      <c r="K626" s="622"/>
      <c r="L626" s="622"/>
      <c r="M626" s="622"/>
      <c r="N626" s="622"/>
      <c r="O626" s="622"/>
      <c r="P626" s="622"/>
      <c r="Q626" s="622"/>
      <c r="R626" s="622"/>
      <c r="S626" s="622"/>
      <c r="T626" s="622"/>
      <c r="U626" s="622"/>
      <c r="V626" s="622"/>
      <c r="W626" s="622"/>
      <c r="X626" s="622"/>
      <c r="Y626" s="330"/>
      <c r="Z626" s="623"/>
      <c r="AA626" s="622"/>
      <c r="AB626" s="622"/>
      <c r="AC626" s="622"/>
      <c r="AD626" s="622"/>
      <c r="AE626" s="622"/>
      <c r="AF626" s="622"/>
      <c r="AG626" s="622"/>
      <c r="AH626" s="622"/>
      <c r="AI626" s="622"/>
      <c r="AJ626" s="622"/>
      <c r="AK626" s="622"/>
      <c r="AL626" s="622"/>
      <c r="AM626" s="622"/>
      <c r="AN626" s="622"/>
      <c r="AO626" s="622"/>
      <c r="AP626" s="622"/>
      <c r="AQ626" s="622"/>
      <c r="AR626" s="622"/>
      <c r="AS626" s="622"/>
      <c r="AT626" s="622"/>
      <c r="AU626" s="622"/>
      <c r="AV626" s="622"/>
      <c r="AW626" s="622"/>
    </row>
    <row r="627" spans="1:49" ht="7.5" customHeight="1">
      <c r="A627" s="623">
        <v>31</v>
      </c>
      <c r="B627" s="622" t="str">
        <f>IF(NOT(ISBLANK('A-RACHNATMAK'!C663)),"A",IF(NOT(ISBLANK('A-RACHNATMAK'!C662)),"B",IF(NOT(ISBLANK('A-RACHNATMAK'!C661)),"C","")))</f>
        <v/>
      </c>
      <c r="C627" s="622" t="str">
        <f>IF(NOT(ISBLANK('A-RACHNATMAK'!D663)),"A",IF(NOT(ISBLANK('A-RACHNATMAK'!D662)),"B",IF(NOT(ISBLANK('A-RACHNATMAK'!D661)),"C","")))</f>
        <v/>
      </c>
      <c r="D627" s="622" t="str">
        <f>IF(NOT(ISBLANK('A-RACHNATMAK'!E663)),"A",IF(NOT(ISBLANK('A-RACHNATMAK'!E662)),"B",IF(NOT(ISBLANK('A-RACHNATMAK'!E661)),"C","")))</f>
        <v/>
      </c>
      <c r="E627" s="622" t="str">
        <f>IF(NOT(ISBLANK('A-RACHNATMAK'!F663)),"A",IF(NOT(ISBLANK('A-RACHNATMAK'!F662)),"B",IF(NOT(ISBLANK('A-RACHNATMAK'!F661)),"C","")))</f>
        <v/>
      </c>
      <c r="F627" s="622" t="str">
        <f>IF(NOT(ISBLANK('A-RACHNATMAK'!G663)),"A",IF(NOT(ISBLANK('A-RACHNATMAK'!G662)),"B",IF(NOT(ISBLANK('A-RACHNATMAK'!G661)),"C","")))</f>
        <v/>
      </c>
      <c r="G627" s="622" t="str">
        <f>IF(NOT(ISBLANK('A-RACHNATMAK'!H663)),"A",IF(NOT(ISBLANK('A-RACHNATMAK'!H662)),"B",IF(NOT(ISBLANK('A-RACHNATMAK'!H661)),"C","")))</f>
        <v/>
      </c>
      <c r="H627" s="622" t="str">
        <f>IF(NOT(ISBLANK('A-RACHNATMAK'!I663)),"A",IF(NOT(ISBLANK('A-RACHNATMAK'!I662)),"B",IF(NOT(ISBLANK('A-RACHNATMAK'!I661)),"C","")))</f>
        <v/>
      </c>
      <c r="I627" s="622" t="str">
        <f>IF(NOT(ISBLANK('A-RACHNATMAK'!J663)),"A",IF(NOT(ISBLANK('A-RACHNATMAK'!J662)),"B",IF(NOT(ISBLANK('A-RACHNATMAK'!J661)),"C","")))</f>
        <v/>
      </c>
      <c r="J627" s="622" t="str">
        <f>IF(NOT(ISBLANK('A-RACHNATMAK'!K663)),"A",IF(NOT(ISBLANK('A-RACHNATMAK'!K662)),"B",IF(NOT(ISBLANK('A-RACHNATMAK'!K661)),"C","")))</f>
        <v/>
      </c>
      <c r="K627" s="622" t="str">
        <f>IF(NOT(ISBLANK('A-RACHNATMAK'!L663)),"A",IF(NOT(ISBLANK('A-RACHNATMAK'!L662)),"B",IF(NOT(ISBLANK('A-RACHNATMAK'!L661)),"C","")))</f>
        <v/>
      </c>
      <c r="L627" s="622" t="str">
        <f>IF(NOT(ISBLANK('A-RACHNATMAK'!M663)),"A",IF(NOT(ISBLANK('A-RACHNATMAK'!M662)),"B",IF(NOT(ISBLANK('A-RACHNATMAK'!M661)),"C","")))</f>
        <v/>
      </c>
      <c r="M627" s="622" t="str">
        <f>IF(NOT(ISBLANK('A-RACHNATMAK'!N663)),"A",IF(NOT(ISBLANK('A-RACHNATMAK'!N662)),"B",IF(NOT(ISBLANK('A-RACHNATMAK'!N661)),"C","")))</f>
        <v/>
      </c>
      <c r="N627" s="622" t="str">
        <f>IF(NOT(ISBLANK('A-RACHNATMAK'!O663)),"A",IF(NOT(ISBLANK('A-RACHNATMAK'!O662)),"B",IF(NOT(ISBLANK('A-RACHNATMAK'!O661)),"C","")))</f>
        <v/>
      </c>
      <c r="O627" s="622" t="str">
        <f>IF(NOT(ISBLANK('A-RACHNATMAK'!P663)),"A",IF(NOT(ISBLANK('A-RACHNATMAK'!P662)),"B",IF(NOT(ISBLANK('A-RACHNATMAK'!P661)),"C","")))</f>
        <v/>
      </c>
      <c r="P627" s="622" t="str">
        <f>IF(NOT(ISBLANK('A-RACHNATMAK'!Q663)),"A",IF(NOT(ISBLANK('A-RACHNATMAK'!Q662)),"B",IF(NOT(ISBLANK('A-RACHNATMAK'!Q661)),"C","")))</f>
        <v/>
      </c>
      <c r="Q627" s="622" t="str">
        <f>IF(NOT(ISBLANK('A-RACHNATMAK'!R663)),"A",IF(NOT(ISBLANK('A-RACHNATMAK'!R662)),"B",IF(NOT(ISBLANK('A-RACHNATMAK'!R661)),"C","")))</f>
        <v/>
      </c>
      <c r="R627" s="622" t="str">
        <f>IF(NOT(ISBLANK('A-RACHNATMAK'!S663)),"A",IF(NOT(ISBLANK('A-RACHNATMAK'!S662)),"B",IF(NOT(ISBLANK('A-RACHNATMAK'!S661)),"C","")))</f>
        <v/>
      </c>
      <c r="S627" s="622" t="str">
        <f>IF(NOT(ISBLANK('A-RACHNATMAK'!T663)),"A",IF(NOT(ISBLANK('A-RACHNATMAK'!T662)),"B",IF(NOT(ISBLANK('A-RACHNATMAK'!T661)),"C","")))</f>
        <v/>
      </c>
      <c r="T627" s="622" t="str">
        <f>IF(NOT(ISBLANK('A-RACHNATMAK'!U663)),"A",IF(NOT(ISBLANK('A-RACHNATMAK'!U662)),"B",IF(NOT(ISBLANK('A-RACHNATMAK'!U661)),"C","")))</f>
        <v/>
      </c>
      <c r="U627" s="622" t="str">
        <f>IF(NOT(ISBLANK('A-RACHNATMAK'!V663)),"A",IF(NOT(ISBLANK('A-RACHNATMAK'!V662)),"B",IF(NOT(ISBLANK('A-RACHNATMAK'!V661)),"C","")))</f>
        <v/>
      </c>
      <c r="V627" s="622">
        <f t="shared" ref="V627" si="1194">COUNTIF(B627:U627,"A")</f>
        <v>0</v>
      </c>
      <c r="W627" s="622">
        <f t="shared" ref="W627" si="1195">COUNTIF(B627:U627,"B")</f>
        <v>0</v>
      </c>
      <c r="X627" s="622">
        <f t="shared" ref="X627" si="1196">COUNTIF(B627:U627,"C")</f>
        <v>0</v>
      </c>
      <c r="Y627" s="330"/>
      <c r="Z627" s="623">
        <v>31</v>
      </c>
      <c r="AA627" s="622" t="str">
        <f>IF(NOT(ISBLANK('A-RACHNATMAK'!AD663)),"A",IF(NOT(ISBLANK('A-RACHNATMAK'!AD662)),"B",IF(NOT(ISBLANK('A-RACHNATMAK'!AD661)),"C","")))</f>
        <v/>
      </c>
      <c r="AB627" s="622" t="str">
        <f>IF(NOT(ISBLANK('A-RACHNATMAK'!AE663)),"A",IF(NOT(ISBLANK('A-RACHNATMAK'!AE662)),"B",IF(NOT(ISBLANK('A-RACHNATMAK'!AE661)),"C","")))</f>
        <v/>
      </c>
      <c r="AC627" s="622" t="str">
        <f>IF(NOT(ISBLANK('A-RACHNATMAK'!AF663)),"A",IF(NOT(ISBLANK('A-RACHNATMAK'!AF662)),"B",IF(NOT(ISBLANK('A-RACHNATMAK'!AF661)),"C","")))</f>
        <v/>
      </c>
      <c r="AD627" s="622" t="str">
        <f>IF(NOT(ISBLANK('A-RACHNATMAK'!AG663)),"A",IF(NOT(ISBLANK('A-RACHNATMAK'!AG662)),"B",IF(NOT(ISBLANK('A-RACHNATMAK'!AG661)),"C","")))</f>
        <v/>
      </c>
      <c r="AE627" s="622" t="str">
        <f>IF(NOT(ISBLANK('A-RACHNATMAK'!AH663)),"A",IF(NOT(ISBLANK('A-RACHNATMAK'!AH662)),"B",IF(NOT(ISBLANK('A-RACHNATMAK'!AH661)),"C","")))</f>
        <v/>
      </c>
      <c r="AF627" s="622" t="str">
        <f>IF(NOT(ISBLANK('A-RACHNATMAK'!AI663)),"A",IF(NOT(ISBLANK('A-RACHNATMAK'!AI662)),"B",IF(NOT(ISBLANK('A-RACHNATMAK'!AI661)),"C","")))</f>
        <v/>
      </c>
      <c r="AG627" s="622" t="str">
        <f>IF(NOT(ISBLANK('A-RACHNATMAK'!AJ663)),"A",IF(NOT(ISBLANK('A-RACHNATMAK'!AJ662)),"B",IF(NOT(ISBLANK('A-RACHNATMAK'!AJ661)),"C","")))</f>
        <v/>
      </c>
      <c r="AH627" s="622" t="str">
        <f>IF(NOT(ISBLANK('A-RACHNATMAK'!AK663)),"A",IF(NOT(ISBLANK('A-RACHNATMAK'!AK662)),"B",IF(NOT(ISBLANK('A-RACHNATMAK'!AK661)),"C","")))</f>
        <v/>
      </c>
      <c r="AI627" s="622" t="str">
        <f>IF(NOT(ISBLANK('A-RACHNATMAK'!AL663)),"A",IF(NOT(ISBLANK('A-RACHNATMAK'!AL662)),"B",IF(NOT(ISBLANK('A-RACHNATMAK'!AL661)),"C","")))</f>
        <v/>
      </c>
      <c r="AJ627" s="622" t="str">
        <f>IF(NOT(ISBLANK('A-RACHNATMAK'!AM663)),"A",IF(NOT(ISBLANK('A-RACHNATMAK'!AM662)),"B",IF(NOT(ISBLANK('A-RACHNATMAK'!AM661)),"C","")))</f>
        <v/>
      </c>
      <c r="AK627" s="622" t="str">
        <f>IF(NOT(ISBLANK('A-RACHNATMAK'!AN663)),"A",IF(NOT(ISBLANK('A-RACHNATMAK'!AN662)),"B",IF(NOT(ISBLANK('A-RACHNATMAK'!AN661)),"C","")))</f>
        <v/>
      </c>
      <c r="AL627" s="622" t="str">
        <f>IF(NOT(ISBLANK('A-RACHNATMAK'!AO663)),"A",IF(NOT(ISBLANK('A-RACHNATMAK'!AO662)),"B",IF(NOT(ISBLANK('A-RACHNATMAK'!AO661)),"C","")))</f>
        <v/>
      </c>
      <c r="AM627" s="622" t="str">
        <f>IF(NOT(ISBLANK('A-RACHNATMAK'!AP663)),"A",IF(NOT(ISBLANK('A-RACHNATMAK'!AP662)),"B",IF(NOT(ISBLANK('A-RACHNATMAK'!AP661)),"C","")))</f>
        <v/>
      </c>
      <c r="AN627" s="622" t="str">
        <f>IF(NOT(ISBLANK('A-RACHNATMAK'!AQ663)),"A",IF(NOT(ISBLANK('A-RACHNATMAK'!AQ662)),"B",IF(NOT(ISBLANK('A-RACHNATMAK'!AQ661)),"C","")))</f>
        <v/>
      </c>
      <c r="AO627" s="622" t="str">
        <f>IF(NOT(ISBLANK('A-RACHNATMAK'!AR663)),"A",IF(NOT(ISBLANK('A-RACHNATMAK'!AR662)),"B",IF(NOT(ISBLANK('A-RACHNATMAK'!AR661)),"C","")))</f>
        <v/>
      </c>
      <c r="AP627" s="622" t="str">
        <f>IF(NOT(ISBLANK('A-RACHNATMAK'!AS663)),"A",IF(NOT(ISBLANK('A-RACHNATMAK'!AS662)),"B",IF(NOT(ISBLANK('A-RACHNATMAK'!AS661)),"C","")))</f>
        <v/>
      </c>
      <c r="AQ627" s="622" t="str">
        <f>IF(NOT(ISBLANK('A-RACHNATMAK'!AT663)),"A",IF(NOT(ISBLANK('A-RACHNATMAK'!AT662)),"B",IF(NOT(ISBLANK('A-RACHNATMAK'!AT661)),"C","")))</f>
        <v/>
      </c>
      <c r="AR627" s="622" t="str">
        <f>IF(NOT(ISBLANK('A-RACHNATMAK'!AU663)),"A",IF(NOT(ISBLANK('A-RACHNATMAK'!AU662)),"B",IF(NOT(ISBLANK('A-RACHNATMAK'!AU661)),"C","")))</f>
        <v/>
      </c>
      <c r="AS627" s="622" t="str">
        <f>IF(NOT(ISBLANK('A-RACHNATMAK'!AV663)),"A",IF(NOT(ISBLANK('A-RACHNATMAK'!AV662)),"B",IF(NOT(ISBLANK('A-RACHNATMAK'!AV661)),"C","")))</f>
        <v/>
      </c>
      <c r="AT627" s="622" t="str">
        <f>IF(NOT(ISBLANK('A-RACHNATMAK'!AW663)),"A",IF(NOT(ISBLANK('A-RACHNATMAK'!AW662)),"B",IF(NOT(ISBLANK('A-RACHNATMAK'!AW661)),"C","")))</f>
        <v/>
      </c>
      <c r="AU627" s="622">
        <f t="shared" ref="AU627" si="1197">COUNTIF(AA627:AT627,"A")</f>
        <v>0</v>
      </c>
      <c r="AV627" s="622">
        <f t="shared" ref="AV627" si="1198">COUNTIF(AA627:AT627,"B")</f>
        <v>0</v>
      </c>
      <c r="AW627" s="622">
        <f t="shared" ref="AW627" si="1199">COUNTIF(AA627:AT627,"C")</f>
        <v>0</v>
      </c>
    </row>
    <row r="628" spans="1:49" ht="7.5" customHeight="1">
      <c r="A628" s="623"/>
      <c r="B628" s="622"/>
      <c r="C628" s="622"/>
      <c r="D628" s="622"/>
      <c r="E628" s="622"/>
      <c r="F628" s="622"/>
      <c r="G628" s="622"/>
      <c r="H628" s="622"/>
      <c r="I628" s="622"/>
      <c r="J628" s="622"/>
      <c r="K628" s="622"/>
      <c r="L628" s="622"/>
      <c r="M628" s="622"/>
      <c r="N628" s="622"/>
      <c r="O628" s="622"/>
      <c r="P628" s="622"/>
      <c r="Q628" s="622"/>
      <c r="R628" s="622"/>
      <c r="S628" s="622"/>
      <c r="T628" s="622"/>
      <c r="U628" s="622"/>
      <c r="V628" s="622"/>
      <c r="W628" s="622"/>
      <c r="X628" s="622"/>
      <c r="Y628" s="330"/>
      <c r="Z628" s="623"/>
      <c r="AA628" s="622"/>
      <c r="AB628" s="622"/>
      <c r="AC628" s="622"/>
      <c r="AD628" s="622"/>
      <c r="AE628" s="622"/>
      <c r="AF628" s="622"/>
      <c r="AG628" s="622"/>
      <c r="AH628" s="622"/>
      <c r="AI628" s="622"/>
      <c r="AJ628" s="622"/>
      <c r="AK628" s="622"/>
      <c r="AL628" s="622"/>
      <c r="AM628" s="622"/>
      <c r="AN628" s="622"/>
      <c r="AO628" s="622"/>
      <c r="AP628" s="622"/>
      <c r="AQ628" s="622"/>
      <c r="AR628" s="622"/>
      <c r="AS628" s="622"/>
      <c r="AT628" s="622"/>
      <c r="AU628" s="622"/>
      <c r="AV628" s="622"/>
      <c r="AW628" s="622"/>
    </row>
    <row r="629" spans="1:49" ht="7.5" customHeight="1">
      <c r="A629" s="623"/>
      <c r="B629" s="622"/>
      <c r="C629" s="622"/>
      <c r="D629" s="622"/>
      <c r="E629" s="622"/>
      <c r="F629" s="622"/>
      <c r="G629" s="622"/>
      <c r="H629" s="622"/>
      <c r="I629" s="622"/>
      <c r="J629" s="622"/>
      <c r="K629" s="622"/>
      <c r="L629" s="622"/>
      <c r="M629" s="622"/>
      <c r="N629" s="622"/>
      <c r="O629" s="622"/>
      <c r="P629" s="622"/>
      <c r="Q629" s="622"/>
      <c r="R629" s="622"/>
      <c r="S629" s="622"/>
      <c r="T629" s="622"/>
      <c r="U629" s="622"/>
      <c r="V629" s="622"/>
      <c r="W629" s="622"/>
      <c r="X629" s="622"/>
      <c r="Y629" s="330"/>
      <c r="Z629" s="623"/>
      <c r="AA629" s="622"/>
      <c r="AB629" s="622"/>
      <c r="AC629" s="622"/>
      <c r="AD629" s="622"/>
      <c r="AE629" s="622"/>
      <c r="AF629" s="622"/>
      <c r="AG629" s="622"/>
      <c r="AH629" s="622"/>
      <c r="AI629" s="622"/>
      <c r="AJ629" s="622"/>
      <c r="AK629" s="622"/>
      <c r="AL629" s="622"/>
      <c r="AM629" s="622"/>
      <c r="AN629" s="622"/>
      <c r="AO629" s="622"/>
      <c r="AP629" s="622"/>
      <c r="AQ629" s="622"/>
      <c r="AR629" s="622"/>
      <c r="AS629" s="622"/>
      <c r="AT629" s="622"/>
      <c r="AU629" s="622"/>
      <c r="AV629" s="622"/>
      <c r="AW629" s="622"/>
    </row>
    <row r="630" spans="1:49" ht="7.5" customHeight="1">
      <c r="A630" s="623">
        <v>32</v>
      </c>
      <c r="B630" s="622" t="str">
        <f>IF(NOT(ISBLANK('A-RACHNATMAK'!C666)),"A",IF(NOT(ISBLANK('A-RACHNATMAK'!C665)),"B",IF(NOT(ISBLANK('A-RACHNATMAK'!C664)),"C","")))</f>
        <v/>
      </c>
      <c r="C630" s="622" t="str">
        <f>IF(NOT(ISBLANK('A-RACHNATMAK'!D666)),"A",IF(NOT(ISBLANK('A-RACHNATMAK'!D665)),"B",IF(NOT(ISBLANK('A-RACHNATMAK'!D664)),"C","")))</f>
        <v/>
      </c>
      <c r="D630" s="622" t="str">
        <f>IF(NOT(ISBLANK('A-RACHNATMAK'!E666)),"A",IF(NOT(ISBLANK('A-RACHNATMAK'!E665)),"B",IF(NOT(ISBLANK('A-RACHNATMAK'!E664)),"C","")))</f>
        <v/>
      </c>
      <c r="E630" s="622" t="str">
        <f>IF(NOT(ISBLANK('A-RACHNATMAK'!F666)),"A",IF(NOT(ISBLANK('A-RACHNATMAK'!F665)),"B",IF(NOT(ISBLANK('A-RACHNATMAK'!F664)),"C","")))</f>
        <v/>
      </c>
      <c r="F630" s="622" t="str">
        <f>IF(NOT(ISBLANK('A-RACHNATMAK'!G666)),"A",IF(NOT(ISBLANK('A-RACHNATMAK'!G665)),"B",IF(NOT(ISBLANK('A-RACHNATMAK'!G664)),"C","")))</f>
        <v/>
      </c>
      <c r="G630" s="622" t="str">
        <f>IF(NOT(ISBLANK('A-RACHNATMAK'!H666)),"A",IF(NOT(ISBLANK('A-RACHNATMAK'!H665)),"B",IF(NOT(ISBLANK('A-RACHNATMAK'!H664)),"C","")))</f>
        <v/>
      </c>
      <c r="H630" s="622" t="str">
        <f>IF(NOT(ISBLANK('A-RACHNATMAK'!I666)),"A",IF(NOT(ISBLANK('A-RACHNATMAK'!I665)),"B",IF(NOT(ISBLANK('A-RACHNATMAK'!I664)),"C","")))</f>
        <v/>
      </c>
      <c r="I630" s="622" t="str">
        <f>IF(NOT(ISBLANK('A-RACHNATMAK'!J666)),"A",IF(NOT(ISBLANK('A-RACHNATMAK'!J665)),"B",IF(NOT(ISBLANK('A-RACHNATMAK'!J664)),"C","")))</f>
        <v/>
      </c>
      <c r="J630" s="622" t="str">
        <f>IF(NOT(ISBLANK('A-RACHNATMAK'!K666)),"A",IF(NOT(ISBLANK('A-RACHNATMAK'!K665)),"B",IF(NOT(ISBLANK('A-RACHNATMAK'!K664)),"C","")))</f>
        <v/>
      </c>
      <c r="K630" s="622" t="str">
        <f>IF(NOT(ISBLANK('A-RACHNATMAK'!L666)),"A",IF(NOT(ISBLANK('A-RACHNATMAK'!L665)),"B",IF(NOT(ISBLANK('A-RACHNATMAK'!L664)),"C","")))</f>
        <v/>
      </c>
      <c r="L630" s="622" t="str">
        <f>IF(NOT(ISBLANK('A-RACHNATMAK'!M666)),"A",IF(NOT(ISBLANK('A-RACHNATMAK'!M665)),"B",IF(NOT(ISBLANK('A-RACHNATMAK'!M664)),"C","")))</f>
        <v/>
      </c>
      <c r="M630" s="622" t="str">
        <f>IF(NOT(ISBLANK('A-RACHNATMAK'!N666)),"A",IF(NOT(ISBLANK('A-RACHNATMAK'!N665)),"B",IF(NOT(ISBLANK('A-RACHNATMAK'!N664)),"C","")))</f>
        <v/>
      </c>
      <c r="N630" s="622" t="str">
        <f>IF(NOT(ISBLANK('A-RACHNATMAK'!O666)),"A",IF(NOT(ISBLANK('A-RACHNATMAK'!O665)),"B",IF(NOT(ISBLANK('A-RACHNATMAK'!O664)),"C","")))</f>
        <v/>
      </c>
      <c r="O630" s="622" t="str">
        <f>IF(NOT(ISBLANK('A-RACHNATMAK'!P666)),"A",IF(NOT(ISBLANK('A-RACHNATMAK'!P665)),"B",IF(NOT(ISBLANK('A-RACHNATMAK'!P664)),"C","")))</f>
        <v/>
      </c>
      <c r="P630" s="622" t="str">
        <f>IF(NOT(ISBLANK('A-RACHNATMAK'!Q666)),"A",IF(NOT(ISBLANK('A-RACHNATMAK'!Q665)),"B",IF(NOT(ISBLANK('A-RACHNATMAK'!Q664)),"C","")))</f>
        <v/>
      </c>
      <c r="Q630" s="622" t="str">
        <f>IF(NOT(ISBLANK('A-RACHNATMAK'!R666)),"A",IF(NOT(ISBLANK('A-RACHNATMAK'!R665)),"B",IF(NOT(ISBLANK('A-RACHNATMAK'!R664)),"C","")))</f>
        <v/>
      </c>
      <c r="R630" s="622" t="str">
        <f>IF(NOT(ISBLANK('A-RACHNATMAK'!S666)),"A",IF(NOT(ISBLANK('A-RACHNATMAK'!S665)),"B",IF(NOT(ISBLANK('A-RACHNATMAK'!S664)),"C","")))</f>
        <v/>
      </c>
      <c r="S630" s="622" t="str">
        <f>IF(NOT(ISBLANK('A-RACHNATMAK'!T666)),"A",IF(NOT(ISBLANK('A-RACHNATMAK'!T665)),"B",IF(NOT(ISBLANK('A-RACHNATMAK'!T664)),"C","")))</f>
        <v/>
      </c>
      <c r="T630" s="622" t="str">
        <f>IF(NOT(ISBLANK('A-RACHNATMAK'!U666)),"A",IF(NOT(ISBLANK('A-RACHNATMAK'!U665)),"B",IF(NOT(ISBLANK('A-RACHNATMAK'!U664)),"C","")))</f>
        <v/>
      </c>
      <c r="U630" s="622" t="str">
        <f>IF(NOT(ISBLANK('A-RACHNATMAK'!V666)),"A",IF(NOT(ISBLANK('A-RACHNATMAK'!V665)),"B",IF(NOT(ISBLANK('A-RACHNATMAK'!V664)),"C","")))</f>
        <v/>
      </c>
      <c r="V630" s="622">
        <f t="shared" ref="V630" si="1200">COUNTIF(B630:U630,"A")</f>
        <v>0</v>
      </c>
      <c r="W630" s="622">
        <f t="shared" ref="W630" si="1201">COUNTIF(B630:U630,"B")</f>
        <v>0</v>
      </c>
      <c r="X630" s="622">
        <f t="shared" ref="X630" si="1202">COUNTIF(B630:U630,"C")</f>
        <v>0</v>
      </c>
      <c r="Y630" s="330"/>
      <c r="Z630" s="623">
        <v>32</v>
      </c>
      <c r="AA630" s="622" t="str">
        <f>IF(NOT(ISBLANK('A-RACHNATMAK'!AD666)),"A",IF(NOT(ISBLANK('A-RACHNATMAK'!AD665)),"B",IF(NOT(ISBLANK('A-RACHNATMAK'!AD664)),"C","")))</f>
        <v/>
      </c>
      <c r="AB630" s="622" t="str">
        <f>IF(NOT(ISBLANK('A-RACHNATMAK'!AE666)),"A",IF(NOT(ISBLANK('A-RACHNATMAK'!AE665)),"B",IF(NOT(ISBLANK('A-RACHNATMAK'!AE664)),"C","")))</f>
        <v/>
      </c>
      <c r="AC630" s="622" t="str">
        <f>IF(NOT(ISBLANK('A-RACHNATMAK'!AF666)),"A",IF(NOT(ISBLANK('A-RACHNATMAK'!AF665)),"B",IF(NOT(ISBLANK('A-RACHNATMAK'!AF664)),"C","")))</f>
        <v/>
      </c>
      <c r="AD630" s="622" t="str">
        <f>IF(NOT(ISBLANK('A-RACHNATMAK'!AG666)),"A",IF(NOT(ISBLANK('A-RACHNATMAK'!AG665)),"B",IF(NOT(ISBLANK('A-RACHNATMAK'!AG664)),"C","")))</f>
        <v/>
      </c>
      <c r="AE630" s="622" t="str">
        <f>IF(NOT(ISBLANK('A-RACHNATMAK'!AH666)),"A",IF(NOT(ISBLANK('A-RACHNATMAK'!AH665)),"B",IF(NOT(ISBLANK('A-RACHNATMAK'!AH664)),"C","")))</f>
        <v/>
      </c>
      <c r="AF630" s="622" t="str">
        <f>IF(NOT(ISBLANK('A-RACHNATMAK'!AI666)),"A",IF(NOT(ISBLANK('A-RACHNATMAK'!AI665)),"B",IF(NOT(ISBLANK('A-RACHNATMAK'!AI664)),"C","")))</f>
        <v/>
      </c>
      <c r="AG630" s="622" t="str">
        <f>IF(NOT(ISBLANK('A-RACHNATMAK'!AJ666)),"A",IF(NOT(ISBLANK('A-RACHNATMAK'!AJ665)),"B",IF(NOT(ISBLANK('A-RACHNATMAK'!AJ664)),"C","")))</f>
        <v/>
      </c>
      <c r="AH630" s="622" t="str">
        <f>IF(NOT(ISBLANK('A-RACHNATMAK'!AK666)),"A",IF(NOT(ISBLANK('A-RACHNATMAK'!AK665)),"B",IF(NOT(ISBLANK('A-RACHNATMAK'!AK664)),"C","")))</f>
        <v/>
      </c>
      <c r="AI630" s="622" t="str">
        <f>IF(NOT(ISBLANK('A-RACHNATMAK'!AL666)),"A",IF(NOT(ISBLANK('A-RACHNATMAK'!AL665)),"B",IF(NOT(ISBLANK('A-RACHNATMAK'!AL664)),"C","")))</f>
        <v/>
      </c>
      <c r="AJ630" s="622" t="str">
        <f>IF(NOT(ISBLANK('A-RACHNATMAK'!AM666)),"A",IF(NOT(ISBLANK('A-RACHNATMAK'!AM665)),"B",IF(NOT(ISBLANK('A-RACHNATMAK'!AM664)),"C","")))</f>
        <v/>
      </c>
      <c r="AK630" s="622" t="str">
        <f>IF(NOT(ISBLANK('A-RACHNATMAK'!AN666)),"A",IF(NOT(ISBLANK('A-RACHNATMAK'!AN665)),"B",IF(NOT(ISBLANK('A-RACHNATMAK'!AN664)),"C","")))</f>
        <v/>
      </c>
      <c r="AL630" s="622" t="str">
        <f>IF(NOT(ISBLANK('A-RACHNATMAK'!AO666)),"A",IF(NOT(ISBLANK('A-RACHNATMAK'!AO665)),"B",IF(NOT(ISBLANK('A-RACHNATMAK'!AO664)),"C","")))</f>
        <v/>
      </c>
      <c r="AM630" s="622" t="str">
        <f>IF(NOT(ISBLANK('A-RACHNATMAK'!AP666)),"A",IF(NOT(ISBLANK('A-RACHNATMAK'!AP665)),"B",IF(NOT(ISBLANK('A-RACHNATMAK'!AP664)),"C","")))</f>
        <v/>
      </c>
      <c r="AN630" s="622" t="str">
        <f>IF(NOT(ISBLANK('A-RACHNATMAK'!AQ666)),"A",IF(NOT(ISBLANK('A-RACHNATMAK'!AQ665)),"B",IF(NOT(ISBLANK('A-RACHNATMAK'!AQ664)),"C","")))</f>
        <v/>
      </c>
      <c r="AO630" s="622" t="str">
        <f>IF(NOT(ISBLANK('A-RACHNATMAK'!AR666)),"A",IF(NOT(ISBLANK('A-RACHNATMAK'!AR665)),"B",IF(NOT(ISBLANK('A-RACHNATMAK'!AR664)),"C","")))</f>
        <v/>
      </c>
      <c r="AP630" s="622" t="str">
        <f>IF(NOT(ISBLANK('A-RACHNATMAK'!AS666)),"A",IF(NOT(ISBLANK('A-RACHNATMAK'!AS665)),"B",IF(NOT(ISBLANK('A-RACHNATMAK'!AS664)),"C","")))</f>
        <v/>
      </c>
      <c r="AQ630" s="622" t="str">
        <f>IF(NOT(ISBLANK('A-RACHNATMAK'!AT666)),"A",IF(NOT(ISBLANK('A-RACHNATMAK'!AT665)),"B",IF(NOT(ISBLANK('A-RACHNATMAK'!AT664)),"C","")))</f>
        <v/>
      </c>
      <c r="AR630" s="622" t="str">
        <f>IF(NOT(ISBLANK('A-RACHNATMAK'!AU666)),"A",IF(NOT(ISBLANK('A-RACHNATMAK'!AU665)),"B",IF(NOT(ISBLANK('A-RACHNATMAK'!AU664)),"C","")))</f>
        <v/>
      </c>
      <c r="AS630" s="622" t="str">
        <f>IF(NOT(ISBLANK('A-RACHNATMAK'!AV666)),"A",IF(NOT(ISBLANK('A-RACHNATMAK'!AV665)),"B",IF(NOT(ISBLANK('A-RACHNATMAK'!AV664)),"C","")))</f>
        <v/>
      </c>
      <c r="AT630" s="622" t="str">
        <f>IF(NOT(ISBLANK('A-RACHNATMAK'!AW666)),"A",IF(NOT(ISBLANK('A-RACHNATMAK'!AW665)),"B",IF(NOT(ISBLANK('A-RACHNATMAK'!AW664)),"C","")))</f>
        <v/>
      </c>
      <c r="AU630" s="622">
        <f t="shared" ref="AU630" si="1203">COUNTIF(AA630:AT630,"A")</f>
        <v>0</v>
      </c>
      <c r="AV630" s="622">
        <f t="shared" ref="AV630" si="1204">COUNTIF(AA630:AT630,"B")</f>
        <v>0</v>
      </c>
      <c r="AW630" s="622">
        <f t="shared" ref="AW630" si="1205">COUNTIF(AA630:AT630,"C")</f>
        <v>0</v>
      </c>
    </row>
    <row r="631" spans="1:49" ht="7.5" customHeight="1">
      <c r="A631" s="623"/>
      <c r="B631" s="622"/>
      <c r="C631" s="622"/>
      <c r="D631" s="622"/>
      <c r="E631" s="622"/>
      <c r="F631" s="622"/>
      <c r="G631" s="622"/>
      <c r="H631" s="622"/>
      <c r="I631" s="622"/>
      <c r="J631" s="622"/>
      <c r="K631" s="622"/>
      <c r="L631" s="622"/>
      <c r="M631" s="622"/>
      <c r="N631" s="622"/>
      <c r="O631" s="622"/>
      <c r="P631" s="622"/>
      <c r="Q631" s="622"/>
      <c r="R631" s="622"/>
      <c r="S631" s="622"/>
      <c r="T631" s="622"/>
      <c r="U631" s="622"/>
      <c r="V631" s="622"/>
      <c r="W631" s="622"/>
      <c r="X631" s="622"/>
      <c r="Y631" s="330"/>
      <c r="Z631" s="623"/>
      <c r="AA631" s="622"/>
      <c r="AB631" s="622"/>
      <c r="AC631" s="622"/>
      <c r="AD631" s="622"/>
      <c r="AE631" s="622"/>
      <c r="AF631" s="622"/>
      <c r="AG631" s="622"/>
      <c r="AH631" s="622"/>
      <c r="AI631" s="622"/>
      <c r="AJ631" s="622"/>
      <c r="AK631" s="622"/>
      <c r="AL631" s="622"/>
      <c r="AM631" s="622"/>
      <c r="AN631" s="622"/>
      <c r="AO631" s="622"/>
      <c r="AP631" s="622"/>
      <c r="AQ631" s="622"/>
      <c r="AR631" s="622"/>
      <c r="AS631" s="622"/>
      <c r="AT631" s="622"/>
      <c r="AU631" s="622"/>
      <c r="AV631" s="622"/>
      <c r="AW631" s="622"/>
    </row>
    <row r="632" spans="1:49" ht="7.5" customHeight="1">
      <c r="A632" s="623"/>
      <c r="B632" s="622"/>
      <c r="C632" s="622"/>
      <c r="D632" s="622"/>
      <c r="E632" s="622"/>
      <c r="F632" s="622"/>
      <c r="G632" s="622"/>
      <c r="H632" s="622"/>
      <c r="I632" s="622"/>
      <c r="J632" s="622"/>
      <c r="K632" s="622"/>
      <c r="L632" s="622"/>
      <c r="M632" s="622"/>
      <c r="N632" s="622"/>
      <c r="O632" s="622"/>
      <c r="P632" s="622"/>
      <c r="Q632" s="622"/>
      <c r="R632" s="622"/>
      <c r="S632" s="622"/>
      <c r="T632" s="622"/>
      <c r="U632" s="622"/>
      <c r="V632" s="622"/>
      <c r="W632" s="622"/>
      <c r="X632" s="622"/>
      <c r="Y632" s="330"/>
      <c r="Z632" s="623"/>
      <c r="AA632" s="622"/>
      <c r="AB632" s="622"/>
      <c r="AC632" s="622"/>
      <c r="AD632" s="622"/>
      <c r="AE632" s="622"/>
      <c r="AF632" s="622"/>
      <c r="AG632" s="622"/>
      <c r="AH632" s="622"/>
      <c r="AI632" s="622"/>
      <c r="AJ632" s="622"/>
      <c r="AK632" s="622"/>
      <c r="AL632" s="622"/>
      <c r="AM632" s="622"/>
      <c r="AN632" s="622"/>
      <c r="AO632" s="622"/>
      <c r="AP632" s="622"/>
      <c r="AQ632" s="622"/>
      <c r="AR632" s="622"/>
      <c r="AS632" s="622"/>
      <c r="AT632" s="622"/>
      <c r="AU632" s="622"/>
      <c r="AV632" s="622"/>
      <c r="AW632" s="622"/>
    </row>
    <row r="633" spans="1:49" ht="7.5" customHeight="1">
      <c r="A633" s="623">
        <v>33</v>
      </c>
      <c r="B633" s="622" t="str">
        <f>IF(NOT(ISBLANK('A-RACHNATMAK'!C669)),"A",IF(NOT(ISBLANK('A-RACHNATMAK'!C668)),"B",IF(NOT(ISBLANK('A-RACHNATMAK'!C667)),"C","")))</f>
        <v/>
      </c>
      <c r="C633" s="622" t="str">
        <f>IF(NOT(ISBLANK('A-RACHNATMAK'!D669)),"A",IF(NOT(ISBLANK('A-RACHNATMAK'!D668)),"B",IF(NOT(ISBLANK('A-RACHNATMAK'!D667)),"C","")))</f>
        <v/>
      </c>
      <c r="D633" s="622" t="str">
        <f>IF(NOT(ISBLANK('A-RACHNATMAK'!E669)),"A",IF(NOT(ISBLANK('A-RACHNATMAK'!E668)),"B",IF(NOT(ISBLANK('A-RACHNATMAK'!E667)),"C","")))</f>
        <v/>
      </c>
      <c r="E633" s="622" t="str">
        <f>IF(NOT(ISBLANK('A-RACHNATMAK'!F669)),"A",IF(NOT(ISBLANK('A-RACHNATMAK'!F668)),"B",IF(NOT(ISBLANK('A-RACHNATMAK'!F667)),"C","")))</f>
        <v/>
      </c>
      <c r="F633" s="622" t="str">
        <f>IF(NOT(ISBLANK('A-RACHNATMAK'!G669)),"A",IF(NOT(ISBLANK('A-RACHNATMAK'!G668)),"B",IF(NOT(ISBLANK('A-RACHNATMAK'!G667)),"C","")))</f>
        <v/>
      </c>
      <c r="G633" s="622" t="str">
        <f>IF(NOT(ISBLANK('A-RACHNATMAK'!H669)),"A",IF(NOT(ISBLANK('A-RACHNATMAK'!H668)),"B",IF(NOT(ISBLANK('A-RACHNATMAK'!H667)),"C","")))</f>
        <v/>
      </c>
      <c r="H633" s="622" t="str">
        <f>IF(NOT(ISBLANK('A-RACHNATMAK'!I669)),"A",IF(NOT(ISBLANK('A-RACHNATMAK'!I668)),"B",IF(NOT(ISBLANK('A-RACHNATMAK'!I667)),"C","")))</f>
        <v/>
      </c>
      <c r="I633" s="622" t="str">
        <f>IF(NOT(ISBLANK('A-RACHNATMAK'!J669)),"A",IF(NOT(ISBLANK('A-RACHNATMAK'!J668)),"B",IF(NOT(ISBLANK('A-RACHNATMAK'!J667)),"C","")))</f>
        <v/>
      </c>
      <c r="J633" s="622" t="str">
        <f>IF(NOT(ISBLANK('A-RACHNATMAK'!K669)),"A",IF(NOT(ISBLANK('A-RACHNATMAK'!K668)),"B",IF(NOT(ISBLANK('A-RACHNATMAK'!K667)),"C","")))</f>
        <v/>
      </c>
      <c r="K633" s="622" t="str">
        <f>IF(NOT(ISBLANK('A-RACHNATMAK'!L669)),"A",IF(NOT(ISBLANK('A-RACHNATMAK'!L668)),"B",IF(NOT(ISBLANK('A-RACHNATMAK'!L667)),"C","")))</f>
        <v/>
      </c>
      <c r="L633" s="622" t="str">
        <f>IF(NOT(ISBLANK('A-RACHNATMAK'!M669)),"A",IF(NOT(ISBLANK('A-RACHNATMAK'!M668)),"B",IF(NOT(ISBLANK('A-RACHNATMAK'!M667)),"C","")))</f>
        <v/>
      </c>
      <c r="M633" s="622" t="str">
        <f>IF(NOT(ISBLANK('A-RACHNATMAK'!N669)),"A",IF(NOT(ISBLANK('A-RACHNATMAK'!N668)),"B",IF(NOT(ISBLANK('A-RACHNATMAK'!N667)),"C","")))</f>
        <v/>
      </c>
      <c r="N633" s="622" t="str">
        <f>IF(NOT(ISBLANK('A-RACHNATMAK'!O669)),"A",IF(NOT(ISBLANK('A-RACHNATMAK'!O668)),"B",IF(NOT(ISBLANK('A-RACHNATMAK'!O667)),"C","")))</f>
        <v/>
      </c>
      <c r="O633" s="622" t="str">
        <f>IF(NOT(ISBLANK('A-RACHNATMAK'!P669)),"A",IF(NOT(ISBLANK('A-RACHNATMAK'!P668)),"B",IF(NOT(ISBLANK('A-RACHNATMAK'!P667)),"C","")))</f>
        <v/>
      </c>
      <c r="P633" s="622" t="str">
        <f>IF(NOT(ISBLANK('A-RACHNATMAK'!Q669)),"A",IF(NOT(ISBLANK('A-RACHNATMAK'!Q668)),"B",IF(NOT(ISBLANK('A-RACHNATMAK'!Q667)),"C","")))</f>
        <v/>
      </c>
      <c r="Q633" s="622" t="str">
        <f>IF(NOT(ISBLANK('A-RACHNATMAK'!R669)),"A",IF(NOT(ISBLANK('A-RACHNATMAK'!R668)),"B",IF(NOT(ISBLANK('A-RACHNATMAK'!R667)),"C","")))</f>
        <v/>
      </c>
      <c r="R633" s="622" t="str">
        <f>IF(NOT(ISBLANK('A-RACHNATMAK'!S669)),"A",IF(NOT(ISBLANK('A-RACHNATMAK'!S668)),"B",IF(NOT(ISBLANK('A-RACHNATMAK'!S667)),"C","")))</f>
        <v/>
      </c>
      <c r="S633" s="622" t="str">
        <f>IF(NOT(ISBLANK('A-RACHNATMAK'!T669)),"A",IF(NOT(ISBLANK('A-RACHNATMAK'!T668)),"B",IF(NOT(ISBLANK('A-RACHNATMAK'!T667)),"C","")))</f>
        <v/>
      </c>
      <c r="T633" s="622" t="str">
        <f>IF(NOT(ISBLANK('A-RACHNATMAK'!U669)),"A",IF(NOT(ISBLANK('A-RACHNATMAK'!U668)),"B",IF(NOT(ISBLANK('A-RACHNATMAK'!U667)),"C","")))</f>
        <v/>
      </c>
      <c r="U633" s="622" t="str">
        <f>IF(NOT(ISBLANK('A-RACHNATMAK'!V669)),"A",IF(NOT(ISBLANK('A-RACHNATMAK'!V668)),"B",IF(NOT(ISBLANK('A-RACHNATMAK'!V667)),"C","")))</f>
        <v/>
      </c>
      <c r="V633" s="622">
        <f t="shared" ref="V633" si="1206">COUNTIF(B633:U633,"A")</f>
        <v>0</v>
      </c>
      <c r="W633" s="622">
        <f t="shared" ref="W633" si="1207">COUNTIF(B633:U633,"B")</f>
        <v>0</v>
      </c>
      <c r="X633" s="622">
        <f t="shared" ref="X633" si="1208">COUNTIF(B633:U633,"C")</f>
        <v>0</v>
      </c>
      <c r="Y633" s="330"/>
      <c r="Z633" s="623">
        <v>33</v>
      </c>
      <c r="AA633" s="622" t="str">
        <f>IF(NOT(ISBLANK('A-RACHNATMAK'!AD669)),"A",IF(NOT(ISBLANK('A-RACHNATMAK'!AD668)),"B",IF(NOT(ISBLANK('A-RACHNATMAK'!AD667)),"C","")))</f>
        <v/>
      </c>
      <c r="AB633" s="622" t="str">
        <f>IF(NOT(ISBLANK('A-RACHNATMAK'!AE669)),"A",IF(NOT(ISBLANK('A-RACHNATMAK'!AE668)),"B",IF(NOT(ISBLANK('A-RACHNATMAK'!AE667)),"C","")))</f>
        <v/>
      </c>
      <c r="AC633" s="622" t="str">
        <f>IF(NOT(ISBLANK('A-RACHNATMAK'!AF669)),"A",IF(NOT(ISBLANK('A-RACHNATMAK'!AF668)),"B",IF(NOT(ISBLANK('A-RACHNATMAK'!AF667)),"C","")))</f>
        <v/>
      </c>
      <c r="AD633" s="622" t="str">
        <f>IF(NOT(ISBLANK('A-RACHNATMAK'!AG669)),"A",IF(NOT(ISBLANK('A-RACHNATMAK'!AG668)),"B",IF(NOT(ISBLANK('A-RACHNATMAK'!AG667)),"C","")))</f>
        <v/>
      </c>
      <c r="AE633" s="622" t="str">
        <f>IF(NOT(ISBLANK('A-RACHNATMAK'!AH669)),"A",IF(NOT(ISBLANK('A-RACHNATMAK'!AH668)),"B",IF(NOT(ISBLANK('A-RACHNATMAK'!AH667)),"C","")))</f>
        <v/>
      </c>
      <c r="AF633" s="622" t="str">
        <f>IF(NOT(ISBLANK('A-RACHNATMAK'!AI669)),"A",IF(NOT(ISBLANK('A-RACHNATMAK'!AI668)),"B",IF(NOT(ISBLANK('A-RACHNATMAK'!AI667)),"C","")))</f>
        <v/>
      </c>
      <c r="AG633" s="622" t="str">
        <f>IF(NOT(ISBLANK('A-RACHNATMAK'!AJ669)),"A",IF(NOT(ISBLANK('A-RACHNATMAK'!AJ668)),"B",IF(NOT(ISBLANK('A-RACHNATMAK'!AJ667)),"C","")))</f>
        <v/>
      </c>
      <c r="AH633" s="622" t="str">
        <f>IF(NOT(ISBLANK('A-RACHNATMAK'!AK669)),"A",IF(NOT(ISBLANK('A-RACHNATMAK'!AK668)),"B",IF(NOT(ISBLANK('A-RACHNATMAK'!AK667)),"C","")))</f>
        <v/>
      </c>
      <c r="AI633" s="622" t="str">
        <f>IF(NOT(ISBLANK('A-RACHNATMAK'!AL669)),"A",IF(NOT(ISBLANK('A-RACHNATMAK'!AL668)),"B",IF(NOT(ISBLANK('A-RACHNATMAK'!AL667)),"C","")))</f>
        <v/>
      </c>
      <c r="AJ633" s="622" t="str">
        <f>IF(NOT(ISBLANK('A-RACHNATMAK'!AM669)),"A",IF(NOT(ISBLANK('A-RACHNATMAK'!AM668)),"B",IF(NOT(ISBLANK('A-RACHNATMAK'!AM667)),"C","")))</f>
        <v/>
      </c>
      <c r="AK633" s="622" t="str">
        <f>IF(NOT(ISBLANK('A-RACHNATMAK'!AN669)),"A",IF(NOT(ISBLANK('A-RACHNATMAK'!AN668)),"B",IF(NOT(ISBLANK('A-RACHNATMAK'!AN667)),"C","")))</f>
        <v/>
      </c>
      <c r="AL633" s="622" t="str">
        <f>IF(NOT(ISBLANK('A-RACHNATMAK'!AO669)),"A",IF(NOT(ISBLANK('A-RACHNATMAK'!AO668)),"B",IF(NOT(ISBLANK('A-RACHNATMAK'!AO667)),"C","")))</f>
        <v/>
      </c>
      <c r="AM633" s="622" t="str">
        <f>IF(NOT(ISBLANK('A-RACHNATMAK'!AP669)),"A",IF(NOT(ISBLANK('A-RACHNATMAK'!AP668)),"B",IF(NOT(ISBLANK('A-RACHNATMAK'!AP667)),"C","")))</f>
        <v/>
      </c>
      <c r="AN633" s="622" t="str">
        <f>IF(NOT(ISBLANK('A-RACHNATMAK'!AQ669)),"A",IF(NOT(ISBLANK('A-RACHNATMAK'!AQ668)),"B",IF(NOT(ISBLANK('A-RACHNATMAK'!AQ667)),"C","")))</f>
        <v/>
      </c>
      <c r="AO633" s="622" t="str">
        <f>IF(NOT(ISBLANK('A-RACHNATMAK'!AR669)),"A",IF(NOT(ISBLANK('A-RACHNATMAK'!AR668)),"B",IF(NOT(ISBLANK('A-RACHNATMAK'!AR667)),"C","")))</f>
        <v/>
      </c>
      <c r="AP633" s="622" t="str">
        <f>IF(NOT(ISBLANK('A-RACHNATMAK'!AS669)),"A",IF(NOT(ISBLANK('A-RACHNATMAK'!AS668)),"B",IF(NOT(ISBLANK('A-RACHNATMAK'!AS667)),"C","")))</f>
        <v/>
      </c>
      <c r="AQ633" s="622" t="str">
        <f>IF(NOT(ISBLANK('A-RACHNATMAK'!AT669)),"A",IF(NOT(ISBLANK('A-RACHNATMAK'!AT668)),"B",IF(NOT(ISBLANK('A-RACHNATMAK'!AT667)),"C","")))</f>
        <v/>
      </c>
      <c r="AR633" s="622" t="str">
        <f>IF(NOT(ISBLANK('A-RACHNATMAK'!AU669)),"A",IF(NOT(ISBLANK('A-RACHNATMAK'!AU668)),"B",IF(NOT(ISBLANK('A-RACHNATMAK'!AU667)),"C","")))</f>
        <v/>
      </c>
      <c r="AS633" s="622" t="str">
        <f>IF(NOT(ISBLANK('A-RACHNATMAK'!AV669)),"A",IF(NOT(ISBLANK('A-RACHNATMAK'!AV668)),"B",IF(NOT(ISBLANK('A-RACHNATMAK'!AV667)),"C","")))</f>
        <v/>
      </c>
      <c r="AT633" s="622" t="str">
        <f>IF(NOT(ISBLANK('A-RACHNATMAK'!AW669)),"A",IF(NOT(ISBLANK('A-RACHNATMAK'!AW668)),"B",IF(NOT(ISBLANK('A-RACHNATMAK'!AW667)),"C","")))</f>
        <v/>
      </c>
      <c r="AU633" s="622">
        <f t="shared" ref="AU633" si="1209">COUNTIF(AA633:AT633,"A")</f>
        <v>0</v>
      </c>
      <c r="AV633" s="622">
        <f t="shared" ref="AV633" si="1210">COUNTIF(AA633:AT633,"B")</f>
        <v>0</v>
      </c>
      <c r="AW633" s="622">
        <f t="shared" ref="AW633" si="1211">COUNTIF(AA633:AT633,"C")</f>
        <v>0</v>
      </c>
    </row>
    <row r="634" spans="1:49" ht="7.5" customHeight="1">
      <c r="A634" s="623"/>
      <c r="B634" s="622"/>
      <c r="C634" s="622"/>
      <c r="D634" s="622"/>
      <c r="E634" s="622"/>
      <c r="F634" s="622"/>
      <c r="G634" s="622"/>
      <c r="H634" s="622"/>
      <c r="I634" s="622"/>
      <c r="J634" s="622"/>
      <c r="K634" s="622"/>
      <c r="L634" s="622"/>
      <c r="M634" s="622"/>
      <c r="N634" s="622"/>
      <c r="O634" s="622"/>
      <c r="P634" s="622"/>
      <c r="Q634" s="622"/>
      <c r="R634" s="622"/>
      <c r="S634" s="622"/>
      <c r="T634" s="622"/>
      <c r="U634" s="622"/>
      <c r="V634" s="622"/>
      <c r="W634" s="622"/>
      <c r="X634" s="622"/>
      <c r="Y634" s="330"/>
      <c r="Z634" s="623"/>
      <c r="AA634" s="622"/>
      <c r="AB634" s="622"/>
      <c r="AC634" s="622"/>
      <c r="AD634" s="622"/>
      <c r="AE634" s="622"/>
      <c r="AF634" s="622"/>
      <c r="AG634" s="622"/>
      <c r="AH634" s="622"/>
      <c r="AI634" s="622"/>
      <c r="AJ634" s="622"/>
      <c r="AK634" s="622"/>
      <c r="AL634" s="622"/>
      <c r="AM634" s="622"/>
      <c r="AN634" s="622"/>
      <c r="AO634" s="622"/>
      <c r="AP634" s="622"/>
      <c r="AQ634" s="622"/>
      <c r="AR634" s="622"/>
      <c r="AS634" s="622"/>
      <c r="AT634" s="622"/>
      <c r="AU634" s="622"/>
      <c r="AV634" s="622"/>
      <c r="AW634" s="622"/>
    </row>
    <row r="635" spans="1:49" ht="7.5" customHeight="1">
      <c r="A635" s="623"/>
      <c r="B635" s="622"/>
      <c r="C635" s="622"/>
      <c r="D635" s="622"/>
      <c r="E635" s="622"/>
      <c r="F635" s="622"/>
      <c r="G635" s="622"/>
      <c r="H635" s="622"/>
      <c r="I635" s="622"/>
      <c r="J635" s="622"/>
      <c r="K635" s="622"/>
      <c r="L635" s="622"/>
      <c r="M635" s="622"/>
      <c r="N635" s="622"/>
      <c r="O635" s="622"/>
      <c r="P635" s="622"/>
      <c r="Q635" s="622"/>
      <c r="R635" s="622"/>
      <c r="S635" s="622"/>
      <c r="T635" s="622"/>
      <c r="U635" s="622"/>
      <c r="V635" s="622"/>
      <c r="W635" s="622"/>
      <c r="X635" s="622"/>
      <c r="Y635" s="330"/>
      <c r="Z635" s="623"/>
      <c r="AA635" s="622"/>
      <c r="AB635" s="622"/>
      <c r="AC635" s="622"/>
      <c r="AD635" s="622"/>
      <c r="AE635" s="622"/>
      <c r="AF635" s="622"/>
      <c r="AG635" s="622"/>
      <c r="AH635" s="622"/>
      <c r="AI635" s="622"/>
      <c r="AJ635" s="622"/>
      <c r="AK635" s="622"/>
      <c r="AL635" s="622"/>
      <c r="AM635" s="622"/>
      <c r="AN635" s="622"/>
      <c r="AO635" s="622"/>
      <c r="AP635" s="622"/>
      <c r="AQ635" s="622"/>
      <c r="AR635" s="622"/>
      <c r="AS635" s="622"/>
      <c r="AT635" s="622"/>
      <c r="AU635" s="622"/>
      <c r="AV635" s="622"/>
      <c r="AW635" s="622"/>
    </row>
    <row r="636" spans="1:49" ht="7.5" customHeight="1">
      <c r="A636" s="623">
        <v>34</v>
      </c>
      <c r="B636" s="622" t="str">
        <f>IF(NOT(ISBLANK('A-RACHNATMAK'!C672)),"A",IF(NOT(ISBLANK('A-RACHNATMAK'!C671)),"B",IF(NOT(ISBLANK('A-RACHNATMAK'!C670)),"C","")))</f>
        <v/>
      </c>
      <c r="C636" s="622" t="str">
        <f>IF(NOT(ISBLANK('A-RACHNATMAK'!D672)),"A",IF(NOT(ISBLANK('A-RACHNATMAK'!D671)),"B",IF(NOT(ISBLANK('A-RACHNATMAK'!D670)),"C","")))</f>
        <v/>
      </c>
      <c r="D636" s="622" t="str">
        <f>IF(NOT(ISBLANK('A-RACHNATMAK'!E672)),"A",IF(NOT(ISBLANK('A-RACHNATMAK'!E671)),"B",IF(NOT(ISBLANK('A-RACHNATMAK'!E670)),"C","")))</f>
        <v/>
      </c>
      <c r="E636" s="622" t="str">
        <f>IF(NOT(ISBLANK('A-RACHNATMAK'!F672)),"A",IF(NOT(ISBLANK('A-RACHNATMAK'!F671)),"B",IF(NOT(ISBLANK('A-RACHNATMAK'!F670)),"C","")))</f>
        <v/>
      </c>
      <c r="F636" s="622" t="str">
        <f>IF(NOT(ISBLANK('A-RACHNATMAK'!G672)),"A",IF(NOT(ISBLANK('A-RACHNATMAK'!G671)),"B",IF(NOT(ISBLANK('A-RACHNATMAK'!G670)),"C","")))</f>
        <v/>
      </c>
      <c r="G636" s="622" t="str">
        <f>IF(NOT(ISBLANK('A-RACHNATMAK'!H672)),"A",IF(NOT(ISBLANK('A-RACHNATMAK'!H671)),"B",IF(NOT(ISBLANK('A-RACHNATMAK'!H670)),"C","")))</f>
        <v/>
      </c>
      <c r="H636" s="622" t="str">
        <f>IF(NOT(ISBLANK('A-RACHNATMAK'!I672)),"A",IF(NOT(ISBLANK('A-RACHNATMAK'!I671)),"B",IF(NOT(ISBLANK('A-RACHNATMAK'!I670)),"C","")))</f>
        <v/>
      </c>
      <c r="I636" s="622" t="str">
        <f>IF(NOT(ISBLANK('A-RACHNATMAK'!J672)),"A",IF(NOT(ISBLANK('A-RACHNATMAK'!J671)),"B",IF(NOT(ISBLANK('A-RACHNATMAK'!J670)),"C","")))</f>
        <v/>
      </c>
      <c r="J636" s="622" t="str">
        <f>IF(NOT(ISBLANK('A-RACHNATMAK'!K672)),"A",IF(NOT(ISBLANK('A-RACHNATMAK'!K671)),"B",IF(NOT(ISBLANK('A-RACHNATMAK'!K670)),"C","")))</f>
        <v/>
      </c>
      <c r="K636" s="622" t="str">
        <f>IF(NOT(ISBLANK('A-RACHNATMAK'!L672)),"A",IF(NOT(ISBLANK('A-RACHNATMAK'!L671)),"B",IF(NOT(ISBLANK('A-RACHNATMAK'!L670)),"C","")))</f>
        <v/>
      </c>
      <c r="L636" s="622" t="str">
        <f>IF(NOT(ISBLANK('A-RACHNATMAK'!M672)),"A",IF(NOT(ISBLANK('A-RACHNATMAK'!M671)),"B",IF(NOT(ISBLANK('A-RACHNATMAK'!M670)),"C","")))</f>
        <v/>
      </c>
      <c r="M636" s="622" t="str">
        <f>IF(NOT(ISBLANK('A-RACHNATMAK'!N672)),"A",IF(NOT(ISBLANK('A-RACHNATMAK'!N671)),"B",IF(NOT(ISBLANK('A-RACHNATMAK'!N670)),"C","")))</f>
        <v/>
      </c>
      <c r="N636" s="622" t="str">
        <f>IF(NOT(ISBLANK('A-RACHNATMAK'!O672)),"A",IF(NOT(ISBLANK('A-RACHNATMAK'!O671)),"B",IF(NOT(ISBLANK('A-RACHNATMAK'!O670)),"C","")))</f>
        <v/>
      </c>
      <c r="O636" s="622" t="str">
        <f>IF(NOT(ISBLANK('A-RACHNATMAK'!P672)),"A",IF(NOT(ISBLANK('A-RACHNATMAK'!P671)),"B",IF(NOT(ISBLANK('A-RACHNATMAK'!P670)),"C","")))</f>
        <v/>
      </c>
      <c r="P636" s="622" t="str">
        <f>IF(NOT(ISBLANK('A-RACHNATMAK'!Q672)),"A",IF(NOT(ISBLANK('A-RACHNATMAK'!Q671)),"B",IF(NOT(ISBLANK('A-RACHNATMAK'!Q670)),"C","")))</f>
        <v/>
      </c>
      <c r="Q636" s="622" t="str">
        <f>IF(NOT(ISBLANK('A-RACHNATMAK'!R672)),"A",IF(NOT(ISBLANK('A-RACHNATMAK'!R671)),"B",IF(NOT(ISBLANK('A-RACHNATMAK'!R670)),"C","")))</f>
        <v/>
      </c>
      <c r="R636" s="622" t="str">
        <f>IF(NOT(ISBLANK('A-RACHNATMAK'!S672)),"A",IF(NOT(ISBLANK('A-RACHNATMAK'!S671)),"B",IF(NOT(ISBLANK('A-RACHNATMAK'!S670)),"C","")))</f>
        <v/>
      </c>
      <c r="S636" s="622" t="str">
        <f>IF(NOT(ISBLANK('A-RACHNATMAK'!T672)),"A",IF(NOT(ISBLANK('A-RACHNATMAK'!T671)),"B",IF(NOT(ISBLANK('A-RACHNATMAK'!T670)),"C","")))</f>
        <v/>
      </c>
      <c r="T636" s="622" t="str">
        <f>IF(NOT(ISBLANK('A-RACHNATMAK'!U672)),"A",IF(NOT(ISBLANK('A-RACHNATMAK'!U671)),"B",IF(NOT(ISBLANK('A-RACHNATMAK'!U670)),"C","")))</f>
        <v/>
      </c>
      <c r="U636" s="622" t="str">
        <f>IF(NOT(ISBLANK('A-RACHNATMAK'!V672)),"A",IF(NOT(ISBLANK('A-RACHNATMAK'!V671)),"B",IF(NOT(ISBLANK('A-RACHNATMAK'!V670)),"C","")))</f>
        <v/>
      </c>
      <c r="V636" s="622">
        <f t="shared" ref="V636" si="1212">COUNTIF(B636:U636,"A")</f>
        <v>0</v>
      </c>
      <c r="W636" s="622">
        <f t="shared" ref="W636" si="1213">COUNTIF(B636:U636,"B")</f>
        <v>0</v>
      </c>
      <c r="X636" s="622">
        <f t="shared" ref="X636" si="1214">COUNTIF(B636:U636,"C")</f>
        <v>0</v>
      </c>
      <c r="Y636" s="330"/>
      <c r="Z636" s="623">
        <v>34</v>
      </c>
      <c r="AA636" s="622" t="str">
        <f>IF(NOT(ISBLANK('A-RACHNATMAK'!AD672)),"A",IF(NOT(ISBLANK('A-RACHNATMAK'!AD671)),"B",IF(NOT(ISBLANK('A-RACHNATMAK'!AD670)),"C","")))</f>
        <v/>
      </c>
      <c r="AB636" s="622" t="str">
        <f>IF(NOT(ISBLANK('A-RACHNATMAK'!AE672)),"A",IF(NOT(ISBLANK('A-RACHNATMAK'!AE671)),"B",IF(NOT(ISBLANK('A-RACHNATMAK'!AE670)),"C","")))</f>
        <v/>
      </c>
      <c r="AC636" s="622" t="str">
        <f>IF(NOT(ISBLANK('A-RACHNATMAK'!AF672)),"A",IF(NOT(ISBLANK('A-RACHNATMAK'!AF671)),"B",IF(NOT(ISBLANK('A-RACHNATMAK'!AF670)),"C","")))</f>
        <v/>
      </c>
      <c r="AD636" s="622" t="str">
        <f>IF(NOT(ISBLANK('A-RACHNATMAK'!AG672)),"A",IF(NOT(ISBLANK('A-RACHNATMAK'!AG671)),"B",IF(NOT(ISBLANK('A-RACHNATMAK'!AG670)),"C","")))</f>
        <v/>
      </c>
      <c r="AE636" s="622" t="str">
        <f>IF(NOT(ISBLANK('A-RACHNATMAK'!AH672)),"A",IF(NOT(ISBLANK('A-RACHNATMAK'!AH671)),"B",IF(NOT(ISBLANK('A-RACHNATMAK'!AH670)),"C","")))</f>
        <v/>
      </c>
      <c r="AF636" s="622" t="str">
        <f>IF(NOT(ISBLANK('A-RACHNATMAK'!AI672)),"A",IF(NOT(ISBLANK('A-RACHNATMAK'!AI671)),"B",IF(NOT(ISBLANK('A-RACHNATMAK'!AI670)),"C","")))</f>
        <v/>
      </c>
      <c r="AG636" s="622" t="str">
        <f>IF(NOT(ISBLANK('A-RACHNATMAK'!AJ672)),"A",IF(NOT(ISBLANK('A-RACHNATMAK'!AJ671)),"B",IF(NOT(ISBLANK('A-RACHNATMAK'!AJ670)),"C","")))</f>
        <v/>
      </c>
      <c r="AH636" s="622" t="str">
        <f>IF(NOT(ISBLANK('A-RACHNATMAK'!AK672)),"A",IF(NOT(ISBLANK('A-RACHNATMAK'!AK671)),"B",IF(NOT(ISBLANK('A-RACHNATMAK'!AK670)),"C","")))</f>
        <v/>
      </c>
      <c r="AI636" s="622" t="str">
        <f>IF(NOT(ISBLANK('A-RACHNATMAK'!AL672)),"A",IF(NOT(ISBLANK('A-RACHNATMAK'!AL671)),"B",IF(NOT(ISBLANK('A-RACHNATMAK'!AL670)),"C","")))</f>
        <v/>
      </c>
      <c r="AJ636" s="622" t="str">
        <f>IF(NOT(ISBLANK('A-RACHNATMAK'!AM672)),"A",IF(NOT(ISBLANK('A-RACHNATMAK'!AM671)),"B",IF(NOT(ISBLANK('A-RACHNATMAK'!AM670)),"C","")))</f>
        <v/>
      </c>
      <c r="AK636" s="622" t="str">
        <f>IF(NOT(ISBLANK('A-RACHNATMAK'!AN672)),"A",IF(NOT(ISBLANK('A-RACHNATMAK'!AN671)),"B",IF(NOT(ISBLANK('A-RACHNATMAK'!AN670)),"C","")))</f>
        <v/>
      </c>
      <c r="AL636" s="622" t="str">
        <f>IF(NOT(ISBLANK('A-RACHNATMAK'!AO672)),"A",IF(NOT(ISBLANK('A-RACHNATMAK'!AO671)),"B",IF(NOT(ISBLANK('A-RACHNATMAK'!AO670)),"C","")))</f>
        <v/>
      </c>
      <c r="AM636" s="622" t="str">
        <f>IF(NOT(ISBLANK('A-RACHNATMAK'!AP672)),"A",IF(NOT(ISBLANK('A-RACHNATMAK'!AP671)),"B",IF(NOT(ISBLANK('A-RACHNATMAK'!AP670)),"C","")))</f>
        <v/>
      </c>
      <c r="AN636" s="622" t="str">
        <f>IF(NOT(ISBLANK('A-RACHNATMAK'!AQ672)),"A",IF(NOT(ISBLANK('A-RACHNATMAK'!AQ671)),"B",IF(NOT(ISBLANK('A-RACHNATMAK'!AQ670)),"C","")))</f>
        <v/>
      </c>
      <c r="AO636" s="622" t="str">
        <f>IF(NOT(ISBLANK('A-RACHNATMAK'!AR672)),"A",IF(NOT(ISBLANK('A-RACHNATMAK'!AR671)),"B",IF(NOT(ISBLANK('A-RACHNATMAK'!AR670)),"C","")))</f>
        <v/>
      </c>
      <c r="AP636" s="622" t="str">
        <f>IF(NOT(ISBLANK('A-RACHNATMAK'!AS672)),"A",IF(NOT(ISBLANK('A-RACHNATMAK'!AS671)),"B",IF(NOT(ISBLANK('A-RACHNATMAK'!AS670)),"C","")))</f>
        <v/>
      </c>
      <c r="AQ636" s="622" t="str">
        <f>IF(NOT(ISBLANK('A-RACHNATMAK'!AT672)),"A",IF(NOT(ISBLANK('A-RACHNATMAK'!AT671)),"B",IF(NOT(ISBLANK('A-RACHNATMAK'!AT670)),"C","")))</f>
        <v/>
      </c>
      <c r="AR636" s="622" t="str">
        <f>IF(NOT(ISBLANK('A-RACHNATMAK'!AU672)),"A",IF(NOT(ISBLANK('A-RACHNATMAK'!AU671)),"B",IF(NOT(ISBLANK('A-RACHNATMAK'!AU670)),"C","")))</f>
        <v/>
      </c>
      <c r="AS636" s="622" t="str">
        <f>IF(NOT(ISBLANK('A-RACHNATMAK'!AV672)),"A",IF(NOT(ISBLANK('A-RACHNATMAK'!AV671)),"B",IF(NOT(ISBLANK('A-RACHNATMAK'!AV670)),"C","")))</f>
        <v/>
      </c>
      <c r="AT636" s="622" t="str">
        <f>IF(NOT(ISBLANK('A-RACHNATMAK'!AW672)),"A",IF(NOT(ISBLANK('A-RACHNATMAK'!AW671)),"B",IF(NOT(ISBLANK('A-RACHNATMAK'!AW670)),"C","")))</f>
        <v/>
      </c>
      <c r="AU636" s="622">
        <f t="shared" ref="AU636" si="1215">COUNTIF(AA636:AT636,"A")</f>
        <v>0</v>
      </c>
      <c r="AV636" s="622">
        <f t="shared" ref="AV636" si="1216">COUNTIF(AA636:AT636,"B")</f>
        <v>0</v>
      </c>
      <c r="AW636" s="622">
        <f t="shared" ref="AW636" si="1217">COUNTIF(AA636:AT636,"C")</f>
        <v>0</v>
      </c>
    </row>
    <row r="637" spans="1:49" ht="7.5" customHeight="1">
      <c r="A637" s="623"/>
      <c r="B637" s="622"/>
      <c r="C637" s="622"/>
      <c r="D637" s="622"/>
      <c r="E637" s="622"/>
      <c r="F637" s="622"/>
      <c r="G637" s="622"/>
      <c r="H637" s="622"/>
      <c r="I637" s="622"/>
      <c r="J637" s="622"/>
      <c r="K637" s="622"/>
      <c r="L637" s="622"/>
      <c r="M637" s="622"/>
      <c r="N637" s="622"/>
      <c r="O637" s="622"/>
      <c r="P637" s="622"/>
      <c r="Q637" s="622"/>
      <c r="R637" s="622"/>
      <c r="S637" s="622"/>
      <c r="T637" s="622"/>
      <c r="U637" s="622"/>
      <c r="V637" s="622"/>
      <c r="W637" s="622"/>
      <c r="X637" s="622"/>
      <c r="Y637" s="330"/>
      <c r="Z637" s="623"/>
      <c r="AA637" s="622"/>
      <c r="AB637" s="622"/>
      <c r="AC637" s="622"/>
      <c r="AD637" s="622"/>
      <c r="AE637" s="622"/>
      <c r="AF637" s="622"/>
      <c r="AG637" s="622"/>
      <c r="AH637" s="622"/>
      <c r="AI637" s="622"/>
      <c r="AJ637" s="622"/>
      <c r="AK637" s="622"/>
      <c r="AL637" s="622"/>
      <c r="AM637" s="622"/>
      <c r="AN637" s="622"/>
      <c r="AO637" s="622"/>
      <c r="AP637" s="622"/>
      <c r="AQ637" s="622"/>
      <c r="AR637" s="622"/>
      <c r="AS637" s="622"/>
      <c r="AT637" s="622"/>
      <c r="AU637" s="622"/>
      <c r="AV637" s="622"/>
      <c r="AW637" s="622"/>
    </row>
    <row r="638" spans="1:49" ht="7.5" customHeight="1">
      <c r="A638" s="623"/>
      <c r="B638" s="622"/>
      <c r="C638" s="622"/>
      <c r="D638" s="622"/>
      <c r="E638" s="622"/>
      <c r="F638" s="622"/>
      <c r="G638" s="622"/>
      <c r="H638" s="622"/>
      <c r="I638" s="622"/>
      <c r="J638" s="622"/>
      <c r="K638" s="622"/>
      <c r="L638" s="622"/>
      <c r="M638" s="622"/>
      <c r="N638" s="622"/>
      <c r="O638" s="622"/>
      <c r="P638" s="622"/>
      <c r="Q638" s="622"/>
      <c r="R638" s="622"/>
      <c r="S638" s="622"/>
      <c r="T638" s="622"/>
      <c r="U638" s="622"/>
      <c r="V638" s="622"/>
      <c r="W638" s="622"/>
      <c r="X638" s="622"/>
      <c r="Y638" s="330"/>
      <c r="Z638" s="623"/>
      <c r="AA638" s="622"/>
      <c r="AB638" s="622"/>
      <c r="AC638" s="622"/>
      <c r="AD638" s="622"/>
      <c r="AE638" s="622"/>
      <c r="AF638" s="622"/>
      <c r="AG638" s="622"/>
      <c r="AH638" s="622"/>
      <c r="AI638" s="622"/>
      <c r="AJ638" s="622"/>
      <c r="AK638" s="622"/>
      <c r="AL638" s="622"/>
      <c r="AM638" s="622"/>
      <c r="AN638" s="622"/>
      <c r="AO638" s="622"/>
      <c r="AP638" s="622"/>
      <c r="AQ638" s="622"/>
      <c r="AR638" s="622"/>
      <c r="AS638" s="622"/>
      <c r="AT638" s="622"/>
      <c r="AU638" s="622"/>
      <c r="AV638" s="622"/>
      <c r="AW638" s="622"/>
    </row>
    <row r="639" spans="1:49" ht="7.5" customHeight="1">
      <c r="A639" s="623">
        <v>35</v>
      </c>
      <c r="B639" s="622" t="str">
        <f>IF(NOT(ISBLANK('A-RACHNATMAK'!C675)),"A",IF(NOT(ISBLANK('A-RACHNATMAK'!C674)),"B",IF(NOT(ISBLANK('A-RACHNATMAK'!C673)),"C","")))</f>
        <v/>
      </c>
      <c r="C639" s="622" t="str">
        <f>IF(NOT(ISBLANK('A-RACHNATMAK'!D675)),"A",IF(NOT(ISBLANK('A-RACHNATMAK'!D674)),"B",IF(NOT(ISBLANK('A-RACHNATMAK'!D673)),"C","")))</f>
        <v/>
      </c>
      <c r="D639" s="622" t="str">
        <f>IF(NOT(ISBLANK('A-RACHNATMAK'!E675)),"A",IF(NOT(ISBLANK('A-RACHNATMAK'!E674)),"B",IF(NOT(ISBLANK('A-RACHNATMAK'!E673)),"C","")))</f>
        <v/>
      </c>
      <c r="E639" s="622" t="str">
        <f>IF(NOT(ISBLANK('A-RACHNATMAK'!F675)),"A",IF(NOT(ISBLANK('A-RACHNATMAK'!F674)),"B",IF(NOT(ISBLANK('A-RACHNATMAK'!F673)),"C","")))</f>
        <v/>
      </c>
      <c r="F639" s="622" t="str">
        <f>IF(NOT(ISBLANK('A-RACHNATMAK'!G675)),"A",IF(NOT(ISBLANK('A-RACHNATMAK'!G674)),"B",IF(NOT(ISBLANK('A-RACHNATMAK'!G673)),"C","")))</f>
        <v/>
      </c>
      <c r="G639" s="622" t="str">
        <f>IF(NOT(ISBLANK('A-RACHNATMAK'!H675)),"A",IF(NOT(ISBLANK('A-RACHNATMAK'!H674)),"B",IF(NOT(ISBLANK('A-RACHNATMAK'!H673)),"C","")))</f>
        <v/>
      </c>
      <c r="H639" s="622" t="str">
        <f>IF(NOT(ISBLANK('A-RACHNATMAK'!I675)),"A",IF(NOT(ISBLANK('A-RACHNATMAK'!I674)),"B",IF(NOT(ISBLANK('A-RACHNATMAK'!I673)),"C","")))</f>
        <v/>
      </c>
      <c r="I639" s="622" t="str">
        <f>IF(NOT(ISBLANK('A-RACHNATMAK'!J675)),"A",IF(NOT(ISBLANK('A-RACHNATMAK'!J674)),"B",IF(NOT(ISBLANK('A-RACHNATMAK'!J673)),"C","")))</f>
        <v/>
      </c>
      <c r="J639" s="622" t="str">
        <f>IF(NOT(ISBLANK('A-RACHNATMAK'!K675)),"A",IF(NOT(ISBLANK('A-RACHNATMAK'!K674)),"B",IF(NOT(ISBLANK('A-RACHNATMAK'!K673)),"C","")))</f>
        <v/>
      </c>
      <c r="K639" s="622" t="str">
        <f>IF(NOT(ISBLANK('A-RACHNATMAK'!L675)),"A",IF(NOT(ISBLANK('A-RACHNATMAK'!L674)),"B",IF(NOT(ISBLANK('A-RACHNATMAK'!L673)),"C","")))</f>
        <v/>
      </c>
      <c r="L639" s="622" t="str">
        <f>IF(NOT(ISBLANK('A-RACHNATMAK'!M675)),"A",IF(NOT(ISBLANK('A-RACHNATMAK'!M674)),"B",IF(NOT(ISBLANK('A-RACHNATMAK'!M673)),"C","")))</f>
        <v/>
      </c>
      <c r="M639" s="622" t="str">
        <f>IF(NOT(ISBLANK('A-RACHNATMAK'!N675)),"A",IF(NOT(ISBLANK('A-RACHNATMAK'!N674)),"B",IF(NOT(ISBLANK('A-RACHNATMAK'!N673)),"C","")))</f>
        <v/>
      </c>
      <c r="N639" s="622" t="str">
        <f>IF(NOT(ISBLANK('A-RACHNATMAK'!O675)),"A",IF(NOT(ISBLANK('A-RACHNATMAK'!O674)),"B",IF(NOT(ISBLANK('A-RACHNATMAK'!O673)),"C","")))</f>
        <v/>
      </c>
      <c r="O639" s="622" t="str">
        <f>IF(NOT(ISBLANK('A-RACHNATMAK'!P675)),"A",IF(NOT(ISBLANK('A-RACHNATMAK'!P674)),"B",IF(NOT(ISBLANK('A-RACHNATMAK'!P673)),"C","")))</f>
        <v/>
      </c>
      <c r="P639" s="622" t="str">
        <f>IF(NOT(ISBLANK('A-RACHNATMAK'!Q675)),"A",IF(NOT(ISBLANK('A-RACHNATMAK'!Q674)),"B",IF(NOT(ISBLANK('A-RACHNATMAK'!Q673)),"C","")))</f>
        <v/>
      </c>
      <c r="Q639" s="622" t="str">
        <f>IF(NOT(ISBLANK('A-RACHNATMAK'!R675)),"A",IF(NOT(ISBLANK('A-RACHNATMAK'!R674)),"B",IF(NOT(ISBLANK('A-RACHNATMAK'!R673)),"C","")))</f>
        <v/>
      </c>
      <c r="R639" s="622" t="str">
        <f>IF(NOT(ISBLANK('A-RACHNATMAK'!S675)),"A",IF(NOT(ISBLANK('A-RACHNATMAK'!S674)),"B",IF(NOT(ISBLANK('A-RACHNATMAK'!S673)),"C","")))</f>
        <v/>
      </c>
      <c r="S639" s="622" t="str">
        <f>IF(NOT(ISBLANK('A-RACHNATMAK'!T675)),"A",IF(NOT(ISBLANK('A-RACHNATMAK'!T674)),"B",IF(NOT(ISBLANK('A-RACHNATMAK'!T673)),"C","")))</f>
        <v/>
      </c>
      <c r="T639" s="622" t="str">
        <f>IF(NOT(ISBLANK('A-RACHNATMAK'!U675)),"A",IF(NOT(ISBLANK('A-RACHNATMAK'!U674)),"B",IF(NOT(ISBLANK('A-RACHNATMAK'!U673)),"C","")))</f>
        <v/>
      </c>
      <c r="U639" s="622" t="str">
        <f>IF(NOT(ISBLANK('A-RACHNATMAK'!V675)),"A",IF(NOT(ISBLANK('A-RACHNATMAK'!V674)),"B",IF(NOT(ISBLANK('A-RACHNATMAK'!V673)),"C","")))</f>
        <v/>
      </c>
      <c r="V639" s="622">
        <f t="shared" ref="V639" si="1218">COUNTIF(B639:U639,"A")</f>
        <v>0</v>
      </c>
      <c r="W639" s="622">
        <f t="shared" ref="W639" si="1219">COUNTIF(B639:U639,"B")</f>
        <v>0</v>
      </c>
      <c r="X639" s="622">
        <f t="shared" ref="X639" si="1220">COUNTIF(B639:U639,"C")</f>
        <v>0</v>
      </c>
      <c r="Y639" s="330"/>
      <c r="Z639" s="623">
        <v>35</v>
      </c>
      <c r="AA639" s="622" t="str">
        <f>IF(NOT(ISBLANK('A-RACHNATMAK'!AD675)),"A",IF(NOT(ISBLANK('A-RACHNATMAK'!AD674)),"B",IF(NOT(ISBLANK('A-RACHNATMAK'!AD673)),"C","")))</f>
        <v/>
      </c>
      <c r="AB639" s="622" t="str">
        <f>IF(NOT(ISBLANK('A-RACHNATMAK'!AE675)),"A",IF(NOT(ISBLANK('A-RACHNATMAK'!AE674)),"B",IF(NOT(ISBLANK('A-RACHNATMAK'!AE673)),"C","")))</f>
        <v/>
      </c>
      <c r="AC639" s="622" t="str">
        <f>IF(NOT(ISBLANK('A-RACHNATMAK'!AF675)),"A",IF(NOT(ISBLANK('A-RACHNATMAK'!AF674)),"B",IF(NOT(ISBLANK('A-RACHNATMAK'!AF673)),"C","")))</f>
        <v/>
      </c>
      <c r="AD639" s="622" t="str">
        <f>IF(NOT(ISBLANK('A-RACHNATMAK'!AG675)),"A",IF(NOT(ISBLANK('A-RACHNATMAK'!AG674)),"B",IF(NOT(ISBLANK('A-RACHNATMAK'!AG673)),"C","")))</f>
        <v/>
      </c>
      <c r="AE639" s="622" t="str">
        <f>IF(NOT(ISBLANK('A-RACHNATMAK'!AH675)),"A",IF(NOT(ISBLANK('A-RACHNATMAK'!AH674)),"B",IF(NOT(ISBLANK('A-RACHNATMAK'!AH673)),"C","")))</f>
        <v/>
      </c>
      <c r="AF639" s="622" t="str">
        <f>IF(NOT(ISBLANK('A-RACHNATMAK'!AI675)),"A",IF(NOT(ISBLANK('A-RACHNATMAK'!AI674)),"B",IF(NOT(ISBLANK('A-RACHNATMAK'!AI673)),"C","")))</f>
        <v/>
      </c>
      <c r="AG639" s="622" t="str">
        <f>IF(NOT(ISBLANK('A-RACHNATMAK'!AJ675)),"A",IF(NOT(ISBLANK('A-RACHNATMAK'!AJ674)),"B",IF(NOT(ISBLANK('A-RACHNATMAK'!AJ673)),"C","")))</f>
        <v/>
      </c>
      <c r="AH639" s="622" t="str">
        <f>IF(NOT(ISBLANK('A-RACHNATMAK'!AK675)),"A",IF(NOT(ISBLANK('A-RACHNATMAK'!AK674)),"B",IF(NOT(ISBLANK('A-RACHNATMAK'!AK673)),"C","")))</f>
        <v/>
      </c>
      <c r="AI639" s="622" t="str">
        <f>IF(NOT(ISBLANK('A-RACHNATMAK'!AL675)),"A",IF(NOT(ISBLANK('A-RACHNATMAK'!AL674)),"B",IF(NOT(ISBLANK('A-RACHNATMAK'!AL673)),"C","")))</f>
        <v/>
      </c>
      <c r="AJ639" s="622" t="str">
        <f>IF(NOT(ISBLANK('A-RACHNATMAK'!AM675)),"A",IF(NOT(ISBLANK('A-RACHNATMAK'!AM674)),"B",IF(NOT(ISBLANK('A-RACHNATMAK'!AM673)),"C","")))</f>
        <v/>
      </c>
      <c r="AK639" s="622" t="str">
        <f>IF(NOT(ISBLANK('A-RACHNATMAK'!AN675)),"A",IF(NOT(ISBLANK('A-RACHNATMAK'!AN674)),"B",IF(NOT(ISBLANK('A-RACHNATMAK'!AN673)),"C","")))</f>
        <v/>
      </c>
      <c r="AL639" s="622" t="str">
        <f>IF(NOT(ISBLANK('A-RACHNATMAK'!AO675)),"A",IF(NOT(ISBLANK('A-RACHNATMAK'!AO674)),"B",IF(NOT(ISBLANK('A-RACHNATMAK'!AO673)),"C","")))</f>
        <v/>
      </c>
      <c r="AM639" s="622" t="str">
        <f>IF(NOT(ISBLANK('A-RACHNATMAK'!AP675)),"A",IF(NOT(ISBLANK('A-RACHNATMAK'!AP674)),"B",IF(NOT(ISBLANK('A-RACHNATMAK'!AP673)),"C","")))</f>
        <v/>
      </c>
      <c r="AN639" s="622" t="str">
        <f>IF(NOT(ISBLANK('A-RACHNATMAK'!AQ675)),"A",IF(NOT(ISBLANK('A-RACHNATMAK'!AQ674)),"B",IF(NOT(ISBLANK('A-RACHNATMAK'!AQ673)),"C","")))</f>
        <v/>
      </c>
      <c r="AO639" s="622" t="str">
        <f>IF(NOT(ISBLANK('A-RACHNATMAK'!AR675)),"A",IF(NOT(ISBLANK('A-RACHNATMAK'!AR674)),"B",IF(NOT(ISBLANK('A-RACHNATMAK'!AR673)),"C","")))</f>
        <v/>
      </c>
      <c r="AP639" s="622" t="str">
        <f>IF(NOT(ISBLANK('A-RACHNATMAK'!AS675)),"A",IF(NOT(ISBLANK('A-RACHNATMAK'!AS674)),"B",IF(NOT(ISBLANK('A-RACHNATMAK'!AS673)),"C","")))</f>
        <v/>
      </c>
      <c r="AQ639" s="622" t="str">
        <f>IF(NOT(ISBLANK('A-RACHNATMAK'!AT675)),"A",IF(NOT(ISBLANK('A-RACHNATMAK'!AT674)),"B",IF(NOT(ISBLANK('A-RACHNATMAK'!AT673)),"C","")))</f>
        <v/>
      </c>
      <c r="AR639" s="622" t="str">
        <f>IF(NOT(ISBLANK('A-RACHNATMAK'!AU675)),"A",IF(NOT(ISBLANK('A-RACHNATMAK'!AU674)),"B",IF(NOT(ISBLANK('A-RACHNATMAK'!AU673)),"C","")))</f>
        <v/>
      </c>
      <c r="AS639" s="622" t="str">
        <f>IF(NOT(ISBLANK('A-RACHNATMAK'!AV675)),"A",IF(NOT(ISBLANK('A-RACHNATMAK'!AV674)),"B",IF(NOT(ISBLANK('A-RACHNATMAK'!AV673)),"C","")))</f>
        <v/>
      </c>
      <c r="AT639" s="622" t="str">
        <f>IF(NOT(ISBLANK('A-RACHNATMAK'!AW675)),"A",IF(NOT(ISBLANK('A-RACHNATMAK'!AW674)),"B",IF(NOT(ISBLANK('A-RACHNATMAK'!AW673)),"C","")))</f>
        <v/>
      </c>
      <c r="AU639" s="622">
        <f t="shared" ref="AU639" si="1221">COUNTIF(AA639:AT639,"A")</f>
        <v>0</v>
      </c>
      <c r="AV639" s="622">
        <f t="shared" ref="AV639" si="1222">COUNTIF(AA639:AT639,"B")</f>
        <v>0</v>
      </c>
      <c r="AW639" s="622">
        <f t="shared" ref="AW639" si="1223">COUNTIF(AA639:AT639,"C")</f>
        <v>0</v>
      </c>
    </row>
    <row r="640" spans="1:49" ht="7.5" customHeight="1">
      <c r="A640" s="623"/>
      <c r="B640" s="622"/>
      <c r="C640" s="622"/>
      <c r="D640" s="622"/>
      <c r="E640" s="622"/>
      <c r="F640" s="622"/>
      <c r="G640" s="622"/>
      <c r="H640" s="622"/>
      <c r="I640" s="622"/>
      <c r="J640" s="622"/>
      <c r="K640" s="622"/>
      <c r="L640" s="622"/>
      <c r="M640" s="622"/>
      <c r="N640" s="622"/>
      <c r="O640" s="622"/>
      <c r="P640" s="622"/>
      <c r="Q640" s="622"/>
      <c r="R640" s="622"/>
      <c r="S640" s="622"/>
      <c r="T640" s="622"/>
      <c r="U640" s="622"/>
      <c r="V640" s="622"/>
      <c r="W640" s="622"/>
      <c r="X640" s="622"/>
      <c r="Y640" s="330"/>
      <c r="Z640" s="623"/>
      <c r="AA640" s="622"/>
      <c r="AB640" s="622"/>
      <c r="AC640" s="622"/>
      <c r="AD640" s="622"/>
      <c r="AE640" s="622"/>
      <c r="AF640" s="622"/>
      <c r="AG640" s="622"/>
      <c r="AH640" s="622"/>
      <c r="AI640" s="622"/>
      <c r="AJ640" s="622"/>
      <c r="AK640" s="622"/>
      <c r="AL640" s="622"/>
      <c r="AM640" s="622"/>
      <c r="AN640" s="622"/>
      <c r="AO640" s="622"/>
      <c r="AP640" s="622"/>
      <c r="AQ640" s="622"/>
      <c r="AR640" s="622"/>
      <c r="AS640" s="622"/>
      <c r="AT640" s="622"/>
      <c r="AU640" s="622"/>
      <c r="AV640" s="622"/>
      <c r="AW640" s="622"/>
    </row>
    <row r="641" spans="1:49" ht="7.5" customHeight="1">
      <c r="A641" s="623"/>
      <c r="B641" s="622"/>
      <c r="C641" s="622"/>
      <c r="D641" s="622"/>
      <c r="E641" s="622"/>
      <c r="F641" s="622"/>
      <c r="G641" s="622"/>
      <c r="H641" s="622"/>
      <c r="I641" s="622"/>
      <c r="J641" s="622"/>
      <c r="K641" s="622"/>
      <c r="L641" s="622"/>
      <c r="M641" s="622"/>
      <c r="N641" s="622"/>
      <c r="O641" s="622"/>
      <c r="P641" s="622"/>
      <c r="Q641" s="622"/>
      <c r="R641" s="622"/>
      <c r="S641" s="622"/>
      <c r="T641" s="622"/>
      <c r="U641" s="622"/>
      <c r="V641" s="622"/>
      <c r="W641" s="622"/>
      <c r="X641" s="622"/>
      <c r="Y641" s="330"/>
      <c r="Z641" s="623"/>
      <c r="AA641" s="622"/>
      <c r="AB641" s="622"/>
      <c r="AC641" s="622"/>
      <c r="AD641" s="622"/>
      <c r="AE641" s="622"/>
      <c r="AF641" s="622"/>
      <c r="AG641" s="622"/>
      <c r="AH641" s="622"/>
      <c r="AI641" s="622"/>
      <c r="AJ641" s="622"/>
      <c r="AK641" s="622"/>
      <c r="AL641" s="622"/>
      <c r="AM641" s="622"/>
      <c r="AN641" s="622"/>
      <c r="AO641" s="622"/>
      <c r="AP641" s="622"/>
      <c r="AQ641" s="622"/>
      <c r="AR641" s="622"/>
      <c r="AS641" s="622"/>
      <c r="AT641" s="622"/>
      <c r="AU641" s="622"/>
      <c r="AV641" s="622"/>
      <c r="AW641" s="622"/>
    </row>
    <row r="643" spans="1:49">
      <c r="B643" s="624" t="s">
        <v>330</v>
      </c>
      <c r="C643" s="624"/>
      <c r="D643" s="624"/>
      <c r="E643" s="624"/>
      <c r="F643" s="624"/>
      <c r="G643" s="624"/>
      <c r="H643" s="624"/>
      <c r="I643" s="624"/>
      <c r="J643" s="624"/>
      <c r="K643" s="624"/>
      <c r="L643" s="624"/>
      <c r="M643" s="624"/>
      <c r="N643" s="624"/>
      <c r="O643" s="624"/>
      <c r="P643" s="624"/>
      <c r="Q643" s="624"/>
      <c r="R643" s="624"/>
      <c r="S643" s="624"/>
      <c r="T643" s="624"/>
      <c r="U643" s="624"/>
      <c r="V643" s="624"/>
      <c r="W643" s="624"/>
      <c r="X643" s="624"/>
      <c r="Y643" s="331"/>
      <c r="AA643" s="624" t="s">
        <v>331</v>
      </c>
      <c r="AB643" s="624"/>
      <c r="AC643" s="624"/>
      <c r="AD643" s="624"/>
      <c r="AE643" s="624"/>
      <c r="AF643" s="624"/>
      <c r="AG643" s="624"/>
      <c r="AH643" s="624"/>
      <c r="AI643" s="624"/>
      <c r="AJ643" s="624"/>
      <c r="AK643" s="624"/>
      <c r="AL643" s="624"/>
      <c r="AM643" s="624"/>
      <c r="AN643" s="624"/>
      <c r="AO643" s="624"/>
      <c r="AP643" s="624"/>
      <c r="AQ643" s="624"/>
      <c r="AR643" s="624"/>
      <c r="AS643" s="624"/>
      <c r="AT643" s="624"/>
      <c r="AU643" s="624"/>
      <c r="AV643" s="624"/>
      <c r="AW643" s="624"/>
    </row>
    <row r="644" spans="1:49" ht="7.5" customHeight="1">
      <c r="A644" s="623">
        <v>1</v>
      </c>
      <c r="B644" s="622" t="str">
        <f>IF(NOT(ISBLANK('A-RACHNATMAK'!C685)),"A",IF(NOT(ISBLANK('A-RACHNATMAK'!C684)),"B",IF(NOT(ISBLANK('A-RACHNATMAK'!C683)),"C","")))</f>
        <v/>
      </c>
      <c r="C644" s="622" t="str">
        <f>IF(NOT(ISBLANK('A-RACHNATMAK'!D685)),"A",IF(NOT(ISBLANK('A-RACHNATMAK'!D684)),"B",IF(NOT(ISBLANK('A-RACHNATMAK'!D683)),"C","")))</f>
        <v/>
      </c>
      <c r="D644" s="622" t="str">
        <f>IF(NOT(ISBLANK('A-RACHNATMAK'!E685)),"A",IF(NOT(ISBLANK('A-RACHNATMAK'!E684)),"B",IF(NOT(ISBLANK('A-RACHNATMAK'!E683)),"C","")))</f>
        <v/>
      </c>
      <c r="E644" s="622" t="str">
        <f>IF(NOT(ISBLANK('A-RACHNATMAK'!F685)),"A",IF(NOT(ISBLANK('A-RACHNATMAK'!F684)),"B",IF(NOT(ISBLANK('A-RACHNATMAK'!F683)),"C","")))</f>
        <v/>
      </c>
      <c r="F644" s="622" t="str">
        <f>IF(NOT(ISBLANK('A-RACHNATMAK'!G685)),"A",IF(NOT(ISBLANK('A-RACHNATMAK'!G684)),"B",IF(NOT(ISBLANK('A-RACHNATMAK'!G683)),"C","")))</f>
        <v/>
      </c>
      <c r="G644" s="622" t="str">
        <f>IF(NOT(ISBLANK('A-RACHNATMAK'!H685)),"A",IF(NOT(ISBLANK('A-RACHNATMAK'!H684)),"B",IF(NOT(ISBLANK('A-RACHNATMAK'!H683)),"C","")))</f>
        <v/>
      </c>
      <c r="H644" s="622" t="str">
        <f>IF(NOT(ISBLANK('A-RACHNATMAK'!I685)),"A",IF(NOT(ISBLANK('A-RACHNATMAK'!I684)),"B",IF(NOT(ISBLANK('A-RACHNATMAK'!I683)),"C","")))</f>
        <v/>
      </c>
      <c r="I644" s="622" t="str">
        <f>IF(NOT(ISBLANK('A-RACHNATMAK'!J685)),"A",IF(NOT(ISBLANK('A-RACHNATMAK'!J684)),"B",IF(NOT(ISBLANK('A-RACHNATMAK'!J683)),"C","")))</f>
        <v/>
      </c>
      <c r="J644" s="622" t="str">
        <f>IF(NOT(ISBLANK('A-RACHNATMAK'!K685)),"A",IF(NOT(ISBLANK('A-RACHNATMAK'!K684)),"B",IF(NOT(ISBLANK('A-RACHNATMAK'!K683)),"C","")))</f>
        <v/>
      </c>
      <c r="K644" s="622" t="str">
        <f>IF(NOT(ISBLANK('A-RACHNATMAK'!L685)),"A",IF(NOT(ISBLANK('A-RACHNATMAK'!L684)),"B",IF(NOT(ISBLANK('A-RACHNATMAK'!L683)),"C","")))</f>
        <v/>
      </c>
      <c r="L644" s="622" t="str">
        <f>IF(NOT(ISBLANK('A-RACHNATMAK'!M685)),"A",IF(NOT(ISBLANK('A-RACHNATMAK'!M684)),"B",IF(NOT(ISBLANK('A-RACHNATMAK'!M683)),"C","")))</f>
        <v/>
      </c>
      <c r="M644" s="622" t="str">
        <f>IF(NOT(ISBLANK('A-RACHNATMAK'!N685)),"A",IF(NOT(ISBLANK('A-RACHNATMAK'!N684)),"B",IF(NOT(ISBLANK('A-RACHNATMAK'!N683)),"C","")))</f>
        <v/>
      </c>
      <c r="N644" s="622" t="str">
        <f>IF(NOT(ISBLANK('A-RACHNATMAK'!O685)),"A",IF(NOT(ISBLANK('A-RACHNATMAK'!O684)),"B",IF(NOT(ISBLANK('A-RACHNATMAK'!O683)),"C","")))</f>
        <v/>
      </c>
      <c r="O644" s="622" t="str">
        <f>IF(NOT(ISBLANK('A-RACHNATMAK'!P685)),"A",IF(NOT(ISBLANK('A-RACHNATMAK'!P684)),"B",IF(NOT(ISBLANK('A-RACHNATMAK'!P683)),"C","")))</f>
        <v/>
      </c>
      <c r="P644" s="622" t="str">
        <f>IF(NOT(ISBLANK('A-RACHNATMAK'!Q685)),"A",IF(NOT(ISBLANK('A-RACHNATMAK'!Q684)),"B",IF(NOT(ISBLANK('A-RACHNATMAK'!Q683)),"C","")))</f>
        <v/>
      </c>
      <c r="Q644" s="622" t="str">
        <f>IF(NOT(ISBLANK('A-RACHNATMAK'!R685)),"A",IF(NOT(ISBLANK('A-RACHNATMAK'!R684)),"B",IF(NOT(ISBLANK('A-RACHNATMAK'!R683)),"C","")))</f>
        <v/>
      </c>
      <c r="R644" s="622" t="str">
        <f>IF(NOT(ISBLANK('A-RACHNATMAK'!S685)),"A",IF(NOT(ISBLANK('A-RACHNATMAK'!S684)),"B",IF(NOT(ISBLANK('A-RACHNATMAK'!S683)),"C","")))</f>
        <v/>
      </c>
      <c r="S644" s="622" t="str">
        <f>IF(NOT(ISBLANK('A-RACHNATMAK'!T685)),"A",IF(NOT(ISBLANK('A-RACHNATMAK'!T684)),"B",IF(NOT(ISBLANK('A-RACHNATMAK'!T683)),"C","")))</f>
        <v/>
      </c>
      <c r="T644" s="622" t="str">
        <f>IF(NOT(ISBLANK('A-RACHNATMAK'!U685)),"A",IF(NOT(ISBLANK('A-RACHNATMAK'!U684)),"B",IF(NOT(ISBLANK('A-RACHNATMAK'!U683)),"C","")))</f>
        <v/>
      </c>
      <c r="U644" s="622" t="str">
        <f>IF(NOT(ISBLANK('A-RACHNATMAK'!V685)),"A",IF(NOT(ISBLANK('A-RACHNATMAK'!V684)),"B",IF(NOT(ISBLANK('A-RACHNATMAK'!V683)),"C","")))</f>
        <v/>
      </c>
      <c r="V644" s="622">
        <f>COUNTIF(B644:U644,"A")</f>
        <v>0</v>
      </c>
      <c r="W644" s="622">
        <f>COUNTIF(B644:U644,"B")</f>
        <v>0</v>
      </c>
      <c r="X644" s="622">
        <f>COUNTIF(B644:U644,"C")</f>
        <v>0</v>
      </c>
      <c r="Y644" s="330"/>
      <c r="Z644" s="623">
        <v>1</v>
      </c>
      <c r="AA644" s="622" t="str">
        <f>IF(NOT(ISBLANK('A-RACHNATMAK'!AD685)),"A",IF(NOT(ISBLANK('A-RACHNATMAK'!AD684)),"B",IF(NOT(ISBLANK('A-RACHNATMAK'!AD683)),"C","")))</f>
        <v/>
      </c>
      <c r="AB644" s="622" t="str">
        <f>IF(NOT(ISBLANK('A-RACHNATMAK'!AE685)),"A",IF(NOT(ISBLANK('A-RACHNATMAK'!AE684)),"B",IF(NOT(ISBLANK('A-RACHNATMAK'!AE683)),"C","")))</f>
        <v/>
      </c>
      <c r="AC644" s="622" t="str">
        <f>IF(NOT(ISBLANK('A-RACHNATMAK'!AF685)),"A",IF(NOT(ISBLANK('A-RACHNATMAK'!AF684)),"B",IF(NOT(ISBLANK('A-RACHNATMAK'!AF683)),"C","")))</f>
        <v/>
      </c>
      <c r="AD644" s="622" t="str">
        <f>IF(NOT(ISBLANK('A-RACHNATMAK'!AG685)),"A",IF(NOT(ISBLANK('A-RACHNATMAK'!AG684)),"B",IF(NOT(ISBLANK('A-RACHNATMAK'!AG683)),"C","")))</f>
        <v/>
      </c>
      <c r="AE644" s="622" t="str">
        <f>IF(NOT(ISBLANK('A-RACHNATMAK'!AH685)),"A",IF(NOT(ISBLANK('A-RACHNATMAK'!AH684)),"B",IF(NOT(ISBLANK('A-RACHNATMAK'!AH683)),"C","")))</f>
        <v/>
      </c>
      <c r="AF644" s="622" t="str">
        <f>IF(NOT(ISBLANK('A-RACHNATMAK'!AI685)),"A",IF(NOT(ISBLANK('A-RACHNATMAK'!AI684)),"B",IF(NOT(ISBLANK('A-RACHNATMAK'!AI683)),"C","")))</f>
        <v/>
      </c>
      <c r="AG644" s="622" t="str">
        <f>IF(NOT(ISBLANK('A-RACHNATMAK'!AJ685)),"A",IF(NOT(ISBLANK('A-RACHNATMAK'!AJ684)),"B",IF(NOT(ISBLANK('A-RACHNATMAK'!AJ683)),"C","")))</f>
        <v/>
      </c>
      <c r="AH644" s="622" t="str">
        <f>IF(NOT(ISBLANK('A-RACHNATMAK'!AK685)),"A",IF(NOT(ISBLANK('A-RACHNATMAK'!AK684)),"B",IF(NOT(ISBLANK('A-RACHNATMAK'!AK683)),"C","")))</f>
        <v/>
      </c>
      <c r="AI644" s="622" t="str">
        <f>IF(NOT(ISBLANK('A-RACHNATMAK'!AL685)),"A",IF(NOT(ISBLANK('A-RACHNATMAK'!AL684)),"B",IF(NOT(ISBLANK('A-RACHNATMAK'!AL683)),"C","")))</f>
        <v/>
      </c>
      <c r="AJ644" s="622" t="str">
        <f>IF(NOT(ISBLANK('A-RACHNATMAK'!AM685)),"A",IF(NOT(ISBLANK('A-RACHNATMAK'!AM684)),"B",IF(NOT(ISBLANK('A-RACHNATMAK'!AM683)),"C","")))</f>
        <v/>
      </c>
      <c r="AK644" s="622" t="str">
        <f>IF(NOT(ISBLANK('A-RACHNATMAK'!AN685)),"A",IF(NOT(ISBLANK('A-RACHNATMAK'!AN684)),"B",IF(NOT(ISBLANK('A-RACHNATMAK'!AN683)),"C","")))</f>
        <v/>
      </c>
      <c r="AL644" s="622" t="str">
        <f>IF(NOT(ISBLANK('A-RACHNATMAK'!AO685)),"A",IF(NOT(ISBLANK('A-RACHNATMAK'!AO684)),"B",IF(NOT(ISBLANK('A-RACHNATMAK'!AO683)),"C","")))</f>
        <v/>
      </c>
      <c r="AM644" s="622" t="str">
        <f>IF(NOT(ISBLANK('A-RACHNATMAK'!AP685)),"A",IF(NOT(ISBLANK('A-RACHNATMAK'!AP684)),"B",IF(NOT(ISBLANK('A-RACHNATMAK'!AP683)),"C","")))</f>
        <v/>
      </c>
      <c r="AN644" s="622" t="str">
        <f>IF(NOT(ISBLANK('A-RACHNATMAK'!AQ685)),"A",IF(NOT(ISBLANK('A-RACHNATMAK'!AQ684)),"B",IF(NOT(ISBLANK('A-RACHNATMAK'!AQ683)),"C","")))</f>
        <v/>
      </c>
      <c r="AO644" s="622" t="str">
        <f>IF(NOT(ISBLANK('A-RACHNATMAK'!AR685)),"A",IF(NOT(ISBLANK('A-RACHNATMAK'!AR684)),"B",IF(NOT(ISBLANK('A-RACHNATMAK'!AR683)),"C","")))</f>
        <v/>
      </c>
      <c r="AP644" s="622" t="str">
        <f>IF(NOT(ISBLANK('A-RACHNATMAK'!AS685)),"A",IF(NOT(ISBLANK('A-RACHNATMAK'!AS684)),"B",IF(NOT(ISBLANK('A-RACHNATMAK'!AS683)),"C","")))</f>
        <v/>
      </c>
      <c r="AQ644" s="622" t="str">
        <f>IF(NOT(ISBLANK('A-RACHNATMAK'!AT685)),"A",IF(NOT(ISBLANK('A-RACHNATMAK'!AT684)),"B",IF(NOT(ISBLANK('A-RACHNATMAK'!AT683)),"C","")))</f>
        <v/>
      </c>
      <c r="AR644" s="622" t="str">
        <f>IF(NOT(ISBLANK('A-RACHNATMAK'!AU685)),"A",IF(NOT(ISBLANK('A-RACHNATMAK'!AU684)),"B",IF(NOT(ISBLANK('A-RACHNATMAK'!AU683)),"C","")))</f>
        <v/>
      </c>
      <c r="AS644" s="622" t="str">
        <f>IF(NOT(ISBLANK('A-RACHNATMAK'!AV685)),"A",IF(NOT(ISBLANK('A-RACHNATMAK'!AV684)),"B",IF(NOT(ISBLANK('A-RACHNATMAK'!AV683)),"C","")))</f>
        <v/>
      </c>
      <c r="AT644" s="622" t="str">
        <f>IF(NOT(ISBLANK('A-RACHNATMAK'!AW685)),"A",IF(NOT(ISBLANK('A-RACHNATMAK'!AW684)),"B",IF(NOT(ISBLANK('A-RACHNATMAK'!AW683)),"C","")))</f>
        <v/>
      </c>
      <c r="AU644" s="622">
        <f>COUNTIF(AA644:AT644,"A")</f>
        <v>0</v>
      </c>
      <c r="AV644" s="622">
        <f>COUNTIF(AA644:AT644,"B")</f>
        <v>0</v>
      </c>
      <c r="AW644" s="622">
        <f>COUNTIF(AA644:AT644,"C")</f>
        <v>0</v>
      </c>
    </row>
    <row r="645" spans="1:49" ht="7.5" customHeight="1">
      <c r="A645" s="623"/>
      <c r="B645" s="622"/>
      <c r="C645" s="622"/>
      <c r="D645" s="622"/>
      <c r="E645" s="622"/>
      <c r="F645" s="622"/>
      <c r="G645" s="622"/>
      <c r="H645" s="622"/>
      <c r="I645" s="622"/>
      <c r="J645" s="622"/>
      <c r="K645" s="622"/>
      <c r="L645" s="622"/>
      <c r="M645" s="622"/>
      <c r="N645" s="622"/>
      <c r="O645" s="622"/>
      <c r="P645" s="622"/>
      <c r="Q645" s="622"/>
      <c r="R645" s="622"/>
      <c r="S645" s="622"/>
      <c r="T645" s="622"/>
      <c r="U645" s="622"/>
      <c r="V645" s="622"/>
      <c r="W645" s="622"/>
      <c r="X645" s="622"/>
      <c r="Y645" s="330"/>
      <c r="Z645" s="623"/>
      <c r="AA645" s="622"/>
      <c r="AB645" s="622"/>
      <c r="AC645" s="622"/>
      <c r="AD645" s="622"/>
      <c r="AE645" s="622"/>
      <c r="AF645" s="622"/>
      <c r="AG645" s="622"/>
      <c r="AH645" s="622"/>
      <c r="AI645" s="622"/>
      <c r="AJ645" s="622"/>
      <c r="AK645" s="622"/>
      <c r="AL645" s="622"/>
      <c r="AM645" s="622"/>
      <c r="AN645" s="622"/>
      <c r="AO645" s="622"/>
      <c r="AP645" s="622"/>
      <c r="AQ645" s="622"/>
      <c r="AR645" s="622"/>
      <c r="AS645" s="622"/>
      <c r="AT645" s="622"/>
      <c r="AU645" s="622"/>
      <c r="AV645" s="622"/>
      <c r="AW645" s="622"/>
    </row>
    <row r="646" spans="1:49" ht="7.5" customHeight="1">
      <c r="A646" s="623"/>
      <c r="B646" s="622"/>
      <c r="C646" s="622"/>
      <c r="D646" s="622"/>
      <c r="E646" s="622"/>
      <c r="F646" s="622"/>
      <c r="G646" s="622"/>
      <c r="H646" s="622"/>
      <c r="I646" s="622"/>
      <c r="J646" s="622"/>
      <c r="K646" s="622"/>
      <c r="L646" s="622"/>
      <c r="M646" s="622"/>
      <c r="N646" s="622"/>
      <c r="O646" s="622"/>
      <c r="P646" s="622"/>
      <c r="Q646" s="622"/>
      <c r="R646" s="622"/>
      <c r="S646" s="622"/>
      <c r="T646" s="622"/>
      <c r="U646" s="622"/>
      <c r="V646" s="622"/>
      <c r="W646" s="622"/>
      <c r="X646" s="622"/>
      <c r="Y646" s="330"/>
      <c r="Z646" s="623"/>
      <c r="AA646" s="622"/>
      <c r="AB646" s="622"/>
      <c r="AC646" s="622"/>
      <c r="AD646" s="622"/>
      <c r="AE646" s="622"/>
      <c r="AF646" s="622"/>
      <c r="AG646" s="622"/>
      <c r="AH646" s="622"/>
      <c r="AI646" s="622"/>
      <c r="AJ646" s="622"/>
      <c r="AK646" s="622"/>
      <c r="AL646" s="622"/>
      <c r="AM646" s="622"/>
      <c r="AN646" s="622"/>
      <c r="AO646" s="622"/>
      <c r="AP646" s="622"/>
      <c r="AQ646" s="622"/>
      <c r="AR646" s="622"/>
      <c r="AS646" s="622"/>
      <c r="AT646" s="622"/>
      <c r="AU646" s="622"/>
      <c r="AV646" s="622"/>
      <c r="AW646" s="622"/>
    </row>
    <row r="647" spans="1:49" ht="7.5" customHeight="1">
      <c r="A647" s="623">
        <v>2</v>
      </c>
      <c r="B647" s="622" t="str">
        <f>IF(NOT(ISBLANK('A-RACHNATMAK'!C688)),"A",IF(NOT(ISBLANK('A-RACHNATMAK'!C687)),"B",IF(NOT(ISBLANK('A-RACHNATMAK'!C686)),"C","")))</f>
        <v/>
      </c>
      <c r="C647" s="622" t="str">
        <f>IF(NOT(ISBLANK('A-RACHNATMAK'!D688)),"A",IF(NOT(ISBLANK('A-RACHNATMAK'!D687)),"B",IF(NOT(ISBLANK('A-RACHNATMAK'!D686)),"C","")))</f>
        <v/>
      </c>
      <c r="D647" s="622" t="str">
        <f>IF(NOT(ISBLANK('A-RACHNATMAK'!E688)),"A",IF(NOT(ISBLANK('A-RACHNATMAK'!E687)),"B",IF(NOT(ISBLANK('A-RACHNATMAK'!E686)),"C","")))</f>
        <v/>
      </c>
      <c r="E647" s="622" t="str">
        <f>IF(NOT(ISBLANK('A-RACHNATMAK'!F688)),"A",IF(NOT(ISBLANK('A-RACHNATMAK'!F687)),"B",IF(NOT(ISBLANK('A-RACHNATMAK'!F686)),"C","")))</f>
        <v/>
      </c>
      <c r="F647" s="622" t="str">
        <f>IF(NOT(ISBLANK('A-RACHNATMAK'!G688)),"A",IF(NOT(ISBLANK('A-RACHNATMAK'!G687)),"B",IF(NOT(ISBLANK('A-RACHNATMAK'!G686)),"C","")))</f>
        <v/>
      </c>
      <c r="G647" s="622" t="str">
        <f>IF(NOT(ISBLANK('A-RACHNATMAK'!H688)),"A",IF(NOT(ISBLANK('A-RACHNATMAK'!H687)),"B",IF(NOT(ISBLANK('A-RACHNATMAK'!H686)),"C","")))</f>
        <v/>
      </c>
      <c r="H647" s="622" t="str">
        <f>IF(NOT(ISBLANK('A-RACHNATMAK'!I688)),"A",IF(NOT(ISBLANK('A-RACHNATMAK'!I687)),"B",IF(NOT(ISBLANK('A-RACHNATMAK'!I686)),"C","")))</f>
        <v/>
      </c>
      <c r="I647" s="622" t="str">
        <f>IF(NOT(ISBLANK('A-RACHNATMAK'!J688)),"A",IF(NOT(ISBLANK('A-RACHNATMAK'!J687)),"B",IF(NOT(ISBLANK('A-RACHNATMAK'!J686)),"C","")))</f>
        <v/>
      </c>
      <c r="J647" s="622" t="str">
        <f>IF(NOT(ISBLANK('A-RACHNATMAK'!K688)),"A",IF(NOT(ISBLANK('A-RACHNATMAK'!K687)),"B",IF(NOT(ISBLANK('A-RACHNATMAK'!K686)),"C","")))</f>
        <v/>
      </c>
      <c r="K647" s="622" t="str">
        <f>IF(NOT(ISBLANK('A-RACHNATMAK'!L688)),"A",IF(NOT(ISBLANK('A-RACHNATMAK'!L687)),"B",IF(NOT(ISBLANK('A-RACHNATMAK'!L686)),"C","")))</f>
        <v/>
      </c>
      <c r="L647" s="622" t="str">
        <f>IF(NOT(ISBLANK('A-RACHNATMAK'!M688)),"A",IF(NOT(ISBLANK('A-RACHNATMAK'!M687)),"B",IF(NOT(ISBLANK('A-RACHNATMAK'!M686)),"C","")))</f>
        <v/>
      </c>
      <c r="M647" s="622" t="str">
        <f>IF(NOT(ISBLANK('A-RACHNATMAK'!N688)),"A",IF(NOT(ISBLANK('A-RACHNATMAK'!N687)),"B",IF(NOT(ISBLANK('A-RACHNATMAK'!N686)),"C","")))</f>
        <v/>
      </c>
      <c r="N647" s="622" t="str">
        <f>IF(NOT(ISBLANK('A-RACHNATMAK'!O688)),"A",IF(NOT(ISBLANK('A-RACHNATMAK'!O687)),"B",IF(NOT(ISBLANK('A-RACHNATMAK'!O686)),"C","")))</f>
        <v/>
      </c>
      <c r="O647" s="622" t="str">
        <f>IF(NOT(ISBLANK('A-RACHNATMAK'!P688)),"A",IF(NOT(ISBLANK('A-RACHNATMAK'!P687)),"B",IF(NOT(ISBLANK('A-RACHNATMAK'!P686)),"C","")))</f>
        <v/>
      </c>
      <c r="P647" s="622" t="str">
        <f>IF(NOT(ISBLANK('A-RACHNATMAK'!Q688)),"A",IF(NOT(ISBLANK('A-RACHNATMAK'!Q687)),"B",IF(NOT(ISBLANK('A-RACHNATMAK'!Q686)),"C","")))</f>
        <v/>
      </c>
      <c r="Q647" s="622" t="str">
        <f>IF(NOT(ISBLANK('A-RACHNATMAK'!R688)),"A",IF(NOT(ISBLANK('A-RACHNATMAK'!R687)),"B",IF(NOT(ISBLANK('A-RACHNATMAK'!R686)),"C","")))</f>
        <v/>
      </c>
      <c r="R647" s="622" t="str">
        <f>IF(NOT(ISBLANK('A-RACHNATMAK'!S688)),"A",IF(NOT(ISBLANK('A-RACHNATMAK'!S687)),"B",IF(NOT(ISBLANK('A-RACHNATMAK'!S686)),"C","")))</f>
        <v/>
      </c>
      <c r="S647" s="622" t="str">
        <f>IF(NOT(ISBLANK('A-RACHNATMAK'!T688)),"A",IF(NOT(ISBLANK('A-RACHNATMAK'!T687)),"B",IF(NOT(ISBLANK('A-RACHNATMAK'!T686)),"C","")))</f>
        <v/>
      </c>
      <c r="T647" s="622" t="str">
        <f>IF(NOT(ISBLANK('A-RACHNATMAK'!U688)),"A",IF(NOT(ISBLANK('A-RACHNATMAK'!U687)),"B",IF(NOT(ISBLANK('A-RACHNATMAK'!U686)),"C","")))</f>
        <v/>
      </c>
      <c r="U647" s="622" t="str">
        <f>IF(NOT(ISBLANK('A-RACHNATMAK'!V688)),"A",IF(NOT(ISBLANK('A-RACHNATMAK'!V687)),"B",IF(NOT(ISBLANK('A-RACHNATMAK'!V686)),"C","")))</f>
        <v/>
      </c>
      <c r="V647" s="622">
        <f t="shared" ref="V647" si="1224">COUNTIF(B647:U647,"A")</f>
        <v>0</v>
      </c>
      <c r="W647" s="622">
        <f t="shared" ref="W647" si="1225">COUNTIF(B647:U647,"B")</f>
        <v>0</v>
      </c>
      <c r="X647" s="622">
        <f t="shared" ref="X647" si="1226">COUNTIF(B647:U647,"C")</f>
        <v>0</v>
      </c>
      <c r="Y647" s="330"/>
      <c r="Z647" s="623">
        <v>2</v>
      </c>
      <c r="AA647" s="622" t="str">
        <f>IF(NOT(ISBLANK('A-RACHNATMAK'!AD688)),"A",IF(NOT(ISBLANK('A-RACHNATMAK'!AD687)),"B",IF(NOT(ISBLANK('A-RACHNATMAK'!AD686)),"C","")))</f>
        <v/>
      </c>
      <c r="AB647" s="622" t="str">
        <f>IF(NOT(ISBLANK('A-RACHNATMAK'!AE688)),"A",IF(NOT(ISBLANK('A-RACHNATMAK'!AE687)),"B",IF(NOT(ISBLANK('A-RACHNATMAK'!AE686)),"C","")))</f>
        <v/>
      </c>
      <c r="AC647" s="622" t="str">
        <f>IF(NOT(ISBLANK('A-RACHNATMAK'!AF688)),"A",IF(NOT(ISBLANK('A-RACHNATMAK'!AF687)),"B",IF(NOT(ISBLANK('A-RACHNATMAK'!AF686)),"C","")))</f>
        <v/>
      </c>
      <c r="AD647" s="622" t="str">
        <f>IF(NOT(ISBLANK('A-RACHNATMAK'!AG688)),"A",IF(NOT(ISBLANK('A-RACHNATMAK'!AG687)),"B",IF(NOT(ISBLANK('A-RACHNATMAK'!AG686)),"C","")))</f>
        <v/>
      </c>
      <c r="AE647" s="622" t="str">
        <f>IF(NOT(ISBLANK('A-RACHNATMAK'!AH688)),"A",IF(NOT(ISBLANK('A-RACHNATMAK'!AH687)),"B",IF(NOT(ISBLANK('A-RACHNATMAK'!AH686)),"C","")))</f>
        <v/>
      </c>
      <c r="AF647" s="622" t="str">
        <f>IF(NOT(ISBLANK('A-RACHNATMAK'!AI688)),"A",IF(NOT(ISBLANK('A-RACHNATMAK'!AI687)),"B",IF(NOT(ISBLANK('A-RACHNATMAK'!AI686)),"C","")))</f>
        <v/>
      </c>
      <c r="AG647" s="622" t="str">
        <f>IF(NOT(ISBLANK('A-RACHNATMAK'!AJ688)),"A",IF(NOT(ISBLANK('A-RACHNATMAK'!AJ687)),"B",IF(NOT(ISBLANK('A-RACHNATMAK'!AJ686)),"C","")))</f>
        <v/>
      </c>
      <c r="AH647" s="622" t="str">
        <f>IF(NOT(ISBLANK('A-RACHNATMAK'!AK688)),"A",IF(NOT(ISBLANK('A-RACHNATMAK'!AK687)),"B",IF(NOT(ISBLANK('A-RACHNATMAK'!AK686)),"C","")))</f>
        <v/>
      </c>
      <c r="AI647" s="622" t="str">
        <f>IF(NOT(ISBLANK('A-RACHNATMAK'!AL688)),"A",IF(NOT(ISBLANK('A-RACHNATMAK'!AL687)),"B",IF(NOT(ISBLANK('A-RACHNATMAK'!AL686)),"C","")))</f>
        <v/>
      </c>
      <c r="AJ647" s="622" t="str">
        <f>IF(NOT(ISBLANK('A-RACHNATMAK'!AM688)),"A",IF(NOT(ISBLANK('A-RACHNATMAK'!AM687)),"B",IF(NOT(ISBLANK('A-RACHNATMAK'!AM686)),"C","")))</f>
        <v/>
      </c>
      <c r="AK647" s="622" t="str">
        <f>IF(NOT(ISBLANK('A-RACHNATMAK'!AN688)),"A",IF(NOT(ISBLANK('A-RACHNATMAK'!AN687)),"B",IF(NOT(ISBLANK('A-RACHNATMAK'!AN686)),"C","")))</f>
        <v/>
      </c>
      <c r="AL647" s="622" t="str">
        <f>IF(NOT(ISBLANK('A-RACHNATMAK'!AO688)),"A",IF(NOT(ISBLANK('A-RACHNATMAK'!AO687)),"B",IF(NOT(ISBLANK('A-RACHNATMAK'!AO686)),"C","")))</f>
        <v/>
      </c>
      <c r="AM647" s="622" t="str">
        <f>IF(NOT(ISBLANK('A-RACHNATMAK'!AP688)),"A",IF(NOT(ISBLANK('A-RACHNATMAK'!AP687)),"B",IF(NOT(ISBLANK('A-RACHNATMAK'!AP686)),"C","")))</f>
        <v/>
      </c>
      <c r="AN647" s="622" t="str">
        <f>IF(NOT(ISBLANK('A-RACHNATMAK'!AQ688)),"A",IF(NOT(ISBLANK('A-RACHNATMAK'!AQ687)),"B",IF(NOT(ISBLANK('A-RACHNATMAK'!AQ686)),"C","")))</f>
        <v/>
      </c>
      <c r="AO647" s="622" t="str">
        <f>IF(NOT(ISBLANK('A-RACHNATMAK'!AR688)),"A",IF(NOT(ISBLANK('A-RACHNATMAK'!AR687)),"B",IF(NOT(ISBLANK('A-RACHNATMAK'!AR686)),"C","")))</f>
        <v/>
      </c>
      <c r="AP647" s="622" t="str">
        <f>IF(NOT(ISBLANK('A-RACHNATMAK'!AS688)),"A",IF(NOT(ISBLANK('A-RACHNATMAK'!AS687)),"B",IF(NOT(ISBLANK('A-RACHNATMAK'!AS686)),"C","")))</f>
        <v/>
      </c>
      <c r="AQ647" s="622" t="str">
        <f>IF(NOT(ISBLANK('A-RACHNATMAK'!AT688)),"A",IF(NOT(ISBLANK('A-RACHNATMAK'!AT687)),"B",IF(NOT(ISBLANK('A-RACHNATMAK'!AT686)),"C","")))</f>
        <v/>
      </c>
      <c r="AR647" s="622" t="str">
        <f>IF(NOT(ISBLANK('A-RACHNATMAK'!AU688)),"A",IF(NOT(ISBLANK('A-RACHNATMAK'!AU687)),"B",IF(NOT(ISBLANK('A-RACHNATMAK'!AU686)),"C","")))</f>
        <v/>
      </c>
      <c r="AS647" s="622" t="str">
        <f>IF(NOT(ISBLANK('A-RACHNATMAK'!AV688)),"A",IF(NOT(ISBLANK('A-RACHNATMAK'!AV687)),"B",IF(NOT(ISBLANK('A-RACHNATMAK'!AV686)),"C","")))</f>
        <v/>
      </c>
      <c r="AT647" s="622" t="str">
        <f>IF(NOT(ISBLANK('A-RACHNATMAK'!AW688)),"A",IF(NOT(ISBLANK('A-RACHNATMAK'!AW687)),"B",IF(NOT(ISBLANK('A-RACHNATMAK'!AW686)),"C","")))</f>
        <v/>
      </c>
      <c r="AU647" s="622">
        <f t="shared" ref="AU647" si="1227">COUNTIF(AA647:AT647,"A")</f>
        <v>0</v>
      </c>
      <c r="AV647" s="622">
        <f t="shared" ref="AV647" si="1228">COUNTIF(AA647:AT647,"B")</f>
        <v>0</v>
      </c>
      <c r="AW647" s="622">
        <f t="shared" ref="AW647" si="1229">COUNTIF(AA647:AT647,"C")</f>
        <v>0</v>
      </c>
    </row>
    <row r="648" spans="1:49" ht="7.5" customHeight="1">
      <c r="A648" s="623"/>
      <c r="B648" s="622"/>
      <c r="C648" s="622"/>
      <c r="D648" s="622"/>
      <c r="E648" s="622"/>
      <c r="F648" s="622"/>
      <c r="G648" s="622"/>
      <c r="H648" s="622"/>
      <c r="I648" s="622"/>
      <c r="J648" s="622"/>
      <c r="K648" s="622"/>
      <c r="L648" s="622"/>
      <c r="M648" s="622"/>
      <c r="N648" s="622"/>
      <c r="O648" s="622"/>
      <c r="P648" s="622"/>
      <c r="Q648" s="622"/>
      <c r="R648" s="622"/>
      <c r="S648" s="622"/>
      <c r="T648" s="622"/>
      <c r="U648" s="622"/>
      <c r="V648" s="622"/>
      <c r="W648" s="622"/>
      <c r="X648" s="622"/>
      <c r="Y648" s="330"/>
      <c r="Z648" s="623"/>
      <c r="AA648" s="622"/>
      <c r="AB648" s="622"/>
      <c r="AC648" s="622"/>
      <c r="AD648" s="622"/>
      <c r="AE648" s="622"/>
      <c r="AF648" s="622"/>
      <c r="AG648" s="622"/>
      <c r="AH648" s="622"/>
      <c r="AI648" s="622"/>
      <c r="AJ648" s="622"/>
      <c r="AK648" s="622"/>
      <c r="AL648" s="622"/>
      <c r="AM648" s="622"/>
      <c r="AN648" s="622"/>
      <c r="AO648" s="622"/>
      <c r="AP648" s="622"/>
      <c r="AQ648" s="622"/>
      <c r="AR648" s="622"/>
      <c r="AS648" s="622"/>
      <c r="AT648" s="622"/>
      <c r="AU648" s="622"/>
      <c r="AV648" s="622"/>
      <c r="AW648" s="622"/>
    </row>
    <row r="649" spans="1:49" ht="7.5" customHeight="1">
      <c r="A649" s="623"/>
      <c r="B649" s="622"/>
      <c r="C649" s="622"/>
      <c r="D649" s="622"/>
      <c r="E649" s="622"/>
      <c r="F649" s="622"/>
      <c r="G649" s="622"/>
      <c r="H649" s="622"/>
      <c r="I649" s="622"/>
      <c r="J649" s="622"/>
      <c r="K649" s="622"/>
      <c r="L649" s="622"/>
      <c r="M649" s="622"/>
      <c r="N649" s="622"/>
      <c r="O649" s="622"/>
      <c r="P649" s="622"/>
      <c r="Q649" s="622"/>
      <c r="R649" s="622"/>
      <c r="S649" s="622"/>
      <c r="T649" s="622"/>
      <c r="U649" s="622"/>
      <c r="V649" s="622"/>
      <c r="W649" s="622"/>
      <c r="X649" s="622"/>
      <c r="Y649" s="330"/>
      <c r="Z649" s="623"/>
      <c r="AA649" s="622"/>
      <c r="AB649" s="622"/>
      <c r="AC649" s="622"/>
      <c r="AD649" s="622"/>
      <c r="AE649" s="622"/>
      <c r="AF649" s="622"/>
      <c r="AG649" s="622"/>
      <c r="AH649" s="622"/>
      <c r="AI649" s="622"/>
      <c r="AJ649" s="622"/>
      <c r="AK649" s="622"/>
      <c r="AL649" s="622"/>
      <c r="AM649" s="622"/>
      <c r="AN649" s="622"/>
      <c r="AO649" s="622"/>
      <c r="AP649" s="622"/>
      <c r="AQ649" s="622"/>
      <c r="AR649" s="622"/>
      <c r="AS649" s="622"/>
      <c r="AT649" s="622"/>
      <c r="AU649" s="622"/>
      <c r="AV649" s="622"/>
      <c r="AW649" s="622"/>
    </row>
    <row r="650" spans="1:49" ht="7.5" customHeight="1">
      <c r="A650" s="623">
        <v>3</v>
      </c>
      <c r="B650" s="622" t="str">
        <f>IF(NOT(ISBLANK('A-RACHNATMAK'!C691)),"A",IF(NOT(ISBLANK('A-RACHNATMAK'!C690)),"B",IF(NOT(ISBLANK('A-RACHNATMAK'!C689)),"C","")))</f>
        <v/>
      </c>
      <c r="C650" s="622" t="str">
        <f>IF(NOT(ISBLANK('A-RACHNATMAK'!D691)),"A",IF(NOT(ISBLANK('A-RACHNATMAK'!D690)),"B",IF(NOT(ISBLANK('A-RACHNATMAK'!D689)),"C","")))</f>
        <v/>
      </c>
      <c r="D650" s="622" t="str">
        <f>IF(NOT(ISBLANK('A-RACHNATMAK'!E691)),"A",IF(NOT(ISBLANK('A-RACHNATMAK'!E690)),"B",IF(NOT(ISBLANK('A-RACHNATMAK'!E689)),"C","")))</f>
        <v/>
      </c>
      <c r="E650" s="622" t="str">
        <f>IF(NOT(ISBLANK('A-RACHNATMAK'!F691)),"A",IF(NOT(ISBLANK('A-RACHNATMAK'!F690)),"B",IF(NOT(ISBLANK('A-RACHNATMAK'!F689)),"C","")))</f>
        <v/>
      </c>
      <c r="F650" s="622" t="str">
        <f>IF(NOT(ISBLANK('A-RACHNATMAK'!G691)),"A",IF(NOT(ISBLANK('A-RACHNATMAK'!G690)),"B",IF(NOT(ISBLANK('A-RACHNATMAK'!G689)),"C","")))</f>
        <v/>
      </c>
      <c r="G650" s="622" t="str">
        <f>IF(NOT(ISBLANK('A-RACHNATMAK'!H691)),"A",IF(NOT(ISBLANK('A-RACHNATMAK'!H690)),"B",IF(NOT(ISBLANK('A-RACHNATMAK'!H689)),"C","")))</f>
        <v/>
      </c>
      <c r="H650" s="622" t="str">
        <f>IF(NOT(ISBLANK('A-RACHNATMAK'!I691)),"A",IF(NOT(ISBLANK('A-RACHNATMAK'!I690)),"B",IF(NOT(ISBLANK('A-RACHNATMAK'!I689)),"C","")))</f>
        <v/>
      </c>
      <c r="I650" s="622" t="str">
        <f>IF(NOT(ISBLANK('A-RACHNATMAK'!J691)),"A",IF(NOT(ISBLANK('A-RACHNATMAK'!J690)),"B",IF(NOT(ISBLANK('A-RACHNATMAK'!J689)),"C","")))</f>
        <v/>
      </c>
      <c r="J650" s="622" t="str">
        <f>IF(NOT(ISBLANK('A-RACHNATMAK'!K691)),"A",IF(NOT(ISBLANK('A-RACHNATMAK'!K690)),"B",IF(NOT(ISBLANK('A-RACHNATMAK'!K689)),"C","")))</f>
        <v/>
      </c>
      <c r="K650" s="622" t="str">
        <f>IF(NOT(ISBLANK('A-RACHNATMAK'!L691)),"A",IF(NOT(ISBLANK('A-RACHNATMAK'!L690)),"B",IF(NOT(ISBLANK('A-RACHNATMAK'!L689)),"C","")))</f>
        <v/>
      </c>
      <c r="L650" s="622" t="str">
        <f>IF(NOT(ISBLANK('A-RACHNATMAK'!M691)),"A",IF(NOT(ISBLANK('A-RACHNATMAK'!M690)),"B",IF(NOT(ISBLANK('A-RACHNATMAK'!M689)),"C","")))</f>
        <v/>
      </c>
      <c r="M650" s="622" t="str">
        <f>IF(NOT(ISBLANK('A-RACHNATMAK'!N691)),"A",IF(NOT(ISBLANK('A-RACHNATMAK'!N690)),"B",IF(NOT(ISBLANK('A-RACHNATMAK'!N689)),"C","")))</f>
        <v/>
      </c>
      <c r="N650" s="622" t="str">
        <f>IF(NOT(ISBLANK('A-RACHNATMAK'!O691)),"A",IF(NOT(ISBLANK('A-RACHNATMAK'!O690)),"B",IF(NOT(ISBLANK('A-RACHNATMAK'!O689)),"C","")))</f>
        <v/>
      </c>
      <c r="O650" s="622" t="str">
        <f>IF(NOT(ISBLANK('A-RACHNATMAK'!P691)),"A",IF(NOT(ISBLANK('A-RACHNATMAK'!P690)),"B",IF(NOT(ISBLANK('A-RACHNATMAK'!P689)),"C","")))</f>
        <v/>
      </c>
      <c r="P650" s="622" t="str">
        <f>IF(NOT(ISBLANK('A-RACHNATMAK'!Q691)),"A",IF(NOT(ISBLANK('A-RACHNATMAK'!Q690)),"B",IF(NOT(ISBLANK('A-RACHNATMAK'!Q689)),"C","")))</f>
        <v/>
      </c>
      <c r="Q650" s="622" t="str">
        <f>IF(NOT(ISBLANK('A-RACHNATMAK'!R691)),"A",IF(NOT(ISBLANK('A-RACHNATMAK'!R690)),"B",IF(NOT(ISBLANK('A-RACHNATMAK'!R689)),"C","")))</f>
        <v/>
      </c>
      <c r="R650" s="622" t="str">
        <f>IF(NOT(ISBLANK('A-RACHNATMAK'!S691)),"A",IF(NOT(ISBLANK('A-RACHNATMAK'!S690)),"B",IF(NOT(ISBLANK('A-RACHNATMAK'!S689)),"C","")))</f>
        <v/>
      </c>
      <c r="S650" s="622" t="str">
        <f>IF(NOT(ISBLANK('A-RACHNATMAK'!T691)),"A",IF(NOT(ISBLANK('A-RACHNATMAK'!T690)),"B",IF(NOT(ISBLANK('A-RACHNATMAK'!T689)),"C","")))</f>
        <v/>
      </c>
      <c r="T650" s="622" t="str">
        <f>IF(NOT(ISBLANK('A-RACHNATMAK'!U691)),"A",IF(NOT(ISBLANK('A-RACHNATMAK'!U690)),"B",IF(NOT(ISBLANK('A-RACHNATMAK'!U689)),"C","")))</f>
        <v/>
      </c>
      <c r="U650" s="622" t="str">
        <f>IF(NOT(ISBLANK('A-RACHNATMAK'!V691)),"A",IF(NOT(ISBLANK('A-RACHNATMAK'!V690)),"B",IF(NOT(ISBLANK('A-RACHNATMAK'!V689)),"C","")))</f>
        <v/>
      </c>
      <c r="V650" s="622">
        <f t="shared" ref="V650" si="1230">COUNTIF(B650:U650,"A")</f>
        <v>0</v>
      </c>
      <c r="W650" s="622">
        <f t="shared" ref="W650" si="1231">COUNTIF(B650:U650,"B")</f>
        <v>0</v>
      </c>
      <c r="X650" s="622">
        <f t="shared" ref="X650" si="1232">COUNTIF(B650:U650,"C")</f>
        <v>0</v>
      </c>
      <c r="Y650" s="330"/>
      <c r="Z650" s="623">
        <v>3</v>
      </c>
      <c r="AA650" s="622" t="str">
        <f>IF(NOT(ISBLANK('A-RACHNATMAK'!AD691)),"A",IF(NOT(ISBLANK('A-RACHNATMAK'!AD690)),"B",IF(NOT(ISBLANK('A-RACHNATMAK'!AD689)),"C","")))</f>
        <v/>
      </c>
      <c r="AB650" s="622" t="str">
        <f>IF(NOT(ISBLANK('A-RACHNATMAK'!AE691)),"A",IF(NOT(ISBLANK('A-RACHNATMAK'!AE690)),"B",IF(NOT(ISBLANK('A-RACHNATMAK'!AE689)),"C","")))</f>
        <v/>
      </c>
      <c r="AC650" s="622" t="str">
        <f>IF(NOT(ISBLANK('A-RACHNATMAK'!AF691)),"A",IF(NOT(ISBLANK('A-RACHNATMAK'!AF690)),"B",IF(NOT(ISBLANK('A-RACHNATMAK'!AF689)),"C","")))</f>
        <v/>
      </c>
      <c r="AD650" s="622" t="str">
        <f>IF(NOT(ISBLANK('A-RACHNATMAK'!AG691)),"A",IF(NOT(ISBLANK('A-RACHNATMAK'!AG690)),"B",IF(NOT(ISBLANK('A-RACHNATMAK'!AG689)),"C","")))</f>
        <v/>
      </c>
      <c r="AE650" s="622" t="str">
        <f>IF(NOT(ISBLANK('A-RACHNATMAK'!AH691)),"A",IF(NOT(ISBLANK('A-RACHNATMAK'!AH690)),"B",IF(NOT(ISBLANK('A-RACHNATMAK'!AH689)),"C","")))</f>
        <v/>
      </c>
      <c r="AF650" s="622" t="str">
        <f>IF(NOT(ISBLANK('A-RACHNATMAK'!AI691)),"A",IF(NOT(ISBLANK('A-RACHNATMAK'!AI690)),"B",IF(NOT(ISBLANK('A-RACHNATMAK'!AI689)),"C","")))</f>
        <v/>
      </c>
      <c r="AG650" s="622" t="str">
        <f>IF(NOT(ISBLANK('A-RACHNATMAK'!AJ691)),"A",IF(NOT(ISBLANK('A-RACHNATMAK'!AJ690)),"B",IF(NOT(ISBLANK('A-RACHNATMAK'!AJ689)),"C","")))</f>
        <v/>
      </c>
      <c r="AH650" s="622" t="str">
        <f>IF(NOT(ISBLANK('A-RACHNATMAK'!AK691)),"A",IF(NOT(ISBLANK('A-RACHNATMAK'!AK690)),"B",IF(NOT(ISBLANK('A-RACHNATMAK'!AK689)),"C","")))</f>
        <v/>
      </c>
      <c r="AI650" s="622" t="str">
        <f>IF(NOT(ISBLANK('A-RACHNATMAK'!AL691)),"A",IF(NOT(ISBLANK('A-RACHNATMAK'!AL690)),"B",IF(NOT(ISBLANK('A-RACHNATMAK'!AL689)),"C","")))</f>
        <v/>
      </c>
      <c r="AJ650" s="622" t="str">
        <f>IF(NOT(ISBLANK('A-RACHNATMAK'!AM691)),"A",IF(NOT(ISBLANK('A-RACHNATMAK'!AM690)),"B",IF(NOT(ISBLANK('A-RACHNATMAK'!AM689)),"C","")))</f>
        <v/>
      </c>
      <c r="AK650" s="622" t="str">
        <f>IF(NOT(ISBLANK('A-RACHNATMAK'!AN691)),"A",IF(NOT(ISBLANK('A-RACHNATMAK'!AN690)),"B",IF(NOT(ISBLANK('A-RACHNATMAK'!AN689)),"C","")))</f>
        <v/>
      </c>
      <c r="AL650" s="622" t="str">
        <f>IF(NOT(ISBLANK('A-RACHNATMAK'!AO691)),"A",IF(NOT(ISBLANK('A-RACHNATMAK'!AO690)),"B",IF(NOT(ISBLANK('A-RACHNATMAK'!AO689)),"C","")))</f>
        <v/>
      </c>
      <c r="AM650" s="622" t="str">
        <f>IF(NOT(ISBLANK('A-RACHNATMAK'!AP691)),"A",IF(NOT(ISBLANK('A-RACHNATMAK'!AP690)),"B",IF(NOT(ISBLANK('A-RACHNATMAK'!AP689)),"C","")))</f>
        <v/>
      </c>
      <c r="AN650" s="622" t="str">
        <f>IF(NOT(ISBLANK('A-RACHNATMAK'!AQ691)),"A",IF(NOT(ISBLANK('A-RACHNATMAK'!AQ690)),"B",IF(NOT(ISBLANK('A-RACHNATMAK'!AQ689)),"C","")))</f>
        <v/>
      </c>
      <c r="AO650" s="622" t="str">
        <f>IF(NOT(ISBLANK('A-RACHNATMAK'!AR691)),"A",IF(NOT(ISBLANK('A-RACHNATMAK'!AR690)),"B",IF(NOT(ISBLANK('A-RACHNATMAK'!AR689)),"C","")))</f>
        <v/>
      </c>
      <c r="AP650" s="622" t="str">
        <f>IF(NOT(ISBLANK('A-RACHNATMAK'!AS691)),"A",IF(NOT(ISBLANK('A-RACHNATMAK'!AS690)),"B",IF(NOT(ISBLANK('A-RACHNATMAK'!AS689)),"C","")))</f>
        <v/>
      </c>
      <c r="AQ650" s="622" t="str">
        <f>IF(NOT(ISBLANK('A-RACHNATMAK'!AT691)),"A",IF(NOT(ISBLANK('A-RACHNATMAK'!AT690)),"B",IF(NOT(ISBLANK('A-RACHNATMAK'!AT689)),"C","")))</f>
        <v/>
      </c>
      <c r="AR650" s="622" t="str">
        <f>IF(NOT(ISBLANK('A-RACHNATMAK'!AU691)),"A",IF(NOT(ISBLANK('A-RACHNATMAK'!AU690)),"B",IF(NOT(ISBLANK('A-RACHNATMAK'!AU689)),"C","")))</f>
        <v/>
      </c>
      <c r="AS650" s="622" t="str">
        <f>IF(NOT(ISBLANK('A-RACHNATMAK'!AV691)),"A",IF(NOT(ISBLANK('A-RACHNATMAK'!AV690)),"B",IF(NOT(ISBLANK('A-RACHNATMAK'!AV689)),"C","")))</f>
        <v/>
      </c>
      <c r="AT650" s="622" t="str">
        <f>IF(NOT(ISBLANK('A-RACHNATMAK'!AW691)),"A",IF(NOT(ISBLANK('A-RACHNATMAK'!AW690)),"B",IF(NOT(ISBLANK('A-RACHNATMAK'!AW689)),"C","")))</f>
        <v/>
      </c>
      <c r="AU650" s="622">
        <f t="shared" ref="AU650" si="1233">COUNTIF(AA650:AT650,"A")</f>
        <v>0</v>
      </c>
      <c r="AV650" s="622">
        <f t="shared" ref="AV650" si="1234">COUNTIF(AA650:AT650,"B")</f>
        <v>0</v>
      </c>
      <c r="AW650" s="622">
        <f t="shared" ref="AW650" si="1235">COUNTIF(AA650:AT650,"C")</f>
        <v>0</v>
      </c>
    </row>
    <row r="651" spans="1:49" ht="7.5" customHeight="1">
      <c r="A651" s="623"/>
      <c r="B651" s="622"/>
      <c r="C651" s="622"/>
      <c r="D651" s="622"/>
      <c r="E651" s="622"/>
      <c r="F651" s="622"/>
      <c r="G651" s="622"/>
      <c r="H651" s="622"/>
      <c r="I651" s="622"/>
      <c r="J651" s="622"/>
      <c r="K651" s="622"/>
      <c r="L651" s="622"/>
      <c r="M651" s="622"/>
      <c r="N651" s="622"/>
      <c r="O651" s="622"/>
      <c r="P651" s="622"/>
      <c r="Q651" s="622"/>
      <c r="R651" s="622"/>
      <c r="S651" s="622"/>
      <c r="T651" s="622"/>
      <c r="U651" s="622"/>
      <c r="V651" s="622"/>
      <c r="W651" s="622"/>
      <c r="X651" s="622"/>
      <c r="Y651" s="330"/>
      <c r="Z651" s="623"/>
      <c r="AA651" s="622"/>
      <c r="AB651" s="622"/>
      <c r="AC651" s="622"/>
      <c r="AD651" s="622"/>
      <c r="AE651" s="622"/>
      <c r="AF651" s="622"/>
      <c r="AG651" s="622"/>
      <c r="AH651" s="622"/>
      <c r="AI651" s="622"/>
      <c r="AJ651" s="622"/>
      <c r="AK651" s="622"/>
      <c r="AL651" s="622"/>
      <c r="AM651" s="622"/>
      <c r="AN651" s="622"/>
      <c r="AO651" s="622"/>
      <c r="AP651" s="622"/>
      <c r="AQ651" s="622"/>
      <c r="AR651" s="622"/>
      <c r="AS651" s="622"/>
      <c r="AT651" s="622"/>
      <c r="AU651" s="622"/>
      <c r="AV651" s="622"/>
      <c r="AW651" s="622"/>
    </row>
    <row r="652" spans="1:49" ht="7.5" customHeight="1">
      <c r="A652" s="623"/>
      <c r="B652" s="622"/>
      <c r="C652" s="622"/>
      <c r="D652" s="622"/>
      <c r="E652" s="622"/>
      <c r="F652" s="622"/>
      <c r="G652" s="622"/>
      <c r="H652" s="622"/>
      <c r="I652" s="622"/>
      <c r="J652" s="622"/>
      <c r="K652" s="622"/>
      <c r="L652" s="622"/>
      <c r="M652" s="622"/>
      <c r="N652" s="622"/>
      <c r="O652" s="622"/>
      <c r="P652" s="622"/>
      <c r="Q652" s="622"/>
      <c r="R652" s="622"/>
      <c r="S652" s="622"/>
      <c r="T652" s="622"/>
      <c r="U652" s="622"/>
      <c r="V652" s="622"/>
      <c r="W652" s="622"/>
      <c r="X652" s="622"/>
      <c r="Y652" s="330"/>
      <c r="Z652" s="623"/>
      <c r="AA652" s="622"/>
      <c r="AB652" s="622"/>
      <c r="AC652" s="622"/>
      <c r="AD652" s="622"/>
      <c r="AE652" s="622"/>
      <c r="AF652" s="622"/>
      <c r="AG652" s="622"/>
      <c r="AH652" s="622"/>
      <c r="AI652" s="622"/>
      <c r="AJ652" s="622"/>
      <c r="AK652" s="622"/>
      <c r="AL652" s="622"/>
      <c r="AM652" s="622"/>
      <c r="AN652" s="622"/>
      <c r="AO652" s="622"/>
      <c r="AP652" s="622"/>
      <c r="AQ652" s="622"/>
      <c r="AR652" s="622"/>
      <c r="AS652" s="622"/>
      <c r="AT652" s="622"/>
      <c r="AU652" s="622"/>
      <c r="AV652" s="622"/>
      <c r="AW652" s="622"/>
    </row>
    <row r="653" spans="1:49" ht="7.5" customHeight="1">
      <c r="A653" s="623">
        <v>4</v>
      </c>
      <c r="B653" s="622" t="str">
        <f>IF(NOT(ISBLANK('A-RACHNATMAK'!C694)),"A",IF(NOT(ISBLANK('A-RACHNATMAK'!C693)),"B",IF(NOT(ISBLANK('A-RACHNATMAK'!C692)),"C","")))</f>
        <v/>
      </c>
      <c r="C653" s="622" t="str">
        <f>IF(NOT(ISBLANK('A-RACHNATMAK'!D694)),"A",IF(NOT(ISBLANK('A-RACHNATMAK'!D693)),"B",IF(NOT(ISBLANK('A-RACHNATMAK'!D692)),"C","")))</f>
        <v/>
      </c>
      <c r="D653" s="622" t="str">
        <f>IF(NOT(ISBLANK('A-RACHNATMAK'!E694)),"A",IF(NOT(ISBLANK('A-RACHNATMAK'!E693)),"B",IF(NOT(ISBLANK('A-RACHNATMAK'!E692)),"C","")))</f>
        <v/>
      </c>
      <c r="E653" s="622" t="str">
        <f>IF(NOT(ISBLANK('A-RACHNATMAK'!F694)),"A",IF(NOT(ISBLANK('A-RACHNATMAK'!F693)),"B",IF(NOT(ISBLANK('A-RACHNATMAK'!F692)),"C","")))</f>
        <v/>
      </c>
      <c r="F653" s="622" t="str">
        <f>IF(NOT(ISBLANK('A-RACHNATMAK'!G694)),"A",IF(NOT(ISBLANK('A-RACHNATMAK'!G693)),"B",IF(NOT(ISBLANK('A-RACHNATMAK'!G692)),"C","")))</f>
        <v/>
      </c>
      <c r="G653" s="622" t="str">
        <f>IF(NOT(ISBLANK('A-RACHNATMAK'!H694)),"A",IF(NOT(ISBLANK('A-RACHNATMAK'!H693)),"B",IF(NOT(ISBLANK('A-RACHNATMAK'!H692)),"C","")))</f>
        <v/>
      </c>
      <c r="H653" s="622" t="str">
        <f>IF(NOT(ISBLANK('A-RACHNATMAK'!I694)),"A",IF(NOT(ISBLANK('A-RACHNATMAK'!I693)),"B",IF(NOT(ISBLANK('A-RACHNATMAK'!I692)),"C","")))</f>
        <v/>
      </c>
      <c r="I653" s="622" t="str">
        <f>IF(NOT(ISBLANK('A-RACHNATMAK'!J694)),"A",IF(NOT(ISBLANK('A-RACHNATMAK'!J693)),"B",IF(NOT(ISBLANK('A-RACHNATMAK'!J692)),"C","")))</f>
        <v/>
      </c>
      <c r="J653" s="622" t="str">
        <f>IF(NOT(ISBLANK('A-RACHNATMAK'!K694)),"A",IF(NOT(ISBLANK('A-RACHNATMAK'!K693)),"B",IF(NOT(ISBLANK('A-RACHNATMAK'!K692)),"C","")))</f>
        <v/>
      </c>
      <c r="K653" s="622" t="str">
        <f>IF(NOT(ISBLANK('A-RACHNATMAK'!L694)),"A",IF(NOT(ISBLANK('A-RACHNATMAK'!L693)),"B",IF(NOT(ISBLANK('A-RACHNATMAK'!L692)),"C","")))</f>
        <v/>
      </c>
      <c r="L653" s="622" t="str">
        <f>IF(NOT(ISBLANK('A-RACHNATMAK'!M694)),"A",IF(NOT(ISBLANK('A-RACHNATMAK'!M693)),"B",IF(NOT(ISBLANK('A-RACHNATMAK'!M692)),"C","")))</f>
        <v/>
      </c>
      <c r="M653" s="622" t="str">
        <f>IF(NOT(ISBLANK('A-RACHNATMAK'!N694)),"A",IF(NOT(ISBLANK('A-RACHNATMAK'!N693)),"B",IF(NOT(ISBLANK('A-RACHNATMAK'!N692)),"C","")))</f>
        <v/>
      </c>
      <c r="N653" s="622" t="str">
        <f>IF(NOT(ISBLANK('A-RACHNATMAK'!O694)),"A",IF(NOT(ISBLANK('A-RACHNATMAK'!O693)),"B",IF(NOT(ISBLANK('A-RACHNATMAK'!O692)),"C","")))</f>
        <v/>
      </c>
      <c r="O653" s="622" t="str">
        <f>IF(NOT(ISBLANK('A-RACHNATMAK'!P694)),"A",IF(NOT(ISBLANK('A-RACHNATMAK'!P693)),"B",IF(NOT(ISBLANK('A-RACHNATMAK'!P692)),"C","")))</f>
        <v/>
      </c>
      <c r="P653" s="622" t="str">
        <f>IF(NOT(ISBLANK('A-RACHNATMAK'!Q694)),"A",IF(NOT(ISBLANK('A-RACHNATMAK'!Q693)),"B",IF(NOT(ISBLANK('A-RACHNATMAK'!Q692)),"C","")))</f>
        <v/>
      </c>
      <c r="Q653" s="622" t="str">
        <f>IF(NOT(ISBLANK('A-RACHNATMAK'!R694)),"A",IF(NOT(ISBLANK('A-RACHNATMAK'!R693)),"B",IF(NOT(ISBLANK('A-RACHNATMAK'!R692)),"C","")))</f>
        <v/>
      </c>
      <c r="R653" s="622" t="str">
        <f>IF(NOT(ISBLANK('A-RACHNATMAK'!S694)),"A",IF(NOT(ISBLANK('A-RACHNATMAK'!S693)),"B",IF(NOT(ISBLANK('A-RACHNATMAK'!S692)),"C","")))</f>
        <v/>
      </c>
      <c r="S653" s="622" t="str">
        <f>IF(NOT(ISBLANK('A-RACHNATMAK'!T694)),"A",IF(NOT(ISBLANK('A-RACHNATMAK'!T693)),"B",IF(NOT(ISBLANK('A-RACHNATMAK'!T692)),"C","")))</f>
        <v/>
      </c>
      <c r="T653" s="622" t="str">
        <f>IF(NOT(ISBLANK('A-RACHNATMAK'!U694)),"A",IF(NOT(ISBLANK('A-RACHNATMAK'!U693)),"B",IF(NOT(ISBLANK('A-RACHNATMAK'!U692)),"C","")))</f>
        <v/>
      </c>
      <c r="U653" s="622" t="str">
        <f>IF(NOT(ISBLANK('A-RACHNATMAK'!V694)),"A",IF(NOT(ISBLANK('A-RACHNATMAK'!V693)),"B",IF(NOT(ISBLANK('A-RACHNATMAK'!V692)),"C","")))</f>
        <v/>
      </c>
      <c r="V653" s="622">
        <f t="shared" ref="V653" si="1236">COUNTIF(B653:U653,"A")</f>
        <v>0</v>
      </c>
      <c r="W653" s="622">
        <f t="shared" ref="W653" si="1237">COUNTIF(B653:U653,"B")</f>
        <v>0</v>
      </c>
      <c r="X653" s="622">
        <f t="shared" ref="X653" si="1238">COUNTIF(B653:U653,"C")</f>
        <v>0</v>
      </c>
      <c r="Y653" s="330"/>
      <c r="Z653" s="623">
        <v>4</v>
      </c>
      <c r="AA653" s="622" t="str">
        <f>IF(NOT(ISBLANK('A-RACHNATMAK'!AD694)),"A",IF(NOT(ISBLANK('A-RACHNATMAK'!AD693)),"B",IF(NOT(ISBLANK('A-RACHNATMAK'!AD692)),"C","")))</f>
        <v/>
      </c>
      <c r="AB653" s="622" t="str">
        <f>IF(NOT(ISBLANK('A-RACHNATMAK'!AE694)),"A",IF(NOT(ISBLANK('A-RACHNATMAK'!AE693)),"B",IF(NOT(ISBLANK('A-RACHNATMAK'!AE692)),"C","")))</f>
        <v/>
      </c>
      <c r="AC653" s="622" t="str">
        <f>IF(NOT(ISBLANK('A-RACHNATMAK'!AF694)),"A",IF(NOT(ISBLANK('A-RACHNATMAK'!AF693)),"B",IF(NOT(ISBLANK('A-RACHNATMAK'!AF692)),"C","")))</f>
        <v/>
      </c>
      <c r="AD653" s="622" t="str">
        <f>IF(NOT(ISBLANK('A-RACHNATMAK'!AG694)),"A",IF(NOT(ISBLANK('A-RACHNATMAK'!AG693)),"B",IF(NOT(ISBLANK('A-RACHNATMAK'!AG692)),"C","")))</f>
        <v/>
      </c>
      <c r="AE653" s="622" t="str">
        <f>IF(NOT(ISBLANK('A-RACHNATMAK'!AH694)),"A",IF(NOT(ISBLANK('A-RACHNATMAK'!AH693)),"B",IF(NOT(ISBLANK('A-RACHNATMAK'!AH692)),"C","")))</f>
        <v/>
      </c>
      <c r="AF653" s="622" t="str">
        <f>IF(NOT(ISBLANK('A-RACHNATMAK'!AI694)),"A",IF(NOT(ISBLANK('A-RACHNATMAK'!AI693)),"B",IF(NOT(ISBLANK('A-RACHNATMAK'!AI692)),"C","")))</f>
        <v/>
      </c>
      <c r="AG653" s="622" t="str">
        <f>IF(NOT(ISBLANK('A-RACHNATMAK'!AJ694)),"A",IF(NOT(ISBLANK('A-RACHNATMAK'!AJ693)),"B",IF(NOT(ISBLANK('A-RACHNATMAK'!AJ692)),"C","")))</f>
        <v/>
      </c>
      <c r="AH653" s="622" t="str">
        <f>IF(NOT(ISBLANK('A-RACHNATMAK'!AK694)),"A",IF(NOT(ISBLANK('A-RACHNATMAK'!AK693)),"B",IF(NOT(ISBLANK('A-RACHNATMAK'!AK692)),"C","")))</f>
        <v/>
      </c>
      <c r="AI653" s="622" t="str">
        <f>IF(NOT(ISBLANK('A-RACHNATMAK'!AL694)),"A",IF(NOT(ISBLANK('A-RACHNATMAK'!AL693)),"B",IF(NOT(ISBLANK('A-RACHNATMAK'!AL692)),"C","")))</f>
        <v/>
      </c>
      <c r="AJ653" s="622" t="str">
        <f>IF(NOT(ISBLANK('A-RACHNATMAK'!AM694)),"A",IF(NOT(ISBLANK('A-RACHNATMAK'!AM693)),"B",IF(NOT(ISBLANK('A-RACHNATMAK'!AM692)),"C","")))</f>
        <v/>
      </c>
      <c r="AK653" s="622" t="str">
        <f>IF(NOT(ISBLANK('A-RACHNATMAK'!AN694)),"A",IF(NOT(ISBLANK('A-RACHNATMAK'!AN693)),"B",IF(NOT(ISBLANK('A-RACHNATMAK'!AN692)),"C","")))</f>
        <v/>
      </c>
      <c r="AL653" s="622" t="str">
        <f>IF(NOT(ISBLANK('A-RACHNATMAK'!AO694)),"A",IF(NOT(ISBLANK('A-RACHNATMAK'!AO693)),"B",IF(NOT(ISBLANK('A-RACHNATMAK'!AO692)),"C","")))</f>
        <v/>
      </c>
      <c r="AM653" s="622" t="str">
        <f>IF(NOT(ISBLANK('A-RACHNATMAK'!AP694)),"A",IF(NOT(ISBLANK('A-RACHNATMAK'!AP693)),"B",IF(NOT(ISBLANK('A-RACHNATMAK'!AP692)),"C","")))</f>
        <v/>
      </c>
      <c r="AN653" s="622" t="str">
        <f>IF(NOT(ISBLANK('A-RACHNATMAK'!AQ694)),"A",IF(NOT(ISBLANK('A-RACHNATMAK'!AQ693)),"B",IF(NOT(ISBLANK('A-RACHNATMAK'!AQ692)),"C","")))</f>
        <v/>
      </c>
      <c r="AO653" s="622" t="str">
        <f>IF(NOT(ISBLANK('A-RACHNATMAK'!AR694)),"A",IF(NOT(ISBLANK('A-RACHNATMAK'!AR693)),"B",IF(NOT(ISBLANK('A-RACHNATMAK'!AR692)),"C","")))</f>
        <v/>
      </c>
      <c r="AP653" s="622" t="str">
        <f>IF(NOT(ISBLANK('A-RACHNATMAK'!AS694)),"A",IF(NOT(ISBLANK('A-RACHNATMAK'!AS693)),"B",IF(NOT(ISBLANK('A-RACHNATMAK'!AS692)),"C","")))</f>
        <v/>
      </c>
      <c r="AQ653" s="622" t="str">
        <f>IF(NOT(ISBLANK('A-RACHNATMAK'!AT694)),"A",IF(NOT(ISBLANK('A-RACHNATMAK'!AT693)),"B",IF(NOT(ISBLANK('A-RACHNATMAK'!AT692)),"C","")))</f>
        <v/>
      </c>
      <c r="AR653" s="622" t="str">
        <f>IF(NOT(ISBLANK('A-RACHNATMAK'!AU694)),"A",IF(NOT(ISBLANK('A-RACHNATMAK'!AU693)),"B",IF(NOT(ISBLANK('A-RACHNATMAK'!AU692)),"C","")))</f>
        <v/>
      </c>
      <c r="AS653" s="622" t="str">
        <f>IF(NOT(ISBLANK('A-RACHNATMAK'!AV694)),"A",IF(NOT(ISBLANK('A-RACHNATMAK'!AV693)),"B",IF(NOT(ISBLANK('A-RACHNATMAK'!AV692)),"C","")))</f>
        <v/>
      </c>
      <c r="AT653" s="622" t="str">
        <f>IF(NOT(ISBLANK('A-RACHNATMAK'!AW694)),"A",IF(NOT(ISBLANK('A-RACHNATMAK'!AW693)),"B",IF(NOT(ISBLANK('A-RACHNATMAK'!AW692)),"C","")))</f>
        <v/>
      </c>
      <c r="AU653" s="622">
        <f t="shared" ref="AU653" si="1239">COUNTIF(AA653:AT653,"A")</f>
        <v>0</v>
      </c>
      <c r="AV653" s="622">
        <f t="shared" ref="AV653" si="1240">COUNTIF(AA653:AT653,"B")</f>
        <v>0</v>
      </c>
      <c r="AW653" s="622">
        <f t="shared" ref="AW653" si="1241">COUNTIF(AA653:AT653,"C")</f>
        <v>0</v>
      </c>
    </row>
    <row r="654" spans="1:49" ht="7.5" customHeight="1">
      <c r="A654" s="623"/>
      <c r="B654" s="622"/>
      <c r="C654" s="622"/>
      <c r="D654" s="622"/>
      <c r="E654" s="622"/>
      <c r="F654" s="622"/>
      <c r="G654" s="622"/>
      <c r="H654" s="622"/>
      <c r="I654" s="622"/>
      <c r="J654" s="622"/>
      <c r="K654" s="622"/>
      <c r="L654" s="622"/>
      <c r="M654" s="622"/>
      <c r="N654" s="622"/>
      <c r="O654" s="622"/>
      <c r="P654" s="622"/>
      <c r="Q654" s="622"/>
      <c r="R654" s="622"/>
      <c r="S654" s="622"/>
      <c r="T654" s="622"/>
      <c r="U654" s="622"/>
      <c r="V654" s="622"/>
      <c r="W654" s="622"/>
      <c r="X654" s="622"/>
      <c r="Y654" s="330"/>
      <c r="Z654" s="623"/>
      <c r="AA654" s="622"/>
      <c r="AB654" s="622"/>
      <c r="AC654" s="622"/>
      <c r="AD654" s="622"/>
      <c r="AE654" s="622"/>
      <c r="AF654" s="622"/>
      <c r="AG654" s="622"/>
      <c r="AH654" s="622"/>
      <c r="AI654" s="622"/>
      <c r="AJ654" s="622"/>
      <c r="AK654" s="622"/>
      <c r="AL654" s="622"/>
      <c r="AM654" s="622"/>
      <c r="AN654" s="622"/>
      <c r="AO654" s="622"/>
      <c r="AP654" s="622"/>
      <c r="AQ654" s="622"/>
      <c r="AR654" s="622"/>
      <c r="AS654" s="622"/>
      <c r="AT654" s="622"/>
      <c r="AU654" s="622"/>
      <c r="AV654" s="622"/>
      <c r="AW654" s="622"/>
    </row>
    <row r="655" spans="1:49" ht="7.5" customHeight="1">
      <c r="A655" s="623"/>
      <c r="B655" s="622"/>
      <c r="C655" s="622"/>
      <c r="D655" s="622"/>
      <c r="E655" s="622"/>
      <c r="F655" s="622"/>
      <c r="G655" s="622"/>
      <c r="H655" s="622"/>
      <c r="I655" s="622"/>
      <c r="J655" s="622"/>
      <c r="K655" s="622"/>
      <c r="L655" s="622"/>
      <c r="M655" s="622"/>
      <c r="N655" s="622"/>
      <c r="O655" s="622"/>
      <c r="P655" s="622"/>
      <c r="Q655" s="622"/>
      <c r="R655" s="622"/>
      <c r="S655" s="622"/>
      <c r="T655" s="622"/>
      <c r="U655" s="622"/>
      <c r="V655" s="622"/>
      <c r="W655" s="622"/>
      <c r="X655" s="622"/>
      <c r="Y655" s="330"/>
      <c r="Z655" s="623"/>
      <c r="AA655" s="622"/>
      <c r="AB655" s="622"/>
      <c r="AC655" s="622"/>
      <c r="AD655" s="622"/>
      <c r="AE655" s="622"/>
      <c r="AF655" s="622"/>
      <c r="AG655" s="622"/>
      <c r="AH655" s="622"/>
      <c r="AI655" s="622"/>
      <c r="AJ655" s="622"/>
      <c r="AK655" s="622"/>
      <c r="AL655" s="622"/>
      <c r="AM655" s="622"/>
      <c r="AN655" s="622"/>
      <c r="AO655" s="622"/>
      <c r="AP655" s="622"/>
      <c r="AQ655" s="622"/>
      <c r="AR655" s="622"/>
      <c r="AS655" s="622"/>
      <c r="AT655" s="622"/>
      <c r="AU655" s="622"/>
      <c r="AV655" s="622"/>
      <c r="AW655" s="622"/>
    </row>
    <row r="656" spans="1:49" ht="7.5" customHeight="1">
      <c r="A656" s="623">
        <v>5</v>
      </c>
      <c r="B656" s="622" t="str">
        <f>IF(NOT(ISBLANK('A-RACHNATMAK'!C697)),"A",IF(NOT(ISBLANK('A-RACHNATMAK'!C696)),"B",IF(NOT(ISBLANK('A-RACHNATMAK'!C695)),"C","")))</f>
        <v/>
      </c>
      <c r="C656" s="622" t="str">
        <f>IF(NOT(ISBLANK('A-RACHNATMAK'!D697)),"A",IF(NOT(ISBLANK('A-RACHNATMAK'!D696)),"B",IF(NOT(ISBLANK('A-RACHNATMAK'!D695)),"C","")))</f>
        <v/>
      </c>
      <c r="D656" s="622" t="str">
        <f>IF(NOT(ISBLANK('A-RACHNATMAK'!E697)),"A",IF(NOT(ISBLANK('A-RACHNATMAK'!E696)),"B",IF(NOT(ISBLANK('A-RACHNATMAK'!E695)),"C","")))</f>
        <v/>
      </c>
      <c r="E656" s="622" t="str">
        <f>IF(NOT(ISBLANK('A-RACHNATMAK'!F697)),"A",IF(NOT(ISBLANK('A-RACHNATMAK'!F696)),"B",IF(NOT(ISBLANK('A-RACHNATMAK'!F695)),"C","")))</f>
        <v/>
      </c>
      <c r="F656" s="622" t="str">
        <f>IF(NOT(ISBLANK('A-RACHNATMAK'!G697)),"A",IF(NOT(ISBLANK('A-RACHNATMAK'!G696)),"B",IF(NOT(ISBLANK('A-RACHNATMAK'!G695)),"C","")))</f>
        <v/>
      </c>
      <c r="G656" s="622" t="str">
        <f>IF(NOT(ISBLANK('A-RACHNATMAK'!H697)),"A",IF(NOT(ISBLANK('A-RACHNATMAK'!H696)),"B",IF(NOT(ISBLANK('A-RACHNATMAK'!H695)),"C","")))</f>
        <v/>
      </c>
      <c r="H656" s="622" t="str">
        <f>IF(NOT(ISBLANK('A-RACHNATMAK'!I697)),"A",IF(NOT(ISBLANK('A-RACHNATMAK'!I696)),"B",IF(NOT(ISBLANK('A-RACHNATMAK'!I695)),"C","")))</f>
        <v/>
      </c>
      <c r="I656" s="622" t="str">
        <f>IF(NOT(ISBLANK('A-RACHNATMAK'!J697)),"A",IF(NOT(ISBLANK('A-RACHNATMAK'!J696)),"B",IF(NOT(ISBLANK('A-RACHNATMAK'!J695)),"C","")))</f>
        <v/>
      </c>
      <c r="J656" s="622" t="str">
        <f>IF(NOT(ISBLANK('A-RACHNATMAK'!K697)),"A",IF(NOT(ISBLANK('A-RACHNATMAK'!K696)),"B",IF(NOT(ISBLANK('A-RACHNATMAK'!K695)),"C","")))</f>
        <v/>
      </c>
      <c r="K656" s="622" t="str">
        <f>IF(NOT(ISBLANK('A-RACHNATMAK'!L697)),"A",IF(NOT(ISBLANK('A-RACHNATMAK'!L696)),"B",IF(NOT(ISBLANK('A-RACHNATMAK'!L695)),"C","")))</f>
        <v/>
      </c>
      <c r="L656" s="622" t="str">
        <f>IF(NOT(ISBLANK('A-RACHNATMAK'!M697)),"A",IF(NOT(ISBLANK('A-RACHNATMAK'!M696)),"B",IF(NOT(ISBLANK('A-RACHNATMAK'!M695)),"C","")))</f>
        <v/>
      </c>
      <c r="M656" s="622" t="str">
        <f>IF(NOT(ISBLANK('A-RACHNATMAK'!N697)),"A",IF(NOT(ISBLANK('A-RACHNATMAK'!N696)),"B",IF(NOT(ISBLANK('A-RACHNATMAK'!N695)),"C","")))</f>
        <v/>
      </c>
      <c r="N656" s="622" t="str">
        <f>IF(NOT(ISBLANK('A-RACHNATMAK'!O697)),"A",IF(NOT(ISBLANK('A-RACHNATMAK'!O696)),"B",IF(NOT(ISBLANK('A-RACHNATMAK'!O695)),"C","")))</f>
        <v/>
      </c>
      <c r="O656" s="622" t="str">
        <f>IF(NOT(ISBLANK('A-RACHNATMAK'!P697)),"A",IF(NOT(ISBLANK('A-RACHNATMAK'!P696)),"B",IF(NOT(ISBLANK('A-RACHNATMAK'!P695)),"C","")))</f>
        <v/>
      </c>
      <c r="P656" s="622" t="str">
        <f>IF(NOT(ISBLANK('A-RACHNATMAK'!Q697)),"A",IF(NOT(ISBLANK('A-RACHNATMAK'!Q696)),"B",IF(NOT(ISBLANK('A-RACHNATMAK'!Q695)),"C","")))</f>
        <v/>
      </c>
      <c r="Q656" s="622" t="str">
        <f>IF(NOT(ISBLANK('A-RACHNATMAK'!R697)),"A",IF(NOT(ISBLANK('A-RACHNATMAK'!R696)),"B",IF(NOT(ISBLANK('A-RACHNATMAK'!R695)),"C","")))</f>
        <v/>
      </c>
      <c r="R656" s="622" t="str">
        <f>IF(NOT(ISBLANK('A-RACHNATMAK'!S697)),"A",IF(NOT(ISBLANK('A-RACHNATMAK'!S696)),"B",IF(NOT(ISBLANK('A-RACHNATMAK'!S695)),"C","")))</f>
        <v/>
      </c>
      <c r="S656" s="622" t="str">
        <f>IF(NOT(ISBLANK('A-RACHNATMAK'!T697)),"A",IF(NOT(ISBLANK('A-RACHNATMAK'!T696)),"B",IF(NOT(ISBLANK('A-RACHNATMAK'!T695)),"C","")))</f>
        <v/>
      </c>
      <c r="T656" s="622" t="str">
        <f>IF(NOT(ISBLANK('A-RACHNATMAK'!U697)),"A",IF(NOT(ISBLANK('A-RACHNATMAK'!U696)),"B",IF(NOT(ISBLANK('A-RACHNATMAK'!U695)),"C","")))</f>
        <v/>
      </c>
      <c r="U656" s="622" t="str">
        <f>IF(NOT(ISBLANK('A-RACHNATMAK'!V697)),"A",IF(NOT(ISBLANK('A-RACHNATMAK'!V696)),"B",IF(NOT(ISBLANK('A-RACHNATMAK'!V695)),"C","")))</f>
        <v/>
      </c>
      <c r="V656" s="622">
        <f t="shared" ref="V656" si="1242">COUNTIF(B656:U656,"A")</f>
        <v>0</v>
      </c>
      <c r="W656" s="622">
        <f t="shared" ref="W656" si="1243">COUNTIF(B656:U656,"B")</f>
        <v>0</v>
      </c>
      <c r="X656" s="622">
        <f t="shared" ref="X656" si="1244">COUNTIF(B656:U656,"C")</f>
        <v>0</v>
      </c>
      <c r="Y656" s="330"/>
      <c r="Z656" s="623">
        <v>5</v>
      </c>
      <c r="AA656" s="622" t="str">
        <f>IF(NOT(ISBLANK('A-RACHNATMAK'!AD697)),"A",IF(NOT(ISBLANK('A-RACHNATMAK'!AD696)),"B",IF(NOT(ISBLANK('A-RACHNATMAK'!AD695)),"C","")))</f>
        <v/>
      </c>
      <c r="AB656" s="622" t="str">
        <f>IF(NOT(ISBLANK('A-RACHNATMAK'!AE697)),"A",IF(NOT(ISBLANK('A-RACHNATMAK'!AE696)),"B",IF(NOT(ISBLANK('A-RACHNATMAK'!AE695)),"C","")))</f>
        <v/>
      </c>
      <c r="AC656" s="622" t="str">
        <f>IF(NOT(ISBLANK('A-RACHNATMAK'!AF697)),"A",IF(NOT(ISBLANK('A-RACHNATMAK'!AF696)),"B",IF(NOT(ISBLANK('A-RACHNATMAK'!AF695)),"C","")))</f>
        <v/>
      </c>
      <c r="AD656" s="622" t="str">
        <f>IF(NOT(ISBLANK('A-RACHNATMAK'!AG697)),"A",IF(NOT(ISBLANK('A-RACHNATMAK'!AG696)),"B",IF(NOT(ISBLANK('A-RACHNATMAK'!AG695)),"C","")))</f>
        <v/>
      </c>
      <c r="AE656" s="622" t="str">
        <f>IF(NOT(ISBLANK('A-RACHNATMAK'!AH697)),"A",IF(NOT(ISBLANK('A-RACHNATMAK'!AH696)),"B",IF(NOT(ISBLANK('A-RACHNATMAK'!AH695)),"C","")))</f>
        <v/>
      </c>
      <c r="AF656" s="622" t="str">
        <f>IF(NOT(ISBLANK('A-RACHNATMAK'!AI697)),"A",IF(NOT(ISBLANK('A-RACHNATMAK'!AI696)),"B",IF(NOT(ISBLANK('A-RACHNATMAK'!AI695)),"C","")))</f>
        <v/>
      </c>
      <c r="AG656" s="622" t="str">
        <f>IF(NOT(ISBLANK('A-RACHNATMAK'!AJ697)),"A",IF(NOT(ISBLANK('A-RACHNATMAK'!AJ696)),"B",IF(NOT(ISBLANK('A-RACHNATMAK'!AJ695)),"C","")))</f>
        <v/>
      </c>
      <c r="AH656" s="622" t="str">
        <f>IF(NOT(ISBLANK('A-RACHNATMAK'!AK697)),"A",IF(NOT(ISBLANK('A-RACHNATMAK'!AK696)),"B",IF(NOT(ISBLANK('A-RACHNATMAK'!AK695)),"C","")))</f>
        <v/>
      </c>
      <c r="AI656" s="622" t="str">
        <f>IF(NOT(ISBLANK('A-RACHNATMAK'!AL697)),"A",IF(NOT(ISBLANK('A-RACHNATMAK'!AL696)),"B",IF(NOT(ISBLANK('A-RACHNATMAK'!AL695)),"C","")))</f>
        <v/>
      </c>
      <c r="AJ656" s="622" t="str">
        <f>IF(NOT(ISBLANK('A-RACHNATMAK'!AM697)),"A",IF(NOT(ISBLANK('A-RACHNATMAK'!AM696)),"B",IF(NOT(ISBLANK('A-RACHNATMAK'!AM695)),"C","")))</f>
        <v/>
      </c>
      <c r="AK656" s="622" t="str">
        <f>IF(NOT(ISBLANK('A-RACHNATMAK'!AN697)),"A",IF(NOT(ISBLANK('A-RACHNATMAK'!AN696)),"B",IF(NOT(ISBLANK('A-RACHNATMAK'!AN695)),"C","")))</f>
        <v/>
      </c>
      <c r="AL656" s="622" t="str">
        <f>IF(NOT(ISBLANK('A-RACHNATMAK'!AO697)),"A",IF(NOT(ISBLANK('A-RACHNATMAK'!AO696)),"B",IF(NOT(ISBLANK('A-RACHNATMAK'!AO695)),"C","")))</f>
        <v/>
      </c>
      <c r="AM656" s="622" t="str">
        <f>IF(NOT(ISBLANK('A-RACHNATMAK'!AP697)),"A",IF(NOT(ISBLANK('A-RACHNATMAK'!AP696)),"B",IF(NOT(ISBLANK('A-RACHNATMAK'!AP695)),"C","")))</f>
        <v/>
      </c>
      <c r="AN656" s="622" t="str">
        <f>IF(NOT(ISBLANK('A-RACHNATMAK'!AQ697)),"A",IF(NOT(ISBLANK('A-RACHNATMAK'!AQ696)),"B",IF(NOT(ISBLANK('A-RACHNATMAK'!AQ695)),"C","")))</f>
        <v/>
      </c>
      <c r="AO656" s="622" t="str">
        <f>IF(NOT(ISBLANK('A-RACHNATMAK'!AR697)),"A",IF(NOT(ISBLANK('A-RACHNATMAK'!AR696)),"B",IF(NOT(ISBLANK('A-RACHNATMAK'!AR695)),"C","")))</f>
        <v/>
      </c>
      <c r="AP656" s="622" t="str">
        <f>IF(NOT(ISBLANK('A-RACHNATMAK'!AS697)),"A",IF(NOT(ISBLANK('A-RACHNATMAK'!AS696)),"B",IF(NOT(ISBLANK('A-RACHNATMAK'!AS695)),"C","")))</f>
        <v/>
      </c>
      <c r="AQ656" s="622" t="str">
        <f>IF(NOT(ISBLANK('A-RACHNATMAK'!AT697)),"A",IF(NOT(ISBLANK('A-RACHNATMAK'!AT696)),"B",IF(NOT(ISBLANK('A-RACHNATMAK'!AT695)),"C","")))</f>
        <v/>
      </c>
      <c r="AR656" s="622" t="str">
        <f>IF(NOT(ISBLANK('A-RACHNATMAK'!AU697)),"A",IF(NOT(ISBLANK('A-RACHNATMAK'!AU696)),"B",IF(NOT(ISBLANK('A-RACHNATMAK'!AU695)),"C","")))</f>
        <v/>
      </c>
      <c r="AS656" s="622" t="str">
        <f>IF(NOT(ISBLANK('A-RACHNATMAK'!AV697)),"A",IF(NOT(ISBLANK('A-RACHNATMAK'!AV696)),"B",IF(NOT(ISBLANK('A-RACHNATMAK'!AV695)),"C","")))</f>
        <v/>
      </c>
      <c r="AT656" s="622" t="str">
        <f>IF(NOT(ISBLANK('A-RACHNATMAK'!AW697)),"A",IF(NOT(ISBLANK('A-RACHNATMAK'!AW696)),"B",IF(NOT(ISBLANK('A-RACHNATMAK'!AW695)),"C","")))</f>
        <v/>
      </c>
      <c r="AU656" s="622">
        <f t="shared" ref="AU656" si="1245">COUNTIF(AA656:AT656,"A")</f>
        <v>0</v>
      </c>
      <c r="AV656" s="622">
        <f t="shared" ref="AV656" si="1246">COUNTIF(AA656:AT656,"B")</f>
        <v>0</v>
      </c>
      <c r="AW656" s="622">
        <f t="shared" ref="AW656" si="1247">COUNTIF(AA656:AT656,"C")</f>
        <v>0</v>
      </c>
    </row>
    <row r="657" spans="1:49" ht="7.5" customHeight="1">
      <c r="A657" s="623"/>
      <c r="B657" s="622"/>
      <c r="C657" s="622"/>
      <c r="D657" s="622"/>
      <c r="E657" s="622"/>
      <c r="F657" s="622"/>
      <c r="G657" s="622"/>
      <c r="H657" s="622"/>
      <c r="I657" s="622"/>
      <c r="J657" s="622"/>
      <c r="K657" s="622"/>
      <c r="L657" s="622"/>
      <c r="M657" s="622"/>
      <c r="N657" s="622"/>
      <c r="O657" s="622"/>
      <c r="P657" s="622"/>
      <c r="Q657" s="622"/>
      <c r="R657" s="622"/>
      <c r="S657" s="622"/>
      <c r="T657" s="622"/>
      <c r="U657" s="622"/>
      <c r="V657" s="622"/>
      <c r="W657" s="622"/>
      <c r="X657" s="622"/>
      <c r="Y657" s="330"/>
      <c r="Z657" s="623"/>
      <c r="AA657" s="622"/>
      <c r="AB657" s="622"/>
      <c r="AC657" s="622"/>
      <c r="AD657" s="622"/>
      <c r="AE657" s="622"/>
      <c r="AF657" s="622"/>
      <c r="AG657" s="622"/>
      <c r="AH657" s="622"/>
      <c r="AI657" s="622"/>
      <c r="AJ657" s="622"/>
      <c r="AK657" s="622"/>
      <c r="AL657" s="622"/>
      <c r="AM657" s="622"/>
      <c r="AN657" s="622"/>
      <c r="AO657" s="622"/>
      <c r="AP657" s="622"/>
      <c r="AQ657" s="622"/>
      <c r="AR657" s="622"/>
      <c r="AS657" s="622"/>
      <c r="AT657" s="622"/>
      <c r="AU657" s="622"/>
      <c r="AV657" s="622"/>
      <c r="AW657" s="622"/>
    </row>
    <row r="658" spans="1:49" ht="7.5" customHeight="1">
      <c r="A658" s="623"/>
      <c r="B658" s="622"/>
      <c r="C658" s="622"/>
      <c r="D658" s="622"/>
      <c r="E658" s="622"/>
      <c r="F658" s="622"/>
      <c r="G658" s="622"/>
      <c r="H658" s="622"/>
      <c r="I658" s="622"/>
      <c r="J658" s="622"/>
      <c r="K658" s="622"/>
      <c r="L658" s="622"/>
      <c r="M658" s="622"/>
      <c r="N658" s="622"/>
      <c r="O658" s="622"/>
      <c r="P658" s="622"/>
      <c r="Q658" s="622"/>
      <c r="R658" s="622"/>
      <c r="S658" s="622"/>
      <c r="T658" s="622"/>
      <c r="U658" s="622"/>
      <c r="V658" s="622"/>
      <c r="W658" s="622"/>
      <c r="X658" s="622"/>
      <c r="Y658" s="330"/>
      <c r="Z658" s="623"/>
      <c r="AA658" s="622"/>
      <c r="AB658" s="622"/>
      <c r="AC658" s="622"/>
      <c r="AD658" s="622"/>
      <c r="AE658" s="622"/>
      <c r="AF658" s="622"/>
      <c r="AG658" s="622"/>
      <c r="AH658" s="622"/>
      <c r="AI658" s="622"/>
      <c r="AJ658" s="622"/>
      <c r="AK658" s="622"/>
      <c r="AL658" s="622"/>
      <c r="AM658" s="622"/>
      <c r="AN658" s="622"/>
      <c r="AO658" s="622"/>
      <c r="AP658" s="622"/>
      <c r="AQ658" s="622"/>
      <c r="AR658" s="622"/>
      <c r="AS658" s="622"/>
      <c r="AT658" s="622"/>
      <c r="AU658" s="622"/>
      <c r="AV658" s="622"/>
      <c r="AW658" s="622"/>
    </row>
    <row r="659" spans="1:49" ht="7.5" customHeight="1">
      <c r="A659" s="623">
        <v>6</v>
      </c>
      <c r="B659" s="622" t="str">
        <f>IF(NOT(ISBLANK('A-RACHNATMAK'!C700)),"A",IF(NOT(ISBLANK('A-RACHNATMAK'!C699)),"B",IF(NOT(ISBLANK('A-RACHNATMAK'!C698)),"C","")))</f>
        <v/>
      </c>
      <c r="C659" s="622" t="str">
        <f>IF(NOT(ISBLANK('A-RACHNATMAK'!D700)),"A",IF(NOT(ISBLANK('A-RACHNATMAK'!D699)),"B",IF(NOT(ISBLANK('A-RACHNATMAK'!D698)),"C","")))</f>
        <v/>
      </c>
      <c r="D659" s="622" t="str">
        <f>IF(NOT(ISBLANK('A-RACHNATMAK'!E700)),"A",IF(NOT(ISBLANK('A-RACHNATMAK'!E699)),"B",IF(NOT(ISBLANK('A-RACHNATMAK'!E698)),"C","")))</f>
        <v/>
      </c>
      <c r="E659" s="622" t="str">
        <f>IF(NOT(ISBLANK('A-RACHNATMAK'!F700)),"A",IF(NOT(ISBLANK('A-RACHNATMAK'!F699)),"B",IF(NOT(ISBLANK('A-RACHNATMAK'!F698)),"C","")))</f>
        <v/>
      </c>
      <c r="F659" s="622" t="str">
        <f>IF(NOT(ISBLANK('A-RACHNATMAK'!G700)),"A",IF(NOT(ISBLANK('A-RACHNATMAK'!G699)),"B",IF(NOT(ISBLANK('A-RACHNATMAK'!G698)),"C","")))</f>
        <v/>
      </c>
      <c r="G659" s="622" t="str">
        <f>IF(NOT(ISBLANK('A-RACHNATMAK'!H700)),"A",IF(NOT(ISBLANK('A-RACHNATMAK'!H699)),"B",IF(NOT(ISBLANK('A-RACHNATMAK'!H698)),"C","")))</f>
        <v/>
      </c>
      <c r="H659" s="622" t="str">
        <f>IF(NOT(ISBLANK('A-RACHNATMAK'!I700)),"A",IF(NOT(ISBLANK('A-RACHNATMAK'!I699)),"B",IF(NOT(ISBLANK('A-RACHNATMAK'!I698)),"C","")))</f>
        <v/>
      </c>
      <c r="I659" s="622" t="str">
        <f>IF(NOT(ISBLANK('A-RACHNATMAK'!J700)),"A",IF(NOT(ISBLANK('A-RACHNATMAK'!J699)),"B",IF(NOT(ISBLANK('A-RACHNATMAK'!J698)),"C","")))</f>
        <v/>
      </c>
      <c r="J659" s="622" t="str">
        <f>IF(NOT(ISBLANK('A-RACHNATMAK'!K700)),"A",IF(NOT(ISBLANK('A-RACHNATMAK'!K699)),"B",IF(NOT(ISBLANK('A-RACHNATMAK'!K698)),"C","")))</f>
        <v/>
      </c>
      <c r="K659" s="622" t="str">
        <f>IF(NOT(ISBLANK('A-RACHNATMAK'!L700)),"A",IF(NOT(ISBLANK('A-RACHNATMAK'!L699)),"B",IF(NOT(ISBLANK('A-RACHNATMAK'!L698)),"C","")))</f>
        <v/>
      </c>
      <c r="L659" s="622" t="str">
        <f>IF(NOT(ISBLANK('A-RACHNATMAK'!M700)),"A",IF(NOT(ISBLANK('A-RACHNATMAK'!M699)),"B",IF(NOT(ISBLANK('A-RACHNATMAK'!M698)),"C","")))</f>
        <v/>
      </c>
      <c r="M659" s="622" t="str">
        <f>IF(NOT(ISBLANK('A-RACHNATMAK'!N700)),"A",IF(NOT(ISBLANK('A-RACHNATMAK'!N699)),"B",IF(NOT(ISBLANK('A-RACHNATMAK'!N698)),"C","")))</f>
        <v/>
      </c>
      <c r="N659" s="622" t="str">
        <f>IF(NOT(ISBLANK('A-RACHNATMAK'!O700)),"A",IF(NOT(ISBLANK('A-RACHNATMAK'!O699)),"B",IF(NOT(ISBLANK('A-RACHNATMAK'!O698)),"C","")))</f>
        <v/>
      </c>
      <c r="O659" s="622" t="str">
        <f>IF(NOT(ISBLANK('A-RACHNATMAK'!P700)),"A",IF(NOT(ISBLANK('A-RACHNATMAK'!P699)),"B",IF(NOT(ISBLANK('A-RACHNATMAK'!P698)),"C","")))</f>
        <v/>
      </c>
      <c r="P659" s="622" t="str">
        <f>IF(NOT(ISBLANK('A-RACHNATMAK'!Q700)),"A",IF(NOT(ISBLANK('A-RACHNATMAK'!Q699)),"B",IF(NOT(ISBLANK('A-RACHNATMAK'!Q698)),"C","")))</f>
        <v/>
      </c>
      <c r="Q659" s="622" t="str">
        <f>IF(NOT(ISBLANK('A-RACHNATMAK'!R700)),"A",IF(NOT(ISBLANK('A-RACHNATMAK'!R699)),"B",IF(NOT(ISBLANK('A-RACHNATMAK'!R698)),"C","")))</f>
        <v/>
      </c>
      <c r="R659" s="622" t="str">
        <f>IF(NOT(ISBLANK('A-RACHNATMAK'!S700)),"A",IF(NOT(ISBLANK('A-RACHNATMAK'!S699)),"B",IF(NOT(ISBLANK('A-RACHNATMAK'!S698)),"C","")))</f>
        <v/>
      </c>
      <c r="S659" s="622" t="str">
        <f>IF(NOT(ISBLANK('A-RACHNATMAK'!T700)),"A",IF(NOT(ISBLANK('A-RACHNATMAK'!T699)),"B",IF(NOT(ISBLANK('A-RACHNATMAK'!T698)),"C","")))</f>
        <v/>
      </c>
      <c r="T659" s="622" t="str">
        <f>IF(NOT(ISBLANK('A-RACHNATMAK'!U700)),"A",IF(NOT(ISBLANK('A-RACHNATMAK'!U699)),"B",IF(NOT(ISBLANK('A-RACHNATMAK'!U698)),"C","")))</f>
        <v/>
      </c>
      <c r="U659" s="622" t="str">
        <f>IF(NOT(ISBLANK('A-RACHNATMAK'!V700)),"A",IF(NOT(ISBLANK('A-RACHNATMAK'!V699)),"B",IF(NOT(ISBLANK('A-RACHNATMAK'!V698)),"C","")))</f>
        <v/>
      </c>
      <c r="V659" s="622">
        <f t="shared" ref="V659" si="1248">COUNTIF(B659:U659,"A")</f>
        <v>0</v>
      </c>
      <c r="W659" s="622">
        <f t="shared" ref="W659" si="1249">COUNTIF(B659:U659,"B")</f>
        <v>0</v>
      </c>
      <c r="X659" s="622">
        <f t="shared" ref="X659" si="1250">COUNTIF(B659:U659,"C")</f>
        <v>0</v>
      </c>
      <c r="Y659" s="330"/>
      <c r="Z659" s="623">
        <v>6</v>
      </c>
      <c r="AA659" s="622" t="str">
        <f>IF(NOT(ISBLANK('A-RACHNATMAK'!AD700)),"A",IF(NOT(ISBLANK('A-RACHNATMAK'!AD699)),"B",IF(NOT(ISBLANK('A-RACHNATMAK'!AD698)),"C","")))</f>
        <v/>
      </c>
      <c r="AB659" s="622" t="str">
        <f>IF(NOT(ISBLANK('A-RACHNATMAK'!AE700)),"A",IF(NOT(ISBLANK('A-RACHNATMAK'!AE699)),"B",IF(NOT(ISBLANK('A-RACHNATMAK'!AE698)),"C","")))</f>
        <v/>
      </c>
      <c r="AC659" s="622" t="str">
        <f>IF(NOT(ISBLANK('A-RACHNATMAK'!AF700)),"A",IF(NOT(ISBLANK('A-RACHNATMAK'!AF699)),"B",IF(NOT(ISBLANK('A-RACHNATMAK'!AF698)),"C","")))</f>
        <v/>
      </c>
      <c r="AD659" s="622" t="str">
        <f>IF(NOT(ISBLANK('A-RACHNATMAK'!AG700)),"A",IF(NOT(ISBLANK('A-RACHNATMAK'!AG699)),"B",IF(NOT(ISBLANK('A-RACHNATMAK'!AG698)),"C","")))</f>
        <v/>
      </c>
      <c r="AE659" s="622" t="str">
        <f>IF(NOT(ISBLANK('A-RACHNATMAK'!AH700)),"A",IF(NOT(ISBLANK('A-RACHNATMAK'!AH699)),"B",IF(NOT(ISBLANK('A-RACHNATMAK'!AH698)),"C","")))</f>
        <v/>
      </c>
      <c r="AF659" s="622" t="str">
        <f>IF(NOT(ISBLANK('A-RACHNATMAK'!AI700)),"A",IF(NOT(ISBLANK('A-RACHNATMAK'!AI699)),"B",IF(NOT(ISBLANK('A-RACHNATMAK'!AI698)),"C","")))</f>
        <v/>
      </c>
      <c r="AG659" s="622" t="str">
        <f>IF(NOT(ISBLANK('A-RACHNATMAK'!AJ700)),"A",IF(NOT(ISBLANK('A-RACHNATMAK'!AJ699)),"B",IF(NOT(ISBLANK('A-RACHNATMAK'!AJ698)),"C","")))</f>
        <v/>
      </c>
      <c r="AH659" s="622" t="str">
        <f>IF(NOT(ISBLANK('A-RACHNATMAK'!AK700)),"A",IF(NOT(ISBLANK('A-RACHNATMAK'!AK699)),"B",IF(NOT(ISBLANK('A-RACHNATMAK'!AK698)),"C","")))</f>
        <v/>
      </c>
      <c r="AI659" s="622" t="str">
        <f>IF(NOT(ISBLANK('A-RACHNATMAK'!AL700)),"A",IF(NOT(ISBLANK('A-RACHNATMAK'!AL699)),"B",IF(NOT(ISBLANK('A-RACHNATMAK'!AL698)),"C","")))</f>
        <v/>
      </c>
      <c r="AJ659" s="622" t="str">
        <f>IF(NOT(ISBLANK('A-RACHNATMAK'!AM700)),"A",IF(NOT(ISBLANK('A-RACHNATMAK'!AM699)),"B",IF(NOT(ISBLANK('A-RACHNATMAK'!AM698)),"C","")))</f>
        <v/>
      </c>
      <c r="AK659" s="622" t="str">
        <f>IF(NOT(ISBLANK('A-RACHNATMAK'!AN700)),"A",IF(NOT(ISBLANK('A-RACHNATMAK'!AN699)),"B",IF(NOT(ISBLANK('A-RACHNATMAK'!AN698)),"C","")))</f>
        <v/>
      </c>
      <c r="AL659" s="622" t="str">
        <f>IF(NOT(ISBLANK('A-RACHNATMAK'!AO700)),"A",IF(NOT(ISBLANK('A-RACHNATMAK'!AO699)),"B",IF(NOT(ISBLANK('A-RACHNATMAK'!AO698)),"C","")))</f>
        <v/>
      </c>
      <c r="AM659" s="622" t="str">
        <f>IF(NOT(ISBLANK('A-RACHNATMAK'!AP700)),"A",IF(NOT(ISBLANK('A-RACHNATMAK'!AP699)),"B",IF(NOT(ISBLANK('A-RACHNATMAK'!AP698)),"C","")))</f>
        <v/>
      </c>
      <c r="AN659" s="622" t="str">
        <f>IF(NOT(ISBLANK('A-RACHNATMAK'!AQ700)),"A",IF(NOT(ISBLANK('A-RACHNATMAK'!AQ699)),"B",IF(NOT(ISBLANK('A-RACHNATMAK'!AQ698)),"C","")))</f>
        <v/>
      </c>
      <c r="AO659" s="622" t="str">
        <f>IF(NOT(ISBLANK('A-RACHNATMAK'!AR700)),"A",IF(NOT(ISBLANK('A-RACHNATMAK'!AR699)),"B",IF(NOT(ISBLANK('A-RACHNATMAK'!AR698)),"C","")))</f>
        <v/>
      </c>
      <c r="AP659" s="622" t="str">
        <f>IF(NOT(ISBLANK('A-RACHNATMAK'!AS700)),"A",IF(NOT(ISBLANK('A-RACHNATMAK'!AS699)),"B",IF(NOT(ISBLANK('A-RACHNATMAK'!AS698)),"C","")))</f>
        <v/>
      </c>
      <c r="AQ659" s="622" t="str">
        <f>IF(NOT(ISBLANK('A-RACHNATMAK'!AT700)),"A",IF(NOT(ISBLANK('A-RACHNATMAK'!AT699)),"B",IF(NOT(ISBLANK('A-RACHNATMAK'!AT698)),"C","")))</f>
        <v/>
      </c>
      <c r="AR659" s="622" t="str">
        <f>IF(NOT(ISBLANK('A-RACHNATMAK'!AU700)),"A",IF(NOT(ISBLANK('A-RACHNATMAK'!AU699)),"B",IF(NOT(ISBLANK('A-RACHNATMAK'!AU698)),"C","")))</f>
        <v/>
      </c>
      <c r="AS659" s="622" t="str">
        <f>IF(NOT(ISBLANK('A-RACHNATMAK'!AV700)),"A",IF(NOT(ISBLANK('A-RACHNATMAK'!AV699)),"B",IF(NOT(ISBLANK('A-RACHNATMAK'!AV698)),"C","")))</f>
        <v/>
      </c>
      <c r="AT659" s="622" t="str">
        <f>IF(NOT(ISBLANK('A-RACHNATMAK'!AW700)),"A",IF(NOT(ISBLANK('A-RACHNATMAK'!AW699)),"B",IF(NOT(ISBLANK('A-RACHNATMAK'!AW698)),"C","")))</f>
        <v/>
      </c>
      <c r="AU659" s="622">
        <f t="shared" ref="AU659" si="1251">COUNTIF(AA659:AT659,"A")</f>
        <v>0</v>
      </c>
      <c r="AV659" s="622">
        <f t="shared" ref="AV659" si="1252">COUNTIF(AA659:AT659,"B")</f>
        <v>0</v>
      </c>
      <c r="AW659" s="622">
        <f t="shared" ref="AW659" si="1253">COUNTIF(AA659:AT659,"C")</f>
        <v>0</v>
      </c>
    </row>
    <row r="660" spans="1:49" ht="7.5" customHeight="1">
      <c r="A660" s="623"/>
      <c r="B660" s="622"/>
      <c r="C660" s="622"/>
      <c r="D660" s="622"/>
      <c r="E660" s="622"/>
      <c r="F660" s="622"/>
      <c r="G660" s="622"/>
      <c r="H660" s="622"/>
      <c r="I660" s="622"/>
      <c r="J660" s="622"/>
      <c r="K660" s="622"/>
      <c r="L660" s="622"/>
      <c r="M660" s="622"/>
      <c r="N660" s="622"/>
      <c r="O660" s="622"/>
      <c r="P660" s="622"/>
      <c r="Q660" s="622"/>
      <c r="R660" s="622"/>
      <c r="S660" s="622"/>
      <c r="T660" s="622"/>
      <c r="U660" s="622"/>
      <c r="V660" s="622"/>
      <c r="W660" s="622"/>
      <c r="X660" s="622"/>
      <c r="Y660" s="330"/>
      <c r="Z660" s="623"/>
      <c r="AA660" s="622"/>
      <c r="AB660" s="622"/>
      <c r="AC660" s="622"/>
      <c r="AD660" s="622"/>
      <c r="AE660" s="622"/>
      <c r="AF660" s="622"/>
      <c r="AG660" s="622"/>
      <c r="AH660" s="622"/>
      <c r="AI660" s="622"/>
      <c r="AJ660" s="622"/>
      <c r="AK660" s="622"/>
      <c r="AL660" s="622"/>
      <c r="AM660" s="622"/>
      <c r="AN660" s="622"/>
      <c r="AO660" s="622"/>
      <c r="AP660" s="622"/>
      <c r="AQ660" s="622"/>
      <c r="AR660" s="622"/>
      <c r="AS660" s="622"/>
      <c r="AT660" s="622"/>
      <c r="AU660" s="622"/>
      <c r="AV660" s="622"/>
      <c r="AW660" s="622"/>
    </row>
    <row r="661" spans="1:49" ht="7.5" customHeight="1">
      <c r="A661" s="623"/>
      <c r="B661" s="622"/>
      <c r="C661" s="622"/>
      <c r="D661" s="622"/>
      <c r="E661" s="622"/>
      <c r="F661" s="622"/>
      <c r="G661" s="622"/>
      <c r="H661" s="622"/>
      <c r="I661" s="622"/>
      <c r="J661" s="622"/>
      <c r="K661" s="622"/>
      <c r="L661" s="622"/>
      <c r="M661" s="622"/>
      <c r="N661" s="622"/>
      <c r="O661" s="622"/>
      <c r="P661" s="622"/>
      <c r="Q661" s="622"/>
      <c r="R661" s="622"/>
      <c r="S661" s="622"/>
      <c r="T661" s="622"/>
      <c r="U661" s="622"/>
      <c r="V661" s="622"/>
      <c r="W661" s="622"/>
      <c r="X661" s="622"/>
      <c r="Y661" s="330"/>
      <c r="Z661" s="623"/>
      <c r="AA661" s="622"/>
      <c r="AB661" s="622"/>
      <c r="AC661" s="622"/>
      <c r="AD661" s="622"/>
      <c r="AE661" s="622"/>
      <c r="AF661" s="622"/>
      <c r="AG661" s="622"/>
      <c r="AH661" s="622"/>
      <c r="AI661" s="622"/>
      <c r="AJ661" s="622"/>
      <c r="AK661" s="622"/>
      <c r="AL661" s="622"/>
      <c r="AM661" s="622"/>
      <c r="AN661" s="622"/>
      <c r="AO661" s="622"/>
      <c r="AP661" s="622"/>
      <c r="AQ661" s="622"/>
      <c r="AR661" s="622"/>
      <c r="AS661" s="622"/>
      <c r="AT661" s="622"/>
      <c r="AU661" s="622"/>
      <c r="AV661" s="622"/>
      <c r="AW661" s="622"/>
    </row>
    <row r="662" spans="1:49" ht="7.5" customHeight="1">
      <c r="A662" s="623">
        <v>7</v>
      </c>
      <c r="B662" s="622" t="str">
        <f>IF(NOT(ISBLANK('A-RACHNATMAK'!C703)),"A",IF(NOT(ISBLANK('A-RACHNATMAK'!C702)),"B",IF(NOT(ISBLANK('A-RACHNATMAK'!C701)),"C","")))</f>
        <v/>
      </c>
      <c r="C662" s="622" t="str">
        <f>IF(NOT(ISBLANK('A-RACHNATMAK'!D703)),"A",IF(NOT(ISBLANK('A-RACHNATMAK'!D702)),"B",IF(NOT(ISBLANK('A-RACHNATMAK'!D701)),"C","")))</f>
        <v/>
      </c>
      <c r="D662" s="622" t="str">
        <f>IF(NOT(ISBLANK('A-RACHNATMAK'!E703)),"A",IF(NOT(ISBLANK('A-RACHNATMAK'!E702)),"B",IF(NOT(ISBLANK('A-RACHNATMAK'!E701)),"C","")))</f>
        <v/>
      </c>
      <c r="E662" s="622" t="str">
        <f>IF(NOT(ISBLANK('A-RACHNATMAK'!F703)),"A",IF(NOT(ISBLANK('A-RACHNATMAK'!F702)),"B",IF(NOT(ISBLANK('A-RACHNATMAK'!F701)),"C","")))</f>
        <v/>
      </c>
      <c r="F662" s="622" t="str">
        <f>IF(NOT(ISBLANK('A-RACHNATMAK'!G703)),"A",IF(NOT(ISBLANK('A-RACHNATMAK'!G702)),"B",IF(NOT(ISBLANK('A-RACHNATMAK'!G701)),"C","")))</f>
        <v/>
      </c>
      <c r="G662" s="622" t="str">
        <f>IF(NOT(ISBLANK('A-RACHNATMAK'!H703)),"A",IF(NOT(ISBLANK('A-RACHNATMAK'!H702)),"B",IF(NOT(ISBLANK('A-RACHNATMAK'!H701)),"C","")))</f>
        <v/>
      </c>
      <c r="H662" s="622" t="str">
        <f>IF(NOT(ISBLANK('A-RACHNATMAK'!I703)),"A",IF(NOT(ISBLANK('A-RACHNATMAK'!I702)),"B",IF(NOT(ISBLANK('A-RACHNATMAK'!I701)),"C","")))</f>
        <v/>
      </c>
      <c r="I662" s="622" t="str">
        <f>IF(NOT(ISBLANK('A-RACHNATMAK'!J703)),"A",IF(NOT(ISBLANK('A-RACHNATMAK'!J702)),"B",IF(NOT(ISBLANK('A-RACHNATMAK'!J701)),"C","")))</f>
        <v/>
      </c>
      <c r="J662" s="622" t="str">
        <f>IF(NOT(ISBLANK('A-RACHNATMAK'!K703)),"A",IF(NOT(ISBLANK('A-RACHNATMAK'!K702)),"B",IF(NOT(ISBLANK('A-RACHNATMAK'!K701)),"C","")))</f>
        <v/>
      </c>
      <c r="K662" s="622" t="str">
        <f>IF(NOT(ISBLANK('A-RACHNATMAK'!L703)),"A",IF(NOT(ISBLANK('A-RACHNATMAK'!L702)),"B",IF(NOT(ISBLANK('A-RACHNATMAK'!L701)),"C","")))</f>
        <v/>
      </c>
      <c r="L662" s="622" t="str">
        <f>IF(NOT(ISBLANK('A-RACHNATMAK'!M703)),"A",IF(NOT(ISBLANK('A-RACHNATMAK'!M702)),"B",IF(NOT(ISBLANK('A-RACHNATMAK'!M701)),"C","")))</f>
        <v/>
      </c>
      <c r="M662" s="622" t="str">
        <f>IF(NOT(ISBLANK('A-RACHNATMAK'!N703)),"A",IF(NOT(ISBLANK('A-RACHNATMAK'!N702)),"B",IF(NOT(ISBLANK('A-RACHNATMAK'!N701)),"C","")))</f>
        <v/>
      </c>
      <c r="N662" s="622" t="str">
        <f>IF(NOT(ISBLANK('A-RACHNATMAK'!O703)),"A",IF(NOT(ISBLANK('A-RACHNATMAK'!O702)),"B",IF(NOT(ISBLANK('A-RACHNATMAK'!O701)),"C","")))</f>
        <v/>
      </c>
      <c r="O662" s="622" t="str">
        <f>IF(NOT(ISBLANK('A-RACHNATMAK'!P703)),"A",IF(NOT(ISBLANK('A-RACHNATMAK'!P702)),"B",IF(NOT(ISBLANK('A-RACHNATMAK'!P701)),"C","")))</f>
        <v/>
      </c>
      <c r="P662" s="622" t="str">
        <f>IF(NOT(ISBLANK('A-RACHNATMAK'!Q703)),"A",IF(NOT(ISBLANK('A-RACHNATMAK'!Q702)),"B",IF(NOT(ISBLANK('A-RACHNATMAK'!Q701)),"C","")))</f>
        <v/>
      </c>
      <c r="Q662" s="622" t="str">
        <f>IF(NOT(ISBLANK('A-RACHNATMAK'!R703)),"A",IF(NOT(ISBLANK('A-RACHNATMAK'!R702)),"B",IF(NOT(ISBLANK('A-RACHNATMAK'!R701)),"C","")))</f>
        <v/>
      </c>
      <c r="R662" s="622" t="str">
        <f>IF(NOT(ISBLANK('A-RACHNATMAK'!S703)),"A",IF(NOT(ISBLANK('A-RACHNATMAK'!S702)),"B",IF(NOT(ISBLANK('A-RACHNATMAK'!S701)),"C","")))</f>
        <v/>
      </c>
      <c r="S662" s="622" t="str">
        <f>IF(NOT(ISBLANK('A-RACHNATMAK'!T703)),"A",IF(NOT(ISBLANK('A-RACHNATMAK'!T702)),"B",IF(NOT(ISBLANK('A-RACHNATMAK'!T701)),"C","")))</f>
        <v/>
      </c>
      <c r="T662" s="622" t="str">
        <f>IF(NOT(ISBLANK('A-RACHNATMAK'!U703)),"A",IF(NOT(ISBLANK('A-RACHNATMAK'!U702)),"B",IF(NOT(ISBLANK('A-RACHNATMAK'!U701)),"C","")))</f>
        <v/>
      </c>
      <c r="U662" s="622" t="str">
        <f>IF(NOT(ISBLANK('A-RACHNATMAK'!V703)),"A",IF(NOT(ISBLANK('A-RACHNATMAK'!V702)),"B",IF(NOT(ISBLANK('A-RACHNATMAK'!V701)),"C","")))</f>
        <v/>
      </c>
      <c r="V662" s="622">
        <f t="shared" ref="V662" si="1254">COUNTIF(B662:U662,"A")</f>
        <v>0</v>
      </c>
      <c r="W662" s="622">
        <f t="shared" ref="W662" si="1255">COUNTIF(B662:U662,"B")</f>
        <v>0</v>
      </c>
      <c r="X662" s="622">
        <f t="shared" ref="X662" si="1256">COUNTIF(B662:U662,"C")</f>
        <v>0</v>
      </c>
      <c r="Y662" s="330"/>
      <c r="Z662" s="623">
        <v>7</v>
      </c>
      <c r="AA662" s="622" t="str">
        <f>IF(NOT(ISBLANK('A-RACHNATMAK'!AD703)),"A",IF(NOT(ISBLANK('A-RACHNATMAK'!AD702)),"B",IF(NOT(ISBLANK('A-RACHNATMAK'!AD701)),"C","")))</f>
        <v/>
      </c>
      <c r="AB662" s="622" t="str">
        <f>IF(NOT(ISBLANK('A-RACHNATMAK'!AE703)),"A",IF(NOT(ISBLANK('A-RACHNATMAK'!AE702)),"B",IF(NOT(ISBLANK('A-RACHNATMAK'!AE701)),"C","")))</f>
        <v/>
      </c>
      <c r="AC662" s="622" t="str">
        <f>IF(NOT(ISBLANK('A-RACHNATMAK'!AF703)),"A",IF(NOT(ISBLANK('A-RACHNATMAK'!AF702)),"B",IF(NOT(ISBLANK('A-RACHNATMAK'!AF701)),"C","")))</f>
        <v/>
      </c>
      <c r="AD662" s="622" t="str">
        <f>IF(NOT(ISBLANK('A-RACHNATMAK'!AG703)),"A",IF(NOT(ISBLANK('A-RACHNATMAK'!AG702)),"B",IF(NOT(ISBLANK('A-RACHNATMAK'!AG701)),"C","")))</f>
        <v/>
      </c>
      <c r="AE662" s="622" t="str">
        <f>IF(NOT(ISBLANK('A-RACHNATMAK'!AH703)),"A",IF(NOT(ISBLANK('A-RACHNATMAK'!AH702)),"B",IF(NOT(ISBLANK('A-RACHNATMAK'!AH701)),"C","")))</f>
        <v/>
      </c>
      <c r="AF662" s="622" t="str">
        <f>IF(NOT(ISBLANK('A-RACHNATMAK'!AI703)),"A",IF(NOT(ISBLANK('A-RACHNATMAK'!AI702)),"B",IF(NOT(ISBLANK('A-RACHNATMAK'!AI701)),"C","")))</f>
        <v/>
      </c>
      <c r="AG662" s="622" t="str">
        <f>IF(NOT(ISBLANK('A-RACHNATMAK'!AJ703)),"A",IF(NOT(ISBLANK('A-RACHNATMAK'!AJ702)),"B",IF(NOT(ISBLANK('A-RACHNATMAK'!AJ701)),"C","")))</f>
        <v/>
      </c>
      <c r="AH662" s="622" t="str">
        <f>IF(NOT(ISBLANK('A-RACHNATMAK'!AK703)),"A",IF(NOT(ISBLANK('A-RACHNATMAK'!AK702)),"B",IF(NOT(ISBLANK('A-RACHNATMAK'!AK701)),"C","")))</f>
        <v/>
      </c>
      <c r="AI662" s="622" t="str">
        <f>IF(NOT(ISBLANK('A-RACHNATMAK'!AL703)),"A",IF(NOT(ISBLANK('A-RACHNATMAK'!AL702)),"B",IF(NOT(ISBLANK('A-RACHNATMAK'!AL701)),"C","")))</f>
        <v/>
      </c>
      <c r="AJ662" s="622" t="str">
        <f>IF(NOT(ISBLANK('A-RACHNATMAK'!AM703)),"A",IF(NOT(ISBLANK('A-RACHNATMAK'!AM702)),"B",IF(NOT(ISBLANK('A-RACHNATMAK'!AM701)),"C","")))</f>
        <v/>
      </c>
      <c r="AK662" s="622" t="str">
        <f>IF(NOT(ISBLANK('A-RACHNATMAK'!AN703)),"A",IF(NOT(ISBLANK('A-RACHNATMAK'!AN702)),"B",IF(NOT(ISBLANK('A-RACHNATMAK'!AN701)),"C","")))</f>
        <v/>
      </c>
      <c r="AL662" s="622" t="str">
        <f>IF(NOT(ISBLANK('A-RACHNATMAK'!AO703)),"A",IF(NOT(ISBLANK('A-RACHNATMAK'!AO702)),"B",IF(NOT(ISBLANK('A-RACHNATMAK'!AO701)),"C","")))</f>
        <v/>
      </c>
      <c r="AM662" s="622" t="str">
        <f>IF(NOT(ISBLANK('A-RACHNATMAK'!AP703)),"A",IF(NOT(ISBLANK('A-RACHNATMAK'!AP702)),"B",IF(NOT(ISBLANK('A-RACHNATMAK'!AP701)),"C","")))</f>
        <v/>
      </c>
      <c r="AN662" s="622" t="str">
        <f>IF(NOT(ISBLANK('A-RACHNATMAK'!AQ703)),"A",IF(NOT(ISBLANK('A-RACHNATMAK'!AQ702)),"B",IF(NOT(ISBLANK('A-RACHNATMAK'!AQ701)),"C","")))</f>
        <v/>
      </c>
      <c r="AO662" s="622" t="str">
        <f>IF(NOT(ISBLANK('A-RACHNATMAK'!AR703)),"A",IF(NOT(ISBLANK('A-RACHNATMAK'!AR702)),"B",IF(NOT(ISBLANK('A-RACHNATMAK'!AR701)),"C","")))</f>
        <v/>
      </c>
      <c r="AP662" s="622" t="str">
        <f>IF(NOT(ISBLANK('A-RACHNATMAK'!AS703)),"A",IF(NOT(ISBLANK('A-RACHNATMAK'!AS702)),"B",IF(NOT(ISBLANK('A-RACHNATMAK'!AS701)),"C","")))</f>
        <v/>
      </c>
      <c r="AQ662" s="622" t="str">
        <f>IF(NOT(ISBLANK('A-RACHNATMAK'!AT703)),"A",IF(NOT(ISBLANK('A-RACHNATMAK'!AT702)),"B",IF(NOT(ISBLANK('A-RACHNATMAK'!AT701)),"C","")))</f>
        <v/>
      </c>
      <c r="AR662" s="622" t="str">
        <f>IF(NOT(ISBLANK('A-RACHNATMAK'!AU703)),"A",IF(NOT(ISBLANK('A-RACHNATMAK'!AU702)),"B",IF(NOT(ISBLANK('A-RACHNATMAK'!AU701)),"C","")))</f>
        <v/>
      </c>
      <c r="AS662" s="622" t="str">
        <f>IF(NOT(ISBLANK('A-RACHNATMAK'!AV703)),"A",IF(NOT(ISBLANK('A-RACHNATMAK'!AV702)),"B",IF(NOT(ISBLANK('A-RACHNATMAK'!AV701)),"C","")))</f>
        <v/>
      </c>
      <c r="AT662" s="622" t="str">
        <f>IF(NOT(ISBLANK('A-RACHNATMAK'!AW703)),"A",IF(NOT(ISBLANK('A-RACHNATMAK'!AW702)),"B",IF(NOT(ISBLANK('A-RACHNATMAK'!AW701)),"C","")))</f>
        <v/>
      </c>
      <c r="AU662" s="622">
        <f t="shared" ref="AU662" si="1257">COUNTIF(AA662:AT662,"A")</f>
        <v>0</v>
      </c>
      <c r="AV662" s="622">
        <f t="shared" ref="AV662" si="1258">COUNTIF(AA662:AT662,"B")</f>
        <v>0</v>
      </c>
      <c r="AW662" s="622">
        <f t="shared" ref="AW662" si="1259">COUNTIF(AA662:AT662,"C")</f>
        <v>0</v>
      </c>
    </row>
    <row r="663" spans="1:49" ht="7.5" customHeight="1">
      <c r="A663" s="623"/>
      <c r="B663" s="622"/>
      <c r="C663" s="622"/>
      <c r="D663" s="622"/>
      <c r="E663" s="622"/>
      <c r="F663" s="622"/>
      <c r="G663" s="622"/>
      <c r="H663" s="622"/>
      <c r="I663" s="622"/>
      <c r="J663" s="622"/>
      <c r="K663" s="622"/>
      <c r="L663" s="622"/>
      <c r="M663" s="622"/>
      <c r="N663" s="622"/>
      <c r="O663" s="622"/>
      <c r="P663" s="622"/>
      <c r="Q663" s="622"/>
      <c r="R663" s="622"/>
      <c r="S663" s="622"/>
      <c r="T663" s="622"/>
      <c r="U663" s="622"/>
      <c r="V663" s="622"/>
      <c r="W663" s="622"/>
      <c r="X663" s="622"/>
      <c r="Y663" s="330"/>
      <c r="Z663" s="623"/>
      <c r="AA663" s="622"/>
      <c r="AB663" s="622"/>
      <c r="AC663" s="622"/>
      <c r="AD663" s="622"/>
      <c r="AE663" s="622"/>
      <c r="AF663" s="622"/>
      <c r="AG663" s="622"/>
      <c r="AH663" s="622"/>
      <c r="AI663" s="622"/>
      <c r="AJ663" s="622"/>
      <c r="AK663" s="622"/>
      <c r="AL663" s="622"/>
      <c r="AM663" s="622"/>
      <c r="AN663" s="622"/>
      <c r="AO663" s="622"/>
      <c r="AP663" s="622"/>
      <c r="AQ663" s="622"/>
      <c r="AR663" s="622"/>
      <c r="AS663" s="622"/>
      <c r="AT663" s="622"/>
      <c r="AU663" s="622"/>
      <c r="AV663" s="622"/>
      <c r="AW663" s="622"/>
    </row>
    <row r="664" spans="1:49" ht="7.5" customHeight="1">
      <c r="A664" s="623"/>
      <c r="B664" s="622"/>
      <c r="C664" s="622"/>
      <c r="D664" s="622"/>
      <c r="E664" s="622"/>
      <c r="F664" s="622"/>
      <c r="G664" s="622"/>
      <c r="H664" s="622"/>
      <c r="I664" s="622"/>
      <c r="J664" s="622"/>
      <c r="K664" s="622"/>
      <c r="L664" s="622"/>
      <c r="M664" s="622"/>
      <c r="N664" s="622"/>
      <c r="O664" s="622"/>
      <c r="P664" s="622"/>
      <c r="Q664" s="622"/>
      <c r="R664" s="622"/>
      <c r="S664" s="622"/>
      <c r="T664" s="622"/>
      <c r="U664" s="622"/>
      <c r="V664" s="622"/>
      <c r="W664" s="622"/>
      <c r="X664" s="622"/>
      <c r="Y664" s="330"/>
      <c r="Z664" s="623"/>
      <c r="AA664" s="622"/>
      <c r="AB664" s="622"/>
      <c r="AC664" s="622"/>
      <c r="AD664" s="622"/>
      <c r="AE664" s="622"/>
      <c r="AF664" s="622"/>
      <c r="AG664" s="622"/>
      <c r="AH664" s="622"/>
      <c r="AI664" s="622"/>
      <c r="AJ664" s="622"/>
      <c r="AK664" s="622"/>
      <c r="AL664" s="622"/>
      <c r="AM664" s="622"/>
      <c r="AN664" s="622"/>
      <c r="AO664" s="622"/>
      <c r="AP664" s="622"/>
      <c r="AQ664" s="622"/>
      <c r="AR664" s="622"/>
      <c r="AS664" s="622"/>
      <c r="AT664" s="622"/>
      <c r="AU664" s="622"/>
      <c r="AV664" s="622"/>
      <c r="AW664" s="622"/>
    </row>
    <row r="665" spans="1:49" ht="7.5" customHeight="1">
      <c r="A665" s="623">
        <v>8</v>
      </c>
      <c r="B665" s="622" t="str">
        <f>IF(NOT(ISBLANK('A-RACHNATMAK'!C706)),"A",IF(NOT(ISBLANK('A-RACHNATMAK'!C705)),"B",IF(NOT(ISBLANK('A-RACHNATMAK'!C704)),"C","")))</f>
        <v/>
      </c>
      <c r="C665" s="622" t="str">
        <f>IF(NOT(ISBLANK('A-RACHNATMAK'!D706)),"A",IF(NOT(ISBLANK('A-RACHNATMAK'!D705)),"B",IF(NOT(ISBLANK('A-RACHNATMAK'!D704)),"C","")))</f>
        <v/>
      </c>
      <c r="D665" s="622" t="str">
        <f>IF(NOT(ISBLANK('A-RACHNATMAK'!E706)),"A",IF(NOT(ISBLANK('A-RACHNATMAK'!E705)),"B",IF(NOT(ISBLANK('A-RACHNATMAK'!E704)),"C","")))</f>
        <v/>
      </c>
      <c r="E665" s="622" t="str">
        <f>IF(NOT(ISBLANK('A-RACHNATMAK'!F706)),"A",IF(NOT(ISBLANK('A-RACHNATMAK'!F705)),"B",IF(NOT(ISBLANK('A-RACHNATMAK'!F704)),"C","")))</f>
        <v/>
      </c>
      <c r="F665" s="622" t="str">
        <f>IF(NOT(ISBLANK('A-RACHNATMAK'!G706)),"A",IF(NOT(ISBLANK('A-RACHNATMAK'!G705)),"B",IF(NOT(ISBLANK('A-RACHNATMAK'!G704)),"C","")))</f>
        <v/>
      </c>
      <c r="G665" s="622" t="str">
        <f>IF(NOT(ISBLANK('A-RACHNATMAK'!H706)),"A",IF(NOT(ISBLANK('A-RACHNATMAK'!H705)),"B",IF(NOT(ISBLANK('A-RACHNATMAK'!H704)),"C","")))</f>
        <v/>
      </c>
      <c r="H665" s="622" t="str">
        <f>IF(NOT(ISBLANK('A-RACHNATMAK'!I706)),"A",IF(NOT(ISBLANK('A-RACHNATMAK'!I705)),"B",IF(NOT(ISBLANK('A-RACHNATMAK'!I704)),"C","")))</f>
        <v/>
      </c>
      <c r="I665" s="622" t="str">
        <f>IF(NOT(ISBLANK('A-RACHNATMAK'!J706)),"A",IF(NOT(ISBLANK('A-RACHNATMAK'!J705)),"B",IF(NOT(ISBLANK('A-RACHNATMAK'!J704)),"C","")))</f>
        <v/>
      </c>
      <c r="J665" s="622" t="str">
        <f>IF(NOT(ISBLANK('A-RACHNATMAK'!K706)),"A",IF(NOT(ISBLANK('A-RACHNATMAK'!K705)),"B",IF(NOT(ISBLANK('A-RACHNATMAK'!K704)),"C","")))</f>
        <v/>
      </c>
      <c r="K665" s="622" t="str">
        <f>IF(NOT(ISBLANK('A-RACHNATMAK'!L706)),"A",IF(NOT(ISBLANK('A-RACHNATMAK'!L705)),"B",IF(NOT(ISBLANK('A-RACHNATMAK'!L704)),"C","")))</f>
        <v/>
      </c>
      <c r="L665" s="622" t="str">
        <f>IF(NOT(ISBLANK('A-RACHNATMAK'!M706)),"A",IF(NOT(ISBLANK('A-RACHNATMAK'!M705)),"B",IF(NOT(ISBLANK('A-RACHNATMAK'!M704)),"C","")))</f>
        <v/>
      </c>
      <c r="M665" s="622" t="str">
        <f>IF(NOT(ISBLANK('A-RACHNATMAK'!N706)),"A",IF(NOT(ISBLANK('A-RACHNATMAK'!N705)),"B",IF(NOT(ISBLANK('A-RACHNATMAK'!N704)),"C","")))</f>
        <v/>
      </c>
      <c r="N665" s="622" t="str">
        <f>IF(NOT(ISBLANK('A-RACHNATMAK'!O706)),"A",IF(NOT(ISBLANK('A-RACHNATMAK'!O705)),"B",IF(NOT(ISBLANK('A-RACHNATMAK'!O704)),"C","")))</f>
        <v/>
      </c>
      <c r="O665" s="622" t="str">
        <f>IF(NOT(ISBLANK('A-RACHNATMAK'!P706)),"A",IF(NOT(ISBLANK('A-RACHNATMAK'!P705)),"B",IF(NOT(ISBLANK('A-RACHNATMAK'!P704)),"C","")))</f>
        <v/>
      </c>
      <c r="P665" s="622" t="str">
        <f>IF(NOT(ISBLANK('A-RACHNATMAK'!Q706)),"A",IF(NOT(ISBLANK('A-RACHNATMAK'!Q705)),"B",IF(NOT(ISBLANK('A-RACHNATMAK'!Q704)),"C","")))</f>
        <v/>
      </c>
      <c r="Q665" s="622" t="str">
        <f>IF(NOT(ISBLANK('A-RACHNATMAK'!R706)),"A",IF(NOT(ISBLANK('A-RACHNATMAK'!R705)),"B",IF(NOT(ISBLANK('A-RACHNATMAK'!R704)),"C","")))</f>
        <v/>
      </c>
      <c r="R665" s="622" t="str">
        <f>IF(NOT(ISBLANK('A-RACHNATMAK'!S706)),"A",IF(NOT(ISBLANK('A-RACHNATMAK'!S705)),"B",IF(NOT(ISBLANK('A-RACHNATMAK'!S704)),"C","")))</f>
        <v/>
      </c>
      <c r="S665" s="622" t="str">
        <f>IF(NOT(ISBLANK('A-RACHNATMAK'!T706)),"A",IF(NOT(ISBLANK('A-RACHNATMAK'!T705)),"B",IF(NOT(ISBLANK('A-RACHNATMAK'!T704)),"C","")))</f>
        <v/>
      </c>
      <c r="T665" s="622" t="str">
        <f>IF(NOT(ISBLANK('A-RACHNATMAK'!U706)),"A",IF(NOT(ISBLANK('A-RACHNATMAK'!U705)),"B",IF(NOT(ISBLANK('A-RACHNATMAK'!U704)),"C","")))</f>
        <v/>
      </c>
      <c r="U665" s="622" t="str">
        <f>IF(NOT(ISBLANK('A-RACHNATMAK'!V706)),"A",IF(NOT(ISBLANK('A-RACHNATMAK'!V705)),"B",IF(NOT(ISBLANK('A-RACHNATMAK'!V704)),"C","")))</f>
        <v/>
      </c>
      <c r="V665" s="622">
        <f t="shared" ref="V665" si="1260">COUNTIF(B665:U665,"A")</f>
        <v>0</v>
      </c>
      <c r="W665" s="622">
        <f t="shared" ref="W665" si="1261">COUNTIF(B665:U665,"B")</f>
        <v>0</v>
      </c>
      <c r="X665" s="622">
        <f t="shared" ref="X665" si="1262">COUNTIF(B665:U665,"C")</f>
        <v>0</v>
      </c>
      <c r="Y665" s="330"/>
      <c r="Z665" s="623">
        <v>8</v>
      </c>
      <c r="AA665" s="622" t="str">
        <f>IF(NOT(ISBLANK('A-RACHNATMAK'!AD706)),"A",IF(NOT(ISBLANK('A-RACHNATMAK'!AD705)),"B",IF(NOT(ISBLANK('A-RACHNATMAK'!AD704)),"C","")))</f>
        <v/>
      </c>
      <c r="AB665" s="622" t="str">
        <f>IF(NOT(ISBLANK('A-RACHNATMAK'!AE706)),"A",IF(NOT(ISBLANK('A-RACHNATMAK'!AE705)),"B",IF(NOT(ISBLANK('A-RACHNATMAK'!AE704)),"C","")))</f>
        <v/>
      </c>
      <c r="AC665" s="622" t="str">
        <f>IF(NOT(ISBLANK('A-RACHNATMAK'!AF706)),"A",IF(NOT(ISBLANK('A-RACHNATMAK'!AF705)),"B",IF(NOT(ISBLANK('A-RACHNATMAK'!AF704)),"C","")))</f>
        <v/>
      </c>
      <c r="AD665" s="622" t="str">
        <f>IF(NOT(ISBLANK('A-RACHNATMAK'!AG706)),"A",IF(NOT(ISBLANK('A-RACHNATMAK'!AG705)),"B",IF(NOT(ISBLANK('A-RACHNATMAK'!AG704)),"C","")))</f>
        <v/>
      </c>
      <c r="AE665" s="622" t="str">
        <f>IF(NOT(ISBLANK('A-RACHNATMAK'!AH706)),"A",IF(NOT(ISBLANK('A-RACHNATMAK'!AH705)),"B",IF(NOT(ISBLANK('A-RACHNATMAK'!AH704)),"C","")))</f>
        <v/>
      </c>
      <c r="AF665" s="622" t="str">
        <f>IF(NOT(ISBLANK('A-RACHNATMAK'!AI706)),"A",IF(NOT(ISBLANK('A-RACHNATMAK'!AI705)),"B",IF(NOT(ISBLANK('A-RACHNATMAK'!AI704)),"C","")))</f>
        <v/>
      </c>
      <c r="AG665" s="622" t="str">
        <f>IF(NOT(ISBLANK('A-RACHNATMAK'!AJ706)),"A",IF(NOT(ISBLANK('A-RACHNATMAK'!AJ705)),"B",IF(NOT(ISBLANK('A-RACHNATMAK'!AJ704)),"C","")))</f>
        <v/>
      </c>
      <c r="AH665" s="622" t="str">
        <f>IF(NOT(ISBLANK('A-RACHNATMAK'!AK706)),"A",IF(NOT(ISBLANK('A-RACHNATMAK'!AK705)),"B",IF(NOT(ISBLANK('A-RACHNATMAK'!AK704)),"C","")))</f>
        <v/>
      </c>
      <c r="AI665" s="622" t="str">
        <f>IF(NOT(ISBLANK('A-RACHNATMAK'!AL706)),"A",IF(NOT(ISBLANK('A-RACHNATMAK'!AL705)),"B",IF(NOT(ISBLANK('A-RACHNATMAK'!AL704)),"C","")))</f>
        <v/>
      </c>
      <c r="AJ665" s="622" t="str">
        <f>IF(NOT(ISBLANK('A-RACHNATMAK'!AM706)),"A",IF(NOT(ISBLANK('A-RACHNATMAK'!AM705)),"B",IF(NOT(ISBLANK('A-RACHNATMAK'!AM704)),"C","")))</f>
        <v/>
      </c>
      <c r="AK665" s="622" t="str">
        <f>IF(NOT(ISBLANK('A-RACHNATMAK'!AN706)),"A",IF(NOT(ISBLANK('A-RACHNATMAK'!AN705)),"B",IF(NOT(ISBLANK('A-RACHNATMAK'!AN704)),"C","")))</f>
        <v/>
      </c>
      <c r="AL665" s="622" t="str">
        <f>IF(NOT(ISBLANK('A-RACHNATMAK'!AO706)),"A",IF(NOT(ISBLANK('A-RACHNATMAK'!AO705)),"B",IF(NOT(ISBLANK('A-RACHNATMAK'!AO704)),"C","")))</f>
        <v/>
      </c>
      <c r="AM665" s="622" t="str">
        <f>IF(NOT(ISBLANK('A-RACHNATMAK'!AP706)),"A",IF(NOT(ISBLANK('A-RACHNATMAK'!AP705)),"B",IF(NOT(ISBLANK('A-RACHNATMAK'!AP704)),"C","")))</f>
        <v/>
      </c>
      <c r="AN665" s="622" t="str">
        <f>IF(NOT(ISBLANK('A-RACHNATMAK'!AQ706)),"A",IF(NOT(ISBLANK('A-RACHNATMAK'!AQ705)),"B",IF(NOT(ISBLANK('A-RACHNATMAK'!AQ704)),"C","")))</f>
        <v/>
      </c>
      <c r="AO665" s="622" t="str">
        <f>IF(NOT(ISBLANK('A-RACHNATMAK'!AR706)),"A",IF(NOT(ISBLANK('A-RACHNATMAK'!AR705)),"B",IF(NOT(ISBLANK('A-RACHNATMAK'!AR704)),"C","")))</f>
        <v/>
      </c>
      <c r="AP665" s="622" t="str">
        <f>IF(NOT(ISBLANK('A-RACHNATMAK'!AS706)),"A",IF(NOT(ISBLANK('A-RACHNATMAK'!AS705)),"B",IF(NOT(ISBLANK('A-RACHNATMAK'!AS704)),"C","")))</f>
        <v/>
      </c>
      <c r="AQ665" s="622" t="str">
        <f>IF(NOT(ISBLANK('A-RACHNATMAK'!AT706)),"A",IF(NOT(ISBLANK('A-RACHNATMAK'!AT705)),"B",IF(NOT(ISBLANK('A-RACHNATMAK'!AT704)),"C","")))</f>
        <v/>
      </c>
      <c r="AR665" s="622" t="str">
        <f>IF(NOT(ISBLANK('A-RACHNATMAK'!AU706)),"A",IF(NOT(ISBLANK('A-RACHNATMAK'!AU705)),"B",IF(NOT(ISBLANK('A-RACHNATMAK'!AU704)),"C","")))</f>
        <v/>
      </c>
      <c r="AS665" s="622" t="str">
        <f>IF(NOT(ISBLANK('A-RACHNATMAK'!AV706)),"A",IF(NOT(ISBLANK('A-RACHNATMAK'!AV705)),"B",IF(NOT(ISBLANK('A-RACHNATMAK'!AV704)),"C","")))</f>
        <v/>
      </c>
      <c r="AT665" s="622" t="str">
        <f>IF(NOT(ISBLANK('A-RACHNATMAK'!AW706)),"A",IF(NOT(ISBLANK('A-RACHNATMAK'!AW705)),"B",IF(NOT(ISBLANK('A-RACHNATMAK'!AW704)),"C","")))</f>
        <v/>
      </c>
      <c r="AU665" s="622">
        <f t="shared" ref="AU665" si="1263">COUNTIF(AA665:AT665,"A")</f>
        <v>0</v>
      </c>
      <c r="AV665" s="622">
        <f t="shared" ref="AV665" si="1264">COUNTIF(AA665:AT665,"B")</f>
        <v>0</v>
      </c>
      <c r="AW665" s="622">
        <f t="shared" ref="AW665" si="1265">COUNTIF(AA665:AT665,"C")</f>
        <v>0</v>
      </c>
    </row>
    <row r="666" spans="1:49" ht="7.5" customHeight="1">
      <c r="A666" s="623"/>
      <c r="B666" s="622"/>
      <c r="C666" s="622"/>
      <c r="D666" s="622"/>
      <c r="E666" s="622"/>
      <c r="F666" s="622"/>
      <c r="G666" s="622"/>
      <c r="H666" s="622"/>
      <c r="I666" s="622"/>
      <c r="J666" s="622"/>
      <c r="K666" s="622"/>
      <c r="L666" s="622"/>
      <c r="M666" s="622"/>
      <c r="N666" s="622"/>
      <c r="O666" s="622"/>
      <c r="P666" s="622"/>
      <c r="Q666" s="622"/>
      <c r="R666" s="622"/>
      <c r="S666" s="622"/>
      <c r="T666" s="622"/>
      <c r="U666" s="622"/>
      <c r="V666" s="622"/>
      <c r="W666" s="622"/>
      <c r="X666" s="622"/>
      <c r="Y666" s="330"/>
      <c r="Z666" s="623"/>
      <c r="AA666" s="622"/>
      <c r="AB666" s="622"/>
      <c r="AC666" s="622"/>
      <c r="AD666" s="622"/>
      <c r="AE666" s="622"/>
      <c r="AF666" s="622"/>
      <c r="AG666" s="622"/>
      <c r="AH666" s="622"/>
      <c r="AI666" s="622"/>
      <c r="AJ666" s="622"/>
      <c r="AK666" s="622"/>
      <c r="AL666" s="622"/>
      <c r="AM666" s="622"/>
      <c r="AN666" s="622"/>
      <c r="AO666" s="622"/>
      <c r="AP666" s="622"/>
      <c r="AQ666" s="622"/>
      <c r="AR666" s="622"/>
      <c r="AS666" s="622"/>
      <c r="AT666" s="622"/>
      <c r="AU666" s="622"/>
      <c r="AV666" s="622"/>
      <c r="AW666" s="622"/>
    </row>
    <row r="667" spans="1:49" ht="7.5" customHeight="1">
      <c r="A667" s="623"/>
      <c r="B667" s="622"/>
      <c r="C667" s="622"/>
      <c r="D667" s="622"/>
      <c r="E667" s="622"/>
      <c r="F667" s="622"/>
      <c r="G667" s="622"/>
      <c r="H667" s="622"/>
      <c r="I667" s="622"/>
      <c r="J667" s="622"/>
      <c r="K667" s="622"/>
      <c r="L667" s="622"/>
      <c r="M667" s="622"/>
      <c r="N667" s="622"/>
      <c r="O667" s="622"/>
      <c r="P667" s="622"/>
      <c r="Q667" s="622"/>
      <c r="R667" s="622"/>
      <c r="S667" s="622"/>
      <c r="T667" s="622"/>
      <c r="U667" s="622"/>
      <c r="V667" s="622"/>
      <c r="W667" s="622"/>
      <c r="X667" s="622"/>
      <c r="Y667" s="330"/>
      <c r="Z667" s="623"/>
      <c r="AA667" s="622"/>
      <c r="AB667" s="622"/>
      <c r="AC667" s="622"/>
      <c r="AD667" s="622"/>
      <c r="AE667" s="622"/>
      <c r="AF667" s="622"/>
      <c r="AG667" s="622"/>
      <c r="AH667" s="622"/>
      <c r="AI667" s="622"/>
      <c r="AJ667" s="622"/>
      <c r="AK667" s="622"/>
      <c r="AL667" s="622"/>
      <c r="AM667" s="622"/>
      <c r="AN667" s="622"/>
      <c r="AO667" s="622"/>
      <c r="AP667" s="622"/>
      <c r="AQ667" s="622"/>
      <c r="AR667" s="622"/>
      <c r="AS667" s="622"/>
      <c r="AT667" s="622"/>
      <c r="AU667" s="622"/>
      <c r="AV667" s="622"/>
      <c r="AW667" s="622"/>
    </row>
    <row r="668" spans="1:49" ht="7.5" customHeight="1">
      <c r="A668" s="623">
        <v>9</v>
      </c>
      <c r="B668" s="622" t="str">
        <f>IF(NOT(ISBLANK('A-RACHNATMAK'!C709)),"A",IF(NOT(ISBLANK('A-RACHNATMAK'!C708)),"B",IF(NOT(ISBLANK('A-RACHNATMAK'!C707)),"C","")))</f>
        <v/>
      </c>
      <c r="C668" s="622" t="str">
        <f>IF(NOT(ISBLANK('A-RACHNATMAK'!D709)),"A",IF(NOT(ISBLANK('A-RACHNATMAK'!D708)),"B",IF(NOT(ISBLANK('A-RACHNATMAK'!D707)),"C","")))</f>
        <v/>
      </c>
      <c r="D668" s="622" t="str">
        <f>IF(NOT(ISBLANK('A-RACHNATMAK'!E709)),"A",IF(NOT(ISBLANK('A-RACHNATMAK'!E708)),"B",IF(NOT(ISBLANK('A-RACHNATMAK'!E707)),"C","")))</f>
        <v/>
      </c>
      <c r="E668" s="622" t="str">
        <f>IF(NOT(ISBLANK('A-RACHNATMAK'!F709)),"A",IF(NOT(ISBLANK('A-RACHNATMAK'!F708)),"B",IF(NOT(ISBLANK('A-RACHNATMAK'!F707)),"C","")))</f>
        <v/>
      </c>
      <c r="F668" s="622" t="str">
        <f>IF(NOT(ISBLANK('A-RACHNATMAK'!G709)),"A",IF(NOT(ISBLANK('A-RACHNATMAK'!G708)),"B",IF(NOT(ISBLANK('A-RACHNATMAK'!G707)),"C","")))</f>
        <v/>
      </c>
      <c r="G668" s="622" t="str">
        <f>IF(NOT(ISBLANK('A-RACHNATMAK'!H709)),"A",IF(NOT(ISBLANK('A-RACHNATMAK'!H708)),"B",IF(NOT(ISBLANK('A-RACHNATMAK'!H707)),"C","")))</f>
        <v/>
      </c>
      <c r="H668" s="622" t="str">
        <f>IF(NOT(ISBLANK('A-RACHNATMAK'!I709)),"A",IF(NOT(ISBLANK('A-RACHNATMAK'!I708)),"B",IF(NOT(ISBLANK('A-RACHNATMAK'!I707)),"C","")))</f>
        <v/>
      </c>
      <c r="I668" s="622" t="str">
        <f>IF(NOT(ISBLANK('A-RACHNATMAK'!J709)),"A",IF(NOT(ISBLANK('A-RACHNATMAK'!J708)),"B",IF(NOT(ISBLANK('A-RACHNATMAK'!J707)),"C","")))</f>
        <v/>
      </c>
      <c r="J668" s="622" t="str">
        <f>IF(NOT(ISBLANK('A-RACHNATMAK'!K709)),"A",IF(NOT(ISBLANK('A-RACHNATMAK'!K708)),"B",IF(NOT(ISBLANK('A-RACHNATMAK'!K707)),"C","")))</f>
        <v/>
      </c>
      <c r="K668" s="622" t="str">
        <f>IF(NOT(ISBLANK('A-RACHNATMAK'!L709)),"A",IF(NOT(ISBLANK('A-RACHNATMAK'!L708)),"B",IF(NOT(ISBLANK('A-RACHNATMAK'!L707)),"C","")))</f>
        <v/>
      </c>
      <c r="L668" s="622" t="str">
        <f>IF(NOT(ISBLANK('A-RACHNATMAK'!M709)),"A",IF(NOT(ISBLANK('A-RACHNATMAK'!M708)),"B",IF(NOT(ISBLANK('A-RACHNATMAK'!M707)),"C","")))</f>
        <v/>
      </c>
      <c r="M668" s="622" t="str">
        <f>IF(NOT(ISBLANK('A-RACHNATMAK'!N709)),"A",IF(NOT(ISBLANK('A-RACHNATMAK'!N708)),"B",IF(NOT(ISBLANK('A-RACHNATMAK'!N707)),"C","")))</f>
        <v/>
      </c>
      <c r="N668" s="622" t="str">
        <f>IF(NOT(ISBLANK('A-RACHNATMAK'!O709)),"A",IF(NOT(ISBLANK('A-RACHNATMAK'!O708)),"B",IF(NOT(ISBLANK('A-RACHNATMAK'!O707)),"C","")))</f>
        <v/>
      </c>
      <c r="O668" s="622" t="str">
        <f>IF(NOT(ISBLANK('A-RACHNATMAK'!P709)),"A",IF(NOT(ISBLANK('A-RACHNATMAK'!P708)),"B",IF(NOT(ISBLANK('A-RACHNATMAK'!P707)),"C","")))</f>
        <v/>
      </c>
      <c r="P668" s="622" t="str">
        <f>IF(NOT(ISBLANK('A-RACHNATMAK'!Q709)),"A",IF(NOT(ISBLANK('A-RACHNATMAK'!Q708)),"B",IF(NOT(ISBLANK('A-RACHNATMAK'!Q707)),"C","")))</f>
        <v/>
      </c>
      <c r="Q668" s="622" t="str">
        <f>IF(NOT(ISBLANK('A-RACHNATMAK'!R709)),"A",IF(NOT(ISBLANK('A-RACHNATMAK'!R708)),"B",IF(NOT(ISBLANK('A-RACHNATMAK'!R707)),"C","")))</f>
        <v/>
      </c>
      <c r="R668" s="622" t="str">
        <f>IF(NOT(ISBLANK('A-RACHNATMAK'!S709)),"A",IF(NOT(ISBLANK('A-RACHNATMAK'!S708)),"B",IF(NOT(ISBLANK('A-RACHNATMAK'!S707)),"C","")))</f>
        <v/>
      </c>
      <c r="S668" s="622" t="str">
        <f>IF(NOT(ISBLANK('A-RACHNATMAK'!T709)),"A",IF(NOT(ISBLANK('A-RACHNATMAK'!T708)),"B",IF(NOT(ISBLANK('A-RACHNATMAK'!T707)),"C","")))</f>
        <v/>
      </c>
      <c r="T668" s="622" t="str">
        <f>IF(NOT(ISBLANK('A-RACHNATMAK'!U709)),"A",IF(NOT(ISBLANK('A-RACHNATMAK'!U708)),"B",IF(NOT(ISBLANK('A-RACHNATMAK'!U707)),"C","")))</f>
        <v/>
      </c>
      <c r="U668" s="622" t="str">
        <f>IF(NOT(ISBLANK('A-RACHNATMAK'!V709)),"A",IF(NOT(ISBLANK('A-RACHNATMAK'!V708)),"B",IF(NOT(ISBLANK('A-RACHNATMAK'!V707)),"C","")))</f>
        <v/>
      </c>
      <c r="V668" s="622">
        <f t="shared" ref="V668" si="1266">COUNTIF(B668:U668,"A")</f>
        <v>0</v>
      </c>
      <c r="W668" s="622">
        <f t="shared" ref="W668" si="1267">COUNTIF(B668:U668,"B")</f>
        <v>0</v>
      </c>
      <c r="X668" s="622">
        <f t="shared" ref="X668" si="1268">COUNTIF(B668:U668,"C")</f>
        <v>0</v>
      </c>
      <c r="Y668" s="330"/>
      <c r="Z668" s="623">
        <v>9</v>
      </c>
      <c r="AA668" s="622" t="str">
        <f>IF(NOT(ISBLANK('A-RACHNATMAK'!AD709)),"A",IF(NOT(ISBLANK('A-RACHNATMAK'!AD708)),"B",IF(NOT(ISBLANK('A-RACHNATMAK'!AD707)),"C","")))</f>
        <v/>
      </c>
      <c r="AB668" s="622" t="str">
        <f>IF(NOT(ISBLANK('A-RACHNATMAK'!AE709)),"A",IF(NOT(ISBLANK('A-RACHNATMAK'!AE708)),"B",IF(NOT(ISBLANK('A-RACHNATMAK'!AE707)),"C","")))</f>
        <v/>
      </c>
      <c r="AC668" s="622" t="str">
        <f>IF(NOT(ISBLANK('A-RACHNATMAK'!AF709)),"A",IF(NOT(ISBLANK('A-RACHNATMAK'!AF708)),"B",IF(NOT(ISBLANK('A-RACHNATMAK'!AF707)),"C","")))</f>
        <v/>
      </c>
      <c r="AD668" s="622" t="str">
        <f>IF(NOT(ISBLANK('A-RACHNATMAK'!AG709)),"A",IF(NOT(ISBLANK('A-RACHNATMAK'!AG708)),"B",IF(NOT(ISBLANK('A-RACHNATMAK'!AG707)),"C","")))</f>
        <v/>
      </c>
      <c r="AE668" s="622" t="str">
        <f>IF(NOT(ISBLANK('A-RACHNATMAK'!AH709)),"A",IF(NOT(ISBLANK('A-RACHNATMAK'!AH708)),"B",IF(NOT(ISBLANK('A-RACHNATMAK'!AH707)),"C","")))</f>
        <v/>
      </c>
      <c r="AF668" s="622" t="str">
        <f>IF(NOT(ISBLANK('A-RACHNATMAK'!AI709)),"A",IF(NOT(ISBLANK('A-RACHNATMAK'!AI708)),"B",IF(NOT(ISBLANK('A-RACHNATMAK'!AI707)),"C","")))</f>
        <v/>
      </c>
      <c r="AG668" s="622" t="str">
        <f>IF(NOT(ISBLANK('A-RACHNATMAK'!AJ709)),"A",IF(NOT(ISBLANK('A-RACHNATMAK'!AJ708)),"B",IF(NOT(ISBLANK('A-RACHNATMAK'!AJ707)),"C","")))</f>
        <v/>
      </c>
      <c r="AH668" s="622" t="str">
        <f>IF(NOT(ISBLANK('A-RACHNATMAK'!AK709)),"A",IF(NOT(ISBLANK('A-RACHNATMAK'!AK708)),"B",IF(NOT(ISBLANK('A-RACHNATMAK'!AK707)),"C","")))</f>
        <v/>
      </c>
      <c r="AI668" s="622" t="str">
        <f>IF(NOT(ISBLANK('A-RACHNATMAK'!AL709)),"A",IF(NOT(ISBLANK('A-RACHNATMAK'!AL708)),"B",IF(NOT(ISBLANK('A-RACHNATMAK'!AL707)),"C","")))</f>
        <v/>
      </c>
      <c r="AJ668" s="622" t="str">
        <f>IF(NOT(ISBLANK('A-RACHNATMAK'!AM709)),"A",IF(NOT(ISBLANK('A-RACHNATMAK'!AM708)),"B",IF(NOT(ISBLANK('A-RACHNATMAK'!AM707)),"C","")))</f>
        <v/>
      </c>
      <c r="AK668" s="622" t="str">
        <f>IF(NOT(ISBLANK('A-RACHNATMAK'!AN709)),"A",IF(NOT(ISBLANK('A-RACHNATMAK'!AN708)),"B",IF(NOT(ISBLANK('A-RACHNATMAK'!AN707)),"C","")))</f>
        <v/>
      </c>
      <c r="AL668" s="622" t="str">
        <f>IF(NOT(ISBLANK('A-RACHNATMAK'!AO709)),"A",IF(NOT(ISBLANK('A-RACHNATMAK'!AO708)),"B",IF(NOT(ISBLANK('A-RACHNATMAK'!AO707)),"C","")))</f>
        <v/>
      </c>
      <c r="AM668" s="622" t="str">
        <f>IF(NOT(ISBLANK('A-RACHNATMAK'!AP709)),"A",IF(NOT(ISBLANK('A-RACHNATMAK'!AP708)),"B",IF(NOT(ISBLANK('A-RACHNATMAK'!AP707)),"C","")))</f>
        <v/>
      </c>
      <c r="AN668" s="622" t="str">
        <f>IF(NOT(ISBLANK('A-RACHNATMAK'!AQ709)),"A",IF(NOT(ISBLANK('A-RACHNATMAK'!AQ708)),"B",IF(NOT(ISBLANK('A-RACHNATMAK'!AQ707)),"C","")))</f>
        <v/>
      </c>
      <c r="AO668" s="622" t="str">
        <f>IF(NOT(ISBLANK('A-RACHNATMAK'!AR709)),"A",IF(NOT(ISBLANK('A-RACHNATMAK'!AR708)),"B",IF(NOT(ISBLANK('A-RACHNATMAK'!AR707)),"C","")))</f>
        <v/>
      </c>
      <c r="AP668" s="622" t="str">
        <f>IF(NOT(ISBLANK('A-RACHNATMAK'!AS709)),"A",IF(NOT(ISBLANK('A-RACHNATMAK'!AS708)),"B",IF(NOT(ISBLANK('A-RACHNATMAK'!AS707)),"C","")))</f>
        <v/>
      </c>
      <c r="AQ668" s="622" t="str">
        <f>IF(NOT(ISBLANK('A-RACHNATMAK'!AT709)),"A",IF(NOT(ISBLANK('A-RACHNATMAK'!AT708)),"B",IF(NOT(ISBLANK('A-RACHNATMAK'!AT707)),"C","")))</f>
        <v/>
      </c>
      <c r="AR668" s="622" t="str">
        <f>IF(NOT(ISBLANK('A-RACHNATMAK'!AU709)),"A",IF(NOT(ISBLANK('A-RACHNATMAK'!AU708)),"B",IF(NOT(ISBLANK('A-RACHNATMAK'!AU707)),"C","")))</f>
        <v/>
      </c>
      <c r="AS668" s="622" t="str">
        <f>IF(NOT(ISBLANK('A-RACHNATMAK'!AV709)),"A",IF(NOT(ISBLANK('A-RACHNATMAK'!AV708)),"B",IF(NOT(ISBLANK('A-RACHNATMAK'!AV707)),"C","")))</f>
        <v/>
      </c>
      <c r="AT668" s="622" t="str">
        <f>IF(NOT(ISBLANK('A-RACHNATMAK'!AW709)),"A",IF(NOT(ISBLANK('A-RACHNATMAK'!AW708)),"B",IF(NOT(ISBLANK('A-RACHNATMAK'!AW707)),"C","")))</f>
        <v/>
      </c>
      <c r="AU668" s="622">
        <f t="shared" ref="AU668" si="1269">COUNTIF(AA668:AT668,"A")</f>
        <v>0</v>
      </c>
      <c r="AV668" s="622">
        <f t="shared" ref="AV668" si="1270">COUNTIF(AA668:AT668,"B")</f>
        <v>0</v>
      </c>
      <c r="AW668" s="622">
        <f t="shared" ref="AW668" si="1271">COUNTIF(AA668:AT668,"C")</f>
        <v>0</v>
      </c>
    </row>
    <row r="669" spans="1:49" ht="7.5" customHeight="1">
      <c r="A669" s="623"/>
      <c r="B669" s="622"/>
      <c r="C669" s="622"/>
      <c r="D669" s="622"/>
      <c r="E669" s="622"/>
      <c r="F669" s="622"/>
      <c r="G669" s="622"/>
      <c r="H669" s="622"/>
      <c r="I669" s="622"/>
      <c r="J669" s="622"/>
      <c r="K669" s="622"/>
      <c r="L669" s="622"/>
      <c r="M669" s="622"/>
      <c r="N669" s="622"/>
      <c r="O669" s="622"/>
      <c r="P669" s="622"/>
      <c r="Q669" s="622"/>
      <c r="R669" s="622"/>
      <c r="S669" s="622"/>
      <c r="T669" s="622"/>
      <c r="U669" s="622"/>
      <c r="V669" s="622"/>
      <c r="W669" s="622"/>
      <c r="X669" s="622"/>
      <c r="Y669" s="330"/>
      <c r="Z669" s="623"/>
      <c r="AA669" s="622"/>
      <c r="AB669" s="622"/>
      <c r="AC669" s="622"/>
      <c r="AD669" s="622"/>
      <c r="AE669" s="622"/>
      <c r="AF669" s="622"/>
      <c r="AG669" s="622"/>
      <c r="AH669" s="622"/>
      <c r="AI669" s="622"/>
      <c r="AJ669" s="622"/>
      <c r="AK669" s="622"/>
      <c r="AL669" s="622"/>
      <c r="AM669" s="622"/>
      <c r="AN669" s="622"/>
      <c r="AO669" s="622"/>
      <c r="AP669" s="622"/>
      <c r="AQ669" s="622"/>
      <c r="AR669" s="622"/>
      <c r="AS669" s="622"/>
      <c r="AT669" s="622"/>
      <c r="AU669" s="622"/>
      <c r="AV669" s="622"/>
      <c r="AW669" s="622"/>
    </row>
    <row r="670" spans="1:49" ht="7.5" customHeight="1">
      <c r="A670" s="623"/>
      <c r="B670" s="622"/>
      <c r="C670" s="622"/>
      <c r="D670" s="622"/>
      <c r="E670" s="622"/>
      <c r="F670" s="622"/>
      <c r="G670" s="622"/>
      <c r="H670" s="622"/>
      <c r="I670" s="622"/>
      <c r="J670" s="622"/>
      <c r="K670" s="622"/>
      <c r="L670" s="622"/>
      <c r="M670" s="622"/>
      <c r="N670" s="622"/>
      <c r="O670" s="622"/>
      <c r="P670" s="622"/>
      <c r="Q670" s="622"/>
      <c r="R670" s="622"/>
      <c r="S670" s="622"/>
      <c r="T670" s="622"/>
      <c r="U670" s="622"/>
      <c r="V670" s="622"/>
      <c r="W670" s="622"/>
      <c r="X670" s="622"/>
      <c r="Y670" s="330"/>
      <c r="Z670" s="623"/>
      <c r="AA670" s="622"/>
      <c r="AB670" s="622"/>
      <c r="AC670" s="622"/>
      <c r="AD670" s="622"/>
      <c r="AE670" s="622"/>
      <c r="AF670" s="622"/>
      <c r="AG670" s="622"/>
      <c r="AH670" s="622"/>
      <c r="AI670" s="622"/>
      <c r="AJ670" s="622"/>
      <c r="AK670" s="622"/>
      <c r="AL670" s="622"/>
      <c r="AM670" s="622"/>
      <c r="AN670" s="622"/>
      <c r="AO670" s="622"/>
      <c r="AP670" s="622"/>
      <c r="AQ670" s="622"/>
      <c r="AR670" s="622"/>
      <c r="AS670" s="622"/>
      <c r="AT670" s="622"/>
      <c r="AU670" s="622"/>
      <c r="AV670" s="622"/>
      <c r="AW670" s="622"/>
    </row>
    <row r="671" spans="1:49" ht="7.5" customHeight="1">
      <c r="A671" s="623">
        <v>10</v>
      </c>
      <c r="B671" s="622" t="str">
        <f>IF(NOT(ISBLANK('A-RACHNATMAK'!C712)),"A",IF(NOT(ISBLANK('A-RACHNATMAK'!C711)),"B",IF(NOT(ISBLANK('A-RACHNATMAK'!C710)),"C","")))</f>
        <v/>
      </c>
      <c r="C671" s="622" t="str">
        <f>IF(NOT(ISBLANK('A-RACHNATMAK'!D712)),"A",IF(NOT(ISBLANK('A-RACHNATMAK'!D711)),"B",IF(NOT(ISBLANK('A-RACHNATMAK'!D710)),"C","")))</f>
        <v/>
      </c>
      <c r="D671" s="622" t="str">
        <f>IF(NOT(ISBLANK('A-RACHNATMAK'!E712)),"A",IF(NOT(ISBLANK('A-RACHNATMAK'!E711)),"B",IF(NOT(ISBLANK('A-RACHNATMAK'!E710)),"C","")))</f>
        <v/>
      </c>
      <c r="E671" s="622" t="str">
        <f>IF(NOT(ISBLANK('A-RACHNATMAK'!F712)),"A",IF(NOT(ISBLANK('A-RACHNATMAK'!F711)),"B",IF(NOT(ISBLANK('A-RACHNATMAK'!F710)),"C","")))</f>
        <v/>
      </c>
      <c r="F671" s="622" t="str">
        <f>IF(NOT(ISBLANK('A-RACHNATMAK'!G712)),"A",IF(NOT(ISBLANK('A-RACHNATMAK'!G711)),"B",IF(NOT(ISBLANK('A-RACHNATMAK'!G710)),"C","")))</f>
        <v/>
      </c>
      <c r="G671" s="622" t="str">
        <f>IF(NOT(ISBLANK('A-RACHNATMAK'!H712)),"A",IF(NOT(ISBLANK('A-RACHNATMAK'!H711)),"B",IF(NOT(ISBLANK('A-RACHNATMAK'!H710)),"C","")))</f>
        <v/>
      </c>
      <c r="H671" s="622" t="str">
        <f>IF(NOT(ISBLANK('A-RACHNATMAK'!I712)),"A",IF(NOT(ISBLANK('A-RACHNATMAK'!I711)),"B",IF(NOT(ISBLANK('A-RACHNATMAK'!I710)),"C","")))</f>
        <v/>
      </c>
      <c r="I671" s="622" t="str">
        <f>IF(NOT(ISBLANK('A-RACHNATMAK'!J712)),"A",IF(NOT(ISBLANK('A-RACHNATMAK'!J711)),"B",IF(NOT(ISBLANK('A-RACHNATMAK'!J710)),"C","")))</f>
        <v/>
      </c>
      <c r="J671" s="622" t="str">
        <f>IF(NOT(ISBLANK('A-RACHNATMAK'!K712)),"A",IF(NOT(ISBLANK('A-RACHNATMAK'!K711)),"B",IF(NOT(ISBLANK('A-RACHNATMAK'!K710)),"C","")))</f>
        <v/>
      </c>
      <c r="K671" s="622" t="str">
        <f>IF(NOT(ISBLANK('A-RACHNATMAK'!L712)),"A",IF(NOT(ISBLANK('A-RACHNATMAK'!L711)),"B",IF(NOT(ISBLANK('A-RACHNATMAK'!L710)),"C","")))</f>
        <v/>
      </c>
      <c r="L671" s="622" t="str">
        <f>IF(NOT(ISBLANK('A-RACHNATMAK'!M712)),"A",IF(NOT(ISBLANK('A-RACHNATMAK'!M711)),"B",IF(NOT(ISBLANK('A-RACHNATMAK'!M710)),"C","")))</f>
        <v/>
      </c>
      <c r="M671" s="622" t="str">
        <f>IF(NOT(ISBLANK('A-RACHNATMAK'!N712)),"A",IF(NOT(ISBLANK('A-RACHNATMAK'!N711)),"B",IF(NOT(ISBLANK('A-RACHNATMAK'!N710)),"C","")))</f>
        <v/>
      </c>
      <c r="N671" s="622" t="str">
        <f>IF(NOT(ISBLANK('A-RACHNATMAK'!O712)),"A",IF(NOT(ISBLANK('A-RACHNATMAK'!O711)),"B",IF(NOT(ISBLANK('A-RACHNATMAK'!O710)),"C","")))</f>
        <v/>
      </c>
      <c r="O671" s="622" t="str">
        <f>IF(NOT(ISBLANK('A-RACHNATMAK'!P712)),"A",IF(NOT(ISBLANK('A-RACHNATMAK'!P711)),"B",IF(NOT(ISBLANK('A-RACHNATMAK'!P710)),"C","")))</f>
        <v/>
      </c>
      <c r="P671" s="622" t="str">
        <f>IF(NOT(ISBLANK('A-RACHNATMAK'!Q712)),"A",IF(NOT(ISBLANK('A-RACHNATMAK'!Q711)),"B",IF(NOT(ISBLANK('A-RACHNATMAK'!Q710)),"C","")))</f>
        <v/>
      </c>
      <c r="Q671" s="622" t="str">
        <f>IF(NOT(ISBLANK('A-RACHNATMAK'!R712)),"A",IF(NOT(ISBLANK('A-RACHNATMAK'!R711)),"B",IF(NOT(ISBLANK('A-RACHNATMAK'!R710)),"C","")))</f>
        <v/>
      </c>
      <c r="R671" s="622" t="str">
        <f>IF(NOT(ISBLANK('A-RACHNATMAK'!S712)),"A",IF(NOT(ISBLANK('A-RACHNATMAK'!S711)),"B",IF(NOT(ISBLANK('A-RACHNATMAK'!S710)),"C","")))</f>
        <v/>
      </c>
      <c r="S671" s="622" t="str">
        <f>IF(NOT(ISBLANK('A-RACHNATMAK'!T712)),"A",IF(NOT(ISBLANK('A-RACHNATMAK'!T711)),"B",IF(NOT(ISBLANK('A-RACHNATMAK'!T710)),"C","")))</f>
        <v/>
      </c>
      <c r="T671" s="622" t="str">
        <f>IF(NOT(ISBLANK('A-RACHNATMAK'!U712)),"A",IF(NOT(ISBLANK('A-RACHNATMAK'!U711)),"B",IF(NOT(ISBLANK('A-RACHNATMAK'!U710)),"C","")))</f>
        <v/>
      </c>
      <c r="U671" s="622" t="str">
        <f>IF(NOT(ISBLANK('A-RACHNATMAK'!V712)),"A",IF(NOT(ISBLANK('A-RACHNATMAK'!V711)),"B",IF(NOT(ISBLANK('A-RACHNATMAK'!V710)),"C","")))</f>
        <v/>
      </c>
      <c r="V671" s="622">
        <f t="shared" ref="V671" si="1272">COUNTIF(B671:U671,"A")</f>
        <v>0</v>
      </c>
      <c r="W671" s="622">
        <f t="shared" ref="W671" si="1273">COUNTIF(B671:U671,"B")</f>
        <v>0</v>
      </c>
      <c r="X671" s="622">
        <f t="shared" ref="X671" si="1274">COUNTIF(B671:U671,"C")</f>
        <v>0</v>
      </c>
      <c r="Y671" s="330"/>
      <c r="Z671" s="623">
        <v>10</v>
      </c>
      <c r="AA671" s="622" t="str">
        <f>IF(NOT(ISBLANK('A-RACHNATMAK'!AD712)),"A",IF(NOT(ISBLANK('A-RACHNATMAK'!AD711)),"B",IF(NOT(ISBLANK('A-RACHNATMAK'!AD710)),"C","")))</f>
        <v/>
      </c>
      <c r="AB671" s="622" t="str">
        <f>IF(NOT(ISBLANK('A-RACHNATMAK'!AE712)),"A",IF(NOT(ISBLANK('A-RACHNATMAK'!AE711)),"B",IF(NOT(ISBLANK('A-RACHNATMAK'!AE710)),"C","")))</f>
        <v/>
      </c>
      <c r="AC671" s="622" t="str">
        <f>IF(NOT(ISBLANK('A-RACHNATMAK'!AF712)),"A",IF(NOT(ISBLANK('A-RACHNATMAK'!AF711)),"B",IF(NOT(ISBLANK('A-RACHNATMAK'!AF710)),"C","")))</f>
        <v/>
      </c>
      <c r="AD671" s="622" t="str">
        <f>IF(NOT(ISBLANK('A-RACHNATMAK'!AG712)),"A",IF(NOT(ISBLANK('A-RACHNATMAK'!AG711)),"B",IF(NOT(ISBLANK('A-RACHNATMAK'!AG710)),"C","")))</f>
        <v/>
      </c>
      <c r="AE671" s="622" t="str">
        <f>IF(NOT(ISBLANK('A-RACHNATMAK'!AH712)),"A",IF(NOT(ISBLANK('A-RACHNATMAK'!AH711)),"B",IF(NOT(ISBLANK('A-RACHNATMAK'!AH710)),"C","")))</f>
        <v/>
      </c>
      <c r="AF671" s="622" t="str">
        <f>IF(NOT(ISBLANK('A-RACHNATMAK'!AI712)),"A",IF(NOT(ISBLANK('A-RACHNATMAK'!AI711)),"B",IF(NOT(ISBLANK('A-RACHNATMAK'!AI710)),"C","")))</f>
        <v/>
      </c>
      <c r="AG671" s="622" t="str">
        <f>IF(NOT(ISBLANK('A-RACHNATMAK'!AJ712)),"A",IF(NOT(ISBLANK('A-RACHNATMAK'!AJ711)),"B",IF(NOT(ISBLANK('A-RACHNATMAK'!AJ710)),"C","")))</f>
        <v/>
      </c>
      <c r="AH671" s="622" t="str">
        <f>IF(NOT(ISBLANK('A-RACHNATMAK'!AK712)),"A",IF(NOT(ISBLANK('A-RACHNATMAK'!AK711)),"B",IF(NOT(ISBLANK('A-RACHNATMAK'!AK710)),"C","")))</f>
        <v/>
      </c>
      <c r="AI671" s="622" t="str">
        <f>IF(NOT(ISBLANK('A-RACHNATMAK'!AL712)),"A",IF(NOT(ISBLANK('A-RACHNATMAK'!AL711)),"B",IF(NOT(ISBLANK('A-RACHNATMAK'!AL710)),"C","")))</f>
        <v/>
      </c>
      <c r="AJ671" s="622" t="str">
        <f>IF(NOT(ISBLANK('A-RACHNATMAK'!AM712)),"A",IF(NOT(ISBLANK('A-RACHNATMAK'!AM711)),"B",IF(NOT(ISBLANK('A-RACHNATMAK'!AM710)),"C","")))</f>
        <v/>
      </c>
      <c r="AK671" s="622" t="str">
        <f>IF(NOT(ISBLANK('A-RACHNATMAK'!AN712)),"A",IF(NOT(ISBLANK('A-RACHNATMAK'!AN711)),"B",IF(NOT(ISBLANK('A-RACHNATMAK'!AN710)),"C","")))</f>
        <v/>
      </c>
      <c r="AL671" s="622" t="str">
        <f>IF(NOT(ISBLANK('A-RACHNATMAK'!AO712)),"A",IF(NOT(ISBLANK('A-RACHNATMAK'!AO711)),"B",IF(NOT(ISBLANK('A-RACHNATMAK'!AO710)),"C","")))</f>
        <v/>
      </c>
      <c r="AM671" s="622" t="str">
        <f>IF(NOT(ISBLANK('A-RACHNATMAK'!AP712)),"A",IF(NOT(ISBLANK('A-RACHNATMAK'!AP711)),"B",IF(NOT(ISBLANK('A-RACHNATMAK'!AP710)),"C","")))</f>
        <v/>
      </c>
      <c r="AN671" s="622" t="str">
        <f>IF(NOT(ISBLANK('A-RACHNATMAK'!AQ712)),"A",IF(NOT(ISBLANK('A-RACHNATMAK'!AQ711)),"B",IF(NOT(ISBLANK('A-RACHNATMAK'!AQ710)),"C","")))</f>
        <v/>
      </c>
      <c r="AO671" s="622" t="str">
        <f>IF(NOT(ISBLANK('A-RACHNATMAK'!AR712)),"A",IF(NOT(ISBLANK('A-RACHNATMAK'!AR711)),"B",IF(NOT(ISBLANK('A-RACHNATMAK'!AR710)),"C","")))</f>
        <v/>
      </c>
      <c r="AP671" s="622" t="str">
        <f>IF(NOT(ISBLANK('A-RACHNATMAK'!AS712)),"A",IF(NOT(ISBLANK('A-RACHNATMAK'!AS711)),"B",IF(NOT(ISBLANK('A-RACHNATMAK'!AS710)),"C","")))</f>
        <v/>
      </c>
      <c r="AQ671" s="622" t="str">
        <f>IF(NOT(ISBLANK('A-RACHNATMAK'!AT712)),"A",IF(NOT(ISBLANK('A-RACHNATMAK'!AT711)),"B",IF(NOT(ISBLANK('A-RACHNATMAK'!AT710)),"C","")))</f>
        <v/>
      </c>
      <c r="AR671" s="622" t="str">
        <f>IF(NOT(ISBLANK('A-RACHNATMAK'!AU712)),"A",IF(NOT(ISBLANK('A-RACHNATMAK'!AU711)),"B",IF(NOT(ISBLANK('A-RACHNATMAK'!AU710)),"C","")))</f>
        <v/>
      </c>
      <c r="AS671" s="622" t="str">
        <f>IF(NOT(ISBLANK('A-RACHNATMAK'!AV712)),"A",IF(NOT(ISBLANK('A-RACHNATMAK'!AV711)),"B",IF(NOT(ISBLANK('A-RACHNATMAK'!AV710)),"C","")))</f>
        <v/>
      </c>
      <c r="AT671" s="622" t="str">
        <f>IF(NOT(ISBLANK('A-RACHNATMAK'!AW712)),"A",IF(NOT(ISBLANK('A-RACHNATMAK'!AW711)),"B",IF(NOT(ISBLANK('A-RACHNATMAK'!AW710)),"C","")))</f>
        <v/>
      </c>
      <c r="AU671" s="622">
        <f t="shared" ref="AU671" si="1275">COUNTIF(AA671:AT671,"A")</f>
        <v>0</v>
      </c>
      <c r="AV671" s="622">
        <f t="shared" ref="AV671" si="1276">COUNTIF(AA671:AT671,"B")</f>
        <v>0</v>
      </c>
      <c r="AW671" s="622">
        <f t="shared" ref="AW671" si="1277">COUNTIF(AA671:AT671,"C")</f>
        <v>0</v>
      </c>
    </row>
    <row r="672" spans="1:49" ht="7.5" customHeight="1">
      <c r="A672" s="623"/>
      <c r="B672" s="622"/>
      <c r="C672" s="622"/>
      <c r="D672" s="622"/>
      <c r="E672" s="622"/>
      <c r="F672" s="622"/>
      <c r="G672" s="622"/>
      <c r="H672" s="622"/>
      <c r="I672" s="622"/>
      <c r="J672" s="622"/>
      <c r="K672" s="622"/>
      <c r="L672" s="622"/>
      <c r="M672" s="622"/>
      <c r="N672" s="622"/>
      <c r="O672" s="622"/>
      <c r="P672" s="622"/>
      <c r="Q672" s="622"/>
      <c r="R672" s="622"/>
      <c r="S672" s="622"/>
      <c r="T672" s="622"/>
      <c r="U672" s="622"/>
      <c r="V672" s="622"/>
      <c r="W672" s="622"/>
      <c r="X672" s="622"/>
      <c r="Y672" s="330"/>
      <c r="Z672" s="623"/>
      <c r="AA672" s="622"/>
      <c r="AB672" s="622"/>
      <c r="AC672" s="622"/>
      <c r="AD672" s="622"/>
      <c r="AE672" s="622"/>
      <c r="AF672" s="622"/>
      <c r="AG672" s="622"/>
      <c r="AH672" s="622"/>
      <c r="AI672" s="622"/>
      <c r="AJ672" s="622"/>
      <c r="AK672" s="622"/>
      <c r="AL672" s="622"/>
      <c r="AM672" s="622"/>
      <c r="AN672" s="622"/>
      <c r="AO672" s="622"/>
      <c r="AP672" s="622"/>
      <c r="AQ672" s="622"/>
      <c r="AR672" s="622"/>
      <c r="AS672" s="622"/>
      <c r="AT672" s="622"/>
      <c r="AU672" s="622"/>
      <c r="AV672" s="622"/>
      <c r="AW672" s="622"/>
    </row>
    <row r="673" spans="1:49" ht="7.5" customHeight="1">
      <c r="A673" s="623"/>
      <c r="B673" s="622"/>
      <c r="C673" s="622"/>
      <c r="D673" s="622"/>
      <c r="E673" s="622"/>
      <c r="F673" s="622"/>
      <c r="G673" s="622"/>
      <c r="H673" s="622"/>
      <c r="I673" s="622"/>
      <c r="J673" s="622"/>
      <c r="K673" s="622"/>
      <c r="L673" s="622"/>
      <c r="M673" s="622"/>
      <c r="N673" s="622"/>
      <c r="O673" s="622"/>
      <c r="P673" s="622"/>
      <c r="Q673" s="622"/>
      <c r="R673" s="622"/>
      <c r="S673" s="622"/>
      <c r="T673" s="622"/>
      <c r="U673" s="622"/>
      <c r="V673" s="622"/>
      <c r="W673" s="622"/>
      <c r="X673" s="622"/>
      <c r="Y673" s="330"/>
      <c r="Z673" s="623"/>
      <c r="AA673" s="622"/>
      <c r="AB673" s="622"/>
      <c r="AC673" s="622"/>
      <c r="AD673" s="622"/>
      <c r="AE673" s="622"/>
      <c r="AF673" s="622"/>
      <c r="AG673" s="622"/>
      <c r="AH673" s="622"/>
      <c r="AI673" s="622"/>
      <c r="AJ673" s="622"/>
      <c r="AK673" s="622"/>
      <c r="AL673" s="622"/>
      <c r="AM673" s="622"/>
      <c r="AN673" s="622"/>
      <c r="AO673" s="622"/>
      <c r="AP673" s="622"/>
      <c r="AQ673" s="622"/>
      <c r="AR673" s="622"/>
      <c r="AS673" s="622"/>
      <c r="AT673" s="622"/>
      <c r="AU673" s="622"/>
      <c r="AV673" s="622"/>
      <c r="AW673" s="622"/>
    </row>
    <row r="674" spans="1:49" ht="7.5" customHeight="1">
      <c r="A674" s="623">
        <v>11</v>
      </c>
      <c r="B674" s="622" t="str">
        <f>IF(NOT(ISBLANK('A-RACHNATMAK'!C715)),"A",IF(NOT(ISBLANK('A-RACHNATMAK'!C714)),"B",IF(NOT(ISBLANK('A-RACHNATMAK'!C713)),"C","")))</f>
        <v/>
      </c>
      <c r="C674" s="622" t="str">
        <f>IF(NOT(ISBLANK('A-RACHNATMAK'!D715)),"A",IF(NOT(ISBLANK('A-RACHNATMAK'!D714)),"B",IF(NOT(ISBLANK('A-RACHNATMAK'!D713)),"C","")))</f>
        <v/>
      </c>
      <c r="D674" s="622" t="str">
        <f>IF(NOT(ISBLANK('A-RACHNATMAK'!E715)),"A",IF(NOT(ISBLANK('A-RACHNATMAK'!E714)),"B",IF(NOT(ISBLANK('A-RACHNATMAK'!E713)),"C","")))</f>
        <v/>
      </c>
      <c r="E674" s="622" t="str">
        <f>IF(NOT(ISBLANK('A-RACHNATMAK'!F715)),"A",IF(NOT(ISBLANK('A-RACHNATMAK'!F714)),"B",IF(NOT(ISBLANK('A-RACHNATMAK'!F713)),"C","")))</f>
        <v/>
      </c>
      <c r="F674" s="622" t="str">
        <f>IF(NOT(ISBLANK('A-RACHNATMAK'!G715)),"A",IF(NOT(ISBLANK('A-RACHNATMAK'!G714)),"B",IF(NOT(ISBLANK('A-RACHNATMAK'!G713)),"C","")))</f>
        <v/>
      </c>
      <c r="G674" s="622" t="str">
        <f>IF(NOT(ISBLANK('A-RACHNATMAK'!H715)),"A",IF(NOT(ISBLANK('A-RACHNATMAK'!H714)),"B",IF(NOT(ISBLANK('A-RACHNATMAK'!H713)),"C","")))</f>
        <v/>
      </c>
      <c r="H674" s="622" t="str">
        <f>IF(NOT(ISBLANK('A-RACHNATMAK'!I715)),"A",IF(NOT(ISBLANK('A-RACHNATMAK'!I714)),"B",IF(NOT(ISBLANK('A-RACHNATMAK'!I713)),"C","")))</f>
        <v/>
      </c>
      <c r="I674" s="622" t="str">
        <f>IF(NOT(ISBLANK('A-RACHNATMAK'!J715)),"A",IF(NOT(ISBLANK('A-RACHNATMAK'!J714)),"B",IF(NOT(ISBLANK('A-RACHNATMAK'!J713)),"C","")))</f>
        <v/>
      </c>
      <c r="J674" s="622" t="str">
        <f>IF(NOT(ISBLANK('A-RACHNATMAK'!K715)),"A",IF(NOT(ISBLANK('A-RACHNATMAK'!K714)),"B",IF(NOT(ISBLANK('A-RACHNATMAK'!K713)),"C","")))</f>
        <v/>
      </c>
      <c r="K674" s="622" t="str">
        <f>IF(NOT(ISBLANK('A-RACHNATMAK'!L715)),"A",IF(NOT(ISBLANK('A-RACHNATMAK'!L714)),"B",IF(NOT(ISBLANK('A-RACHNATMAK'!L713)),"C","")))</f>
        <v/>
      </c>
      <c r="L674" s="622" t="str">
        <f>IF(NOT(ISBLANK('A-RACHNATMAK'!M715)),"A",IF(NOT(ISBLANK('A-RACHNATMAK'!M714)),"B",IF(NOT(ISBLANK('A-RACHNATMAK'!M713)),"C","")))</f>
        <v/>
      </c>
      <c r="M674" s="622" t="str">
        <f>IF(NOT(ISBLANK('A-RACHNATMAK'!N715)),"A",IF(NOT(ISBLANK('A-RACHNATMAK'!N714)),"B",IF(NOT(ISBLANK('A-RACHNATMAK'!N713)),"C","")))</f>
        <v/>
      </c>
      <c r="N674" s="622" t="str">
        <f>IF(NOT(ISBLANK('A-RACHNATMAK'!O715)),"A",IF(NOT(ISBLANK('A-RACHNATMAK'!O714)),"B",IF(NOT(ISBLANK('A-RACHNATMAK'!O713)),"C","")))</f>
        <v/>
      </c>
      <c r="O674" s="622" t="str">
        <f>IF(NOT(ISBLANK('A-RACHNATMAK'!P715)),"A",IF(NOT(ISBLANK('A-RACHNATMAK'!P714)),"B",IF(NOT(ISBLANK('A-RACHNATMAK'!P713)),"C","")))</f>
        <v/>
      </c>
      <c r="P674" s="622" t="str">
        <f>IF(NOT(ISBLANK('A-RACHNATMAK'!Q715)),"A",IF(NOT(ISBLANK('A-RACHNATMAK'!Q714)),"B",IF(NOT(ISBLANK('A-RACHNATMAK'!Q713)),"C","")))</f>
        <v/>
      </c>
      <c r="Q674" s="622" t="str">
        <f>IF(NOT(ISBLANK('A-RACHNATMAK'!R715)),"A",IF(NOT(ISBLANK('A-RACHNATMAK'!R714)),"B",IF(NOT(ISBLANK('A-RACHNATMAK'!R713)),"C","")))</f>
        <v/>
      </c>
      <c r="R674" s="622" t="str">
        <f>IF(NOT(ISBLANK('A-RACHNATMAK'!S715)),"A",IF(NOT(ISBLANK('A-RACHNATMAK'!S714)),"B",IF(NOT(ISBLANK('A-RACHNATMAK'!S713)),"C","")))</f>
        <v/>
      </c>
      <c r="S674" s="622" t="str">
        <f>IF(NOT(ISBLANK('A-RACHNATMAK'!T715)),"A",IF(NOT(ISBLANK('A-RACHNATMAK'!T714)),"B",IF(NOT(ISBLANK('A-RACHNATMAK'!T713)),"C","")))</f>
        <v/>
      </c>
      <c r="T674" s="622" t="str">
        <f>IF(NOT(ISBLANK('A-RACHNATMAK'!U715)),"A",IF(NOT(ISBLANK('A-RACHNATMAK'!U714)),"B",IF(NOT(ISBLANK('A-RACHNATMAK'!U713)),"C","")))</f>
        <v/>
      </c>
      <c r="U674" s="622" t="str">
        <f>IF(NOT(ISBLANK('A-RACHNATMAK'!V715)),"A",IF(NOT(ISBLANK('A-RACHNATMAK'!V714)),"B",IF(NOT(ISBLANK('A-RACHNATMAK'!V713)),"C","")))</f>
        <v/>
      </c>
      <c r="V674" s="622">
        <f t="shared" ref="V674" si="1278">COUNTIF(B674:U674,"A")</f>
        <v>0</v>
      </c>
      <c r="W674" s="622">
        <f t="shared" ref="W674" si="1279">COUNTIF(B674:U674,"B")</f>
        <v>0</v>
      </c>
      <c r="X674" s="622">
        <f t="shared" ref="X674" si="1280">COUNTIF(B674:U674,"C")</f>
        <v>0</v>
      </c>
      <c r="Y674" s="330"/>
      <c r="Z674" s="623">
        <v>11</v>
      </c>
      <c r="AA674" s="622" t="str">
        <f>IF(NOT(ISBLANK('A-RACHNATMAK'!AD715)),"A",IF(NOT(ISBLANK('A-RACHNATMAK'!AD714)),"B",IF(NOT(ISBLANK('A-RACHNATMAK'!AD713)),"C","")))</f>
        <v/>
      </c>
      <c r="AB674" s="622" t="str">
        <f>IF(NOT(ISBLANK('A-RACHNATMAK'!AE715)),"A",IF(NOT(ISBLANK('A-RACHNATMAK'!AE714)),"B",IF(NOT(ISBLANK('A-RACHNATMAK'!AE713)),"C","")))</f>
        <v/>
      </c>
      <c r="AC674" s="622" t="str">
        <f>IF(NOT(ISBLANK('A-RACHNATMAK'!AF715)),"A",IF(NOT(ISBLANK('A-RACHNATMAK'!AF714)),"B",IF(NOT(ISBLANK('A-RACHNATMAK'!AF713)),"C","")))</f>
        <v/>
      </c>
      <c r="AD674" s="622" t="str">
        <f>IF(NOT(ISBLANK('A-RACHNATMAK'!AG715)),"A",IF(NOT(ISBLANK('A-RACHNATMAK'!AG714)),"B",IF(NOT(ISBLANK('A-RACHNATMAK'!AG713)),"C","")))</f>
        <v/>
      </c>
      <c r="AE674" s="622" t="str">
        <f>IF(NOT(ISBLANK('A-RACHNATMAK'!AH715)),"A",IF(NOT(ISBLANK('A-RACHNATMAK'!AH714)),"B",IF(NOT(ISBLANK('A-RACHNATMAK'!AH713)),"C","")))</f>
        <v/>
      </c>
      <c r="AF674" s="622" t="str">
        <f>IF(NOT(ISBLANK('A-RACHNATMAK'!AI715)),"A",IF(NOT(ISBLANK('A-RACHNATMAK'!AI714)),"B",IF(NOT(ISBLANK('A-RACHNATMAK'!AI713)),"C","")))</f>
        <v/>
      </c>
      <c r="AG674" s="622" t="str">
        <f>IF(NOT(ISBLANK('A-RACHNATMAK'!AJ715)),"A",IF(NOT(ISBLANK('A-RACHNATMAK'!AJ714)),"B",IF(NOT(ISBLANK('A-RACHNATMAK'!AJ713)),"C","")))</f>
        <v/>
      </c>
      <c r="AH674" s="622" t="str">
        <f>IF(NOT(ISBLANK('A-RACHNATMAK'!AK715)),"A",IF(NOT(ISBLANK('A-RACHNATMAK'!AK714)),"B",IF(NOT(ISBLANK('A-RACHNATMAK'!AK713)),"C","")))</f>
        <v/>
      </c>
      <c r="AI674" s="622" t="str">
        <f>IF(NOT(ISBLANK('A-RACHNATMAK'!AL715)),"A",IF(NOT(ISBLANK('A-RACHNATMAK'!AL714)),"B",IF(NOT(ISBLANK('A-RACHNATMAK'!AL713)),"C","")))</f>
        <v/>
      </c>
      <c r="AJ674" s="622" t="str">
        <f>IF(NOT(ISBLANK('A-RACHNATMAK'!AM715)),"A",IF(NOT(ISBLANK('A-RACHNATMAK'!AM714)),"B",IF(NOT(ISBLANK('A-RACHNATMAK'!AM713)),"C","")))</f>
        <v/>
      </c>
      <c r="AK674" s="622" t="str">
        <f>IF(NOT(ISBLANK('A-RACHNATMAK'!AN715)),"A",IF(NOT(ISBLANK('A-RACHNATMAK'!AN714)),"B",IF(NOT(ISBLANK('A-RACHNATMAK'!AN713)),"C","")))</f>
        <v/>
      </c>
      <c r="AL674" s="622" t="str">
        <f>IF(NOT(ISBLANK('A-RACHNATMAK'!AO715)),"A",IF(NOT(ISBLANK('A-RACHNATMAK'!AO714)),"B",IF(NOT(ISBLANK('A-RACHNATMAK'!AO713)),"C","")))</f>
        <v/>
      </c>
      <c r="AM674" s="622" t="str">
        <f>IF(NOT(ISBLANK('A-RACHNATMAK'!AP715)),"A",IF(NOT(ISBLANK('A-RACHNATMAK'!AP714)),"B",IF(NOT(ISBLANK('A-RACHNATMAK'!AP713)),"C","")))</f>
        <v/>
      </c>
      <c r="AN674" s="622" t="str">
        <f>IF(NOT(ISBLANK('A-RACHNATMAK'!AQ715)),"A",IF(NOT(ISBLANK('A-RACHNATMAK'!AQ714)),"B",IF(NOT(ISBLANK('A-RACHNATMAK'!AQ713)),"C","")))</f>
        <v/>
      </c>
      <c r="AO674" s="622" t="str">
        <f>IF(NOT(ISBLANK('A-RACHNATMAK'!AR715)),"A",IF(NOT(ISBLANK('A-RACHNATMAK'!AR714)),"B",IF(NOT(ISBLANK('A-RACHNATMAK'!AR713)),"C","")))</f>
        <v/>
      </c>
      <c r="AP674" s="622" t="str">
        <f>IF(NOT(ISBLANK('A-RACHNATMAK'!AS715)),"A",IF(NOT(ISBLANK('A-RACHNATMAK'!AS714)),"B",IF(NOT(ISBLANK('A-RACHNATMAK'!AS713)),"C","")))</f>
        <v/>
      </c>
      <c r="AQ674" s="622" t="str">
        <f>IF(NOT(ISBLANK('A-RACHNATMAK'!AT715)),"A",IF(NOT(ISBLANK('A-RACHNATMAK'!AT714)),"B",IF(NOT(ISBLANK('A-RACHNATMAK'!AT713)),"C","")))</f>
        <v/>
      </c>
      <c r="AR674" s="622" t="str">
        <f>IF(NOT(ISBLANK('A-RACHNATMAK'!AU715)),"A",IF(NOT(ISBLANK('A-RACHNATMAK'!AU714)),"B",IF(NOT(ISBLANK('A-RACHNATMAK'!AU713)),"C","")))</f>
        <v/>
      </c>
      <c r="AS674" s="622" t="str">
        <f>IF(NOT(ISBLANK('A-RACHNATMAK'!AV715)),"A",IF(NOT(ISBLANK('A-RACHNATMAK'!AV714)),"B",IF(NOT(ISBLANK('A-RACHNATMAK'!AV713)),"C","")))</f>
        <v/>
      </c>
      <c r="AT674" s="622" t="str">
        <f>IF(NOT(ISBLANK('A-RACHNATMAK'!AW715)),"A",IF(NOT(ISBLANK('A-RACHNATMAK'!AW714)),"B",IF(NOT(ISBLANK('A-RACHNATMAK'!AW713)),"C","")))</f>
        <v/>
      </c>
      <c r="AU674" s="622">
        <f t="shared" ref="AU674" si="1281">COUNTIF(AA674:AT674,"A")</f>
        <v>0</v>
      </c>
      <c r="AV674" s="622">
        <f t="shared" ref="AV674" si="1282">COUNTIF(AA674:AT674,"B")</f>
        <v>0</v>
      </c>
      <c r="AW674" s="622">
        <f t="shared" ref="AW674" si="1283">COUNTIF(AA674:AT674,"C")</f>
        <v>0</v>
      </c>
    </row>
    <row r="675" spans="1:49" ht="7.5" customHeight="1">
      <c r="A675" s="623"/>
      <c r="B675" s="622"/>
      <c r="C675" s="622"/>
      <c r="D675" s="622"/>
      <c r="E675" s="622"/>
      <c r="F675" s="622"/>
      <c r="G675" s="622"/>
      <c r="H675" s="622"/>
      <c r="I675" s="622"/>
      <c r="J675" s="622"/>
      <c r="K675" s="622"/>
      <c r="L675" s="622"/>
      <c r="M675" s="622"/>
      <c r="N675" s="622"/>
      <c r="O675" s="622"/>
      <c r="P675" s="622"/>
      <c r="Q675" s="622"/>
      <c r="R675" s="622"/>
      <c r="S675" s="622"/>
      <c r="T675" s="622"/>
      <c r="U675" s="622"/>
      <c r="V675" s="622"/>
      <c r="W675" s="622"/>
      <c r="X675" s="622"/>
      <c r="Y675" s="330"/>
      <c r="Z675" s="623"/>
      <c r="AA675" s="622"/>
      <c r="AB675" s="622"/>
      <c r="AC675" s="622"/>
      <c r="AD675" s="622"/>
      <c r="AE675" s="622"/>
      <c r="AF675" s="622"/>
      <c r="AG675" s="622"/>
      <c r="AH675" s="622"/>
      <c r="AI675" s="622"/>
      <c r="AJ675" s="622"/>
      <c r="AK675" s="622"/>
      <c r="AL675" s="622"/>
      <c r="AM675" s="622"/>
      <c r="AN675" s="622"/>
      <c r="AO675" s="622"/>
      <c r="AP675" s="622"/>
      <c r="AQ675" s="622"/>
      <c r="AR675" s="622"/>
      <c r="AS675" s="622"/>
      <c r="AT675" s="622"/>
      <c r="AU675" s="622"/>
      <c r="AV675" s="622"/>
      <c r="AW675" s="622"/>
    </row>
    <row r="676" spans="1:49" ht="7.5" customHeight="1">
      <c r="A676" s="623"/>
      <c r="B676" s="622"/>
      <c r="C676" s="622"/>
      <c r="D676" s="622"/>
      <c r="E676" s="622"/>
      <c r="F676" s="622"/>
      <c r="G676" s="622"/>
      <c r="H676" s="622"/>
      <c r="I676" s="622"/>
      <c r="J676" s="622"/>
      <c r="K676" s="622"/>
      <c r="L676" s="622"/>
      <c r="M676" s="622"/>
      <c r="N676" s="622"/>
      <c r="O676" s="622"/>
      <c r="P676" s="622"/>
      <c r="Q676" s="622"/>
      <c r="R676" s="622"/>
      <c r="S676" s="622"/>
      <c r="T676" s="622"/>
      <c r="U676" s="622"/>
      <c r="V676" s="622"/>
      <c r="W676" s="622"/>
      <c r="X676" s="622"/>
      <c r="Y676" s="330"/>
      <c r="Z676" s="623"/>
      <c r="AA676" s="622"/>
      <c r="AB676" s="622"/>
      <c r="AC676" s="622"/>
      <c r="AD676" s="622"/>
      <c r="AE676" s="622"/>
      <c r="AF676" s="622"/>
      <c r="AG676" s="622"/>
      <c r="AH676" s="622"/>
      <c r="AI676" s="622"/>
      <c r="AJ676" s="622"/>
      <c r="AK676" s="622"/>
      <c r="AL676" s="622"/>
      <c r="AM676" s="622"/>
      <c r="AN676" s="622"/>
      <c r="AO676" s="622"/>
      <c r="AP676" s="622"/>
      <c r="AQ676" s="622"/>
      <c r="AR676" s="622"/>
      <c r="AS676" s="622"/>
      <c r="AT676" s="622"/>
      <c r="AU676" s="622"/>
      <c r="AV676" s="622"/>
      <c r="AW676" s="622"/>
    </row>
    <row r="677" spans="1:49" ht="7.5" customHeight="1">
      <c r="A677" s="623">
        <v>12</v>
      </c>
      <c r="B677" s="622" t="str">
        <f>IF(NOT(ISBLANK('A-RACHNATMAK'!C718)),"A",IF(NOT(ISBLANK('A-RACHNATMAK'!C717)),"B",IF(NOT(ISBLANK('A-RACHNATMAK'!C716)),"C","")))</f>
        <v/>
      </c>
      <c r="C677" s="622" t="str">
        <f>IF(NOT(ISBLANK('A-RACHNATMAK'!D718)),"A",IF(NOT(ISBLANK('A-RACHNATMAK'!D717)),"B",IF(NOT(ISBLANK('A-RACHNATMAK'!D716)),"C","")))</f>
        <v/>
      </c>
      <c r="D677" s="622" t="str">
        <f>IF(NOT(ISBLANK('A-RACHNATMAK'!E718)),"A",IF(NOT(ISBLANK('A-RACHNATMAK'!E717)),"B",IF(NOT(ISBLANK('A-RACHNATMAK'!E716)),"C","")))</f>
        <v/>
      </c>
      <c r="E677" s="622" t="str">
        <f>IF(NOT(ISBLANK('A-RACHNATMAK'!F718)),"A",IF(NOT(ISBLANK('A-RACHNATMAK'!F717)),"B",IF(NOT(ISBLANK('A-RACHNATMAK'!F716)),"C","")))</f>
        <v/>
      </c>
      <c r="F677" s="622" t="str">
        <f>IF(NOT(ISBLANK('A-RACHNATMAK'!G718)),"A",IF(NOT(ISBLANK('A-RACHNATMAK'!G717)),"B",IF(NOT(ISBLANK('A-RACHNATMAK'!G716)),"C","")))</f>
        <v/>
      </c>
      <c r="G677" s="622" t="str">
        <f>IF(NOT(ISBLANK('A-RACHNATMAK'!H718)),"A",IF(NOT(ISBLANK('A-RACHNATMAK'!H717)),"B",IF(NOT(ISBLANK('A-RACHNATMAK'!H716)),"C","")))</f>
        <v/>
      </c>
      <c r="H677" s="622" t="str">
        <f>IF(NOT(ISBLANK('A-RACHNATMAK'!I718)),"A",IF(NOT(ISBLANK('A-RACHNATMAK'!I717)),"B",IF(NOT(ISBLANK('A-RACHNATMAK'!I716)),"C","")))</f>
        <v/>
      </c>
      <c r="I677" s="622" t="str">
        <f>IF(NOT(ISBLANK('A-RACHNATMAK'!J718)),"A",IF(NOT(ISBLANK('A-RACHNATMAK'!J717)),"B",IF(NOT(ISBLANK('A-RACHNATMAK'!J716)),"C","")))</f>
        <v/>
      </c>
      <c r="J677" s="622" t="str">
        <f>IF(NOT(ISBLANK('A-RACHNATMAK'!K718)),"A",IF(NOT(ISBLANK('A-RACHNATMAK'!K717)),"B",IF(NOT(ISBLANK('A-RACHNATMAK'!K716)),"C","")))</f>
        <v/>
      </c>
      <c r="K677" s="622" t="str">
        <f>IF(NOT(ISBLANK('A-RACHNATMAK'!L718)),"A",IF(NOT(ISBLANK('A-RACHNATMAK'!L717)),"B",IF(NOT(ISBLANK('A-RACHNATMAK'!L716)),"C","")))</f>
        <v/>
      </c>
      <c r="L677" s="622" t="str">
        <f>IF(NOT(ISBLANK('A-RACHNATMAK'!M718)),"A",IF(NOT(ISBLANK('A-RACHNATMAK'!M717)),"B",IF(NOT(ISBLANK('A-RACHNATMAK'!M716)),"C","")))</f>
        <v/>
      </c>
      <c r="M677" s="622" t="str">
        <f>IF(NOT(ISBLANK('A-RACHNATMAK'!N718)),"A",IF(NOT(ISBLANK('A-RACHNATMAK'!N717)),"B",IF(NOT(ISBLANK('A-RACHNATMAK'!N716)),"C","")))</f>
        <v/>
      </c>
      <c r="N677" s="622" t="str">
        <f>IF(NOT(ISBLANK('A-RACHNATMAK'!O718)),"A",IF(NOT(ISBLANK('A-RACHNATMAK'!O717)),"B",IF(NOT(ISBLANK('A-RACHNATMAK'!O716)),"C","")))</f>
        <v/>
      </c>
      <c r="O677" s="622" t="str">
        <f>IF(NOT(ISBLANK('A-RACHNATMAK'!P718)),"A",IF(NOT(ISBLANK('A-RACHNATMAK'!P717)),"B",IF(NOT(ISBLANK('A-RACHNATMAK'!P716)),"C","")))</f>
        <v/>
      </c>
      <c r="P677" s="622" t="str">
        <f>IF(NOT(ISBLANK('A-RACHNATMAK'!Q718)),"A",IF(NOT(ISBLANK('A-RACHNATMAK'!Q717)),"B",IF(NOT(ISBLANK('A-RACHNATMAK'!Q716)),"C","")))</f>
        <v/>
      </c>
      <c r="Q677" s="622" t="str">
        <f>IF(NOT(ISBLANK('A-RACHNATMAK'!R718)),"A",IF(NOT(ISBLANK('A-RACHNATMAK'!R717)),"B",IF(NOT(ISBLANK('A-RACHNATMAK'!R716)),"C","")))</f>
        <v/>
      </c>
      <c r="R677" s="622" t="str">
        <f>IF(NOT(ISBLANK('A-RACHNATMAK'!S718)),"A",IF(NOT(ISBLANK('A-RACHNATMAK'!S717)),"B",IF(NOT(ISBLANK('A-RACHNATMAK'!S716)),"C","")))</f>
        <v/>
      </c>
      <c r="S677" s="622" t="str">
        <f>IF(NOT(ISBLANK('A-RACHNATMAK'!T718)),"A",IF(NOT(ISBLANK('A-RACHNATMAK'!T717)),"B",IF(NOT(ISBLANK('A-RACHNATMAK'!T716)),"C","")))</f>
        <v/>
      </c>
      <c r="T677" s="622" t="str">
        <f>IF(NOT(ISBLANK('A-RACHNATMAK'!U718)),"A",IF(NOT(ISBLANK('A-RACHNATMAK'!U717)),"B",IF(NOT(ISBLANK('A-RACHNATMAK'!U716)),"C","")))</f>
        <v/>
      </c>
      <c r="U677" s="622" t="str">
        <f>IF(NOT(ISBLANK('A-RACHNATMAK'!V718)),"A",IF(NOT(ISBLANK('A-RACHNATMAK'!V717)),"B",IF(NOT(ISBLANK('A-RACHNATMAK'!V716)),"C","")))</f>
        <v/>
      </c>
      <c r="V677" s="622">
        <f t="shared" ref="V677" si="1284">COUNTIF(B677:U677,"A")</f>
        <v>0</v>
      </c>
      <c r="W677" s="622">
        <f t="shared" ref="W677" si="1285">COUNTIF(B677:U677,"B")</f>
        <v>0</v>
      </c>
      <c r="X677" s="622">
        <f t="shared" ref="X677" si="1286">COUNTIF(B677:U677,"C")</f>
        <v>0</v>
      </c>
      <c r="Y677" s="330"/>
      <c r="Z677" s="623">
        <v>12</v>
      </c>
      <c r="AA677" s="622" t="str">
        <f>IF(NOT(ISBLANK('A-RACHNATMAK'!AD718)),"A",IF(NOT(ISBLANK('A-RACHNATMAK'!AD717)),"B",IF(NOT(ISBLANK('A-RACHNATMAK'!AD716)),"C","")))</f>
        <v/>
      </c>
      <c r="AB677" s="622" t="str">
        <f>IF(NOT(ISBLANK('A-RACHNATMAK'!AE718)),"A",IF(NOT(ISBLANK('A-RACHNATMAK'!AE717)),"B",IF(NOT(ISBLANK('A-RACHNATMAK'!AE716)),"C","")))</f>
        <v/>
      </c>
      <c r="AC677" s="622" t="str">
        <f>IF(NOT(ISBLANK('A-RACHNATMAK'!AF718)),"A",IF(NOT(ISBLANK('A-RACHNATMAK'!AF717)),"B",IF(NOT(ISBLANK('A-RACHNATMAK'!AF716)),"C","")))</f>
        <v/>
      </c>
      <c r="AD677" s="622" t="str">
        <f>IF(NOT(ISBLANK('A-RACHNATMAK'!AG718)),"A",IF(NOT(ISBLANK('A-RACHNATMAK'!AG717)),"B",IF(NOT(ISBLANK('A-RACHNATMAK'!AG716)),"C","")))</f>
        <v/>
      </c>
      <c r="AE677" s="622" t="str">
        <f>IF(NOT(ISBLANK('A-RACHNATMAK'!AH718)),"A",IF(NOT(ISBLANK('A-RACHNATMAK'!AH717)),"B",IF(NOT(ISBLANK('A-RACHNATMAK'!AH716)),"C","")))</f>
        <v/>
      </c>
      <c r="AF677" s="622" t="str">
        <f>IF(NOT(ISBLANK('A-RACHNATMAK'!AI718)),"A",IF(NOT(ISBLANK('A-RACHNATMAK'!AI717)),"B",IF(NOT(ISBLANK('A-RACHNATMAK'!AI716)),"C","")))</f>
        <v/>
      </c>
      <c r="AG677" s="622" t="str">
        <f>IF(NOT(ISBLANK('A-RACHNATMAK'!AJ718)),"A",IF(NOT(ISBLANK('A-RACHNATMAK'!AJ717)),"B",IF(NOT(ISBLANK('A-RACHNATMAK'!AJ716)),"C","")))</f>
        <v/>
      </c>
      <c r="AH677" s="622" t="str">
        <f>IF(NOT(ISBLANK('A-RACHNATMAK'!AK718)),"A",IF(NOT(ISBLANK('A-RACHNATMAK'!AK717)),"B",IF(NOT(ISBLANK('A-RACHNATMAK'!AK716)),"C","")))</f>
        <v/>
      </c>
      <c r="AI677" s="622" t="str">
        <f>IF(NOT(ISBLANK('A-RACHNATMAK'!AL718)),"A",IF(NOT(ISBLANK('A-RACHNATMAK'!AL717)),"B",IF(NOT(ISBLANK('A-RACHNATMAK'!AL716)),"C","")))</f>
        <v/>
      </c>
      <c r="AJ677" s="622" t="str">
        <f>IF(NOT(ISBLANK('A-RACHNATMAK'!AM718)),"A",IF(NOT(ISBLANK('A-RACHNATMAK'!AM717)),"B",IF(NOT(ISBLANK('A-RACHNATMAK'!AM716)),"C","")))</f>
        <v/>
      </c>
      <c r="AK677" s="622" t="str">
        <f>IF(NOT(ISBLANK('A-RACHNATMAK'!AN718)),"A",IF(NOT(ISBLANK('A-RACHNATMAK'!AN717)),"B",IF(NOT(ISBLANK('A-RACHNATMAK'!AN716)),"C","")))</f>
        <v/>
      </c>
      <c r="AL677" s="622" t="str">
        <f>IF(NOT(ISBLANK('A-RACHNATMAK'!AO718)),"A",IF(NOT(ISBLANK('A-RACHNATMAK'!AO717)),"B",IF(NOT(ISBLANK('A-RACHNATMAK'!AO716)),"C","")))</f>
        <v/>
      </c>
      <c r="AM677" s="622" t="str">
        <f>IF(NOT(ISBLANK('A-RACHNATMAK'!AP718)),"A",IF(NOT(ISBLANK('A-RACHNATMAK'!AP717)),"B",IF(NOT(ISBLANK('A-RACHNATMAK'!AP716)),"C","")))</f>
        <v/>
      </c>
      <c r="AN677" s="622" t="str">
        <f>IF(NOT(ISBLANK('A-RACHNATMAK'!AQ718)),"A",IF(NOT(ISBLANK('A-RACHNATMAK'!AQ717)),"B",IF(NOT(ISBLANK('A-RACHNATMAK'!AQ716)),"C","")))</f>
        <v/>
      </c>
      <c r="AO677" s="622" t="str">
        <f>IF(NOT(ISBLANK('A-RACHNATMAK'!AR718)),"A",IF(NOT(ISBLANK('A-RACHNATMAK'!AR717)),"B",IF(NOT(ISBLANK('A-RACHNATMAK'!AR716)),"C","")))</f>
        <v/>
      </c>
      <c r="AP677" s="622" t="str">
        <f>IF(NOT(ISBLANK('A-RACHNATMAK'!AS718)),"A",IF(NOT(ISBLANK('A-RACHNATMAK'!AS717)),"B",IF(NOT(ISBLANK('A-RACHNATMAK'!AS716)),"C","")))</f>
        <v/>
      </c>
      <c r="AQ677" s="622" t="str">
        <f>IF(NOT(ISBLANK('A-RACHNATMAK'!AT718)),"A",IF(NOT(ISBLANK('A-RACHNATMAK'!AT717)),"B",IF(NOT(ISBLANK('A-RACHNATMAK'!AT716)),"C","")))</f>
        <v/>
      </c>
      <c r="AR677" s="622" t="str">
        <f>IF(NOT(ISBLANK('A-RACHNATMAK'!AU718)),"A",IF(NOT(ISBLANK('A-RACHNATMAK'!AU717)),"B",IF(NOT(ISBLANK('A-RACHNATMAK'!AU716)),"C","")))</f>
        <v/>
      </c>
      <c r="AS677" s="622" t="str">
        <f>IF(NOT(ISBLANK('A-RACHNATMAK'!AV718)),"A",IF(NOT(ISBLANK('A-RACHNATMAK'!AV717)),"B",IF(NOT(ISBLANK('A-RACHNATMAK'!AV716)),"C","")))</f>
        <v/>
      </c>
      <c r="AT677" s="622" t="str">
        <f>IF(NOT(ISBLANK('A-RACHNATMAK'!AW718)),"A",IF(NOT(ISBLANK('A-RACHNATMAK'!AW717)),"B",IF(NOT(ISBLANK('A-RACHNATMAK'!AW716)),"C","")))</f>
        <v/>
      </c>
      <c r="AU677" s="622">
        <f t="shared" ref="AU677" si="1287">COUNTIF(AA677:AT677,"A")</f>
        <v>0</v>
      </c>
      <c r="AV677" s="622">
        <f t="shared" ref="AV677" si="1288">COUNTIF(AA677:AT677,"B")</f>
        <v>0</v>
      </c>
      <c r="AW677" s="622">
        <f t="shared" ref="AW677" si="1289">COUNTIF(AA677:AT677,"C")</f>
        <v>0</v>
      </c>
    </row>
    <row r="678" spans="1:49" ht="7.5" customHeight="1">
      <c r="A678" s="623"/>
      <c r="B678" s="622"/>
      <c r="C678" s="622"/>
      <c r="D678" s="622"/>
      <c r="E678" s="622"/>
      <c r="F678" s="622"/>
      <c r="G678" s="622"/>
      <c r="H678" s="622"/>
      <c r="I678" s="622"/>
      <c r="J678" s="622"/>
      <c r="K678" s="622"/>
      <c r="L678" s="622"/>
      <c r="M678" s="622"/>
      <c r="N678" s="622"/>
      <c r="O678" s="622"/>
      <c r="P678" s="622"/>
      <c r="Q678" s="622"/>
      <c r="R678" s="622"/>
      <c r="S678" s="622"/>
      <c r="T678" s="622"/>
      <c r="U678" s="622"/>
      <c r="V678" s="622"/>
      <c r="W678" s="622"/>
      <c r="X678" s="622"/>
      <c r="Y678" s="330"/>
      <c r="Z678" s="623"/>
      <c r="AA678" s="622"/>
      <c r="AB678" s="622"/>
      <c r="AC678" s="622"/>
      <c r="AD678" s="622"/>
      <c r="AE678" s="622"/>
      <c r="AF678" s="622"/>
      <c r="AG678" s="622"/>
      <c r="AH678" s="622"/>
      <c r="AI678" s="622"/>
      <c r="AJ678" s="622"/>
      <c r="AK678" s="622"/>
      <c r="AL678" s="622"/>
      <c r="AM678" s="622"/>
      <c r="AN678" s="622"/>
      <c r="AO678" s="622"/>
      <c r="AP678" s="622"/>
      <c r="AQ678" s="622"/>
      <c r="AR678" s="622"/>
      <c r="AS678" s="622"/>
      <c r="AT678" s="622"/>
      <c r="AU678" s="622"/>
      <c r="AV678" s="622"/>
      <c r="AW678" s="622"/>
    </row>
    <row r="679" spans="1:49" ht="7.5" customHeight="1">
      <c r="A679" s="623"/>
      <c r="B679" s="622"/>
      <c r="C679" s="622"/>
      <c r="D679" s="622"/>
      <c r="E679" s="622"/>
      <c r="F679" s="622"/>
      <c r="G679" s="622"/>
      <c r="H679" s="622"/>
      <c r="I679" s="622"/>
      <c r="J679" s="622"/>
      <c r="K679" s="622"/>
      <c r="L679" s="622"/>
      <c r="M679" s="622"/>
      <c r="N679" s="622"/>
      <c r="O679" s="622"/>
      <c r="P679" s="622"/>
      <c r="Q679" s="622"/>
      <c r="R679" s="622"/>
      <c r="S679" s="622"/>
      <c r="T679" s="622"/>
      <c r="U679" s="622"/>
      <c r="V679" s="622"/>
      <c r="W679" s="622"/>
      <c r="X679" s="622"/>
      <c r="Y679" s="330"/>
      <c r="Z679" s="623"/>
      <c r="AA679" s="622"/>
      <c r="AB679" s="622"/>
      <c r="AC679" s="622"/>
      <c r="AD679" s="622"/>
      <c r="AE679" s="622"/>
      <c r="AF679" s="622"/>
      <c r="AG679" s="622"/>
      <c r="AH679" s="622"/>
      <c r="AI679" s="622"/>
      <c r="AJ679" s="622"/>
      <c r="AK679" s="622"/>
      <c r="AL679" s="622"/>
      <c r="AM679" s="622"/>
      <c r="AN679" s="622"/>
      <c r="AO679" s="622"/>
      <c r="AP679" s="622"/>
      <c r="AQ679" s="622"/>
      <c r="AR679" s="622"/>
      <c r="AS679" s="622"/>
      <c r="AT679" s="622"/>
      <c r="AU679" s="622"/>
      <c r="AV679" s="622"/>
      <c r="AW679" s="622"/>
    </row>
    <row r="680" spans="1:49" ht="7.5" customHeight="1">
      <c r="A680" s="623">
        <v>13</v>
      </c>
      <c r="B680" s="622" t="str">
        <f>IF(NOT(ISBLANK('A-RACHNATMAK'!C721)),"A",IF(NOT(ISBLANK('A-RACHNATMAK'!C720)),"B",IF(NOT(ISBLANK('A-RACHNATMAK'!C719)),"C","")))</f>
        <v/>
      </c>
      <c r="C680" s="622" t="str">
        <f>IF(NOT(ISBLANK('A-RACHNATMAK'!D721)),"A",IF(NOT(ISBLANK('A-RACHNATMAK'!D720)),"B",IF(NOT(ISBLANK('A-RACHNATMAK'!D719)),"C","")))</f>
        <v/>
      </c>
      <c r="D680" s="622" t="str">
        <f>IF(NOT(ISBLANK('A-RACHNATMAK'!E721)),"A",IF(NOT(ISBLANK('A-RACHNATMAK'!E720)),"B",IF(NOT(ISBLANK('A-RACHNATMAK'!E719)),"C","")))</f>
        <v/>
      </c>
      <c r="E680" s="622" t="str">
        <f>IF(NOT(ISBLANK('A-RACHNATMAK'!F721)),"A",IF(NOT(ISBLANK('A-RACHNATMAK'!F720)),"B",IF(NOT(ISBLANK('A-RACHNATMAK'!F719)),"C","")))</f>
        <v/>
      </c>
      <c r="F680" s="622" t="str">
        <f>IF(NOT(ISBLANK('A-RACHNATMAK'!G721)),"A",IF(NOT(ISBLANK('A-RACHNATMAK'!G720)),"B",IF(NOT(ISBLANK('A-RACHNATMAK'!G719)),"C","")))</f>
        <v/>
      </c>
      <c r="G680" s="622" t="str">
        <f>IF(NOT(ISBLANK('A-RACHNATMAK'!H721)),"A",IF(NOT(ISBLANK('A-RACHNATMAK'!H720)),"B",IF(NOT(ISBLANK('A-RACHNATMAK'!H719)),"C","")))</f>
        <v/>
      </c>
      <c r="H680" s="622" t="str">
        <f>IF(NOT(ISBLANK('A-RACHNATMAK'!I721)),"A",IF(NOT(ISBLANK('A-RACHNATMAK'!I720)),"B",IF(NOT(ISBLANK('A-RACHNATMAK'!I719)),"C","")))</f>
        <v/>
      </c>
      <c r="I680" s="622" t="str">
        <f>IF(NOT(ISBLANK('A-RACHNATMAK'!J721)),"A",IF(NOT(ISBLANK('A-RACHNATMAK'!J720)),"B",IF(NOT(ISBLANK('A-RACHNATMAK'!J719)),"C","")))</f>
        <v/>
      </c>
      <c r="J680" s="622" t="str">
        <f>IF(NOT(ISBLANK('A-RACHNATMAK'!K721)),"A",IF(NOT(ISBLANK('A-RACHNATMAK'!K720)),"B",IF(NOT(ISBLANK('A-RACHNATMAK'!K719)),"C","")))</f>
        <v/>
      </c>
      <c r="K680" s="622" t="str">
        <f>IF(NOT(ISBLANK('A-RACHNATMAK'!L721)),"A",IF(NOT(ISBLANK('A-RACHNATMAK'!L720)),"B",IF(NOT(ISBLANK('A-RACHNATMAK'!L719)),"C","")))</f>
        <v/>
      </c>
      <c r="L680" s="622" t="str">
        <f>IF(NOT(ISBLANK('A-RACHNATMAK'!M721)),"A",IF(NOT(ISBLANK('A-RACHNATMAK'!M720)),"B",IF(NOT(ISBLANK('A-RACHNATMAK'!M719)),"C","")))</f>
        <v/>
      </c>
      <c r="M680" s="622" t="str">
        <f>IF(NOT(ISBLANK('A-RACHNATMAK'!N721)),"A",IF(NOT(ISBLANK('A-RACHNATMAK'!N720)),"B",IF(NOT(ISBLANK('A-RACHNATMAK'!N719)),"C","")))</f>
        <v/>
      </c>
      <c r="N680" s="622" t="str">
        <f>IF(NOT(ISBLANK('A-RACHNATMAK'!O721)),"A",IF(NOT(ISBLANK('A-RACHNATMAK'!O720)),"B",IF(NOT(ISBLANK('A-RACHNATMAK'!O719)),"C","")))</f>
        <v/>
      </c>
      <c r="O680" s="622" t="str">
        <f>IF(NOT(ISBLANK('A-RACHNATMAK'!P721)),"A",IF(NOT(ISBLANK('A-RACHNATMAK'!P720)),"B",IF(NOT(ISBLANK('A-RACHNATMAK'!P719)),"C","")))</f>
        <v/>
      </c>
      <c r="P680" s="622" t="str">
        <f>IF(NOT(ISBLANK('A-RACHNATMAK'!Q721)),"A",IF(NOT(ISBLANK('A-RACHNATMAK'!Q720)),"B",IF(NOT(ISBLANK('A-RACHNATMAK'!Q719)),"C","")))</f>
        <v/>
      </c>
      <c r="Q680" s="622" t="str">
        <f>IF(NOT(ISBLANK('A-RACHNATMAK'!R721)),"A",IF(NOT(ISBLANK('A-RACHNATMAK'!R720)),"B",IF(NOT(ISBLANK('A-RACHNATMAK'!R719)),"C","")))</f>
        <v/>
      </c>
      <c r="R680" s="622" t="str">
        <f>IF(NOT(ISBLANK('A-RACHNATMAK'!S721)),"A",IF(NOT(ISBLANK('A-RACHNATMAK'!S720)),"B",IF(NOT(ISBLANK('A-RACHNATMAK'!S719)),"C","")))</f>
        <v/>
      </c>
      <c r="S680" s="622" t="str">
        <f>IF(NOT(ISBLANK('A-RACHNATMAK'!T721)),"A",IF(NOT(ISBLANK('A-RACHNATMAK'!T720)),"B",IF(NOT(ISBLANK('A-RACHNATMAK'!T719)),"C","")))</f>
        <v/>
      </c>
      <c r="T680" s="622" t="str">
        <f>IF(NOT(ISBLANK('A-RACHNATMAK'!U721)),"A",IF(NOT(ISBLANK('A-RACHNATMAK'!U720)),"B",IF(NOT(ISBLANK('A-RACHNATMAK'!U719)),"C","")))</f>
        <v/>
      </c>
      <c r="U680" s="622" t="str">
        <f>IF(NOT(ISBLANK('A-RACHNATMAK'!V721)),"A",IF(NOT(ISBLANK('A-RACHNATMAK'!V720)),"B",IF(NOT(ISBLANK('A-RACHNATMAK'!V719)),"C","")))</f>
        <v/>
      </c>
      <c r="V680" s="622">
        <f t="shared" ref="V680" si="1290">COUNTIF(B680:U680,"A")</f>
        <v>0</v>
      </c>
      <c r="W680" s="622">
        <f t="shared" ref="W680" si="1291">COUNTIF(B680:U680,"B")</f>
        <v>0</v>
      </c>
      <c r="X680" s="622">
        <f t="shared" ref="X680" si="1292">COUNTIF(B680:U680,"C")</f>
        <v>0</v>
      </c>
      <c r="Y680" s="330"/>
      <c r="Z680" s="623">
        <v>13</v>
      </c>
      <c r="AA680" s="622" t="str">
        <f>IF(NOT(ISBLANK('A-RACHNATMAK'!AD721)),"A",IF(NOT(ISBLANK('A-RACHNATMAK'!AD720)),"B",IF(NOT(ISBLANK('A-RACHNATMAK'!AD719)),"C","")))</f>
        <v/>
      </c>
      <c r="AB680" s="622" t="str">
        <f>IF(NOT(ISBLANK('A-RACHNATMAK'!AE721)),"A",IF(NOT(ISBLANK('A-RACHNATMAK'!AE720)),"B",IF(NOT(ISBLANK('A-RACHNATMAK'!AE719)),"C","")))</f>
        <v/>
      </c>
      <c r="AC680" s="622" t="str">
        <f>IF(NOT(ISBLANK('A-RACHNATMAK'!AF721)),"A",IF(NOT(ISBLANK('A-RACHNATMAK'!AF720)),"B",IF(NOT(ISBLANK('A-RACHNATMAK'!AF719)),"C","")))</f>
        <v/>
      </c>
      <c r="AD680" s="622" t="str">
        <f>IF(NOT(ISBLANK('A-RACHNATMAK'!AG721)),"A",IF(NOT(ISBLANK('A-RACHNATMAK'!AG720)),"B",IF(NOT(ISBLANK('A-RACHNATMAK'!AG719)),"C","")))</f>
        <v/>
      </c>
      <c r="AE680" s="622" t="str">
        <f>IF(NOT(ISBLANK('A-RACHNATMAK'!AH721)),"A",IF(NOT(ISBLANK('A-RACHNATMAK'!AH720)),"B",IF(NOT(ISBLANK('A-RACHNATMAK'!AH719)),"C","")))</f>
        <v/>
      </c>
      <c r="AF680" s="622" t="str">
        <f>IF(NOT(ISBLANK('A-RACHNATMAK'!AI721)),"A",IF(NOT(ISBLANK('A-RACHNATMAK'!AI720)),"B",IF(NOT(ISBLANK('A-RACHNATMAK'!AI719)),"C","")))</f>
        <v/>
      </c>
      <c r="AG680" s="622" t="str">
        <f>IF(NOT(ISBLANK('A-RACHNATMAK'!AJ721)),"A",IF(NOT(ISBLANK('A-RACHNATMAK'!AJ720)),"B",IF(NOT(ISBLANK('A-RACHNATMAK'!AJ719)),"C","")))</f>
        <v/>
      </c>
      <c r="AH680" s="622" t="str">
        <f>IF(NOT(ISBLANK('A-RACHNATMAK'!AK721)),"A",IF(NOT(ISBLANK('A-RACHNATMAK'!AK720)),"B",IF(NOT(ISBLANK('A-RACHNATMAK'!AK719)),"C","")))</f>
        <v/>
      </c>
      <c r="AI680" s="622" t="str">
        <f>IF(NOT(ISBLANK('A-RACHNATMAK'!AL721)),"A",IF(NOT(ISBLANK('A-RACHNATMAK'!AL720)),"B",IF(NOT(ISBLANK('A-RACHNATMAK'!AL719)),"C","")))</f>
        <v/>
      </c>
      <c r="AJ680" s="622" t="str">
        <f>IF(NOT(ISBLANK('A-RACHNATMAK'!AM721)),"A",IF(NOT(ISBLANK('A-RACHNATMAK'!AM720)),"B",IF(NOT(ISBLANK('A-RACHNATMAK'!AM719)),"C","")))</f>
        <v/>
      </c>
      <c r="AK680" s="622" t="str">
        <f>IF(NOT(ISBLANK('A-RACHNATMAK'!AN721)),"A",IF(NOT(ISBLANK('A-RACHNATMAK'!AN720)),"B",IF(NOT(ISBLANK('A-RACHNATMAK'!AN719)),"C","")))</f>
        <v/>
      </c>
      <c r="AL680" s="622" t="str">
        <f>IF(NOT(ISBLANK('A-RACHNATMAK'!AO721)),"A",IF(NOT(ISBLANK('A-RACHNATMAK'!AO720)),"B",IF(NOT(ISBLANK('A-RACHNATMAK'!AO719)),"C","")))</f>
        <v/>
      </c>
      <c r="AM680" s="622" t="str">
        <f>IF(NOT(ISBLANK('A-RACHNATMAK'!AP721)),"A",IF(NOT(ISBLANK('A-RACHNATMAK'!AP720)),"B",IF(NOT(ISBLANK('A-RACHNATMAK'!AP719)),"C","")))</f>
        <v/>
      </c>
      <c r="AN680" s="622" t="str">
        <f>IF(NOT(ISBLANK('A-RACHNATMAK'!AQ721)),"A",IF(NOT(ISBLANK('A-RACHNATMAK'!AQ720)),"B",IF(NOT(ISBLANK('A-RACHNATMAK'!AQ719)),"C","")))</f>
        <v/>
      </c>
      <c r="AO680" s="622" t="str">
        <f>IF(NOT(ISBLANK('A-RACHNATMAK'!AR721)),"A",IF(NOT(ISBLANK('A-RACHNATMAK'!AR720)),"B",IF(NOT(ISBLANK('A-RACHNATMAK'!AR719)),"C","")))</f>
        <v/>
      </c>
      <c r="AP680" s="622" t="str">
        <f>IF(NOT(ISBLANK('A-RACHNATMAK'!AS721)),"A",IF(NOT(ISBLANK('A-RACHNATMAK'!AS720)),"B",IF(NOT(ISBLANK('A-RACHNATMAK'!AS719)),"C","")))</f>
        <v/>
      </c>
      <c r="AQ680" s="622" t="str">
        <f>IF(NOT(ISBLANK('A-RACHNATMAK'!AT721)),"A",IF(NOT(ISBLANK('A-RACHNATMAK'!AT720)),"B",IF(NOT(ISBLANK('A-RACHNATMAK'!AT719)),"C","")))</f>
        <v/>
      </c>
      <c r="AR680" s="622" t="str">
        <f>IF(NOT(ISBLANK('A-RACHNATMAK'!AU721)),"A",IF(NOT(ISBLANK('A-RACHNATMAK'!AU720)),"B",IF(NOT(ISBLANK('A-RACHNATMAK'!AU719)),"C","")))</f>
        <v/>
      </c>
      <c r="AS680" s="622" t="str">
        <f>IF(NOT(ISBLANK('A-RACHNATMAK'!AV721)),"A",IF(NOT(ISBLANK('A-RACHNATMAK'!AV720)),"B",IF(NOT(ISBLANK('A-RACHNATMAK'!AV719)),"C","")))</f>
        <v/>
      </c>
      <c r="AT680" s="622" t="str">
        <f>IF(NOT(ISBLANK('A-RACHNATMAK'!AW721)),"A",IF(NOT(ISBLANK('A-RACHNATMAK'!AW720)),"B",IF(NOT(ISBLANK('A-RACHNATMAK'!AW719)),"C","")))</f>
        <v/>
      </c>
      <c r="AU680" s="622">
        <f t="shared" ref="AU680" si="1293">COUNTIF(AA680:AT680,"A")</f>
        <v>0</v>
      </c>
      <c r="AV680" s="622">
        <f t="shared" ref="AV680" si="1294">COUNTIF(AA680:AT680,"B")</f>
        <v>0</v>
      </c>
      <c r="AW680" s="622">
        <f t="shared" ref="AW680" si="1295">COUNTIF(AA680:AT680,"C")</f>
        <v>0</v>
      </c>
    </row>
    <row r="681" spans="1:49" ht="7.5" customHeight="1">
      <c r="A681" s="623"/>
      <c r="B681" s="622"/>
      <c r="C681" s="622"/>
      <c r="D681" s="622"/>
      <c r="E681" s="622"/>
      <c r="F681" s="622"/>
      <c r="G681" s="622"/>
      <c r="H681" s="622"/>
      <c r="I681" s="622"/>
      <c r="J681" s="622"/>
      <c r="K681" s="622"/>
      <c r="L681" s="622"/>
      <c r="M681" s="622"/>
      <c r="N681" s="622"/>
      <c r="O681" s="622"/>
      <c r="P681" s="622"/>
      <c r="Q681" s="622"/>
      <c r="R681" s="622"/>
      <c r="S681" s="622"/>
      <c r="T681" s="622"/>
      <c r="U681" s="622"/>
      <c r="V681" s="622"/>
      <c r="W681" s="622"/>
      <c r="X681" s="622"/>
      <c r="Y681" s="330"/>
      <c r="Z681" s="623"/>
      <c r="AA681" s="622"/>
      <c r="AB681" s="622"/>
      <c r="AC681" s="622"/>
      <c r="AD681" s="622"/>
      <c r="AE681" s="622"/>
      <c r="AF681" s="622"/>
      <c r="AG681" s="622"/>
      <c r="AH681" s="622"/>
      <c r="AI681" s="622"/>
      <c r="AJ681" s="622"/>
      <c r="AK681" s="622"/>
      <c r="AL681" s="622"/>
      <c r="AM681" s="622"/>
      <c r="AN681" s="622"/>
      <c r="AO681" s="622"/>
      <c r="AP681" s="622"/>
      <c r="AQ681" s="622"/>
      <c r="AR681" s="622"/>
      <c r="AS681" s="622"/>
      <c r="AT681" s="622"/>
      <c r="AU681" s="622"/>
      <c r="AV681" s="622"/>
      <c r="AW681" s="622"/>
    </row>
    <row r="682" spans="1:49" ht="7.5" customHeight="1">
      <c r="A682" s="623"/>
      <c r="B682" s="622"/>
      <c r="C682" s="622"/>
      <c r="D682" s="622"/>
      <c r="E682" s="622"/>
      <c r="F682" s="622"/>
      <c r="G682" s="622"/>
      <c r="H682" s="622"/>
      <c r="I682" s="622"/>
      <c r="J682" s="622"/>
      <c r="K682" s="622"/>
      <c r="L682" s="622"/>
      <c r="M682" s="622"/>
      <c r="N682" s="622"/>
      <c r="O682" s="622"/>
      <c r="P682" s="622"/>
      <c r="Q682" s="622"/>
      <c r="R682" s="622"/>
      <c r="S682" s="622"/>
      <c r="T682" s="622"/>
      <c r="U682" s="622"/>
      <c r="V682" s="622"/>
      <c r="W682" s="622"/>
      <c r="X682" s="622"/>
      <c r="Y682" s="330"/>
      <c r="Z682" s="623"/>
      <c r="AA682" s="622"/>
      <c r="AB682" s="622"/>
      <c r="AC682" s="622"/>
      <c r="AD682" s="622"/>
      <c r="AE682" s="622"/>
      <c r="AF682" s="622"/>
      <c r="AG682" s="622"/>
      <c r="AH682" s="622"/>
      <c r="AI682" s="622"/>
      <c r="AJ682" s="622"/>
      <c r="AK682" s="622"/>
      <c r="AL682" s="622"/>
      <c r="AM682" s="622"/>
      <c r="AN682" s="622"/>
      <c r="AO682" s="622"/>
      <c r="AP682" s="622"/>
      <c r="AQ682" s="622"/>
      <c r="AR682" s="622"/>
      <c r="AS682" s="622"/>
      <c r="AT682" s="622"/>
      <c r="AU682" s="622"/>
      <c r="AV682" s="622"/>
      <c r="AW682" s="622"/>
    </row>
    <row r="683" spans="1:49" ht="7.5" customHeight="1">
      <c r="A683" s="623">
        <v>14</v>
      </c>
      <c r="B683" s="622" t="str">
        <f>IF(NOT(ISBLANK('A-RACHNATMAK'!C724)),"A",IF(NOT(ISBLANK('A-RACHNATMAK'!C723)),"B",IF(NOT(ISBLANK('A-RACHNATMAK'!C722)),"C","")))</f>
        <v/>
      </c>
      <c r="C683" s="622" t="str">
        <f>IF(NOT(ISBLANK('A-RACHNATMAK'!D724)),"A",IF(NOT(ISBLANK('A-RACHNATMAK'!D723)),"B",IF(NOT(ISBLANK('A-RACHNATMAK'!D722)),"C","")))</f>
        <v/>
      </c>
      <c r="D683" s="622" t="str">
        <f>IF(NOT(ISBLANK('A-RACHNATMAK'!E724)),"A",IF(NOT(ISBLANK('A-RACHNATMAK'!E723)),"B",IF(NOT(ISBLANK('A-RACHNATMAK'!E722)),"C","")))</f>
        <v/>
      </c>
      <c r="E683" s="622" t="str">
        <f>IF(NOT(ISBLANK('A-RACHNATMAK'!F724)),"A",IF(NOT(ISBLANK('A-RACHNATMAK'!F723)),"B",IF(NOT(ISBLANK('A-RACHNATMAK'!F722)),"C","")))</f>
        <v/>
      </c>
      <c r="F683" s="622" t="str">
        <f>IF(NOT(ISBLANK('A-RACHNATMAK'!G724)),"A",IF(NOT(ISBLANK('A-RACHNATMAK'!G723)),"B",IF(NOT(ISBLANK('A-RACHNATMAK'!G722)),"C","")))</f>
        <v/>
      </c>
      <c r="G683" s="622" t="str">
        <f>IF(NOT(ISBLANK('A-RACHNATMAK'!H724)),"A",IF(NOT(ISBLANK('A-RACHNATMAK'!H723)),"B",IF(NOT(ISBLANK('A-RACHNATMAK'!H722)),"C","")))</f>
        <v/>
      </c>
      <c r="H683" s="622" t="str">
        <f>IF(NOT(ISBLANK('A-RACHNATMAK'!I724)),"A",IF(NOT(ISBLANK('A-RACHNATMAK'!I723)),"B",IF(NOT(ISBLANK('A-RACHNATMAK'!I722)),"C","")))</f>
        <v/>
      </c>
      <c r="I683" s="622" t="str">
        <f>IF(NOT(ISBLANK('A-RACHNATMAK'!J724)),"A",IF(NOT(ISBLANK('A-RACHNATMAK'!J723)),"B",IF(NOT(ISBLANK('A-RACHNATMAK'!J722)),"C","")))</f>
        <v/>
      </c>
      <c r="J683" s="622" t="str">
        <f>IF(NOT(ISBLANK('A-RACHNATMAK'!K724)),"A",IF(NOT(ISBLANK('A-RACHNATMAK'!K723)),"B",IF(NOT(ISBLANK('A-RACHNATMAK'!K722)),"C","")))</f>
        <v/>
      </c>
      <c r="K683" s="622" t="str">
        <f>IF(NOT(ISBLANK('A-RACHNATMAK'!L724)),"A",IF(NOT(ISBLANK('A-RACHNATMAK'!L723)),"B",IF(NOT(ISBLANK('A-RACHNATMAK'!L722)),"C","")))</f>
        <v/>
      </c>
      <c r="L683" s="622" t="str">
        <f>IF(NOT(ISBLANK('A-RACHNATMAK'!M724)),"A",IF(NOT(ISBLANK('A-RACHNATMAK'!M723)),"B",IF(NOT(ISBLANK('A-RACHNATMAK'!M722)),"C","")))</f>
        <v/>
      </c>
      <c r="M683" s="622" t="str">
        <f>IF(NOT(ISBLANK('A-RACHNATMAK'!N724)),"A",IF(NOT(ISBLANK('A-RACHNATMAK'!N723)),"B",IF(NOT(ISBLANK('A-RACHNATMAK'!N722)),"C","")))</f>
        <v/>
      </c>
      <c r="N683" s="622" t="str">
        <f>IF(NOT(ISBLANK('A-RACHNATMAK'!O724)),"A",IF(NOT(ISBLANK('A-RACHNATMAK'!O723)),"B",IF(NOT(ISBLANK('A-RACHNATMAK'!O722)),"C","")))</f>
        <v/>
      </c>
      <c r="O683" s="622" t="str">
        <f>IF(NOT(ISBLANK('A-RACHNATMAK'!P724)),"A",IF(NOT(ISBLANK('A-RACHNATMAK'!P723)),"B",IF(NOT(ISBLANK('A-RACHNATMAK'!P722)),"C","")))</f>
        <v/>
      </c>
      <c r="P683" s="622" t="str">
        <f>IF(NOT(ISBLANK('A-RACHNATMAK'!Q724)),"A",IF(NOT(ISBLANK('A-RACHNATMAK'!Q723)),"B",IF(NOT(ISBLANK('A-RACHNATMAK'!Q722)),"C","")))</f>
        <v/>
      </c>
      <c r="Q683" s="622" t="str">
        <f>IF(NOT(ISBLANK('A-RACHNATMAK'!R724)),"A",IF(NOT(ISBLANK('A-RACHNATMAK'!R723)),"B",IF(NOT(ISBLANK('A-RACHNATMAK'!R722)),"C","")))</f>
        <v/>
      </c>
      <c r="R683" s="622" t="str">
        <f>IF(NOT(ISBLANK('A-RACHNATMAK'!S724)),"A",IF(NOT(ISBLANK('A-RACHNATMAK'!S723)),"B",IF(NOT(ISBLANK('A-RACHNATMAK'!S722)),"C","")))</f>
        <v/>
      </c>
      <c r="S683" s="622" t="str">
        <f>IF(NOT(ISBLANK('A-RACHNATMAK'!T724)),"A",IF(NOT(ISBLANK('A-RACHNATMAK'!T723)),"B",IF(NOT(ISBLANK('A-RACHNATMAK'!T722)),"C","")))</f>
        <v/>
      </c>
      <c r="T683" s="622" t="str">
        <f>IF(NOT(ISBLANK('A-RACHNATMAK'!U724)),"A",IF(NOT(ISBLANK('A-RACHNATMAK'!U723)),"B",IF(NOT(ISBLANK('A-RACHNATMAK'!U722)),"C","")))</f>
        <v/>
      </c>
      <c r="U683" s="622" t="str">
        <f>IF(NOT(ISBLANK('A-RACHNATMAK'!V724)),"A",IF(NOT(ISBLANK('A-RACHNATMAK'!V723)),"B",IF(NOT(ISBLANK('A-RACHNATMAK'!V722)),"C","")))</f>
        <v/>
      </c>
      <c r="V683" s="622">
        <f t="shared" ref="V683" si="1296">COUNTIF(B683:U683,"A")</f>
        <v>0</v>
      </c>
      <c r="W683" s="622">
        <f t="shared" ref="W683" si="1297">COUNTIF(B683:U683,"B")</f>
        <v>0</v>
      </c>
      <c r="X683" s="622">
        <f t="shared" ref="X683" si="1298">COUNTIF(B683:U683,"C")</f>
        <v>0</v>
      </c>
      <c r="Y683" s="330"/>
      <c r="Z683" s="623">
        <v>14</v>
      </c>
      <c r="AA683" s="622" t="str">
        <f>IF(NOT(ISBLANK('A-RACHNATMAK'!AD724)),"A",IF(NOT(ISBLANK('A-RACHNATMAK'!AD723)),"B",IF(NOT(ISBLANK('A-RACHNATMAK'!AD722)),"C","")))</f>
        <v/>
      </c>
      <c r="AB683" s="622" t="str">
        <f>IF(NOT(ISBLANK('A-RACHNATMAK'!AE724)),"A",IF(NOT(ISBLANK('A-RACHNATMAK'!AE723)),"B",IF(NOT(ISBLANK('A-RACHNATMAK'!AE722)),"C","")))</f>
        <v/>
      </c>
      <c r="AC683" s="622" t="str">
        <f>IF(NOT(ISBLANK('A-RACHNATMAK'!AF724)),"A",IF(NOT(ISBLANK('A-RACHNATMAK'!AF723)),"B",IF(NOT(ISBLANK('A-RACHNATMAK'!AF722)),"C","")))</f>
        <v/>
      </c>
      <c r="AD683" s="622" t="str">
        <f>IF(NOT(ISBLANK('A-RACHNATMAK'!AG724)),"A",IF(NOT(ISBLANK('A-RACHNATMAK'!AG723)),"B",IF(NOT(ISBLANK('A-RACHNATMAK'!AG722)),"C","")))</f>
        <v/>
      </c>
      <c r="AE683" s="622" t="str">
        <f>IF(NOT(ISBLANK('A-RACHNATMAK'!AH724)),"A",IF(NOT(ISBLANK('A-RACHNATMAK'!AH723)),"B",IF(NOT(ISBLANK('A-RACHNATMAK'!AH722)),"C","")))</f>
        <v/>
      </c>
      <c r="AF683" s="622" t="str">
        <f>IF(NOT(ISBLANK('A-RACHNATMAK'!AI724)),"A",IF(NOT(ISBLANK('A-RACHNATMAK'!AI723)),"B",IF(NOT(ISBLANK('A-RACHNATMAK'!AI722)),"C","")))</f>
        <v/>
      </c>
      <c r="AG683" s="622" t="str">
        <f>IF(NOT(ISBLANK('A-RACHNATMAK'!AJ724)),"A",IF(NOT(ISBLANK('A-RACHNATMAK'!AJ723)),"B",IF(NOT(ISBLANK('A-RACHNATMAK'!AJ722)),"C","")))</f>
        <v/>
      </c>
      <c r="AH683" s="622" t="str">
        <f>IF(NOT(ISBLANK('A-RACHNATMAK'!AK724)),"A",IF(NOT(ISBLANK('A-RACHNATMAK'!AK723)),"B",IF(NOT(ISBLANK('A-RACHNATMAK'!AK722)),"C","")))</f>
        <v/>
      </c>
      <c r="AI683" s="622" t="str">
        <f>IF(NOT(ISBLANK('A-RACHNATMAK'!AL724)),"A",IF(NOT(ISBLANK('A-RACHNATMAK'!AL723)),"B",IF(NOT(ISBLANK('A-RACHNATMAK'!AL722)),"C","")))</f>
        <v/>
      </c>
      <c r="AJ683" s="622" t="str">
        <f>IF(NOT(ISBLANK('A-RACHNATMAK'!AM724)),"A",IF(NOT(ISBLANK('A-RACHNATMAK'!AM723)),"B",IF(NOT(ISBLANK('A-RACHNATMAK'!AM722)),"C","")))</f>
        <v/>
      </c>
      <c r="AK683" s="622" t="str">
        <f>IF(NOT(ISBLANK('A-RACHNATMAK'!AN724)),"A",IF(NOT(ISBLANK('A-RACHNATMAK'!AN723)),"B",IF(NOT(ISBLANK('A-RACHNATMAK'!AN722)),"C","")))</f>
        <v/>
      </c>
      <c r="AL683" s="622" t="str">
        <f>IF(NOT(ISBLANK('A-RACHNATMAK'!AO724)),"A",IF(NOT(ISBLANK('A-RACHNATMAK'!AO723)),"B",IF(NOT(ISBLANK('A-RACHNATMAK'!AO722)),"C","")))</f>
        <v/>
      </c>
      <c r="AM683" s="622" t="str">
        <f>IF(NOT(ISBLANK('A-RACHNATMAK'!AP724)),"A",IF(NOT(ISBLANK('A-RACHNATMAK'!AP723)),"B",IF(NOT(ISBLANK('A-RACHNATMAK'!AP722)),"C","")))</f>
        <v/>
      </c>
      <c r="AN683" s="622" t="str">
        <f>IF(NOT(ISBLANK('A-RACHNATMAK'!AQ724)),"A",IF(NOT(ISBLANK('A-RACHNATMAK'!AQ723)),"B",IF(NOT(ISBLANK('A-RACHNATMAK'!AQ722)),"C","")))</f>
        <v/>
      </c>
      <c r="AO683" s="622" t="str">
        <f>IF(NOT(ISBLANK('A-RACHNATMAK'!AR724)),"A",IF(NOT(ISBLANK('A-RACHNATMAK'!AR723)),"B",IF(NOT(ISBLANK('A-RACHNATMAK'!AR722)),"C","")))</f>
        <v/>
      </c>
      <c r="AP683" s="622" t="str">
        <f>IF(NOT(ISBLANK('A-RACHNATMAK'!AS724)),"A",IF(NOT(ISBLANK('A-RACHNATMAK'!AS723)),"B",IF(NOT(ISBLANK('A-RACHNATMAK'!AS722)),"C","")))</f>
        <v/>
      </c>
      <c r="AQ683" s="622" t="str">
        <f>IF(NOT(ISBLANK('A-RACHNATMAK'!AT724)),"A",IF(NOT(ISBLANK('A-RACHNATMAK'!AT723)),"B",IF(NOT(ISBLANK('A-RACHNATMAK'!AT722)),"C","")))</f>
        <v/>
      </c>
      <c r="AR683" s="622" t="str">
        <f>IF(NOT(ISBLANK('A-RACHNATMAK'!AU724)),"A",IF(NOT(ISBLANK('A-RACHNATMAK'!AU723)),"B",IF(NOT(ISBLANK('A-RACHNATMAK'!AU722)),"C","")))</f>
        <v/>
      </c>
      <c r="AS683" s="622" t="str">
        <f>IF(NOT(ISBLANK('A-RACHNATMAK'!AV724)),"A",IF(NOT(ISBLANK('A-RACHNATMAK'!AV723)),"B",IF(NOT(ISBLANK('A-RACHNATMAK'!AV722)),"C","")))</f>
        <v/>
      </c>
      <c r="AT683" s="622" t="str">
        <f>IF(NOT(ISBLANK('A-RACHNATMAK'!AW724)),"A",IF(NOT(ISBLANK('A-RACHNATMAK'!AW723)),"B",IF(NOT(ISBLANK('A-RACHNATMAK'!AW722)),"C","")))</f>
        <v/>
      </c>
      <c r="AU683" s="622">
        <f t="shared" ref="AU683" si="1299">COUNTIF(AA683:AT683,"A")</f>
        <v>0</v>
      </c>
      <c r="AV683" s="622">
        <f t="shared" ref="AV683" si="1300">COUNTIF(AA683:AT683,"B")</f>
        <v>0</v>
      </c>
      <c r="AW683" s="622">
        <f t="shared" ref="AW683" si="1301">COUNTIF(AA683:AT683,"C")</f>
        <v>0</v>
      </c>
    </row>
    <row r="684" spans="1:49" ht="7.5" customHeight="1">
      <c r="A684" s="623"/>
      <c r="B684" s="622"/>
      <c r="C684" s="622"/>
      <c r="D684" s="622"/>
      <c r="E684" s="622"/>
      <c r="F684" s="622"/>
      <c r="G684" s="622"/>
      <c r="H684" s="622"/>
      <c r="I684" s="622"/>
      <c r="J684" s="622"/>
      <c r="K684" s="622"/>
      <c r="L684" s="622"/>
      <c r="M684" s="622"/>
      <c r="N684" s="622"/>
      <c r="O684" s="622"/>
      <c r="P684" s="622"/>
      <c r="Q684" s="622"/>
      <c r="R684" s="622"/>
      <c r="S684" s="622"/>
      <c r="T684" s="622"/>
      <c r="U684" s="622"/>
      <c r="V684" s="622"/>
      <c r="W684" s="622"/>
      <c r="X684" s="622"/>
      <c r="Y684" s="330"/>
      <c r="Z684" s="623"/>
      <c r="AA684" s="622"/>
      <c r="AB684" s="622"/>
      <c r="AC684" s="622"/>
      <c r="AD684" s="622"/>
      <c r="AE684" s="622"/>
      <c r="AF684" s="622"/>
      <c r="AG684" s="622"/>
      <c r="AH684" s="622"/>
      <c r="AI684" s="622"/>
      <c r="AJ684" s="622"/>
      <c r="AK684" s="622"/>
      <c r="AL684" s="622"/>
      <c r="AM684" s="622"/>
      <c r="AN684" s="622"/>
      <c r="AO684" s="622"/>
      <c r="AP684" s="622"/>
      <c r="AQ684" s="622"/>
      <c r="AR684" s="622"/>
      <c r="AS684" s="622"/>
      <c r="AT684" s="622"/>
      <c r="AU684" s="622"/>
      <c r="AV684" s="622"/>
      <c r="AW684" s="622"/>
    </row>
    <row r="685" spans="1:49" ht="7.5" customHeight="1">
      <c r="A685" s="623"/>
      <c r="B685" s="622"/>
      <c r="C685" s="622"/>
      <c r="D685" s="622"/>
      <c r="E685" s="622"/>
      <c r="F685" s="622"/>
      <c r="G685" s="622"/>
      <c r="H685" s="622"/>
      <c r="I685" s="622"/>
      <c r="J685" s="622"/>
      <c r="K685" s="622"/>
      <c r="L685" s="622"/>
      <c r="M685" s="622"/>
      <c r="N685" s="622"/>
      <c r="O685" s="622"/>
      <c r="P685" s="622"/>
      <c r="Q685" s="622"/>
      <c r="R685" s="622"/>
      <c r="S685" s="622"/>
      <c r="T685" s="622"/>
      <c r="U685" s="622"/>
      <c r="V685" s="622"/>
      <c r="W685" s="622"/>
      <c r="X685" s="622"/>
      <c r="Y685" s="330"/>
      <c r="Z685" s="623"/>
      <c r="AA685" s="622"/>
      <c r="AB685" s="622"/>
      <c r="AC685" s="622"/>
      <c r="AD685" s="622"/>
      <c r="AE685" s="622"/>
      <c r="AF685" s="622"/>
      <c r="AG685" s="622"/>
      <c r="AH685" s="622"/>
      <c r="AI685" s="622"/>
      <c r="AJ685" s="622"/>
      <c r="AK685" s="622"/>
      <c r="AL685" s="622"/>
      <c r="AM685" s="622"/>
      <c r="AN685" s="622"/>
      <c r="AO685" s="622"/>
      <c r="AP685" s="622"/>
      <c r="AQ685" s="622"/>
      <c r="AR685" s="622"/>
      <c r="AS685" s="622"/>
      <c r="AT685" s="622"/>
      <c r="AU685" s="622"/>
      <c r="AV685" s="622"/>
      <c r="AW685" s="622"/>
    </row>
    <row r="686" spans="1:49" ht="7.5" customHeight="1">
      <c r="A686" s="623">
        <v>15</v>
      </c>
      <c r="B686" s="622" t="str">
        <f>IF(NOT(ISBLANK('A-RACHNATMAK'!C727)),"A",IF(NOT(ISBLANK('A-RACHNATMAK'!C726)),"B",IF(NOT(ISBLANK('A-RACHNATMAK'!C725)),"C","")))</f>
        <v/>
      </c>
      <c r="C686" s="622" t="str">
        <f>IF(NOT(ISBLANK('A-RACHNATMAK'!D727)),"A",IF(NOT(ISBLANK('A-RACHNATMAK'!D726)),"B",IF(NOT(ISBLANK('A-RACHNATMAK'!D725)),"C","")))</f>
        <v/>
      </c>
      <c r="D686" s="622" t="str">
        <f>IF(NOT(ISBLANK('A-RACHNATMAK'!E727)),"A",IF(NOT(ISBLANK('A-RACHNATMAK'!E726)),"B",IF(NOT(ISBLANK('A-RACHNATMAK'!E725)),"C","")))</f>
        <v/>
      </c>
      <c r="E686" s="622" t="str">
        <f>IF(NOT(ISBLANK('A-RACHNATMAK'!F727)),"A",IF(NOT(ISBLANK('A-RACHNATMAK'!F726)),"B",IF(NOT(ISBLANK('A-RACHNATMAK'!F725)),"C","")))</f>
        <v/>
      </c>
      <c r="F686" s="622" t="str">
        <f>IF(NOT(ISBLANK('A-RACHNATMAK'!G727)),"A",IF(NOT(ISBLANK('A-RACHNATMAK'!G726)),"B",IF(NOT(ISBLANK('A-RACHNATMAK'!G725)),"C","")))</f>
        <v/>
      </c>
      <c r="G686" s="622" t="str">
        <f>IF(NOT(ISBLANK('A-RACHNATMAK'!H727)),"A",IF(NOT(ISBLANK('A-RACHNATMAK'!H726)),"B",IF(NOT(ISBLANK('A-RACHNATMAK'!H725)),"C","")))</f>
        <v/>
      </c>
      <c r="H686" s="622" t="str">
        <f>IF(NOT(ISBLANK('A-RACHNATMAK'!I727)),"A",IF(NOT(ISBLANK('A-RACHNATMAK'!I726)),"B",IF(NOT(ISBLANK('A-RACHNATMAK'!I725)),"C","")))</f>
        <v/>
      </c>
      <c r="I686" s="622" t="str">
        <f>IF(NOT(ISBLANK('A-RACHNATMAK'!J727)),"A",IF(NOT(ISBLANK('A-RACHNATMAK'!J726)),"B",IF(NOT(ISBLANK('A-RACHNATMAK'!J725)),"C","")))</f>
        <v/>
      </c>
      <c r="J686" s="622" t="str">
        <f>IF(NOT(ISBLANK('A-RACHNATMAK'!K727)),"A",IF(NOT(ISBLANK('A-RACHNATMAK'!K726)),"B",IF(NOT(ISBLANK('A-RACHNATMAK'!K725)),"C","")))</f>
        <v/>
      </c>
      <c r="K686" s="622" t="str">
        <f>IF(NOT(ISBLANK('A-RACHNATMAK'!L727)),"A",IF(NOT(ISBLANK('A-RACHNATMAK'!L726)),"B",IF(NOT(ISBLANK('A-RACHNATMAK'!L725)),"C","")))</f>
        <v/>
      </c>
      <c r="L686" s="622" t="str">
        <f>IF(NOT(ISBLANK('A-RACHNATMAK'!M727)),"A",IF(NOT(ISBLANK('A-RACHNATMAK'!M726)),"B",IF(NOT(ISBLANK('A-RACHNATMAK'!M725)),"C","")))</f>
        <v/>
      </c>
      <c r="M686" s="622" t="str">
        <f>IF(NOT(ISBLANK('A-RACHNATMAK'!N727)),"A",IF(NOT(ISBLANK('A-RACHNATMAK'!N726)),"B",IF(NOT(ISBLANK('A-RACHNATMAK'!N725)),"C","")))</f>
        <v/>
      </c>
      <c r="N686" s="622" t="str">
        <f>IF(NOT(ISBLANK('A-RACHNATMAK'!O727)),"A",IF(NOT(ISBLANK('A-RACHNATMAK'!O726)),"B",IF(NOT(ISBLANK('A-RACHNATMAK'!O725)),"C","")))</f>
        <v/>
      </c>
      <c r="O686" s="622" t="str">
        <f>IF(NOT(ISBLANK('A-RACHNATMAK'!P727)),"A",IF(NOT(ISBLANK('A-RACHNATMAK'!P726)),"B",IF(NOT(ISBLANK('A-RACHNATMAK'!P725)),"C","")))</f>
        <v/>
      </c>
      <c r="P686" s="622" t="str">
        <f>IF(NOT(ISBLANK('A-RACHNATMAK'!Q727)),"A",IF(NOT(ISBLANK('A-RACHNATMAK'!Q726)),"B",IF(NOT(ISBLANK('A-RACHNATMAK'!Q725)),"C","")))</f>
        <v/>
      </c>
      <c r="Q686" s="622" t="str">
        <f>IF(NOT(ISBLANK('A-RACHNATMAK'!R727)),"A",IF(NOT(ISBLANK('A-RACHNATMAK'!R726)),"B",IF(NOT(ISBLANK('A-RACHNATMAK'!R725)),"C","")))</f>
        <v/>
      </c>
      <c r="R686" s="622" t="str">
        <f>IF(NOT(ISBLANK('A-RACHNATMAK'!S727)),"A",IF(NOT(ISBLANK('A-RACHNATMAK'!S726)),"B",IF(NOT(ISBLANK('A-RACHNATMAK'!S725)),"C","")))</f>
        <v/>
      </c>
      <c r="S686" s="622" t="str">
        <f>IF(NOT(ISBLANK('A-RACHNATMAK'!T727)),"A",IF(NOT(ISBLANK('A-RACHNATMAK'!T726)),"B",IF(NOT(ISBLANK('A-RACHNATMAK'!T725)),"C","")))</f>
        <v/>
      </c>
      <c r="T686" s="622" t="str">
        <f>IF(NOT(ISBLANK('A-RACHNATMAK'!U727)),"A",IF(NOT(ISBLANK('A-RACHNATMAK'!U726)),"B",IF(NOT(ISBLANK('A-RACHNATMAK'!U725)),"C","")))</f>
        <v/>
      </c>
      <c r="U686" s="622" t="str">
        <f>IF(NOT(ISBLANK('A-RACHNATMAK'!V727)),"A",IF(NOT(ISBLANK('A-RACHNATMAK'!V726)),"B",IF(NOT(ISBLANK('A-RACHNATMAK'!V725)),"C","")))</f>
        <v/>
      </c>
      <c r="V686" s="622">
        <f t="shared" ref="V686" si="1302">COUNTIF(B686:U686,"A")</f>
        <v>0</v>
      </c>
      <c r="W686" s="622">
        <f t="shared" ref="W686" si="1303">COUNTIF(B686:U686,"B")</f>
        <v>0</v>
      </c>
      <c r="X686" s="622">
        <f t="shared" ref="X686" si="1304">COUNTIF(B686:U686,"C")</f>
        <v>0</v>
      </c>
      <c r="Y686" s="330"/>
      <c r="Z686" s="623">
        <v>15</v>
      </c>
      <c r="AA686" s="622" t="str">
        <f>IF(NOT(ISBLANK('A-RACHNATMAK'!AD727)),"A",IF(NOT(ISBLANK('A-RACHNATMAK'!AD726)),"B",IF(NOT(ISBLANK('A-RACHNATMAK'!AD725)),"C","")))</f>
        <v/>
      </c>
      <c r="AB686" s="622" t="str">
        <f>IF(NOT(ISBLANK('A-RACHNATMAK'!AE727)),"A",IF(NOT(ISBLANK('A-RACHNATMAK'!AE726)),"B",IF(NOT(ISBLANK('A-RACHNATMAK'!AE725)),"C","")))</f>
        <v/>
      </c>
      <c r="AC686" s="622" t="str">
        <f>IF(NOT(ISBLANK('A-RACHNATMAK'!AF727)),"A",IF(NOT(ISBLANK('A-RACHNATMAK'!AF726)),"B",IF(NOT(ISBLANK('A-RACHNATMAK'!AF725)),"C","")))</f>
        <v/>
      </c>
      <c r="AD686" s="622" t="str">
        <f>IF(NOT(ISBLANK('A-RACHNATMAK'!AG727)),"A",IF(NOT(ISBLANK('A-RACHNATMAK'!AG726)),"B",IF(NOT(ISBLANK('A-RACHNATMAK'!AG725)),"C","")))</f>
        <v/>
      </c>
      <c r="AE686" s="622" t="str">
        <f>IF(NOT(ISBLANK('A-RACHNATMAK'!AH727)),"A",IF(NOT(ISBLANK('A-RACHNATMAK'!AH726)),"B",IF(NOT(ISBLANK('A-RACHNATMAK'!AH725)),"C","")))</f>
        <v/>
      </c>
      <c r="AF686" s="622" t="str">
        <f>IF(NOT(ISBLANK('A-RACHNATMAK'!AI727)),"A",IF(NOT(ISBLANK('A-RACHNATMAK'!AI726)),"B",IF(NOT(ISBLANK('A-RACHNATMAK'!AI725)),"C","")))</f>
        <v/>
      </c>
      <c r="AG686" s="622" t="str">
        <f>IF(NOT(ISBLANK('A-RACHNATMAK'!AJ727)),"A",IF(NOT(ISBLANK('A-RACHNATMAK'!AJ726)),"B",IF(NOT(ISBLANK('A-RACHNATMAK'!AJ725)),"C","")))</f>
        <v/>
      </c>
      <c r="AH686" s="622" t="str">
        <f>IF(NOT(ISBLANK('A-RACHNATMAK'!AK727)),"A",IF(NOT(ISBLANK('A-RACHNATMAK'!AK726)),"B",IF(NOT(ISBLANK('A-RACHNATMAK'!AK725)),"C","")))</f>
        <v/>
      </c>
      <c r="AI686" s="622" t="str">
        <f>IF(NOT(ISBLANK('A-RACHNATMAK'!AL727)),"A",IF(NOT(ISBLANK('A-RACHNATMAK'!AL726)),"B",IF(NOT(ISBLANK('A-RACHNATMAK'!AL725)),"C","")))</f>
        <v/>
      </c>
      <c r="AJ686" s="622" t="str">
        <f>IF(NOT(ISBLANK('A-RACHNATMAK'!AM727)),"A",IF(NOT(ISBLANK('A-RACHNATMAK'!AM726)),"B",IF(NOT(ISBLANK('A-RACHNATMAK'!AM725)),"C","")))</f>
        <v/>
      </c>
      <c r="AK686" s="622" t="str">
        <f>IF(NOT(ISBLANK('A-RACHNATMAK'!AN727)),"A",IF(NOT(ISBLANK('A-RACHNATMAK'!AN726)),"B",IF(NOT(ISBLANK('A-RACHNATMAK'!AN725)),"C","")))</f>
        <v/>
      </c>
      <c r="AL686" s="622" t="str">
        <f>IF(NOT(ISBLANK('A-RACHNATMAK'!AO727)),"A",IF(NOT(ISBLANK('A-RACHNATMAK'!AO726)),"B",IF(NOT(ISBLANK('A-RACHNATMAK'!AO725)),"C","")))</f>
        <v/>
      </c>
      <c r="AM686" s="622" t="str">
        <f>IF(NOT(ISBLANK('A-RACHNATMAK'!AP727)),"A",IF(NOT(ISBLANK('A-RACHNATMAK'!AP726)),"B",IF(NOT(ISBLANK('A-RACHNATMAK'!AP725)),"C","")))</f>
        <v/>
      </c>
      <c r="AN686" s="622" t="str">
        <f>IF(NOT(ISBLANK('A-RACHNATMAK'!AQ727)),"A",IF(NOT(ISBLANK('A-RACHNATMAK'!AQ726)),"B",IF(NOT(ISBLANK('A-RACHNATMAK'!AQ725)),"C","")))</f>
        <v/>
      </c>
      <c r="AO686" s="622" t="str">
        <f>IF(NOT(ISBLANK('A-RACHNATMAK'!AR727)),"A",IF(NOT(ISBLANK('A-RACHNATMAK'!AR726)),"B",IF(NOT(ISBLANK('A-RACHNATMAK'!AR725)),"C","")))</f>
        <v/>
      </c>
      <c r="AP686" s="622" t="str">
        <f>IF(NOT(ISBLANK('A-RACHNATMAK'!AS727)),"A",IF(NOT(ISBLANK('A-RACHNATMAK'!AS726)),"B",IF(NOT(ISBLANK('A-RACHNATMAK'!AS725)),"C","")))</f>
        <v/>
      </c>
      <c r="AQ686" s="622" t="str">
        <f>IF(NOT(ISBLANK('A-RACHNATMAK'!AT727)),"A",IF(NOT(ISBLANK('A-RACHNATMAK'!AT726)),"B",IF(NOT(ISBLANK('A-RACHNATMAK'!AT725)),"C","")))</f>
        <v/>
      </c>
      <c r="AR686" s="622" t="str">
        <f>IF(NOT(ISBLANK('A-RACHNATMAK'!AU727)),"A",IF(NOT(ISBLANK('A-RACHNATMAK'!AU726)),"B",IF(NOT(ISBLANK('A-RACHNATMAK'!AU725)),"C","")))</f>
        <v/>
      </c>
      <c r="AS686" s="622" t="str">
        <f>IF(NOT(ISBLANK('A-RACHNATMAK'!AV727)),"A",IF(NOT(ISBLANK('A-RACHNATMAK'!AV726)),"B",IF(NOT(ISBLANK('A-RACHNATMAK'!AV725)),"C","")))</f>
        <v/>
      </c>
      <c r="AT686" s="622" t="str">
        <f>IF(NOT(ISBLANK('A-RACHNATMAK'!AW727)),"A",IF(NOT(ISBLANK('A-RACHNATMAK'!AW726)),"B",IF(NOT(ISBLANK('A-RACHNATMAK'!AW725)),"C","")))</f>
        <v/>
      </c>
      <c r="AU686" s="622">
        <f t="shared" ref="AU686" si="1305">COUNTIF(AA686:AT686,"A")</f>
        <v>0</v>
      </c>
      <c r="AV686" s="622">
        <f t="shared" ref="AV686" si="1306">COUNTIF(AA686:AT686,"B")</f>
        <v>0</v>
      </c>
      <c r="AW686" s="622">
        <f t="shared" ref="AW686" si="1307">COUNTIF(AA686:AT686,"C")</f>
        <v>0</v>
      </c>
    </row>
    <row r="687" spans="1:49" ht="7.5" customHeight="1">
      <c r="A687" s="623"/>
      <c r="B687" s="622"/>
      <c r="C687" s="622"/>
      <c r="D687" s="622"/>
      <c r="E687" s="622"/>
      <c r="F687" s="622"/>
      <c r="G687" s="622"/>
      <c r="H687" s="622"/>
      <c r="I687" s="622"/>
      <c r="J687" s="622"/>
      <c r="K687" s="622"/>
      <c r="L687" s="622"/>
      <c r="M687" s="622"/>
      <c r="N687" s="622"/>
      <c r="O687" s="622"/>
      <c r="P687" s="622"/>
      <c r="Q687" s="622"/>
      <c r="R687" s="622"/>
      <c r="S687" s="622"/>
      <c r="T687" s="622"/>
      <c r="U687" s="622"/>
      <c r="V687" s="622"/>
      <c r="W687" s="622"/>
      <c r="X687" s="622"/>
      <c r="Y687" s="330"/>
      <c r="Z687" s="623"/>
      <c r="AA687" s="622"/>
      <c r="AB687" s="622"/>
      <c r="AC687" s="622"/>
      <c r="AD687" s="622"/>
      <c r="AE687" s="622"/>
      <c r="AF687" s="622"/>
      <c r="AG687" s="622"/>
      <c r="AH687" s="622"/>
      <c r="AI687" s="622"/>
      <c r="AJ687" s="622"/>
      <c r="AK687" s="622"/>
      <c r="AL687" s="622"/>
      <c r="AM687" s="622"/>
      <c r="AN687" s="622"/>
      <c r="AO687" s="622"/>
      <c r="AP687" s="622"/>
      <c r="AQ687" s="622"/>
      <c r="AR687" s="622"/>
      <c r="AS687" s="622"/>
      <c r="AT687" s="622"/>
      <c r="AU687" s="622"/>
      <c r="AV687" s="622"/>
      <c r="AW687" s="622"/>
    </row>
    <row r="688" spans="1:49" ht="7.5" customHeight="1">
      <c r="A688" s="623"/>
      <c r="B688" s="622"/>
      <c r="C688" s="622"/>
      <c r="D688" s="622"/>
      <c r="E688" s="622"/>
      <c r="F688" s="622"/>
      <c r="G688" s="622"/>
      <c r="H688" s="622"/>
      <c r="I688" s="622"/>
      <c r="J688" s="622"/>
      <c r="K688" s="622"/>
      <c r="L688" s="622"/>
      <c r="M688" s="622"/>
      <c r="N688" s="622"/>
      <c r="O688" s="622"/>
      <c r="P688" s="622"/>
      <c r="Q688" s="622"/>
      <c r="R688" s="622"/>
      <c r="S688" s="622"/>
      <c r="T688" s="622"/>
      <c r="U688" s="622"/>
      <c r="V688" s="622"/>
      <c r="W688" s="622"/>
      <c r="X688" s="622"/>
      <c r="Y688" s="330"/>
      <c r="Z688" s="623"/>
      <c r="AA688" s="622"/>
      <c r="AB688" s="622"/>
      <c r="AC688" s="622"/>
      <c r="AD688" s="622"/>
      <c r="AE688" s="622"/>
      <c r="AF688" s="622"/>
      <c r="AG688" s="622"/>
      <c r="AH688" s="622"/>
      <c r="AI688" s="622"/>
      <c r="AJ688" s="622"/>
      <c r="AK688" s="622"/>
      <c r="AL688" s="622"/>
      <c r="AM688" s="622"/>
      <c r="AN688" s="622"/>
      <c r="AO688" s="622"/>
      <c r="AP688" s="622"/>
      <c r="AQ688" s="622"/>
      <c r="AR688" s="622"/>
      <c r="AS688" s="622"/>
      <c r="AT688" s="622"/>
      <c r="AU688" s="622"/>
      <c r="AV688" s="622"/>
      <c r="AW688" s="622"/>
    </row>
    <row r="689" spans="1:49" ht="7.5" customHeight="1">
      <c r="A689" s="623">
        <v>16</v>
      </c>
      <c r="B689" s="622" t="str">
        <f>IF(NOT(ISBLANK('A-RACHNATMAK'!C730)),"A",IF(NOT(ISBLANK('A-RACHNATMAK'!C729)),"B",IF(NOT(ISBLANK('A-RACHNATMAK'!C728)),"C","")))</f>
        <v/>
      </c>
      <c r="C689" s="622" t="str">
        <f>IF(NOT(ISBLANK('A-RACHNATMAK'!D730)),"A",IF(NOT(ISBLANK('A-RACHNATMAK'!D729)),"B",IF(NOT(ISBLANK('A-RACHNATMAK'!D728)),"C","")))</f>
        <v/>
      </c>
      <c r="D689" s="622" t="str">
        <f>IF(NOT(ISBLANK('A-RACHNATMAK'!E730)),"A",IF(NOT(ISBLANK('A-RACHNATMAK'!E729)),"B",IF(NOT(ISBLANK('A-RACHNATMAK'!E728)),"C","")))</f>
        <v/>
      </c>
      <c r="E689" s="622" t="str">
        <f>IF(NOT(ISBLANK('A-RACHNATMAK'!F730)),"A",IF(NOT(ISBLANK('A-RACHNATMAK'!F729)),"B",IF(NOT(ISBLANK('A-RACHNATMAK'!F728)),"C","")))</f>
        <v/>
      </c>
      <c r="F689" s="622" t="str">
        <f>IF(NOT(ISBLANK('A-RACHNATMAK'!G730)),"A",IF(NOT(ISBLANK('A-RACHNATMAK'!G729)),"B",IF(NOT(ISBLANK('A-RACHNATMAK'!G728)),"C","")))</f>
        <v/>
      </c>
      <c r="G689" s="622" t="str">
        <f>IF(NOT(ISBLANK('A-RACHNATMAK'!H730)),"A",IF(NOT(ISBLANK('A-RACHNATMAK'!H729)),"B",IF(NOT(ISBLANK('A-RACHNATMAK'!H728)),"C","")))</f>
        <v/>
      </c>
      <c r="H689" s="622" t="str">
        <f>IF(NOT(ISBLANK('A-RACHNATMAK'!I730)),"A",IF(NOT(ISBLANK('A-RACHNATMAK'!I729)),"B",IF(NOT(ISBLANK('A-RACHNATMAK'!I728)),"C","")))</f>
        <v/>
      </c>
      <c r="I689" s="622" t="str">
        <f>IF(NOT(ISBLANK('A-RACHNATMAK'!J730)),"A",IF(NOT(ISBLANK('A-RACHNATMAK'!J729)),"B",IF(NOT(ISBLANK('A-RACHNATMAK'!J728)),"C","")))</f>
        <v/>
      </c>
      <c r="J689" s="622" t="str">
        <f>IF(NOT(ISBLANK('A-RACHNATMAK'!K730)),"A",IF(NOT(ISBLANK('A-RACHNATMAK'!K729)),"B",IF(NOT(ISBLANK('A-RACHNATMAK'!K728)),"C","")))</f>
        <v/>
      </c>
      <c r="K689" s="622" t="str">
        <f>IF(NOT(ISBLANK('A-RACHNATMAK'!L730)),"A",IF(NOT(ISBLANK('A-RACHNATMAK'!L729)),"B",IF(NOT(ISBLANK('A-RACHNATMAK'!L728)),"C","")))</f>
        <v/>
      </c>
      <c r="L689" s="622" t="str">
        <f>IF(NOT(ISBLANK('A-RACHNATMAK'!M730)),"A",IF(NOT(ISBLANK('A-RACHNATMAK'!M729)),"B",IF(NOT(ISBLANK('A-RACHNATMAK'!M728)),"C","")))</f>
        <v/>
      </c>
      <c r="M689" s="622" t="str">
        <f>IF(NOT(ISBLANK('A-RACHNATMAK'!N730)),"A",IF(NOT(ISBLANK('A-RACHNATMAK'!N729)),"B",IF(NOT(ISBLANK('A-RACHNATMAK'!N728)),"C","")))</f>
        <v/>
      </c>
      <c r="N689" s="622" t="str">
        <f>IF(NOT(ISBLANK('A-RACHNATMAK'!O730)),"A",IF(NOT(ISBLANK('A-RACHNATMAK'!O729)),"B",IF(NOT(ISBLANK('A-RACHNATMAK'!O728)),"C","")))</f>
        <v/>
      </c>
      <c r="O689" s="622" t="str">
        <f>IF(NOT(ISBLANK('A-RACHNATMAK'!P730)),"A",IF(NOT(ISBLANK('A-RACHNATMAK'!P729)),"B",IF(NOT(ISBLANK('A-RACHNATMAK'!P728)),"C","")))</f>
        <v/>
      </c>
      <c r="P689" s="622" t="str">
        <f>IF(NOT(ISBLANK('A-RACHNATMAK'!Q730)),"A",IF(NOT(ISBLANK('A-RACHNATMAK'!Q729)),"B",IF(NOT(ISBLANK('A-RACHNATMAK'!Q728)),"C","")))</f>
        <v/>
      </c>
      <c r="Q689" s="622" t="str">
        <f>IF(NOT(ISBLANK('A-RACHNATMAK'!R730)),"A",IF(NOT(ISBLANK('A-RACHNATMAK'!R729)),"B",IF(NOT(ISBLANK('A-RACHNATMAK'!R728)),"C","")))</f>
        <v/>
      </c>
      <c r="R689" s="622" t="str">
        <f>IF(NOT(ISBLANK('A-RACHNATMAK'!S730)),"A",IF(NOT(ISBLANK('A-RACHNATMAK'!S729)),"B",IF(NOT(ISBLANK('A-RACHNATMAK'!S728)),"C","")))</f>
        <v/>
      </c>
      <c r="S689" s="622" t="str">
        <f>IF(NOT(ISBLANK('A-RACHNATMAK'!T730)),"A",IF(NOT(ISBLANK('A-RACHNATMAK'!T729)),"B",IF(NOT(ISBLANK('A-RACHNATMAK'!T728)),"C","")))</f>
        <v/>
      </c>
      <c r="T689" s="622" t="str">
        <f>IF(NOT(ISBLANK('A-RACHNATMAK'!U730)),"A",IF(NOT(ISBLANK('A-RACHNATMAK'!U729)),"B",IF(NOT(ISBLANK('A-RACHNATMAK'!U728)),"C","")))</f>
        <v/>
      </c>
      <c r="U689" s="622" t="str">
        <f>IF(NOT(ISBLANK('A-RACHNATMAK'!V730)),"A",IF(NOT(ISBLANK('A-RACHNATMAK'!V729)),"B",IF(NOT(ISBLANK('A-RACHNATMAK'!V728)),"C","")))</f>
        <v/>
      </c>
      <c r="V689" s="622">
        <f t="shared" ref="V689" si="1308">COUNTIF(B689:U689,"A")</f>
        <v>0</v>
      </c>
      <c r="W689" s="622">
        <f t="shared" ref="W689" si="1309">COUNTIF(B689:U689,"B")</f>
        <v>0</v>
      </c>
      <c r="X689" s="622">
        <f t="shared" ref="X689" si="1310">COUNTIF(B689:U689,"C")</f>
        <v>0</v>
      </c>
      <c r="Y689" s="330"/>
      <c r="Z689" s="623">
        <v>16</v>
      </c>
      <c r="AA689" s="622" t="str">
        <f>IF(NOT(ISBLANK('A-RACHNATMAK'!AD730)),"A",IF(NOT(ISBLANK('A-RACHNATMAK'!AD729)),"B",IF(NOT(ISBLANK('A-RACHNATMAK'!AD728)),"C","")))</f>
        <v/>
      </c>
      <c r="AB689" s="622" t="str">
        <f>IF(NOT(ISBLANK('A-RACHNATMAK'!AE730)),"A",IF(NOT(ISBLANK('A-RACHNATMAK'!AE729)),"B",IF(NOT(ISBLANK('A-RACHNATMAK'!AE728)),"C","")))</f>
        <v/>
      </c>
      <c r="AC689" s="622" t="str">
        <f>IF(NOT(ISBLANK('A-RACHNATMAK'!AF730)),"A",IF(NOT(ISBLANK('A-RACHNATMAK'!AF729)),"B",IF(NOT(ISBLANK('A-RACHNATMAK'!AF728)),"C","")))</f>
        <v/>
      </c>
      <c r="AD689" s="622" t="str">
        <f>IF(NOT(ISBLANK('A-RACHNATMAK'!AG730)),"A",IF(NOT(ISBLANK('A-RACHNATMAK'!AG729)),"B",IF(NOT(ISBLANK('A-RACHNATMAK'!AG728)),"C","")))</f>
        <v/>
      </c>
      <c r="AE689" s="622" t="str">
        <f>IF(NOT(ISBLANK('A-RACHNATMAK'!AH730)),"A",IF(NOT(ISBLANK('A-RACHNATMAK'!AH729)),"B",IF(NOT(ISBLANK('A-RACHNATMAK'!AH728)),"C","")))</f>
        <v/>
      </c>
      <c r="AF689" s="622" t="str">
        <f>IF(NOT(ISBLANK('A-RACHNATMAK'!AI730)),"A",IF(NOT(ISBLANK('A-RACHNATMAK'!AI729)),"B",IF(NOT(ISBLANK('A-RACHNATMAK'!AI728)),"C","")))</f>
        <v/>
      </c>
      <c r="AG689" s="622" t="str">
        <f>IF(NOT(ISBLANK('A-RACHNATMAK'!AJ730)),"A",IF(NOT(ISBLANK('A-RACHNATMAK'!AJ729)),"B",IF(NOT(ISBLANK('A-RACHNATMAK'!AJ728)),"C","")))</f>
        <v/>
      </c>
      <c r="AH689" s="622" t="str">
        <f>IF(NOT(ISBLANK('A-RACHNATMAK'!AK730)),"A",IF(NOT(ISBLANK('A-RACHNATMAK'!AK729)),"B",IF(NOT(ISBLANK('A-RACHNATMAK'!AK728)),"C","")))</f>
        <v/>
      </c>
      <c r="AI689" s="622" t="str">
        <f>IF(NOT(ISBLANK('A-RACHNATMAK'!AL730)),"A",IF(NOT(ISBLANK('A-RACHNATMAK'!AL729)),"B",IF(NOT(ISBLANK('A-RACHNATMAK'!AL728)),"C","")))</f>
        <v/>
      </c>
      <c r="AJ689" s="622" t="str">
        <f>IF(NOT(ISBLANK('A-RACHNATMAK'!AM730)),"A",IF(NOT(ISBLANK('A-RACHNATMAK'!AM729)),"B",IF(NOT(ISBLANK('A-RACHNATMAK'!AM728)),"C","")))</f>
        <v/>
      </c>
      <c r="AK689" s="622" t="str">
        <f>IF(NOT(ISBLANK('A-RACHNATMAK'!AN730)),"A",IF(NOT(ISBLANK('A-RACHNATMAK'!AN729)),"B",IF(NOT(ISBLANK('A-RACHNATMAK'!AN728)),"C","")))</f>
        <v/>
      </c>
      <c r="AL689" s="622" t="str">
        <f>IF(NOT(ISBLANK('A-RACHNATMAK'!AO730)),"A",IF(NOT(ISBLANK('A-RACHNATMAK'!AO729)),"B",IF(NOT(ISBLANK('A-RACHNATMAK'!AO728)),"C","")))</f>
        <v/>
      </c>
      <c r="AM689" s="622" t="str">
        <f>IF(NOT(ISBLANK('A-RACHNATMAK'!AP730)),"A",IF(NOT(ISBLANK('A-RACHNATMAK'!AP729)),"B",IF(NOT(ISBLANK('A-RACHNATMAK'!AP728)),"C","")))</f>
        <v/>
      </c>
      <c r="AN689" s="622" t="str">
        <f>IF(NOT(ISBLANK('A-RACHNATMAK'!AQ730)),"A",IF(NOT(ISBLANK('A-RACHNATMAK'!AQ729)),"B",IF(NOT(ISBLANK('A-RACHNATMAK'!AQ728)),"C","")))</f>
        <v/>
      </c>
      <c r="AO689" s="622" t="str">
        <f>IF(NOT(ISBLANK('A-RACHNATMAK'!AR730)),"A",IF(NOT(ISBLANK('A-RACHNATMAK'!AR729)),"B",IF(NOT(ISBLANK('A-RACHNATMAK'!AR728)),"C","")))</f>
        <v/>
      </c>
      <c r="AP689" s="622" t="str">
        <f>IF(NOT(ISBLANK('A-RACHNATMAK'!AS730)),"A",IF(NOT(ISBLANK('A-RACHNATMAK'!AS729)),"B",IF(NOT(ISBLANK('A-RACHNATMAK'!AS728)),"C","")))</f>
        <v/>
      </c>
      <c r="AQ689" s="622" t="str">
        <f>IF(NOT(ISBLANK('A-RACHNATMAK'!AT730)),"A",IF(NOT(ISBLANK('A-RACHNATMAK'!AT729)),"B",IF(NOT(ISBLANK('A-RACHNATMAK'!AT728)),"C","")))</f>
        <v/>
      </c>
      <c r="AR689" s="622" t="str">
        <f>IF(NOT(ISBLANK('A-RACHNATMAK'!AU730)),"A",IF(NOT(ISBLANK('A-RACHNATMAK'!AU729)),"B",IF(NOT(ISBLANK('A-RACHNATMAK'!AU728)),"C","")))</f>
        <v/>
      </c>
      <c r="AS689" s="622" t="str">
        <f>IF(NOT(ISBLANK('A-RACHNATMAK'!AV730)),"A",IF(NOT(ISBLANK('A-RACHNATMAK'!AV729)),"B",IF(NOT(ISBLANK('A-RACHNATMAK'!AV728)),"C","")))</f>
        <v/>
      </c>
      <c r="AT689" s="622" t="str">
        <f>IF(NOT(ISBLANK('A-RACHNATMAK'!AW730)),"A",IF(NOT(ISBLANK('A-RACHNATMAK'!AW729)),"B",IF(NOT(ISBLANK('A-RACHNATMAK'!AW728)),"C","")))</f>
        <v/>
      </c>
      <c r="AU689" s="622">
        <f t="shared" ref="AU689" si="1311">COUNTIF(AA689:AT689,"A")</f>
        <v>0</v>
      </c>
      <c r="AV689" s="622">
        <f t="shared" ref="AV689" si="1312">COUNTIF(AA689:AT689,"B")</f>
        <v>0</v>
      </c>
      <c r="AW689" s="622">
        <f t="shared" ref="AW689" si="1313">COUNTIF(AA689:AT689,"C")</f>
        <v>0</v>
      </c>
    </row>
    <row r="690" spans="1:49" ht="7.5" customHeight="1">
      <c r="A690" s="623"/>
      <c r="B690" s="622"/>
      <c r="C690" s="622"/>
      <c r="D690" s="622"/>
      <c r="E690" s="622"/>
      <c r="F690" s="622"/>
      <c r="G690" s="622"/>
      <c r="H690" s="622"/>
      <c r="I690" s="622"/>
      <c r="J690" s="622"/>
      <c r="K690" s="622"/>
      <c r="L690" s="622"/>
      <c r="M690" s="622"/>
      <c r="N690" s="622"/>
      <c r="O690" s="622"/>
      <c r="P690" s="622"/>
      <c r="Q690" s="622"/>
      <c r="R690" s="622"/>
      <c r="S690" s="622"/>
      <c r="T690" s="622"/>
      <c r="U690" s="622"/>
      <c r="V690" s="622"/>
      <c r="W690" s="622"/>
      <c r="X690" s="622"/>
      <c r="Y690" s="330"/>
      <c r="Z690" s="623"/>
      <c r="AA690" s="622"/>
      <c r="AB690" s="622"/>
      <c r="AC690" s="622"/>
      <c r="AD690" s="622"/>
      <c r="AE690" s="622"/>
      <c r="AF690" s="622"/>
      <c r="AG690" s="622"/>
      <c r="AH690" s="622"/>
      <c r="AI690" s="622"/>
      <c r="AJ690" s="622"/>
      <c r="AK690" s="622"/>
      <c r="AL690" s="622"/>
      <c r="AM690" s="622"/>
      <c r="AN690" s="622"/>
      <c r="AO690" s="622"/>
      <c r="AP690" s="622"/>
      <c r="AQ690" s="622"/>
      <c r="AR690" s="622"/>
      <c r="AS690" s="622"/>
      <c r="AT690" s="622"/>
      <c r="AU690" s="622"/>
      <c r="AV690" s="622"/>
      <c r="AW690" s="622"/>
    </row>
    <row r="691" spans="1:49" ht="7.5" customHeight="1">
      <c r="A691" s="623"/>
      <c r="B691" s="622"/>
      <c r="C691" s="622"/>
      <c r="D691" s="622"/>
      <c r="E691" s="622"/>
      <c r="F691" s="622"/>
      <c r="G691" s="622"/>
      <c r="H691" s="622"/>
      <c r="I691" s="622"/>
      <c r="J691" s="622"/>
      <c r="K691" s="622"/>
      <c r="L691" s="622"/>
      <c r="M691" s="622"/>
      <c r="N691" s="622"/>
      <c r="O691" s="622"/>
      <c r="P691" s="622"/>
      <c r="Q691" s="622"/>
      <c r="R691" s="622"/>
      <c r="S691" s="622"/>
      <c r="T691" s="622"/>
      <c r="U691" s="622"/>
      <c r="V691" s="622"/>
      <c r="W691" s="622"/>
      <c r="X691" s="622"/>
      <c r="Y691" s="330"/>
      <c r="Z691" s="623"/>
      <c r="AA691" s="622"/>
      <c r="AB691" s="622"/>
      <c r="AC691" s="622"/>
      <c r="AD691" s="622"/>
      <c r="AE691" s="622"/>
      <c r="AF691" s="622"/>
      <c r="AG691" s="622"/>
      <c r="AH691" s="622"/>
      <c r="AI691" s="622"/>
      <c r="AJ691" s="622"/>
      <c r="AK691" s="622"/>
      <c r="AL691" s="622"/>
      <c r="AM691" s="622"/>
      <c r="AN691" s="622"/>
      <c r="AO691" s="622"/>
      <c r="AP691" s="622"/>
      <c r="AQ691" s="622"/>
      <c r="AR691" s="622"/>
      <c r="AS691" s="622"/>
      <c r="AT691" s="622"/>
      <c r="AU691" s="622"/>
      <c r="AV691" s="622"/>
      <c r="AW691" s="622"/>
    </row>
    <row r="692" spans="1:49" ht="7.5" customHeight="1">
      <c r="A692" s="623">
        <v>17</v>
      </c>
      <c r="B692" s="622" t="str">
        <f>IF(NOT(ISBLANK('A-RACHNATMAK'!C733)),"A",IF(NOT(ISBLANK('A-RACHNATMAK'!C732)),"B",IF(NOT(ISBLANK('A-RACHNATMAK'!C731)),"C","")))</f>
        <v/>
      </c>
      <c r="C692" s="622" t="str">
        <f>IF(NOT(ISBLANK('A-RACHNATMAK'!D733)),"A",IF(NOT(ISBLANK('A-RACHNATMAK'!D732)),"B",IF(NOT(ISBLANK('A-RACHNATMAK'!D731)),"C","")))</f>
        <v/>
      </c>
      <c r="D692" s="622" t="str">
        <f>IF(NOT(ISBLANK('A-RACHNATMAK'!E733)),"A",IF(NOT(ISBLANK('A-RACHNATMAK'!E732)),"B",IF(NOT(ISBLANK('A-RACHNATMAK'!E731)),"C","")))</f>
        <v/>
      </c>
      <c r="E692" s="622" t="str">
        <f>IF(NOT(ISBLANK('A-RACHNATMAK'!F733)),"A",IF(NOT(ISBLANK('A-RACHNATMAK'!F732)),"B",IF(NOT(ISBLANK('A-RACHNATMAK'!F731)),"C","")))</f>
        <v/>
      </c>
      <c r="F692" s="622" t="str">
        <f>IF(NOT(ISBLANK('A-RACHNATMAK'!G733)),"A",IF(NOT(ISBLANK('A-RACHNATMAK'!G732)),"B",IF(NOT(ISBLANK('A-RACHNATMAK'!G731)),"C","")))</f>
        <v/>
      </c>
      <c r="G692" s="622" t="str">
        <f>IF(NOT(ISBLANK('A-RACHNATMAK'!H733)),"A",IF(NOT(ISBLANK('A-RACHNATMAK'!H732)),"B",IF(NOT(ISBLANK('A-RACHNATMAK'!H731)),"C","")))</f>
        <v/>
      </c>
      <c r="H692" s="622" t="str">
        <f>IF(NOT(ISBLANK('A-RACHNATMAK'!I733)),"A",IF(NOT(ISBLANK('A-RACHNATMAK'!I732)),"B",IF(NOT(ISBLANK('A-RACHNATMAK'!I731)),"C","")))</f>
        <v/>
      </c>
      <c r="I692" s="622" t="str">
        <f>IF(NOT(ISBLANK('A-RACHNATMAK'!J733)),"A",IF(NOT(ISBLANK('A-RACHNATMAK'!J732)),"B",IF(NOT(ISBLANK('A-RACHNATMAK'!J731)),"C","")))</f>
        <v/>
      </c>
      <c r="J692" s="622" t="str">
        <f>IF(NOT(ISBLANK('A-RACHNATMAK'!K733)),"A",IF(NOT(ISBLANK('A-RACHNATMAK'!K732)),"B",IF(NOT(ISBLANK('A-RACHNATMAK'!K731)),"C","")))</f>
        <v/>
      </c>
      <c r="K692" s="622" t="str">
        <f>IF(NOT(ISBLANK('A-RACHNATMAK'!L733)),"A",IF(NOT(ISBLANK('A-RACHNATMAK'!L732)),"B",IF(NOT(ISBLANK('A-RACHNATMAK'!L731)),"C","")))</f>
        <v/>
      </c>
      <c r="L692" s="622" t="str">
        <f>IF(NOT(ISBLANK('A-RACHNATMAK'!M733)),"A",IF(NOT(ISBLANK('A-RACHNATMAK'!M732)),"B",IF(NOT(ISBLANK('A-RACHNATMAK'!M731)),"C","")))</f>
        <v/>
      </c>
      <c r="M692" s="622" t="str">
        <f>IF(NOT(ISBLANK('A-RACHNATMAK'!N733)),"A",IF(NOT(ISBLANK('A-RACHNATMAK'!N732)),"B",IF(NOT(ISBLANK('A-RACHNATMAK'!N731)),"C","")))</f>
        <v/>
      </c>
      <c r="N692" s="622" t="str">
        <f>IF(NOT(ISBLANK('A-RACHNATMAK'!O733)),"A",IF(NOT(ISBLANK('A-RACHNATMAK'!O732)),"B",IF(NOT(ISBLANK('A-RACHNATMAK'!O731)),"C","")))</f>
        <v/>
      </c>
      <c r="O692" s="622" t="str">
        <f>IF(NOT(ISBLANK('A-RACHNATMAK'!P733)),"A",IF(NOT(ISBLANK('A-RACHNATMAK'!P732)),"B",IF(NOT(ISBLANK('A-RACHNATMAK'!P731)),"C","")))</f>
        <v/>
      </c>
      <c r="P692" s="622" t="str">
        <f>IF(NOT(ISBLANK('A-RACHNATMAK'!Q733)),"A",IF(NOT(ISBLANK('A-RACHNATMAK'!Q732)),"B",IF(NOT(ISBLANK('A-RACHNATMAK'!Q731)),"C","")))</f>
        <v/>
      </c>
      <c r="Q692" s="622" t="str">
        <f>IF(NOT(ISBLANK('A-RACHNATMAK'!R733)),"A",IF(NOT(ISBLANK('A-RACHNATMAK'!R732)),"B",IF(NOT(ISBLANK('A-RACHNATMAK'!R731)),"C","")))</f>
        <v/>
      </c>
      <c r="R692" s="622" t="str">
        <f>IF(NOT(ISBLANK('A-RACHNATMAK'!S733)),"A",IF(NOT(ISBLANK('A-RACHNATMAK'!S732)),"B",IF(NOT(ISBLANK('A-RACHNATMAK'!S731)),"C","")))</f>
        <v/>
      </c>
      <c r="S692" s="622" t="str">
        <f>IF(NOT(ISBLANK('A-RACHNATMAK'!T733)),"A",IF(NOT(ISBLANK('A-RACHNATMAK'!T732)),"B",IF(NOT(ISBLANK('A-RACHNATMAK'!T731)),"C","")))</f>
        <v/>
      </c>
      <c r="T692" s="622" t="str">
        <f>IF(NOT(ISBLANK('A-RACHNATMAK'!U733)),"A",IF(NOT(ISBLANK('A-RACHNATMAK'!U732)),"B",IF(NOT(ISBLANK('A-RACHNATMAK'!U731)),"C","")))</f>
        <v/>
      </c>
      <c r="U692" s="622" t="str">
        <f>IF(NOT(ISBLANK('A-RACHNATMAK'!V733)),"A",IF(NOT(ISBLANK('A-RACHNATMAK'!V732)),"B",IF(NOT(ISBLANK('A-RACHNATMAK'!V731)),"C","")))</f>
        <v/>
      </c>
      <c r="V692" s="622">
        <f t="shared" ref="V692" si="1314">COUNTIF(B692:U692,"A")</f>
        <v>0</v>
      </c>
      <c r="W692" s="622">
        <f t="shared" ref="W692" si="1315">COUNTIF(B692:U692,"B")</f>
        <v>0</v>
      </c>
      <c r="X692" s="622">
        <f t="shared" ref="X692" si="1316">COUNTIF(B692:U692,"C")</f>
        <v>0</v>
      </c>
      <c r="Y692" s="330"/>
      <c r="Z692" s="623">
        <v>17</v>
      </c>
      <c r="AA692" s="622" t="str">
        <f>IF(NOT(ISBLANK('A-RACHNATMAK'!AD733)),"A",IF(NOT(ISBLANK('A-RACHNATMAK'!AD732)),"B",IF(NOT(ISBLANK('A-RACHNATMAK'!AD731)),"C","")))</f>
        <v/>
      </c>
      <c r="AB692" s="622" t="str">
        <f>IF(NOT(ISBLANK('A-RACHNATMAK'!AE733)),"A",IF(NOT(ISBLANK('A-RACHNATMAK'!AE732)),"B",IF(NOT(ISBLANK('A-RACHNATMAK'!AE731)),"C","")))</f>
        <v/>
      </c>
      <c r="AC692" s="622" t="str">
        <f>IF(NOT(ISBLANK('A-RACHNATMAK'!AF733)),"A",IF(NOT(ISBLANK('A-RACHNATMAK'!AF732)),"B",IF(NOT(ISBLANK('A-RACHNATMAK'!AF731)),"C","")))</f>
        <v/>
      </c>
      <c r="AD692" s="622" t="str">
        <f>IF(NOT(ISBLANK('A-RACHNATMAK'!AG733)),"A",IF(NOT(ISBLANK('A-RACHNATMAK'!AG732)),"B",IF(NOT(ISBLANK('A-RACHNATMAK'!AG731)),"C","")))</f>
        <v/>
      </c>
      <c r="AE692" s="622" t="str">
        <f>IF(NOT(ISBLANK('A-RACHNATMAK'!AH733)),"A",IF(NOT(ISBLANK('A-RACHNATMAK'!AH732)),"B",IF(NOT(ISBLANK('A-RACHNATMAK'!AH731)),"C","")))</f>
        <v/>
      </c>
      <c r="AF692" s="622" t="str">
        <f>IF(NOT(ISBLANK('A-RACHNATMAK'!AI733)),"A",IF(NOT(ISBLANK('A-RACHNATMAK'!AI732)),"B",IF(NOT(ISBLANK('A-RACHNATMAK'!AI731)),"C","")))</f>
        <v/>
      </c>
      <c r="AG692" s="622" t="str">
        <f>IF(NOT(ISBLANK('A-RACHNATMAK'!AJ733)),"A",IF(NOT(ISBLANK('A-RACHNATMAK'!AJ732)),"B",IF(NOT(ISBLANK('A-RACHNATMAK'!AJ731)),"C","")))</f>
        <v/>
      </c>
      <c r="AH692" s="622" t="str">
        <f>IF(NOT(ISBLANK('A-RACHNATMAK'!AK733)),"A",IF(NOT(ISBLANK('A-RACHNATMAK'!AK732)),"B",IF(NOT(ISBLANK('A-RACHNATMAK'!AK731)),"C","")))</f>
        <v/>
      </c>
      <c r="AI692" s="622" t="str">
        <f>IF(NOT(ISBLANK('A-RACHNATMAK'!AL733)),"A",IF(NOT(ISBLANK('A-RACHNATMAK'!AL732)),"B",IF(NOT(ISBLANK('A-RACHNATMAK'!AL731)),"C","")))</f>
        <v/>
      </c>
      <c r="AJ692" s="622" t="str">
        <f>IF(NOT(ISBLANK('A-RACHNATMAK'!AM733)),"A",IF(NOT(ISBLANK('A-RACHNATMAK'!AM732)),"B",IF(NOT(ISBLANK('A-RACHNATMAK'!AM731)),"C","")))</f>
        <v/>
      </c>
      <c r="AK692" s="622" t="str">
        <f>IF(NOT(ISBLANK('A-RACHNATMAK'!AN733)),"A",IF(NOT(ISBLANK('A-RACHNATMAK'!AN732)),"B",IF(NOT(ISBLANK('A-RACHNATMAK'!AN731)),"C","")))</f>
        <v/>
      </c>
      <c r="AL692" s="622" t="str">
        <f>IF(NOT(ISBLANK('A-RACHNATMAK'!AO733)),"A",IF(NOT(ISBLANK('A-RACHNATMAK'!AO732)),"B",IF(NOT(ISBLANK('A-RACHNATMAK'!AO731)),"C","")))</f>
        <v/>
      </c>
      <c r="AM692" s="622" t="str">
        <f>IF(NOT(ISBLANK('A-RACHNATMAK'!AP733)),"A",IF(NOT(ISBLANK('A-RACHNATMAK'!AP732)),"B",IF(NOT(ISBLANK('A-RACHNATMAK'!AP731)),"C","")))</f>
        <v/>
      </c>
      <c r="AN692" s="622" t="str">
        <f>IF(NOT(ISBLANK('A-RACHNATMAK'!AQ733)),"A",IF(NOT(ISBLANK('A-RACHNATMAK'!AQ732)),"B",IF(NOT(ISBLANK('A-RACHNATMAK'!AQ731)),"C","")))</f>
        <v/>
      </c>
      <c r="AO692" s="622" t="str">
        <f>IF(NOT(ISBLANK('A-RACHNATMAK'!AR733)),"A",IF(NOT(ISBLANK('A-RACHNATMAK'!AR732)),"B",IF(NOT(ISBLANK('A-RACHNATMAK'!AR731)),"C","")))</f>
        <v/>
      </c>
      <c r="AP692" s="622" t="str">
        <f>IF(NOT(ISBLANK('A-RACHNATMAK'!AS733)),"A",IF(NOT(ISBLANK('A-RACHNATMAK'!AS732)),"B",IF(NOT(ISBLANK('A-RACHNATMAK'!AS731)),"C","")))</f>
        <v/>
      </c>
      <c r="AQ692" s="622" t="str">
        <f>IF(NOT(ISBLANK('A-RACHNATMAK'!AT733)),"A",IF(NOT(ISBLANK('A-RACHNATMAK'!AT732)),"B",IF(NOT(ISBLANK('A-RACHNATMAK'!AT731)),"C","")))</f>
        <v/>
      </c>
      <c r="AR692" s="622" t="str">
        <f>IF(NOT(ISBLANK('A-RACHNATMAK'!AU733)),"A",IF(NOT(ISBLANK('A-RACHNATMAK'!AU732)),"B",IF(NOT(ISBLANK('A-RACHNATMAK'!AU731)),"C","")))</f>
        <v/>
      </c>
      <c r="AS692" s="622" t="str">
        <f>IF(NOT(ISBLANK('A-RACHNATMAK'!AV733)),"A",IF(NOT(ISBLANK('A-RACHNATMAK'!AV732)),"B",IF(NOT(ISBLANK('A-RACHNATMAK'!AV731)),"C","")))</f>
        <v/>
      </c>
      <c r="AT692" s="622" t="str">
        <f>IF(NOT(ISBLANK('A-RACHNATMAK'!AW733)),"A",IF(NOT(ISBLANK('A-RACHNATMAK'!AW732)),"B",IF(NOT(ISBLANK('A-RACHNATMAK'!AW731)),"C","")))</f>
        <v/>
      </c>
      <c r="AU692" s="622">
        <f t="shared" ref="AU692" si="1317">COUNTIF(AA692:AT692,"A")</f>
        <v>0</v>
      </c>
      <c r="AV692" s="622">
        <f t="shared" ref="AV692" si="1318">COUNTIF(AA692:AT692,"B")</f>
        <v>0</v>
      </c>
      <c r="AW692" s="622">
        <f t="shared" ref="AW692" si="1319">COUNTIF(AA692:AT692,"C")</f>
        <v>0</v>
      </c>
    </row>
    <row r="693" spans="1:49" ht="7.5" customHeight="1">
      <c r="A693" s="623"/>
      <c r="B693" s="622"/>
      <c r="C693" s="622"/>
      <c r="D693" s="622"/>
      <c r="E693" s="622"/>
      <c r="F693" s="622"/>
      <c r="G693" s="622"/>
      <c r="H693" s="622"/>
      <c r="I693" s="622"/>
      <c r="J693" s="622"/>
      <c r="K693" s="622"/>
      <c r="L693" s="622"/>
      <c r="M693" s="622"/>
      <c r="N693" s="622"/>
      <c r="O693" s="622"/>
      <c r="P693" s="622"/>
      <c r="Q693" s="622"/>
      <c r="R693" s="622"/>
      <c r="S693" s="622"/>
      <c r="T693" s="622"/>
      <c r="U693" s="622"/>
      <c r="V693" s="622"/>
      <c r="W693" s="622"/>
      <c r="X693" s="622"/>
      <c r="Y693" s="330"/>
      <c r="Z693" s="623"/>
      <c r="AA693" s="622"/>
      <c r="AB693" s="622"/>
      <c r="AC693" s="622"/>
      <c r="AD693" s="622"/>
      <c r="AE693" s="622"/>
      <c r="AF693" s="622"/>
      <c r="AG693" s="622"/>
      <c r="AH693" s="622"/>
      <c r="AI693" s="622"/>
      <c r="AJ693" s="622"/>
      <c r="AK693" s="622"/>
      <c r="AL693" s="622"/>
      <c r="AM693" s="622"/>
      <c r="AN693" s="622"/>
      <c r="AO693" s="622"/>
      <c r="AP693" s="622"/>
      <c r="AQ693" s="622"/>
      <c r="AR693" s="622"/>
      <c r="AS693" s="622"/>
      <c r="AT693" s="622"/>
      <c r="AU693" s="622"/>
      <c r="AV693" s="622"/>
      <c r="AW693" s="622"/>
    </row>
    <row r="694" spans="1:49" ht="7.5" customHeight="1">
      <c r="A694" s="623"/>
      <c r="B694" s="622"/>
      <c r="C694" s="622"/>
      <c r="D694" s="622"/>
      <c r="E694" s="622"/>
      <c r="F694" s="622"/>
      <c r="G694" s="622"/>
      <c r="H694" s="622"/>
      <c r="I694" s="622"/>
      <c r="J694" s="622"/>
      <c r="K694" s="622"/>
      <c r="L694" s="622"/>
      <c r="M694" s="622"/>
      <c r="N694" s="622"/>
      <c r="O694" s="622"/>
      <c r="P694" s="622"/>
      <c r="Q694" s="622"/>
      <c r="R694" s="622"/>
      <c r="S694" s="622"/>
      <c r="T694" s="622"/>
      <c r="U694" s="622"/>
      <c r="V694" s="622"/>
      <c r="W694" s="622"/>
      <c r="X694" s="622"/>
      <c r="Y694" s="330"/>
      <c r="Z694" s="623"/>
      <c r="AA694" s="622"/>
      <c r="AB694" s="622"/>
      <c r="AC694" s="622"/>
      <c r="AD694" s="622"/>
      <c r="AE694" s="622"/>
      <c r="AF694" s="622"/>
      <c r="AG694" s="622"/>
      <c r="AH694" s="622"/>
      <c r="AI694" s="622"/>
      <c r="AJ694" s="622"/>
      <c r="AK694" s="622"/>
      <c r="AL694" s="622"/>
      <c r="AM694" s="622"/>
      <c r="AN694" s="622"/>
      <c r="AO694" s="622"/>
      <c r="AP694" s="622"/>
      <c r="AQ694" s="622"/>
      <c r="AR694" s="622"/>
      <c r="AS694" s="622"/>
      <c r="AT694" s="622"/>
      <c r="AU694" s="622"/>
      <c r="AV694" s="622"/>
      <c r="AW694" s="622"/>
    </row>
    <row r="695" spans="1:49" ht="7.5" customHeight="1">
      <c r="A695" s="623">
        <v>18</v>
      </c>
      <c r="B695" s="622" t="str">
        <f>IF(NOT(ISBLANK('A-RACHNATMAK'!C736)),"A",IF(NOT(ISBLANK('A-RACHNATMAK'!C735)),"B",IF(NOT(ISBLANK('A-RACHNATMAK'!C734)),"C","")))</f>
        <v/>
      </c>
      <c r="C695" s="622" t="str">
        <f>IF(NOT(ISBLANK('A-RACHNATMAK'!D736)),"A",IF(NOT(ISBLANK('A-RACHNATMAK'!D735)),"B",IF(NOT(ISBLANK('A-RACHNATMAK'!D734)),"C","")))</f>
        <v/>
      </c>
      <c r="D695" s="622" t="str">
        <f>IF(NOT(ISBLANK('A-RACHNATMAK'!E736)),"A",IF(NOT(ISBLANK('A-RACHNATMAK'!E735)),"B",IF(NOT(ISBLANK('A-RACHNATMAK'!E734)),"C","")))</f>
        <v/>
      </c>
      <c r="E695" s="622" t="str">
        <f>IF(NOT(ISBLANK('A-RACHNATMAK'!F736)),"A",IF(NOT(ISBLANK('A-RACHNATMAK'!F735)),"B",IF(NOT(ISBLANK('A-RACHNATMAK'!F734)),"C","")))</f>
        <v/>
      </c>
      <c r="F695" s="622" t="str">
        <f>IF(NOT(ISBLANK('A-RACHNATMAK'!G736)),"A",IF(NOT(ISBLANK('A-RACHNATMAK'!G735)),"B",IF(NOT(ISBLANK('A-RACHNATMAK'!G734)),"C","")))</f>
        <v/>
      </c>
      <c r="G695" s="622" t="str">
        <f>IF(NOT(ISBLANK('A-RACHNATMAK'!H736)),"A",IF(NOT(ISBLANK('A-RACHNATMAK'!H735)),"B",IF(NOT(ISBLANK('A-RACHNATMAK'!H734)),"C","")))</f>
        <v/>
      </c>
      <c r="H695" s="622" t="str">
        <f>IF(NOT(ISBLANK('A-RACHNATMAK'!I736)),"A",IF(NOT(ISBLANK('A-RACHNATMAK'!I735)),"B",IF(NOT(ISBLANK('A-RACHNATMAK'!I734)),"C","")))</f>
        <v/>
      </c>
      <c r="I695" s="622" t="str">
        <f>IF(NOT(ISBLANK('A-RACHNATMAK'!J736)),"A",IF(NOT(ISBLANK('A-RACHNATMAK'!J735)),"B",IF(NOT(ISBLANK('A-RACHNATMAK'!J734)),"C","")))</f>
        <v/>
      </c>
      <c r="J695" s="622" t="str">
        <f>IF(NOT(ISBLANK('A-RACHNATMAK'!K736)),"A",IF(NOT(ISBLANK('A-RACHNATMAK'!K735)),"B",IF(NOT(ISBLANK('A-RACHNATMAK'!K734)),"C","")))</f>
        <v/>
      </c>
      <c r="K695" s="622" t="str">
        <f>IF(NOT(ISBLANK('A-RACHNATMAK'!L736)),"A",IF(NOT(ISBLANK('A-RACHNATMAK'!L735)),"B",IF(NOT(ISBLANK('A-RACHNATMAK'!L734)),"C","")))</f>
        <v/>
      </c>
      <c r="L695" s="622" t="str">
        <f>IF(NOT(ISBLANK('A-RACHNATMAK'!M736)),"A",IF(NOT(ISBLANK('A-RACHNATMAK'!M735)),"B",IF(NOT(ISBLANK('A-RACHNATMAK'!M734)),"C","")))</f>
        <v/>
      </c>
      <c r="M695" s="622" t="str">
        <f>IF(NOT(ISBLANK('A-RACHNATMAK'!N736)),"A",IF(NOT(ISBLANK('A-RACHNATMAK'!N735)),"B",IF(NOT(ISBLANK('A-RACHNATMAK'!N734)),"C","")))</f>
        <v/>
      </c>
      <c r="N695" s="622" t="str">
        <f>IF(NOT(ISBLANK('A-RACHNATMAK'!O736)),"A",IF(NOT(ISBLANK('A-RACHNATMAK'!O735)),"B",IF(NOT(ISBLANK('A-RACHNATMAK'!O734)),"C","")))</f>
        <v/>
      </c>
      <c r="O695" s="622" t="str">
        <f>IF(NOT(ISBLANK('A-RACHNATMAK'!P736)),"A",IF(NOT(ISBLANK('A-RACHNATMAK'!P735)),"B",IF(NOT(ISBLANK('A-RACHNATMAK'!P734)),"C","")))</f>
        <v/>
      </c>
      <c r="P695" s="622" t="str">
        <f>IF(NOT(ISBLANK('A-RACHNATMAK'!Q736)),"A",IF(NOT(ISBLANK('A-RACHNATMAK'!Q735)),"B",IF(NOT(ISBLANK('A-RACHNATMAK'!Q734)),"C","")))</f>
        <v/>
      </c>
      <c r="Q695" s="622" t="str">
        <f>IF(NOT(ISBLANK('A-RACHNATMAK'!R736)),"A",IF(NOT(ISBLANK('A-RACHNATMAK'!R735)),"B",IF(NOT(ISBLANK('A-RACHNATMAK'!R734)),"C","")))</f>
        <v/>
      </c>
      <c r="R695" s="622" t="str">
        <f>IF(NOT(ISBLANK('A-RACHNATMAK'!S736)),"A",IF(NOT(ISBLANK('A-RACHNATMAK'!S735)),"B",IF(NOT(ISBLANK('A-RACHNATMAK'!S734)),"C","")))</f>
        <v/>
      </c>
      <c r="S695" s="622" t="str">
        <f>IF(NOT(ISBLANK('A-RACHNATMAK'!T736)),"A",IF(NOT(ISBLANK('A-RACHNATMAK'!T735)),"B",IF(NOT(ISBLANK('A-RACHNATMAK'!T734)),"C","")))</f>
        <v/>
      </c>
      <c r="T695" s="622" t="str">
        <f>IF(NOT(ISBLANK('A-RACHNATMAK'!U736)),"A",IF(NOT(ISBLANK('A-RACHNATMAK'!U735)),"B",IF(NOT(ISBLANK('A-RACHNATMAK'!U734)),"C","")))</f>
        <v/>
      </c>
      <c r="U695" s="622" t="str">
        <f>IF(NOT(ISBLANK('A-RACHNATMAK'!V736)),"A",IF(NOT(ISBLANK('A-RACHNATMAK'!V735)),"B",IF(NOT(ISBLANK('A-RACHNATMAK'!V734)),"C","")))</f>
        <v/>
      </c>
      <c r="V695" s="622">
        <f t="shared" ref="V695" si="1320">COUNTIF(B695:U695,"A")</f>
        <v>0</v>
      </c>
      <c r="W695" s="622">
        <f t="shared" ref="W695" si="1321">COUNTIF(B695:U695,"B")</f>
        <v>0</v>
      </c>
      <c r="X695" s="622">
        <f t="shared" ref="X695" si="1322">COUNTIF(B695:U695,"C")</f>
        <v>0</v>
      </c>
      <c r="Y695" s="330"/>
      <c r="Z695" s="623">
        <v>18</v>
      </c>
      <c r="AA695" s="622" t="str">
        <f>IF(NOT(ISBLANK('A-RACHNATMAK'!AD736)),"A",IF(NOT(ISBLANK('A-RACHNATMAK'!AD735)),"B",IF(NOT(ISBLANK('A-RACHNATMAK'!AD734)),"C","")))</f>
        <v/>
      </c>
      <c r="AB695" s="622" t="str">
        <f>IF(NOT(ISBLANK('A-RACHNATMAK'!AE736)),"A",IF(NOT(ISBLANK('A-RACHNATMAK'!AE735)),"B",IF(NOT(ISBLANK('A-RACHNATMAK'!AE734)),"C","")))</f>
        <v/>
      </c>
      <c r="AC695" s="622" t="str">
        <f>IF(NOT(ISBLANK('A-RACHNATMAK'!AF736)),"A",IF(NOT(ISBLANK('A-RACHNATMAK'!AF735)),"B",IF(NOT(ISBLANK('A-RACHNATMAK'!AF734)),"C","")))</f>
        <v/>
      </c>
      <c r="AD695" s="622" t="str">
        <f>IF(NOT(ISBLANK('A-RACHNATMAK'!AG736)),"A",IF(NOT(ISBLANK('A-RACHNATMAK'!AG735)),"B",IF(NOT(ISBLANK('A-RACHNATMAK'!AG734)),"C","")))</f>
        <v/>
      </c>
      <c r="AE695" s="622" t="str">
        <f>IF(NOT(ISBLANK('A-RACHNATMAK'!AH736)),"A",IF(NOT(ISBLANK('A-RACHNATMAK'!AH735)),"B",IF(NOT(ISBLANK('A-RACHNATMAK'!AH734)),"C","")))</f>
        <v/>
      </c>
      <c r="AF695" s="622" t="str">
        <f>IF(NOT(ISBLANK('A-RACHNATMAK'!AI736)),"A",IF(NOT(ISBLANK('A-RACHNATMAK'!AI735)),"B",IF(NOT(ISBLANK('A-RACHNATMAK'!AI734)),"C","")))</f>
        <v/>
      </c>
      <c r="AG695" s="622" t="str">
        <f>IF(NOT(ISBLANK('A-RACHNATMAK'!AJ736)),"A",IF(NOT(ISBLANK('A-RACHNATMAK'!AJ735)),"B",IF(NOT(ISBLANK('A-RACHNATMAK'!AJ734)),"C","")))</f>
        <v/>
      </c>
      <c r="AH695" s="622" t="str">
        <f>IF(NOT(ISBLANK('A-RACHNATMAK'!AK736)),"A",IF(NOT(ISBLANK('A-RACHNATMAK'!AK735)),"B",IF(NOT(ISBLANK('A-RACHNATMAK'!AK734)),"C","")))</f>
        <v/>
      </c>
      <c r="AI695" s="622" t="str">
        <f>IF(NOT(ISBLANK('A-RACHNATMAK'!AL736)),"A",IF(NOT(ISBLANK('A-RACHNATMAK'!AL735)),"B",IF(NOT(ISBLANK('A-RACHNATMAK'!AL734)),"C","")))</f>
        <v/>
      </c>
      <c r="AJ695" s="622" t="str">
        <f>IF(NOT(ISBLANK('A-RACHNATMAK'!AM736)),"A",IF(NOT(ISBLANK('A-RACHNATMAK'!AM735)),"B",IF(NOT(ISBLANK('A-RACHNATMAK'!AM734)),"C","")))</f>
        <v/>
      </c>
      <c r="AK695" s="622" t="str">
        <f>IF(NOT(ISBLANK('A-RACHNATMAK'!AN736)),"A",IF(NOT(ISBLANK('A-RACHNATMAK'!AN735)),"B",IF(NOT(ISBLANK('A-RACHNATMAK'!AN734)),"C","")))</f>
        <v/>
      </c>
      <c r="AL695" s="622" t="str">
        <f>IF(NOT(ISBLANK('A-RACHNATMAK'!AO736)),"A",IF(NOT(ISBLANK('A-RACHNATMAK'!AO735)),"B",IF(NOT(ISBLANK('A-RACHNATMAK'!AO734)),"C","")))</f>
        <v/>
      </c>
      <c r="AM695" s="622" t="str">
        <f>IF(NOT(ISBLANK('A-RACHNATMAK'!AP736)),"A",IF(NOT(ISBLANK('A-RACHNATMAK'!AP735)),"B",IF(NOT(ISBLANK('A-RACHNATMAK'!AP734)),"C","")))</f>
        <v/>
      </c>
      <c r="AN695" s="622" t="str">
        <f>IF(NOT(ISBLANK('A-RACHNATMAK'!AQ736)),"A",IF(NOT(ISBLANK('A-RACHNATMAK'!AQ735)),"B",IF(NOT(ISBLANK('A-RACHNATMAK'!AQ734)),"C","")))</f>
        <v/>
      </c>
      <c r="AO695" s="622" t="str">
        <f>IF(NOT(ISBLANK('A-RACHNATMAK'!AR736)),"A",IF(NOT(ISBLANK('A-RACHNATMAK'!AR735)),"B",IF(NOT(ISBLANK('A-RACHNATMAK'!AR734)),"C","")))</f>
        <v/>
      </c>
      <c r="AP695" s="622" t="str">
        <f>IF(NOT(ISBLANK('A-RACHNATMAK'!AS736)),"A",IF(NOT(ISBLANK('A-RACHNATMAK'!AS735)),"B",IF(NOT(ISBLANK('A-RACHNATMAK'!AS734)),"C","")))</f>
        <v/>
      </c>
      <c r="AQ695" s="622" t="str">
        <f>IF(NOT(ISBLANK('A-RACHNATMAK'!AT736)),"A",IF(NOT(ISBLANK('A-RACHNATMAK'!AT735)),"B",IF(NOT(ISBLANK('A-RACHNATMAK'!AT734)),"C","")))</f>
        <v/>
      </c>
      <c r="AR695" s="622" t="str">
        <f>IF(NOT(ISBLANK('A-RACHNATMAK'!AU736)),"A",IF(NOT(ISBLANK('A-RACHNATMAK'!AU735)),"B",IF(NOT(ISBLANK('A-RACHNATMAK'!AU734)),"C","")))</f>
        <v/>
      </c>
      <c r="AS695" s="622" t="str">
        <f>IF(NOT(ISBLANK('A-RACHNATMAK'!AV736)),"A",IF(NOT(ISBLANK('A-RACHNATMAK'!AV735)),"B",IF(NOT(ISBLANK('A-RACHNATMAK'!AV734)),"C","")))</f>
        <v/>
      </c>
      <c r="AT695" s="622" t="str">
        <f>IF(NOT(ISBLANK('A-RACHNATMAK'!AW736)),"A",IF(NOT(ISBLANK('A-RACHNATMAK'!AW735)),"B",IF(NOT(ISBLANK('A-RACHNATMAK'!AW734)),"C","")))</f>
        <v/>
      </c>
      <c r="AU695" s="622">
        <f t="shared" ref="AU695" si="1323">COUNTIF(AA695:AT695,"A")</f>
        <v>0</v>
      </c>
      <c r="AV695" s="622">
        <f t="shared" ref="AV695" si="1324">COUNTIF(AA695:AT695,"B")</f>
        <v>0</v>
      </c>
      <c r="AW695" s="622">
        <f t="shared" ref="AW695" si="1325">COUNTIF(AA695:AT695,"C")</f>
        <v>0</v>
      </c>
    </row>
    <row r="696" spans="1:49" ht="7.5" customHeight="1">
      <c r="A696" s="623"/>
      <c r="B696" s="622"/>
      <c r="C696" s="622"/>
      <c r="D696" s="622"/>
      <c r="E696" s="622"/>
      <c r="F696" s="622"/>
      <c r="G696" s="622"/>
      <c r="H696" s="622"/>
      <c r="I696" s="622"/>
      <c r="J696" s="622"/>
      <c r="K696" s="622"/>
      <c r="L696" s="622"/>
      <c r="M696" s="622"/>
      <c r="N696" s="622"/>
      <c r="O696" s="622"/>
      <c r="P696" s="622"/>
      <c r="Q696" s="622"/>
      <c r="R696" s="622"/>
      <c r="S696" s="622"/>
      <c r="T696" s="622"/>
      <c r="U696" s="622"/>
      <c r="V696" s="622"/>
      <c r="W696" s="622"/>
      <c r="X696" s="622"/>
      <c r="Y696" s="330"/>
      <c r="Z696" s="623"/>
      <c r="AA696" s="622"/>
      <c r="AB696" s="622"/>
      <c r="AC696" s="622"/>
      <c r="AD696" s="622"/>
      <c r="AE696" s="622"/>
      <c r="AF696" s="622"/>
      <c r="AG696" s="622"/>
      <c r="AH696" s="622"/>
      <c r="AI696" s="622"/>
      <c r="AJ696" s="622"/>
      <c r="AK696" s="622"/>
      <c r="AL696" s="622"/>
      <c r="AM696" s="622"/>
      <c r="AN696" s="622"/>
      <c r="AO696" s="622"/>
      <c r="AP696" s="622"/>
      <c r="AQ696" s="622"/>
      <c r="AR696" s="622"/>
      <c r="AS696" s="622"/>
      <c r="AT696" s="622"/>
      <c r="AU696" s="622"/>
      <c r="AV696" s="622"/>
      <c r="AW696" s="622"/>
    </row>
    <row r="697" spans="1:49" ht="7.5" customHeight="1">
      <c r="A697" s="623"/>
      <c r="B697" s="622"/>
      <c r="C697" s="622"/>
      <c r="D697" s="622"/>
      <c r="E697" s="622"/>
      <c r="F697" s="622"/>
      <c r="G697" s="622"/>
      <c r="H697" s="622"/>
      <c r="I697" s="622"/>
      <c r="J697" s="622"/>
      <c r="K697" s="622"/>
      <c r="L697" s="622"/>
      <c r="M697" s="622"/>
      <c r="N697" s="622"/>
      <c r="O697" s="622"/>
      <c r="P697" s="622"/>
      <c r="Q697" s="622"/>
      <c r="R697" s="622"/>
      <c r="S697" s="622"/>
      <c r="T697" s="622"/>
      <c r="U697" s="622"/>
      <c r="V697" s="622"/>
      <c r="W697" s="622"/>
      <c r="X697" s="622"/>
      <c r="Y697" s="330"/>
      <c r="Z697" s="623"/>
      <c r="AA697" s="622"/>
      <c r="AB697" s="622"/>
      <c r="AC697" s="622"/>
      <c r="AD697" s="622"/>
      <c r="AE697" s="622"/>
      <c r="AF697" s="622"/>
      <c r="AG697" s="622"/>
      <c r="AH697" s="622"/>
      <c r="AI697" s="622"/>
      <c r="AJ697" s="622"/>
      <c r="AK697" s="622"/>
      <c r="AL697" s="622"/>
      <c r="AM697" s="622"/>
      <c r="AN697" s="622"/>
      <c r="AO697" s="622"/>
      <c r="AP697" s="622"/>
      <c r="AQ697" s="622"/>
      <c r="AR697" s="622"/>
      <c r="AS697" s="622"/>
      <c r="AT697" s="622"/>
      <c r="AU697" s="622"/>
      <c r="AV697" s="622"/>
      <c r="AW697" s="622"/>
    </row>
    <row r="698" spans="1:49" ht="7.5" customHeight="1">
      <c r="A698" s="623">
        <v>19</v>
      </c>
      <c r="B698" s="622" t="str">
        <f>IF(NOT(ISBLANK('A-RACHNATMAK'!C739)),"A",IF(NOT(ISBLANK('A-RACHNATMAK'!C738)),"B",IF(NOT(ISBLANK('A-RACHNATMAK'!C737)),"C","")))</f>
        <v/>
      </c>
      <c r="C698" s="622" t="str">
        <f>IF(NOT(ISBLANK('A-RACHNATMAK'!D739)),"A",IF(NOT(ISBLANK('A-RACHNATMAK'!D738)),"B",IF(NOT(ISBLANK('A-RACHNATMAK'!D737)),"C","")))</f>
        <v/>
      </c>
      <c r="D698" s="622" t="str">
        <f>IF(NOT(ISBLANK('A-RACHNATMAK'!E739)),"A",IF(NOT(ISBLANK('A-RACHNATMAK'!E738)),"B",IF(NOT(ISBLANK('A-RACHNATMAK'!E737)),"C","")))</f>
        <v/>
      </c>
      <c r="E698" s="622" t="str">
        <f>IF(NOT(ISBLANK('A-RACHNATMAK'!F739)),"A",IF(NOT(ISBLANK('A-RACHNATMAK'!F738)),"B",IF(NOT(ISBLANK('A-RACHNATMAK'!F737)),"C","")))</f>
        <v/>
      </c>
      <c r="F698" s="622" t="str">
        <f>IF(NOT(ISBLANK('A-RACHNATMAK'!G739)),"A",IF(NOT(ISBLANK('A-RACHNATMAK'!G738)),"B",IF(NOT(ISBLANK('A-RACHNATMAK'!G737)),"C","")))</f>
        <v/>
      </c>
      <c r="G698" s="622" t="str">
        <f>IF(NOT(ISBLANK('A-RACHNATMAK'!H739)),"A",IF(NOT(ISBLANK('A-RACHNATMAK'!H738)),"B",IF(NOT(ISBLANK('A-RACHNATMAK'!H737)),"C","")))</f>
        <v/>
      </c>
      <c r="H698" s="622" t="str">
        <f>IF(NOT(ISBLANK('A-RACHNATMAK'!I739)),"A",IF(NOT(ISBLANK('A-RACHNATMAK'!I738)),"B",IF(NOT(ISBLANK('A-RACHNATMAK'!I737)),"C","")))</f>
        <v/>
      </c>
      <c r="I698" s="622" t="str">
        <f>IF(NOT(ISBLANK('A-RACHNATMAK'!J739)),"A",IF(NOT(ISBLANK('A-RACHNATMAK'!J738)),"B",IF(NOT(ISBLANK('A-RACHNATMAK'!J737)),"C","")))</f>
        <v/>
      </c>
      <c r="J698" s="622" t="str">
        <f>IF(NOT(ISBLANK('A-RACHNATMAK'!K739)),"A",IF(NOT(ISBLANK('A-RACHNATMAK'!K738)),"B",IF(NOT(ISBLANK('A-RACHNATMAK'!K737)),"C","")))</f>
        <v/>
      </c>
      <c r="K698" s="622" t="str">
        <f>IF(NOT(ISBLANK('A-RACHNATMAK'!L739)),"A",IF(NOT(ISBLANK('A-RACHNATMAK'!L738)),"B",IF(NOT(ISBLANK('A-RACHNATMAK'!L737)),"C","")))</f>
        <v/>
      </c>
      <c r="L698" s="622" t="str">
        <f>IF(NOT(ISBLANK('A-RACHNATMAK'!M739)),"A",IF(NOT(ISBLANK('A-RACHNATMAK'!M738)),"B",IF(NOT(ISBLANK('A-RACHNATMAK'!M737)),"C","")))</f>
        <v/>
      </c>
      <c r="M698" s="622" t="str">
        <f>IF(NOT(ISBLANK('A-RACHNATMAK'!N739)),"A",IF(NOT(ISBLANK('A-RACHNATMAK'!N738)),"B",IF(NOT(ISBLANK('A-RACHNATMAK'!N737)),"C","")))</f>
        <v/>
      </c>
      <c r="N698" s="622" t="str">
        <f>IF(NOT(ISBLANK('A-RACHNATMAK'!O739)),"A",IF(NOT(ISBLANK('A-RACHNATMAK'!O738)),"B",IF(NOT(ISBLANK('A-RACHNATMAK'!O737)),"C","")))</f>
        <v/>
      </c>
      <c r="O698" s="622" t="str">
        <f>IF(NOT(ISBLANK('A-RACHNATMAK'!P739)),"A",IF(NOT(ISBLANK('A-RACHNATMAK'!P738)),"B",IF(NOT(ISBLANK('A-RACHNATMAK'!P737)),"C","")))</f>
        <v/>
      </c>
      <c r="P698" s="622" t="str">
        <f>IF(NOT(ISBLANK('A-RACHNATMAK'!Q739)),"A",IF(NOT(ISBLANK('A-RACHNATMAK'!Q738)),"B",IF(NOT(ISBLANK('A-RACHNATMAK'!Q737)),"C","")))</f>
        <v/>
      </c>
      <c r="Q698" s="622" t="str">
        <f>IF(NOT(ISBLANK('A-RACHNATMAK'!R739)),"A",IF(NOT(ISBLANK('A-RACHNATMAK'!R738)),"B",IF(NOT(ISBLANK('A-RACHNATMAK'!R737)),"C","")))</f>
        <v/>
      </c>
      <c r="R698" s="622" t="str">
        <f>IF(NOT(ISBLANK('A-RACHNATMAK'!S739)),"A",IF(NOT(ISBLANK('A-RACHNATMAK'!S738)),"B",IF(NOT(ISBLANK('A-RACHNATMAK'!S737)),"C","")))</f>
        <v/>
      </c>
      <c r="S698" s="622" t="str">
        <f>IF(NOT(ISBLANK('A-RACHNATMAK'!T739)),"A",IF(NOT(ISBLANK('A-RACHNATMAK'!T738)),"B",IF(NOT(ISBLANK('A-RACHNATMAK'!T737)),"C","")))</f>
        <v/>
      </c>
      <c r="T698" s="622" t="str">
        <f>IF(NOT(ISBLANK('A-RACHNATMAK'!U739)),"A",IF(NOT(ISBLANK('A-RACHNATMAK'!U738)),"B",IF(NOT(ISBLANK('A-RACHNATMAK'!U737)),"C","")))</f>
        <v/>
      </c>
      <c r="U698" s="622" t="str">
        <f>IF(NOT(ISBLANK('A-RACHNATMAK'!V739)),"A",IF(NOT(ISBLANK('A-RACHNATMAK'!V738)),"B",IF(NOT(ISBLANK('A-RACHNATMAK'!V737)),"C","")))</f>
        <v/>
      </c>
      <c r="V698" s="622">
        <f t="shared" ref="V698" si="1326">COUNTIF(B698:U698,"A")</f>
        <v>0</v>
      </c>
      <c r="W698" s="622">
        <f t="shared" ref="W698" si="1327">COUNTIF(B698:U698,"B")</f>
        <v>0</v>
      </c>
      <c r="X698" s="622">
        <f t="shared" ref="X698" si="1328">COUNTIF(B698:U698,"C")</f>
        <v>0</v>
      </c>
      <c r="Y698" s="330"/>
      <c r="Z698" s="623">
        <v>19</v>
      </c>
      <c r="AA698" s="622" t="str">
        <f>IF(NOT(ISBLANK('A-RACHNATMAK'!AD739)),"A",IF(NOT(ISBLANK('A-RACHNATMAK'!AD738)),"B",IF(NOT(ISBLANK('A-RACHNATMAK'!AD737)),"C","")))</f>
        <v/>
      </c>
      <c r="AB698" s="622" t="str">
        <f>IF(NOT(ISBLANK('A-RACHNATMAK'!AE739)),"A",IF(NOT(ISBLANK('A-RACHNATMAK'!AE738)),"B",IF(NOT(ISBLANK('A-RACHNATMAK'!AE737)),"C","")))</f>
        <v/>
      </c>
      <c r="AC698" s="622" t="str">
        <f>IF(NOT(ISBLANK('A-RACHNATMAK'!AF739)),"A",IF(NOT(ISBLANK('A-RACHNATMAK'!AF738)),"B",IF(NOT(ISBLANK('A-RACHNATMAK'!AF737)),"C","")))</f>
        <v/>
      </c>
      <c r="AD698" s="622" t="str">
        <f>IF(NOT(ISBLANK('A-RACHNATMAK'!AG739)),"A",IF(NOT(ISBLANK('A-RACHNATMAK'!AG738)),"B",IF(NOT(ISBLANK('A-RACHNATMAK'!AG737)),"C","")))</f>
        <v/>
      </c>
      <c r="AE698" s="622" t="str">
        <f>IF(NOT(ISBLANK('A-RACHNATMAK'!AH739)),"A",IF(NOT(ISBLANK('A-RACHNATMAK'!AH738)),"B",IF(NOT(ISBLANK('A-RACHNATMAK'!AH737)),"C","")))</f>
        <v/>
      </c>
      <c r="AF698" s="622" t="str">
        <f>IF(NOT(ISBLANK('A-RACHNATMAK'!AI739)),"A",IF(NOT(ISBLANK('A-RACHNATMAK'!AI738)),"B",IF(NOT(ISBLANK('A-RACHNATMAK'!AI737)),"C","")))</f>
        <v/>
      </c>
      <c r="AG698" s="622" t="str">
        <f>IF(NOT(ISBLANK('A-RACHNATMAK'!AJ739)),"A",IF(NOT(ISBLANK('A-RACHNATMAK'!AJ738)),"B",IF(NOT(ISBLANK('A-RACHNATMAK'!AJ737)),"C","")))</f>
        <v/>
      </c>
      <c r="AH698" s="622" t="str">
        <f>IF(NOT(ISBLANK('A-RACHNATMAK'!AK739)),"A",IF(NOT(ISBLANK('A-RACHNATMAK'!AK738)),"B",IF(NOT(ISBLANK('A-RACHNATMAK'!AK737)),"C","")))</f>
        <v/>
      </c>
      <c r="AI698" s="622" t="str">
        <f>IF(NOT(ISBLANK('A-RACHNATMAK'!AL739)),"A",IF(NOT(ISBLANK('A-RACHNATMAK'!AL738)),"B",IF(NOT(ISBLANK('A-RACHNATMAK'!AL737)),"C","")))</f>
        <v/>
      </c>
      <c r="AJ698" s="622" t="str">
        <f>IF(NOT(ISBLANK('A-RACHNATMAK'!AM739)),"A",IF(NOT(ISBLANK('A-RACHNATMAK'!AM738)),"B",IF(NOT(ISBLANK('A-RACHNATMAK'!AM737)),"C","")))</f>
        <v/>
      </c>
      <c r="AK698" s="622" t="str">
        <f>IF(NOT(ISBLANK('A-RACHNATMAK'!AN739)),"A",IF(NOT(ISBLANK('A-RACHNATMAK'!AN738)),"B",IF(NOT(ISBLANK('A-RACHNATMAK'!AN737)),"C","")))</f>
        <v/>
      </c>
      <c r="AL698" s="622" t="str">
        <f>IF(NOT(ISBLANK('A-RACHNATMAK'!AO739)),"A",IF(NOT(ISBLANK('A-RACHNATMAK'!AO738)),"B",IF(NOT(ISBLANK('A-RACHNATMAK'!AO737)),"C","")))</f>
        <v/>
      </c>
      <c r="AM698" s="622" t="str">
        <f>IF(NOT(ISBLANK('A-RACHNATMAK'!AP739)),"A",IF(NOT(ISBLANK('A-RACHNATMAK'!AP738)),"B",IF(NOT(ISBLANK('A-RACHNATMAK'!AP737)),"C","")))</f>
        <v/>
      </c>
      <c r="AN698" s="622" t="str">
        <f>IF(NOT(ISBLANK('A-RACHNATMAK'!AQ739)),"A",IF(NOT(ISBLANK('A-RACHNATMAK'!AQ738)),"B",IF(NOT(ISBLANK('A-RACHNATMAK'!AQ737)),"C","")))</f>
        <v/>
      </c>
      <c r="AO698" s="622" t="str">
        <f>IF(NOT(ISBLANK('A-RACHNATMAK'!AR739)),"A",IF(NOT(ISBLANK('A-RACHNATMAK'!AR738)),"B",IF(NOT(ISBLANK('A-RACHNATMAK'!AR737)),"C","")))</f>
        <v/>
      </c>
      <c r="AP698" s="622" t="str">
        <f>IF(NOT(ISBLANK('A-RACHNATMAK'!AS739)),"A",IF(NOT(ISBLANK('A-RACHNATMAK'!AS738)),"B",IF(NOT(ISBLANK('A-RACHNATMAK'!AS737)),"C","")))</f>
        <v/>
      </c>
      <c r="AQ698" s="622" t="str">
        <f>IF(NOT(ISBLANK('A-RACHNATMAK'!AT739)),"A",IF(NOT(ISBLANK('A-RACHNATMAK'!AT738)),"B",IF(NOT(ISBLANK('A-RACHNATMAK'!AT737)),"C","")))</f>
        <v/>
      </c>
      <c r="AR698" s="622" t="str">
        <f>IF(NOT(ISBLANK('A-RACHNATMAK'!AU739)),"A",IF(NOT(ISBLANK('A-RACHNATMAK'!AU738)),"B",IF(NOT(ISBLANK('A-RACHNATMAK'!AU737)),"C","")))</f>
        <v/>
      </c>
      <c r="AS698" s="622" t="str">
        <f>IF(NOT(ISBLANK('A-RACHNATMAK'!AV739)),"A",IF(NOT(ISBLANK('A-RACHNATMAK'!AV738)),"B",IF(NOT(ISBLANK('A-RACHNATMAK'!AV737)),"C","")))</f>
        <v/>
      </c>
      <c r="AT698" s="622" t="str">
        <f>IF(NOT(ISBLANK('A-RACHNATMAK'!AW739)),"A",IF(NOT(ISBLANK('A-RACHNATMAK'!AW738)),"B",IF(NOT(ISBLANK('A-RACHNATMAK'!AW737)),"C","")))</f>
        <v/>
      </c>
      <c r="AU698" s="622">
        <f t="shared" ref="AU698" si="1329">COUNTIF(AA698:AT698,"A")</f>
        <v>0</v>
      </c>
      <c r="AV698" s="622">
        <f t="shared" ref="AV698" si="1330">COUNTIF(AA698:AT698,"B")</f>
        <v>0</v>
      </c>
      <c r="AW698" s="622">
        <f t="shared" ref="AW698" si="1331">COUNTIF(AA698:AT698,"C")</f>
        <v>0</v>
      </c>
    </row>
    <row r="699" spans="1:49" ht="7.5" customHeight="1">
      <c r="A699" s="623"/>
      <c r="B699" s="622"/>
      <c r="C699" s="622"/>
      <c r="D699" s="622"/>
      <c r="E699" s="622"/>
      <c r="F699" s="622"/>
      <c r="G699" s="622"/>
      <c r="H699" s="622"/>
      <c r="I699" s="622"/>
      <c r="J699" s="622"/>
      <c r="K699" s="622"/>
      <c r="L699" s="622"/>
      <c r="M699" s="622"/>
      <c r="N699" s="622"/>
      <c r="O699" s="622"/>
      <c r="P699" s="622"/>
      <c r="Q699" s="622"/>
      <c r="R699" s="622"/>
      <c r="S699" s="622"/>
      <c r="T699" s="622"/>
      <c r="U699" s="622"/>
      <c r="V699" s="622"/>
      <c r="W699" s="622"/>
      <c r="X699" s="622"/>
      <c r="Y699" s="330"/>
      <c r="Z699" s="623"/>
      <c r="AA699" s="622"/>
      <c r="AB699" s="622"/>
      <c r="AC699" s="622"/>
      <c r="AD699" s="622"/>
      <c r="AE699" s="622"/>
      <c r="AF699" s="622"/>
      <c r="AG699" s="622"/>
      <c r="AH699" s="622"/>
      <c r="AI699" s="622"/>
      <c r="AJ699" s="622"/>
      <c r="AK699" s="622"/>
      <c r="AL699" s="622"/>
      <c r="AM699" s="622"/>
      <c r="AN699" s="622"/>
      <c r="AO699" s="622"/>
      <c r="AP699" s="622"/>
      <c r="AQ699" s="622"/>
      <c r="AR699" s="622"/>
      <c r="AS699" s="622"/>
      <c r="AT699" s="622"/>
      <c r="AU699" s="622"/>
      <c r="AV699" s="622"/>
      <c r="AW699" s="622"/>
    </row>
    <row r="700" spans="1:49" ht="7.5" customHeight="1">
      <c r="A700" s="623"/>
      <c r="B700" s="622"/>
      <c r="C700" s="622"/>
      <c r="D700" s="622"/>
      <c r="E700" s="622"/>
      <c r="F700" s="622"/>
      <c r="G700" s="622"/>
      <c r="H700" s="622"/>
      <c r="I700" s="622"/>
      <c r="J700" s="622"/>
      <c r="K700" s="622"/>
      <c r="L700" s="622"/>
      <c r="M700" s="622"/>
      <c r="N700" s="622"/>
      <c r="O700" s="622"/>
      <c r="P700" s="622"/>
      <c r="Q700" s="622"/>
      <c r="R700" s="622"/>
      <c r="S700" s="622"/>
      <c r="T700" s="622"/>
      <c r="U700" s="622"/>
      <c r="V700" s="622"/>
      <c r="W700" s="622"/>
      <c r="X700" s="622"/>
      <c r="Y700" s="330"/>
      <c r="Z700" s="623"/>
      <c r="AA700" s="622"/>
      <c r="AB700" s="622"/>
      <c r="AC700" s="622"/>
      <c r="AD700" s="622"/>
      <c r="AE700" s="622"/>
      <c r="AF700" s="622"/>
      <c r="AG700" s="622"/>
      <c r="AH700" s="622"/>
      <c r="AI700" s="622"/>
      <c r="AJ700" s="622"/>
      <c r="AK700" s="622"/>
      <c r="AL700" s="622"/>
      <c r="AM700" s="622"/>
      <c r="AN700" s="622"/>
      <c r="AO700" s="622"/>
      <c r="AP700" s="622"/>
      <c r="AQ700" s="622"/>
      <c r="AR700" s="622"/>
      <c r="AS700" s="622"/>
      <c r="AT700" s="622"/>
      <c r="AU700" s="622"/>
      <c r="AV700" s="622"/>
      <c r="AW700" s="622"/>
    </row>
    <row r="701" spans="1:49" ht="7.5" customHeight="1">
      <c r="A701" s="623">
        <v>20</v>
      </c>
      <c r="B701" s="622" t="str">
        <f>IF(NOT(ISBLANK('A-RACHNATMAK'!C742)),"A",IF(NOT(ISBLANK('A-RACHNATMAK'!C741)),"B",IF(NOT(ISBLANK('A-RACHNATMAK'!C740)),"C","")))</f>
        <v/>
      </c>
      <c r="C701" s="622" t="str">
        <f>IF(NOT(ISBLANK('A-RACHNATMAK'!D742)),"A",IF(NOT(ISBLANK('A-RACHNATMAK'!D741)),"B",IF(NOT(ISBLANK('A-RACHNATMAK'!D740)),"C","")))</f>
        <v/>
      </c>
      <c r="D701" s="622" t="str">
        <f>IF(NOT(ISBLANK('A-RACHNATMAK'!E742)),"A",IF(NOT(ISBLANK('A-RACHNATMAK'!E741)),"B",IF(NOT(ISBLANK('A-RACHNATMAK'!E740)),"C","")))</f>
        <v/>
      </c>
      <c r="E701" s="622" t="str">
        <f>IF(NOT(ISBLANK('A-RACHNATMAK'!F742)),"A",IF(NOT(ISBLANK('A-RACHNATMAK'!F741)),"B",IF(NOT(ISBLANK('A-RACHNATMAK'!F740)),"C","")))</f>
        <v/>
      </c>
      <c r="F701" s="622" t="str">
        <f>IF(NOT(ISBLANK('A-RACHNATMAK'!G742)),"A",IF(NOT(ISBLANK('A-RACHNATMAK'!G741)),"B",IF(NOT(ISBLANK('A-RACHNATMAK'!G740)),"C","")))</f>
        <v/>
      </c>
      <c r="G701" s="622" t="str">
        <f>IF(NOT(ISBLANK('A-RACHNATMAK'!H742)),"A",IF(NOT(ISBLANK('A-RACHNATMAK'!H741)),"B",IF(NOT(ISBLANK('A-RACHNATMAK'!H740)),"C","")))</f>
        <v/>
      </c>
      <c r="H701" s="622" t="str">
        <f>IF(NOT(ISBLANK('A-RACHNATMAK'!I742)),"A",IF(NOT(ISBLANK('A-RACHNATMAK'!I741)),"B",IF(NOT(ISBLANK('A-RACHNATMAK'!I740)),"C","")))</f>
        <v/>
      </c>
      <c r="I701" s="622" t="str">
        <f>IF(NOT(ISBLANK('A-RACHNATMAK'!J742)),"A",IF(NOT(ISBLANK('A-RACHNATMAK'!J741)),"B",IF(NOT(ISBLANK('A-RACHNATMAK'!J740)),"C","")))</f>
        <v/>
      </c>
      <c r="J701" s="622" t="str">
        <f>IF(NOT(ISBLANK('A-RACHNATMAK'!K742)),"A",IF(NOT(ISBLANK('A-RACHNATMAK'!K741)),"B",IF(NOT(ISBLANK('A-RACHNATMAK'!K740)),"C","")))</f>
        <v/>
      </c>
      <c r="K701" s="622" t="str">
        <f>IF(NOT(ISBLANK('A-RACHNATMAK'!L742)),"A",IF(NOT(ISBLANK('A-RACHNATMAK'!L741)),"B",IF(NOT(ISBLANK('A-RACHNATMAK'!L740)),"C","")))</f>
        <v/>
      </c>
      <c r="L701" s="622" t="str">
        <f>IF(NOT(ISBLANK('A-RACHNATMAK'!M742)),"A",IF(NOT(ISBLANK('A-RACHNATMAK'!M741)),"B",IF(NOT(ISBLANK('A-RACHNATMAK'!M740)),"C","")))</f>
        <v/>
      </c>
      <c r="M701" s="622" t="str">
        <f>IF(NOT(ISBLANK('A-RACHNATMAK'!N742)),"A",IF(NOT(ISBLANK('A-RACHNATMAK'!N741)),"B",IF(NOT(ISBLANK('A-RACHNATMAK'!N740)),"C","")))</f>
        <v/>
      </c>
      <c r="N701" s="622" t="str">
        <f>IF(NOT(ISBLANK('A-RACHNATMAK'!O742)),"A",IF(NOT(ISBLANK('A-RACHNATMAK'!O741)),"B",IF(NOT(ISBLANK('A-RACHNATMAK'!O740)),"C","")))</f>
        <v/>
      </c>
      <c r="O701" s="622" t="str">
        <f>IF(NOT(ISBLANK('A-RACHNATMAK'!P742)),"A",IF(NOT(ISBLANK('A-RACHNATMAK'!P741)),"B",IF(NOT(ISBLANK('A-RACHNATMAK'!P740)),"C","")))</f>
        <v/>
      </c>
      <c r="P701" s="622" t="str">
        <f>IF(NOT(ISBLANK('A-RACHNATMAK'!Q742)),"A",IF(NOT(ISBLANK('A-RACHNATMAK'!Q741)),"B",IF(NOT(ISBLANK('A-RACHNATMAK'!Q740)),"C","")))</f>
        <v/>
      </c>
      <c r="Q701" s="622" t="str">
        <f>IF(NOT(ISBLANK('A-RACHNATMAK'!R742)),"A",IF(NOT(ISBLANK('A-RACHNATMAK'!R741)),"B",IF(NOT(ISBLANK('A-RACHNATMAK'!R740)),"C","")))</f>
        <v/>
      </c>
      <c r="R701" s="622" t="str">
        <f>IF(NOT(ISBLANK('A-RACHNATMAK'!S742)),"A",IF(NOT(ISBLANK('A-RACHNATMAK'!S741)),"B",IF(NOT(ISBLANK('A-RACHNATMAK'!S740)),"C","")))</f>
        <v/>
      </c>
      <c r="S701" s="622" t="str">
        <f>IF(NOT(ISBLANK('A-RACHNATMAK'!T742)),"A",IF(NOT(ISBLANK('A-RACHNATMAK'!T741)),"B",IF(NOT(ISBLANK('A-RACHNATMAK'!T740)),"C","")))</f>
        <v/>
      </c>
      <c r="T701" s="622" t="str">
        <f>IF(NOT(ISBLANK('A-RACHNATMAK'!U742)),"A",IF(NOT(ISBLANK('A-RACHNATMAK'!U741)),"B",IF(NOT(ISBLANK('A-RACHNATMAK'!U740)),"C","")))</f>
        <v/>
      </c>
      <c r="U701" s="622" t="str">
        <f>IF(NOT(ISBLANK('A-RACHNATMAK'!V742)),"A",IF(NOT(ISBLANK('A-RACHNATMAK'!V741)),"B",IF(NOT(ISBLANK('A-RACHNATMAK'!V740)),"C","")))</f>
        <v/>
      </c>
      <c r="V701" s="622">
        <f t="shared" ref="V701" si="1332">COUNTIF(B701:U701,"A")</f>
        <v>0</v>
      </c>
      <c r="W701" s="622">
        <f t="shared" ref="W701" si="1333">COUNTIF(B701:U701,"B")</f>
        <v>0</v>
      </c>
      <c r="X701" s="622">
        <f t="shared" ref="X701" si="1334">COUNTIF(B701:U701,"C")</f>
        <v>0</v>
      </c>
      <c r="Y701" s="330"/>
      <c r="Z701" s="623">
        <v>20</v>
      </c>
      <c r="AA701" s="622" t="str">
        <f>IF(NOT(ISBLANK('A-RACHNATMAK'!AD742)),"A",IF(NOT(ISBLANK('A-RACHNATMAK'!AD741)),"B",IF(NOT(ISBLANK('A-RACHNATMAK'!AD740)),"C","")))</f>
        <v/>
      </c>
      <c r="AB701" s="622" t="str">
        <f>IF(NOT(ISBLANK('A-RACHNATMAK'!AE742)),"A",IF(NOT(ISBLANK('A-RACHNATMAK'!AE741)),"B",IF(NOT(ISBLANK('A-RACHNATMAK'!AE740)),"C","")))</f>
        <v/>
      </c>
      <c r="AC701" s="622" t="str">
        <f>IF(NOT(ISBLANK('A-RACHNATMAK'!AF742)),"A",IF(NOT(ISBLANK('A-RACHNATMAK'!AF741)),"B",IF(NOT(ISBLANK('A-RACHNATMAK'!AF740)),"C","")))</f>
        <v/>
      </c>
      <c r="AD701" s="622" t="str">
        <f>IF(NOT(ISBLANK('A-RACHNATMAK'!AG742)),"A",IF(NOT(ISBLANK('A-RACHNATMAK'!AG741)),"B",IF(NOT(ISBLANK('A-RACHNATMAK'!AG740)),"C","")))</f>
        <v/>
      </c>
      <c r="AE701" s="622" t="str">
        <f>IF(NOT(ISBLANK('A-RACHNATMAK'!AH742)),"A",IF(NOT(ISBLANK('A-RACHNATMAK'!AH741)),"B",IF(NOT(ISBLANK('A-RACHNATMAK'!AH740)),"C","")))</f>
        <v/>
      </c>
      <c r="AF701" s="622" t="str">
        <f>IF(NOT(ISBLANK('A-RACHNATMAK'!AI742)),"A",IF(NOT(ISBLANK('A-RACHNATMAK'!AI741)),"B",IF(NOT(ISBLANK('A-RACHNATMAK'!AI740)),"C","")))</f>
        <v/>
      </c>
      <c r="AG701" s="622" t="str">
        <f>IF(NOT(ISBLANK('A-RACHNATMAK'!AJ742)),"A",IF(NOT(ISBLANK('A-RACHNATMAK'!AJ741)),"B",IF(NOT(ISBLANK('A-RACHNATMAK'!AJ740)),"C","")))</f>
        <v/>
      </c>
      <c r="AH701" s="622" t="str">
        <f>IF(NOT(ISBLANK('A-RACHNATMAK'!AK742)),"A",IF(NOT(ISBLANK('A-RACHNATMAK'!AK741)),"B",IF(NOT(ISBLANK('A-RACHNATMAK'!AK740)),"C","")))</f>
        <v/>
      </c>
      <c r="AI701" s="622" t="str">
        <f>IF(NOT(ISBLANK('A-RACHNATMAK'!AL742)),"A",IF(NOT(ISBLANK('A-RACHNATMAK'!AL741)),"B",IF(NOT(ISBLANK('A-RACHNATMAK'!AL740)),"C","")))</f>
        <v/>
      </c>
      <c r="AJ701" s="622" t="str">
        <f>IF(NOT(ISBLANK('A-RACHNATMAK'!AM742)),"A",IF(NOT(ISBLANK('A-RACHNATMAK'!AM741)),"B",IF(NOT(ISBLANK('A-RACHNATMAK'!AM740)),"C","")))</f>
        <v/>
      </c>
      <c r="AK701" s="622" t="str">
        <f>IF(NOT(ISBLANK('A-RACHNATMAK'!AN742)),"A",IF(NOT(ISBLANK('A-RACHNATMAK'!AN741)),"B",IF(NOT(ISBLANK('A-RACHNATMAK'!AN740)),"C","")))</f>
        <v/>
      </c>
      <c r="AL701" s="622" t="str">
        <f>IF(NOT(ISBLANK('A-RACHNATMAK'!AO742)),"A",IF(NOT(ISBLANK('A-RACHNATMAK'!AO741)),"B",IF(NOT(ISBLANK('A-RACHNATMAK'!AO740)),"C","")))</f>
        <v/>
      </c>
      <c r="AM701" s="622" t="str">
        <f>IF(NOT(ISBLANK('A-RACHNATMAK'!AP742)),"A",IF(NOT(ISBLANK('A-RACHNATMAK'!AP741)),"B",IF(NOT(ISBLANK('A-RACHNATMAK'!AP740)),"C","")))</f>
        <v/>
      </c>
      <c r="AN701" s="622" t="str">
        <f>IF(NOT(ISBLANK('A-RACHNATMAK'!AQ742)),"A",IF(NOT(ISBLANK('A-RACHNATMAK'!AQ741)),"B",IF(NOT(ISBLANK('A-RACHNATMAK'!AQ740)),"C","")))</f>
        <v/>
      </c>
      <c r="AO701" s="622" t="str">
        <f>IF(NOT(ISBLANK('A-RACHNATMAK'!AR742)),"A",IF(NOT(ISBLANK('A-RACHNATMAK'!AR741)),"B",IF(NOT(ISBLANK('A-RACHNATMAK'!AR740)),"C","")))</f>
        <v/>
      </c>
      <c r="AP701" s="622" t="str">
        <f>IF(NOT(ISBLANK('A-RACHNATMAK'!AS742)),"A",IF(NOT(ISBLANK('A-RACHNATMAK'!AS741)),"B",IF(NOT(ISBLANK('A-RACHNATMAK'!AS740)),"C","")))</f>
        <v/>
      </c>
      <c r="AQ701" s="622" t="str">
        <f>IF(NOT(ISBLANK('A-RACHNATMAK'!AT742)),"A",IF(NOT(ISBLANK('A-RACHNATMAK'!AT741)),"B",IF(NOT(ISBLANK('A-RACHNATMAK'!AT740)),"C","")))</f>
        <v/>
      </c>
      <c r="AR701" s="622" t="str">
        <f>IF(NOT(ISBLANK('A-RACHNATMAK'!AU742)),"A",IF(NOT(ISBLANK('A-RACHNATMAK'!AU741)),"B",IF(NOT(ISBLANK('A-RACHNATMAK'!AU740)),"C","")))</f>
        <v/>
      </c>
      <c r="AS701" s="622" t="str">
        <f>IF(NOT(ISBLANK('A-RACHNATMAK'!AV742)),"A",IF(NOT(ISBLANK('A-RACHNATMAK'!AV741)),"B",IF(NOT(ISBLANK('A-RACHNATMAK'!AV740)),"C","")))</f>
        <v/>
      </c>
      <c r="AT701" s="622" t="str">
        <f>IF(NOT(ISBLANK('A-RACHNATMAK'!AW742)),"A",IF(NOT(ISBLANK('A-RACHNATMAK'!AW741)),"B",IF(NOT(ISBLANK('A-RACHNATMAK'!AW740)),"C","")))</f>
        <v/>
      </c>
      <c r="AU701" s="622">
        <f t="shared" ref="AU701" si="1335">COUNTIF(AA701:AT701,"A")</f>
        <v>0</v>
      </c>
      <c r="AV701" s="622">
        <f t="shared" ref="AV701" si="1336">COUNTIF(AA701:AT701,"B")</f>
        <v>0</v>
      </c>
      <c r="AW701" s="622">
        <f t="shared" ref="AW701" si="1337">COUNTIF(AA701:AT701,"C")</f>
        <v>0</v>
      </c>
    </row>
    <row r="702" spans="1:49" ht="7.5" customHeight="1">
      <c r="A702" s="623"/>
      <c r="B702" s="622"/>
      <c r="C702" s="622"/>
      <c r="D702" s="622"/>
      <c r="E702" s="622"/>
      <c r="F702" s="622"/>
      <c r="G702" s="622"/>
      <c r="H702" s="622"/>
      <c r="I702" s="622"/>
      <c r="J702" s="622"/>
      <c r="K702" s="622"/>
      <c r="L702" s="622"/>
      <c r="M702" s="622"/>
      <c r="N702" s="622"/>
      <c r="O702" s="622"/>
      <c r="P702" s="622"/>
      <c r="Q702" s="622"/>
      <c r="R702" s="622"/>
      <c r="S702" s="622"/>
      <c r="T702" s="622"/>
      <c r="U702" s="622"/>
      <c r="V702" s="622"/>
      <c r="W702" s="622"/>
      <c r="X702" s="622"/>
      <c r="Y702" s="330"/>
      <c r="Z702" s="623"/>
      <c r="AA702" s="622"/>
      <c r="AB702" s="622"/>
      <c r="AC702" s="622"/>
      <c r="AD702" s="622"/>
      <c r="AE702" s="622"/>
      <c r="AF702" s="622"/>
      <c r="AG702" s="622"/>
      <c r="AH702" s="622"/>
      <c r="AI702" s="622"/>
      <c r="AJ702" s="622"/>
      <c r="AK702" s="622"/>
      <c r="AL702" s="622"/>
      <c r="AM702" s="622"/>
      <c r="AN702" s="622"/>
      <c r="AO702" s="622"/>
      <c r="AP702" s="622"/>
      <c r="AQ702" s="622"/>
      <c r="AR702" s="622"/>
      <c r="AS702" s="622"/>
      <c r="AT702" s="622"/>
      <c r="AU702" s="622"/>
      <c r="AV702" s="622"/>
      <c r="AW702" s="622"/>
    </row>
    <row r="703" spans="1:49" ht="7.5" customHeight="1">
      <c r="A703" s="623"/>
      <c r="B703" s="622"/>
      <c r="C703" s="622"/>
      <c r="D703" s="622"/>
      <c r="E703" s="622"/>
      <c r="F703" s="622"/>
      <c r="G703" s="622"/>
      <c r="H703" s="622"/>
      <c r="I703" s="622"/>
      <c r="J703" s="622"/>
      <c r="K703" s="622"/>
      <c r="L703" s="622"/>
      <c r="M703" s="622"/>
      <c r="N703" s="622"/>
      <c r="O703" s="622"/>
      <c r="P703" s="622"/>
      <c r="Q703" s="622"/>
      <c r="R703" s="622"/>
      <c r="S703" s="622"/>
      <c r="T703" s="622"/>
      <c r="U703" s="622"/>
      <c r="V703" s="622"/>
      <c r="W703" s="622"/>
      <c r="X703" s="622"/>
      <c r="Y703" s="330"/>
      <c r="Z703" s="623"/>
      <c r="AA703" s="622"/>
      <c r="AB703" s="622"/>
      <c r="AC703" s="622"/>
      <c r="AD703" s="622"/>
      <c r="AE703" s="622"/>
      <c r="AF703" s="622"/>
      <c r="AG703" s="622"/>
      <c r="AH703" s="622"/>
      <c r="AI703" s="622"/>
      <c r="AJ703" s="622"/>
      <c r="AK703" s="622"/>
      <c r="AL703" s="622"/>
      <c r="AM703" s="622"/>
      <c r="AN703" s="622"/>
      <c r="AO703" s="622"/>
      <c r="AP703" s="622"/>
      <c r="AQ703" s="622"/>
      <c r="AR703" s="622"/>
      <c r="AS703" s="622"/>
      <c r="AT703" s="622"/>
      <c r="AU703" s="622"/>
      <c r="AV703" s="622"/>
      <c r="AW703" s="622"/>
    </row>
    <row r="704" spans="1:49" ht="7.5" customHeight="1">
      <c r="A704" s="623">
        <v>21</v>
      </c>
      <c r="B704" s="622" t="str">
        <f>IF(NOT(ISBLANK('A-RACHNATMAK'!C745)),"A",IF(NOT(ISBLANK('A-RACHNATMAK'!C744)),"B",IF(NOT(ISBLANK('A-RACHNATMAK'!C743)),"C","")))</f>
        <v/>
      </c>
      <c r="C704" s="622" t="str">
        <f>IF(NOT(ISBLANK('A-RACHNATMAK'!D745)),"A",IF(NOT(ISBLANK('A-RACHNATMAK'!D744)),"B",IF(NOT(ISBLANK('A-RACHNATMAK'!D743)),"C","")))</f>
        <v/>
      </c>
      <c r="D704" s="622" t="str">
        <f>IF(NOT(ISBLANK('A-RACHNATMAK'!E745)),"A",IF(NOT(ISBLANK('A-RACHNATMAK'!E744)),"B",IF(NOT(ISBLANK('A-RACHNATMAK'!E743)),"C","")))</f>
        <v/>
      </c>
      <c r="E704" s="622" t="str">
        <f>IF(NOT(ISBLANK('A-RACHNATMAK'!F745)),"A",IF(NOT(ISBLANK('A-RACHNATMAK'!F744)),"B",IF(NOT(ISBLANK('A-RACHNATMAK'!F743)),"C","")))</f>
        <v/>
      </c>
      <c r="F704" s="622" t="str">
        <f>IF(NOT(ISBLANK('A-RACHNATMAK'!G745)),"A",IF(NOT(ISBLANK('A-RACHNATMAK'!G744)),"B",IF(NOT(ISBLANK('A-RACHNATMAK'!G743)),"C","")))</f>
        <v/>
      </c>
      <c r="G704" s="622" t="str">
        <f>IF(NOT(ISBLANK('A-RACHNATMAK'!H745)),"A",IF(NOT(ISBLANK('A-RACHNATMAK'!H744)),"B",IF(NOT(ISBLANK('A-RACHNATMAK'!H743)),"C","")))</f>
        <v/>
      </c>
      <c r="H704" s="622" t="str">
        <f>IF(NOT(ISBLANK('A-RACHNATMAK'!I745)),"A",IF(NOT(ISBLANK('A-RACHNATMAK'!I744)),"B",IF(NOT(ISBLANK('A-RACHNATMAK'!I743)),"C","")))</f>
        <v/>
      </c>
      <c r="I704" s="622" t="str">
        <f>IF(NOT(ISBLANK('A-RACHNATMAK'!J745)),"A",IF(NOT(ISBLANK('A-RACHNATMAK'!J744)),"B",IF(NOT(ISBLANK('A-RACHNATMAK'!J743)),"C","")))</f>
        <v/>
      </c>
      <c r="J704" s="622" t="str">
        <f>IF(NOT(ISBLANK('A-RACHNATMAK'!K745)),"A",IF(NOT(ISBLANK('A-RACHNATMAK'!K744)),"B",IF(NOT(ISBLANK('A-RACHNATMAK'!K743)),"C","")))</f>
        <v/>
      </c>
      <c r="K704" s="622" t="str">
        <f>IF(NOT(ISBLANK('A-RACHNATMAK'!L745)),"A",IF(NOT(ISBLANK('A-RACHNATMAK'!L744)),"B",IF(NOT(ISBLANK('A-RACHNATMAK'!L743)),"C","")))</f>
        <v/>
      </c>
      <c r="L704" s="622" t="str">
        <f>IF(NOT(ISBLANK('A-RACHNATMAK'!M745)),"A",IF(NOT(ISBLANK('A-RACHNATMAK'!M744)),"B",IF(NOT(ISBLANK('A-RACHNATMAK'!M743)),"C","")))</f>
        <v/>
      </c>
      <c r="M704" s="622" t="str">
        <f>IF(NOT(ISBLANK('A-RACHNATMAK'!N745)),"A",IF(NOT(ISBLANK('A-RACHNATMAK'!N744)),"B",IF(NOT(ISBLANK('A-RACHNATMAK'!N743)),"C","")))</f>
        <v/>
      </c>
      <c r="N704" s="622" t="str">
        <f>IF(NOT(ISBLANK('A-RACHNATMAK'!O745)),"A",IF(NOT(ISBLANK('A-RACHNATMAK'!O744)),"B",IF(NOT(ISBLANK('A-RACHNATMAK'!O743)),"C","")))</f>
        <v/>
      </c>
      <c r="O704" s="622" t="str">
        <f>IF(NOT(ISBLANK('A-RACHNATMAK'!P745)),"A",IF(NOT(ISBLANK('A-RACHNATMAK'!P744)),"B",IF(NOT(ISBLANK('A-RACHNATMAK'!P743)),"C","")))</f>
        <v/>
      </c>
      <c r="P704" s="622" t="str">
        <f>IF(NOT(ISBLANK('A-RACHNATMAK'!Q745)),"A",IF(NOT(ISBLANK('A-RACHNATMAK'!Q744)),"B",IF(NOT(ISBLANK('A-RACHNATMAK'!Q743)),"C","")))</f>
        <v/>
      </c>
      <c r="Q704" s="622" t="str">
        <f>IF(NOT(ISBLANK('A-RACHNATMAK'!R745)),"A",IF(NOT(ISBLANK('A-RACHNATMAK'!R744)),"B",IF(NOT(ISBLANK('A-RACHNATMAK'!R743)),"C","")))</f>
        <v/>
      </c>
      <c r="R704" s="622" t="str">
        <f>IF(NOT(ISBLANK('A-RACHNATMAK'!S745)),"A",IF(NOT(ISBLANK('A-RACHNATMAK'!S744)),"B",IF(NOT(ISBLANK('A-RACHNATMAK'!S743)),"C","")))</f>
        <v/>
      </c>
      <c r="S704" s="622" t="str">
        <f>IF(NOT(ISBLANK('A-RACHNATMAK'!T745)),"A",IF(NOT(ISBLANK('A-RACHNATMAK'!T744)),"B",IF(NOT(ISBLANK('A-RACHNATMAK'!T743)),"C","")))</f>
        <v/>
      </c>
      <c r="T704" s="622" t="str">
        <f>IF(NOT(ISBLANK('A-RACHNATMAK'!U745)),"A",IF(NOT(ISBLANK('A-RACHNATMAK'!U744)),"B",IF(NOT(ISBLANK('A-RACHNATMAK'!U743)),"C","")))</f>
        <v/>
      </c>
      <c r="U704" s="622" t="str">
        <f>IF(NOT(ISBLANK('A-RACHNATMAK'!V745)),"A",IF(NOT(ISBLANK('A-RACHNATMAK'!V744)),"B",IF(NOT(ISBLANK('A-RACHNATMAK'!V743)),"C","")))</f>
        <v/>
      </c>
      <c r="V704" s="622">
        <f t="shared" ref="V704" si="1338">COUNTIF(B704:U704,"A")</f>
        <v>0</v>
      </c>
      <c r="W704" s="622">
        <f t="shared" ref="W704" si="1339">COUNTIF(B704:U704,"B")</f>
        <v>0</v>
      </c>
      <c r="X704" s="622">
        <f t="shared" ref="X704" si="1340">COUNTIF(B704:U704,"C")</f>
        <v>0</v>
      </c>
      <c r="Y704" s="330"/>
      <c r="Z704" s="623">
        <v>21</v>
      </c>
      <c r="AA704" s="622" t="str">
        <f>IF(NOT(ISBLANK('A-RACHNATMAK'!AD745)),"A",IF(NOT(ISBLANK('A-RACHNATMAK'!AD744)),"B",IF(NOT(ISBLANK('A-RACHNATMAK'!AD743)),"C","")))</f>
        <v/>
      </c>
      <c r="AB704" s="622" t="str">
        <f>IF(NOT(ISBLANK('A-RACHNATMAK'!AE745)),"A",IF(NOT(ISBLANK('A-RACHNATMAK'!AE744)),"B",IF(NOT(ISBLANK('A-RACHNATMAK'!AE743)),"C","")))</f>
        <v/>
      </c>
      <c r="AC704" s="622" t="str">
        <f>IF(NOT(ISBLANK('A-RACHNATMAK'!AF745)),"A",IF(NOT(ISBLANK('A-RACHNATMAK'!AF744)),"B",IF(NOT(ISBLANK('A-RACHNATMAK'!AF743)),"C","")))</f>
        <v/>
      </c>
      <c r="AD704" s="622" t="str">
        <f>IF(NOT(ISBLANK('A-RACHNATMAK'!AG745)),"A",IF(NOT(ISBLANK('A-RACHNATMAK'!AG744)),"B",IF(NOT(ISBLANK('A-RACHNATMAK'!AG743)),"C","")))</f>
        <v/>
      </c>
      <c r="AE704" s="622" t="str">
        <f>IF(NOT(ISBLANK('A-RACHNATMAK'!AH745)),"A",IF(NOT(ISBLANK('A-RACHNATMAK'!AH744)),"B",IF(NOT(ISBLANK('A-RACHNATMAK'!AH743)),"C","")))</f>
        <v/>
      </c>
      <c r="AF704" s="622" t="str">
        <f>IF(NOT(ISBLANK('A-RACHNATMAK'!AI745)),"A",IF(NOT(ISBLANK('A-RACHNATMAK'!AI744)),"B",IF(NOT(ISBLANK('A-RACHNATMAK'!AI743)),"C","")))</f>
        <v/>
      </c>
      <c r="AG704" s="622" t="str">
        <f>IF(NOT(ISBLANK('A-RACHNATMAK'!AJ745)),"A",IF(NOT(ISBLANK('A-RACHNATMAK'!AJ744)),"B",IF(NOT(ISBLANK('A-RACHNATMAK'!AJ743)),"C","")))</f>
        <v/>
      </c>
      <c r="AH704" s="622" t="str">
        <f>IF(NOT(ISBLANK('A-RACHNATMAK'!AK745)),"A",IF(NOT(ISBLANK('A-RACHNATMAK'!AK744)),"B",IF(NOT(ISBLANK('A-RACHNATMAK'!AK743)),"C","")))</f>
        <v/>
      </c>
      <c r="AI704" s="622" t="str">
        <f>IF(NOT(ISBLANK('A-RACHNATMAK'!AL745)),"A",IF(NOT(ISBLANK('A-RACHNATMAK'!AL744)),"B",IF(NOT(ISBLANK('A-RACHNATMAK'!AL743)),"C","")))</f>
        <v/>
      </c>
      <c r="AJ704" s="622" t="str">
        <f>IF(NOT(ISBLANK('A-RACHNATMAK'!AM745)),"A",IF(NOT(ISBLANK('A-RACHNATMAK'!AM744)),"B",IF(NOT(ISBLANK('A-RACHNATMAK'!AM743)),"C","")))</f>
        <v/>
      </c>
      <c r="AK704" s="622" t="str">
        <f>IF(NOT(ISBLANK('A-RACHNATMAK'!AN745)),"A",IF(NOT(ISBLANK('A-RACHNATMAK'!AN744)),"B",IF(NOT(ISBLANK('A-RACHNATMAK'!AN743)),"C","")))</f>
        <v/>
      </c>
      <c r="AL704" s="622" t="str">
        <f>IF(NOT(ISBLANK('A-RACHNATMAK'!AO745)),"A",IF(NOT(ISBLANK('A-RACHNATMAK'!AO744)),"B",IF(NOT(ISBLANK('A-RACHNATMAK'!AO743)),"C","")))</f>
        <v/>
      </c>
      <c r="AM704" s="622" t="str">
        <f>IF(NOT(ISBLANK('A-RACHNATMAK'!AP745)),"A",IF(NOT(ISBLANK('A-RACHNATMAK'!AP744)),"B",IF(NOT(ISBLANK('A-RACHNATMAK'!AP743)),"C","")))</f>
        <v/>
      </c>
      <c r="AN704" s="622" t="str">
        <f>IF(NOT(ISBLANK('A-RACHNATMAK'!AQ745)),"A",IF(NOT(ISBLANK('A-RACHNATMAK'!AQ744)),"B",IF(NOT(ISBLANK('A-RACHNATMAK'!AQ743)),"C","")))</f>
        <v/>
      </c>
      <c r="AO704" s="622" t="str">
        <f>IF(NOT(ISBLANK('A-RACHNATMAK'!AR745)),"A",IF(NOT(ISBLANK('A-RACHNATMAK'!AR744)),"B",IF(NOT(ISBLANK('A-RACHNATMAK'!AR743)),"C","")))</f>
        <v/>
      </c>
      <c r="AP704" s="622" t="str">
        <f>IF(NOT(ISBLANK('A-RACHNATMAK'!AS745)),"A",IF(NOT(ISBLANK('A-RACHNATMAK'!AS744)),"B",IF(NOT(ISBLANK('A-RACHNATMAK'!AS743)),"C","")))</f>
        <v/>
      </c>
      <c r="AQ704" s="622" t="str">
        <f>IF(NOT(ISBLANK('A-RACHNATMAK'!AT745)),"A",IF(NOT(ISBLANK('A-RACHNATMAK'!AT744)),"B",IF(NOT(ISBLANK('A-RACHNATMAK'!AT743)),"C","")))</f>
        <v/>
      </c>
      <c r="AR704" s="622" t="str">
        <f>IF(NOT(ISBLANK('A-RACHNATMAK'!AU745)),"A",IF(NOT(ISBLANK('A-RACHNATMAK'!AU744)),"B",IF(NOT(ISBLANK('A-RACHNATMAK'!AU743)),"C","")))</f>
        <v/>
      </c>
      <c r="AS704" s="622" t="str">
        <f>IF(NOT(ISBLANK('A-RACHNATMAK'!AV745)),"A",IF(NOT(ISBLANK('A-RACHNATMAK'!AV744)),"B",IF(NOT(ISBLANK('A-RACHNATMAK'!AV743)),"C","")))</f>
        <v/>
      </c>
      <c r="AT704" s="622" t="str">
        <f>IF(NOT(ISBLANK('A-RACHNATMAK'!AW745)),"A",IF(NOT(ISBLANK('A-RACHNATMAK'!AW744)),"B",IF(NOT(ISBLANK('A-RACHNATMAK'!AW743)),"C","")))</f>
        <v/>
      </c>
      <c r="AU704" s="622">
        <f t="shared" ref="AU704" si="1341">COUNTIF(AA704:AT704,"A")</f>
        <v>0</v>
      </c>
      <c r="AV704" s="622">
        <f t="shared" ref="AV704" si="1342">COUNTIF(AA704:AT704,"B")</f>
        <v>0</v>
      </c>
      <c r="AW704" s="622">
        <f t="shared" ref="AW704" si="1343">COUNTIF(AA704:AT704,"C")</f>
        <v>0</v>
      </c>
    </row>
    <row r="705" spans="1:49" ht="7.5" customHeight="1">
      <c r="A705" s="623"/>
      <c r="B705" s="622"/>
      <c r="C705" s="622"/>
      <c r="D705" s="622"/>
      <c r="E705" s="622"/>
      <c r="F705" s="622"/>
      <c r="G705" s="622"/>
      <c r="H705" s="622"/>
      <c r="I705" s="622"/>
      <c r="J705" s="622"/>
      <c r="K705" s="622"/>
      <c r="L705" s="622"/>
      <c r="M705" s="622"/>
      <c r="N705" s="622"/>
      <c r="O705" s="622"/>
      <c r="P705" s="622"/>
      <c r="Q705" s="622"/>
      <c r="R705" s="622"/>
      <c r="S705" s="622"/>
      <c r="T705" s="622"/>
      <c r="U705" s="622"/>
      <c r="V705" s="622"/>
      <c r="W705" s="622"/>
      <c r="X705" s="622"/>
      <c r="Y705" s="330"/>
      <c r="Z705" s="623"/>
      <c r="AA705" s="622"/>
      <c r="AB705" s="622"/>
      <c r="AC705" s="622"/>
      <c r="AD705" s="622"/>
      <c r="AE705" s="622"/>
      <c r="AF705" s="622"/>
      <c r="AG705" s="622"/>
      <c r="AH705" s="622"/>
      <c r="AI705" s="622"/>
      <c r="AJ705" s="622"/>
      <c r="AK705" s="622"/>
      <c r="AL705" s="622"/>
      <c r="AM705" s="622"/>
      <c r="AN705" s="622"/>
      <c r="AO705" s="622"/>
      <c r="AP705" s="622"/>
      <c r="AQ705" s="622"/>
      <c r="AR705" s="622"/>
      <c r="AS705" s="622"/>
      <c r="AT705" s="622"/>
      <c r="AU705" s="622"/>
      <c r="AV705" s="622"/>
      <c r="AW705" s="622"/>
    </row>
    <row r="706" spans="1:49" ht="7.5" customHeight="1">
      <c r="A706" s="623"/>
      <c r="B706" s="622"/>
      <c r="C706" s="622"/>
      <c r="D706" s="622"/>
      <c r="E706" s="622"/>
      <c r="F706" s="622"/>
      <c r="G706" s="622"/>
      <c r="H706" s="622"/>
      <c r="I706" s="622"/>
      <c r="J706" s="622"/>
      <c r="K706" s="622"/>
      <c r="L706" s="622"/>
      <c r="M706" s="622"/>
      <c r="N706" s="622"/>
      <c r="O706" s="622"/>
      <c r="P706" s="622"/>
      <c r="Q706" s="622"/>
      <c r="R706" s="622"/>
      <c r="S706" s="622"/>
      <c r="T706" s="622"/>
      <c r="U706" s="622"/>
      <c r="V706" s="622"/>
      <c r="W706" s="622"/>
      <c r="X706" s="622"/>
      <c r="Y706" s="330"/>
      <c r="Z706" s="623"/>
      <c r="AA706" s="622"/>
      <c r="AB706" s="622"/>
      <c r="AC706" s="622"/>
      <c r="AD706" s="622"/>
      <c r="AE706" s="622"/>
      <c r="AF706" s="622"/>
      <c r="AG706" s="622"/>
      <c r="AH706" s="622"/>
      <c r="AI706" s="622"/>
      <c r="AJ706" s="622"/>
      <c r="AK706" s="622"/>
      <c r="AL706" s="622"/>
      <c r="AM706" s="622"/>
      <c r="AN706" s="622"/>
      <c r="AO706" s="622"/>
      <c r="AP706" s="622"/>
      <c r="AQ706" s="622"/>
      <c r="AR706" s="622"/>
      <c r="AS706" s="622"/>
      <c r="AT706" s="622"/>
      <c r="AU706" s="622"/>
      <c r="AV706" s="622"/>
      <c r="AW706" s="622"/>
    </row>
    <row r="707" spans="1:49" ht="7.5" customHeight="1">
      <c r="A707" s="623">
        <v>22</v>
      </c>
      <c r="B707" s="622" t="str">
        <f>IF(NOT(ISBLANK('A-RACHNATMAK'!C748)),"A",IF(NOT(ISBLANK('A-RACHNATMAK'!C747)),"B",IF(NOT(ISBLANK('A-RACHNATMAK'!C746)),"C","")))</f>
        <v/>
      </c>
      <c r="C707" s="622" t="str">
        <f>IF(NOT(ISBLANK('A-RACHNATMAK'!D748)),"A",IF(NOT(ISBLANK('A-RACHNATMAK'!D747)),"B",IF(NOT(ISBLANK('A-RACHNATMAK'!D746)),"C","")))</f>
        <v/>
      </c>
      <c r="D707" s="622" t="str">
        <f>IF(NOT(ISBLANK('A-RACHNATMAK'!E748)),"A",IF(NOT(ISBLANK('A-RACHNATMAK'!E747)),"B",IF(NOT(ISBLANK('A-RACHNATMAK'!E746)),"C","")))</f>
        <v/>
      </c>
      <c r="E707" s="622" t="str">
        <f>IF(NOT(ISBLANK('A-RACHNATMAK'!F748)),"A",IF(NOT(ISBLANK('A-RACHNATMAK'!F747)),"B",IF(NOT(ISBLANK('A-RACHNATMAK'!F746)),"C","")))</f>
        <v/>
      </c>
      <c r="F707" s="622" t="str">
        <f>IF(NOT(ISBLANK('A-RACHNATMAK'!G748)),"A",IF(NOT(ISBLANK('A-RACHNATMAK'!G747)),"B",IF(NOT(ISBLANK('A-RACHNATMAK'!G746)),"C","")))</f>
        <v/>
      </c>
      <c r="G707" s="622" t="str">
        <f>IF(NOT(ISBLANK('A-RACHNATMAK'!H748)),"A",IF(NOT(ISBLANK('A-RACHNATMAK'!H747)),"B",IF(NOT(ISBLANK('A-RACHNATMAK'!H746)),"C","")))</f>
        <v/>
      </c>
      <c r="H707" s="622" t="str">
        <f>IF(NOT(ISBLANK('A-RACHNATMAK'!I748)),"A",IF(NOT(ISBLANK('A-RACHNATMAK'!I747)),"B",IF(NOT(ISBLANK('A-RACHNATMAK'!I746)),"C","")))</f>
        <v/>
      </c>
      <c r="I707" s="622" t="str">
        <f>IF(NOT(ISBLANK('A-RACHNATMAK'!J748)),"A",IF(NOT(ISBLANK('A-RACHNATMAK'!J747)),"B",IF(NOT(ISBLANK('A-RACHNATMAK'!J746)),"C","")))</f>
        <v/>
      </c>
      <c r="J707" s="622" t="str">
        <f>IF(NOT(ISBLANK('A-RACHNATMAK'!K748)),"A",IF(NOT(ISBLANK('A-RACHNATMAK'!K747)),"B",IF(NOT(ISBLANK('A-RACHNATMAK'!K746)),"C","")))</f>
        <v/>
      </c>
      <c r="K707" s="622" t="str">
        <f>IF(NOT(ISBLANK('A-RACHNATMAK'!L748)),"A",IF(NOT(ISBLANK('A-RACHNATMAK'!L747)),"B",IF(NOT(ISBLANK('A-RACHNATMAK'!L746)),"C","")))</f>
        <v/>
      </c>
      <c r="L707" s="622" t="str">
        <f>IF(NOT(ISBLANK('A-RACHNATMAK'!M748)),"A",IF(NOT(ISBLANK('A-RACHNATMAK'!M747)),"B",IF(NOT(ISBLANK('A-RACHNATMAK'!M746)),"C","")))</f>
        <v/>
      </c>
      <c r="M707" s="622" t="str">
        <f>IF(NOT(ISBLANK('A-RACHNATMAK'!N748)),"A",IF(NOT(ISBLANK('A-RACHNATMAK'!N747)),"B",IF(NOT(ISBLANK('A-RACHNATMAK'!N746)),"C","")))</f>
        <v/>
      </c>
      <c r="N707" s="622" t="str">
        <f>IF(NOT(ISBLANK('A-RACHNATMAK'!O748)),"A",IF(NOT(ISBLANK('A-RACHNATMAK'!O747)),"B",IF(NOT(ISBLANK('A-RACHNATMAK'!O746)),"C","")))</f>
        <v/>
      </c>
      <c r="O707" s="622" t="str">
        <f>IF(NOT(ISBLANK('A-RACHNATMAK'!P748)),"A",IF(NOT(ISBLANK('A-RACHNATMAK'!P747)),"B",IF(NOT(ISBLANK('A-RACHNATMAK'!P746)),"C","")))</f>
        <v/>
      </c>
      <c r="P707" s="622" t="str">
        <f>IF(NOT(ISBLANK('A-RACHNATMAK'!Q748)),"A",IF(NOT(ISBLANK('A-RACHNATMAK'!Q747)),"B",IF(NOT(ISBLANK('A-RACHNATMAK'!Q746)),"C","")))</f>
        <v/>
      </c>
      <c r="Q707" s="622" t="str">
        <f>IF(NOT(ISBLANK('A-RACHNATMAK'!R748)),"A",IF(NOT(ISBLANK('A-RACHNATMAK'!R747)),"B",IF(NOT(ISBLANK('A-RACHNATMAK'!R746)),"C","")))</f>
        <v/>
      </c>
      <c r="R707" s="622" t="str">
        <f>IF(NOT(ISBLANK('A-RACHNATMAK'!S748)),"A",IF(NOT(ISBLANK('A-RACHNATMAK'!S747)),"B",IF(NOT(ISBLANK('A-RACHNATMAK'!S746)),"C","")))</f>
        <v/>
      </c>
      <c r="S707" s="622" t="str">
        <f>IF(NOT(ISBLANK('A-RACHNATMAK'!T748)),"A",IF(NOT(ISBLANK('A-RACHNATMAK'!T747)),"B",IF(NOT(ISBLANK('A-RACHNATMAK'!T746)),"C","")))</f>
        <v/>
      </c>
      <c r="T707" s="622" t="str">
        <f>IF(NOT(ISBLANK('A-RACHNATMAK'!U748)),"A",IF(NOT(ISBLANK('A-RACHNATMAK'!U747)),"B",IF(NOT(ISBLANK('A-RACHNATMAK'!U746)),"C","")))</f>
        <v/>
      </c>
      <c r="U707" s="622" t="str">
        <f>IF(NOT(ISBLANK('A-RACHNATMAK'!V748)),"A",IF(NOT(ISBLANK('A-RACHNATMAK'!V747)),"B",IF(NOT(ISBLANK('A-RACHNATMAK'!V746)),"C","")))</f>
        <v/>
      </c>
      <c r="V707" s="622">
        <f t="shared" ref="V707" si="1344">COUNTIF(B707:U707,"A")</f>
        <v>0</v>
      </c>
      <c r="W707" s="622">
        <f t="shared" ref="W707" si="1345">COUNTIF(B707:U707,"B")</f>
        <v>0</v>
      </c>
      <c r="X707" s="622">
        <f t="shared" ref="X707" si="1346">COUNTIF(B707:U707,"C")</f>
        <v>0</v>
      </c>
      <c r="Y707" s="330"/>
      <c r="Z707" s="623">
        <v>22</v>
      </c>
      <c r="AA707" s="622" t="str">
        <f>IF(NOT(ISBLANK('A-RACHNATMAK'!AD748)),"A",IF(NOT(ISBLANK('A-RACHNATMAK'!AD747)),"B",IF(NOT(ISBLANK('A-RACHNATMAK'!AD746)),"C","")))</f>
        <v/>
      </c>
      <c r="AB707" s="622" t="str">
        <f>IF(NOT(ISBLANK('A-RACHNATMAK'!AE748)),"A",IF(NOT(ISBLANK('A-RACHNATMAK'!AE747)),"B",IF(NOT(ISBLANK('A-RACHNATMAK'!AE746)),"C","")))</f>
        <v/>
      </c>
      <c r="AC707" s="622" t="str">
        <f>IF(NOT(ISBLANK('A-RACHNATMAK'!AF748)),"A",IF(NOT(ISBLANK('A-RACHNATMAK'!AF747)),"B",IF(NOT(ISBLANK('A-RACHNATMAK'!AF746)),"C","")))</f>
        <v/>
      </c>
      <c r="AD707" s="622" t="str">
        <f>IF(NOT(ISBLANK('A-RACHNATMAK'!AG748)),"A",IF(NOT(ISBLANK('A-RACHNATMAK'!AG747)),"B",IF(NOT(ISBLANK('A-RACHNATMAK'!AG746)),"C","")))</f>
        <v/>
      </c>
      <c r="AE707" s="622" t="str">
        <f>IF(NOT(ISBLANK('A-RACHNATMAK'!AH748)),"A",IF(NOT(ISBLANK('A-RACHNATMAK'!AH747)),"B",IF(NOT(ISBLANK('A-RACHNATMAK'!AH746)),"C","")))</f>
        <v/>
      </c>
      <c r="AF707" s="622" t="str">
        <f>IF(NOT(ISBLANK('A-RACHNATMAK'!AI748)),"A",IF(NOT(ISBLANK('A-RACHNATMAK'!AI747)),"B",IF(NOT(ISBLANK('A-RACHNATMAK'!AI746)),"C","")))</f>
        <v/>
      </c>
      <c r="AG707" s="622" t="str">
        <f>IF(NOT(ISBLANK('A-RACHNATMAK'!AJ748)),"A",IF(NOT(ISBLANK('A-RACHNATMAK'!AJ747)),"B",IF(NOT(ISBLANK('A-RACHNATMAK'!AJ746)),"C","")))</f>
        <v/>
      </c>
      <c r="AH707" s="622" t="str">
        <f>IF(NOT(ISBLANK('A-RACHNATMAK'!AK748)),"A",IF(NOT(ISBLANK('A-RACHNATMAK'!AK747)),"B",IF(NOT(ISBLANK('A-RACHNATMAK'!AK746)),"C","")))</f>
        <v/>
      </c>
      <c r="AI707" s="622" t="str">
        <f>IF(NOT(ISBLANK('A-RACHNATMAK'!AL748)),"A",IF(NOT(ISBLANK('A-RACHNATMAK'!AL747)),"B",IF(NOT(ISBLANK('A-RACHNATMAK'!AL746)),"C","")))</f>
        <v/>
      </c>
      <c r="AJ707" s="622" t="str">
        <f>IF(NOT(ISBLANK('A-RACHNATMAK'!AM748)),"A",IF(NOT(ISBLANK('A-RACHNATMAK'!AM747)),"B",IF(NOT(ISBLANK('A-RACHNATMAK'!AM746)),"C","")))</f>
        <v/>
      </c>
      <c r="AK707" s="622" t="str">
        <f>IF(NOT(ISBLANK('A-RACHNATMAK'!AN748)),"A",IF(NOT(ISBLANK('A-RACHNATMAK'!AN747)),"B",IF(NOT(ISBLANK('A-RACHNATMAK'!AN746)),"C","")))</f>
        <v/>
      </c>
      <c r="AL707" s="622" t="str">
        <f>IF(NOT(ISBLANK('A-RACHNATMAK'!AO748)),"A",IF(NOT(ISBLANK('A-RACHNATMAK'!AO747)),"B",IF(NOT(ISBLANK('A-RACHNATMAK'!AO746)),"C","")))</f>
        <v/>
      </c>
      <c r="AM707" s="622" t="str">
        <f>IF(NOT(ISBLANK('A-RACHNATMAK'!AP748)),"A",IF(NOT(ISBLANK('A-RACHNATMAK'!AP747)),"B",IF(NOT(ISBLANK('A-RACHNATMAK'!AP746)),"C","")))</f>
        <v/>
      </c>
      <c r="AN707" s="622" t="str">
        <f>IF(NOT(ISBLANK('A-RACHNATMAK'!AQ748)),"A",IF(NOT(ISBLANK('A-RACHNATMAK'!AQ747)),"B",IF(NOT(ISBLANK('A-RACHNATMAK'!AQ746)),"C","")))</f>
        <v/>
      </c>
      <c r="AO707" s="622" t="str">
        <f>IF(NOT(ISBLANK('A-RACHNATMAK'!AR748)),"A",IF(NOT(ISBLANK('A-RACHNATMAK'!AR747)),"B",IF(NOT(ISBLANK('A-RACHNATMAK'!AR746)),"C","")))</f>
        <v/>
      </c>
      <c r="AP707" s="622" t="str">
        <f>IF(NOT(ISBLANK('A-RACHNATMAK'!AS748)),"A",IF(NOT(ISBLANK('A-RACHNATMAK'!AS747)),"B",IF(NOT(ISBLANK('A-RACHNATMAK'!AS746)),"C","")))</f>
        <v/>
      </c>
      <c r="AQ707" s="622" t="str">
        <f>IF(NOT(ISBLANK('A-RACHNATMAK'!AT748)),"A",IF(NOT(ISBLANK('A-RACHNATMAK'!AT747)),"B",IF(NOT(ISBLANK('A-RACHNATMAK'!AT746)),"C","")))</f>
        <v/>
      </c>
      <c r="AR707" s="622" t="str">
        <f>IF(NOT(ISBLANK('A-RACHNATMAK'!AU748)),"A",IF(NOT(ISBLANK('A-RACHNATMAK'!AU747)),"B",IF(NOT(ISBLANK('A-RACHNATMAK'!AU746)),"C","")))</f>
        <v/>
      </c>
      <c r="AS707" s="622" t="str">
        <f>IF(NOT(ISBLANK('A-RACHNATMAK'!AV748)),"A",IF(NOT(ISBLANK('A-RACHNATMAK'!AV747)),"B",IF(NOT(ISBLANK('A-RACHNATMAK'!AV746)),"C","")))</f>
        <v/>
      </c>
      <c r="AT707" s="622" t="str">
        <f>IF(NOT(ISBLANK('A-RACHNATMAK'!AW748)),"A",IF(NOT(ISBLANK('A-RACHNATMAK'!AW747)),"B",IF(NOT(ISBLANK('A-RACHNATMAK'!AW746)),"C","")))</f>
        <v/>
      </c>
      <c r="AU707" s="622">
        <f t="shared" ref="AU707" si="1347">COUNTIF(AA707:AT707,"A")</f>
        <v>0</v>
      </c>
      <c r="AV707" s="622">
        <f t="shared" ref="AV707" si="1348">COUNTIF(AA707:AT707,"B")</f>
        <v>0</v>
      </c>
      <c r="AW707" s="622">
        <f t="shared" ref="AW707" si="1349">COUNTIF(AA707:AT707,"C")</f>
        <v>0</v>
      </c>
    </row>
    <row r="708" spans="1:49" ht="7.5" customHeight="1">
      <c r="A708" s="623"/>
      <c r="B708" s="622"/>
      <c r="C708" s="622"/>
      <c r="D708" s="622"/>
      <c r="E708" s="622"/>
      <c r="F708" s="622"/>
      <c r="G708" s="622"/>
      <c r="H708" s="622"/>
      <c r="I708" s="622"/>
      <c r="J708" s="622"/>
      <c r="K708" s="622"/>
      <c r="L708" s="622"/>
      <c r="M708" s="622"/>
      <c r="N708" s="622"/>
      <c r="O708" s="622"/>
      <c r="P708" s="622"/>
      <c r="Q708" s="622"/>
      <c r="R708" s="622"/>
      <c r="S708" s="622"/>
      <c r="T708" s="622"/>
      <c r="U708" s="622"/>
      <c r="V708" s="622"/>
      <c r="W708" s="622"/>
      <c r="X708" s="622"/>
      <c r="Y708" s="330"/>
      <c r="Z708" s="623"/>
      <c r="AA708" s="622"/>
      <c r="AB708" s="622"/>
      <c r="AC708" s="622"/>
      <c r="AD708" s="622"/>
      <c r="AE708" s="622"/>
      <c r="AF708" s="622"/>
      <c r="AG708" s="622"/>
      <c r="AH708" s="622"/>
      <c r="AI708" s="622"/>
      <c r="AJ708" s="622"/>
      <c r="AK708" s="622"/>
      <c r="AL708" s="622"/>
      <c r="AM708" s="622"/>
      <c r="AN708" s="622"/>
      <c r="AO708" s="622"/>
      <c r="AP708" s="622"/>
      <c r="AQ708" s="622"/>
      <c r="AR708" s="622"/>
      <c r="AS708" s="622"/>
      <c r="AT708" s="622"/>
      <c r="AU708" s="622"/>
      <c r="AV708" s="622"/>
      <c r="AW708" s="622"/>
    </row>
    <row r="709" spans="1:49" ht="7.5" customHeight="1">
      <c r="A709" s="623"/>
      <c r="B709" s="622"/>
      <c r="C709" s="622"/>
      <c r="D709" s="622"/>
      <c r="E709" s="622"/>
      <c r="F709" s="622"/>
      <c r="G709" s="622"/>
      <c r="H709" s="622"/>
      <c r="I709" s="622"/>
      <c r="J709" s="622"/>
      <c r="K709" s="622"/>
      <c r="L709" s="622"/>
      <c r="M709" s="622"/>
      <c r="N709" s="622"/>
      <c r="O709" s="622"/>
      <c r="P709" s="622"/>
      <c r="Q709" s="622"/>
      <c r="R709" s="622"/>
      <c r="S709" s="622"/>
      <c r="T709" s="622"/>
      <c r="U709" s="622"/>
      <c r="V709" s="622"/>
      <c r="W709" s="622"/>
      <c r="X709" s="622"/>
      <c r="Y709" s="330"/>
      <c r="Z709" s="623"/>
      <c r="AA709" s="622"/>
      <c r="AB709" s="622"/>
      <c r="AC709" s="622"/>
      <c r="AD709" s="622"/>
      <c r="AE709" s="622"/>
      <c r="AF709" s="622"/>
      <c r="AG709" s="622"/>
      <c r="AH709" s="622"/>
      <c r="AI709" s="622"/>
      <c r="AJ709" s="622"/>
      <c r="AK709" s="622"/>
      <c r="AL709" s="622"/>
      <c r="AM709" s="622"/>
      <c r="AN709" s="622"/>
      <c r="AO709" s="622"/>
      <c r="AP709" s="622"/>
      <c r="AQ709" s="622"/>
      <c r="AR709" s="622"/>
      <c r="AS709" s="622"/>
      <c r="AT709" s="622"/>
      <c r="AU709" s="622"/>
      <c r="AV709" s="622"/>
      <c r="AW709" s="622"/>
    </row>
    <row r="710" spans="1:49" ht="7.5" customHeight="1">
      <c r="A710" s="623">
        <v>23</v>
      </c>
      <c r="B710" s="622" t="str">
        <f>IF(NOT(ISBLANK('A-RACHNATMAK'!C751)),"A",IF(NOT(ISBLANK('A-RACHNATMAK'!C750)),"B",IF(NOT(ISBLANK('A-RACHNATMAK'!C749)),"C","")))</f>
        <v/>
      </c>
      <c r="C710" s="622" t="str">
        <f>IF(NOT(ISBLANK('A-RACHNATMAK'!D751)),"A",IF(NOT(ISBLANK('A-RACHNATMAK'!D750)),"B",IF(NOT(ISBLANK('A-RACHNATMAK'!D749)),"C","")))</f>
        <v/>
      </c>
      <c r="D710" s="622" t="str">
        <f>IF(NOT(ISBLANK('A-RACHNATMAK'!E751)),"A",IF(NOT(ISBLANK('A-RACHNATMAK'!E750)),"B",IF(NOT(ISBLANK('A-RACHNATMAK'!E749)),"C","")))</f>
        <v/>
      </c>
      <c r="E710" s="622" t="str">
        <f>IF(NOT(ISBLANK('A-RACHNATMAK'!F751)),"A",IF(NOT(ISBLANK('A-RACHNATMAK'!F750)),"B",IF(NOT(ISBLANK('A-RACHNATMAK'!F749)),"C","")))</f>
        <v/>
      </c>
      <c r="F710" s="622" t="str">
        <f>IF(NOT(ISBLANK('A-RACHNATMAK'!G751)),"A",IF(NOT(ISBLANK('A-RACHNATMAK'!G750)),"B",IF(NOT(ISBLANK('A-RACHNATMAK'!G749)),"C","")))</f>
        <v/>
      </c>
      <c r="G710" s="622" t="str">
        <f>IF(NOT(ISBLANK('A-RACHNATMAK'!H751)),"A",IF(NOT(ISBLANK('A-RACHNATMAK'!H750)),"B",IF(NOT(ISBLANK('A-RACHNATMAK'!H749)),"C","")))</f>
        <v/>
      </c>
      <c r="H710" s="622" t="str">
        <f>IF(NOT(ISBLANK('A-RACHNATMAK'!I751)),"A",IF(NOT(ISBLANK('A-RACHNATMAK'!I750)),"B",IF(NOT(ISBLANK('A-RACHNATMAK'!I749)),"C","")))</f>
        <v/>
      </c>
      <c r="I710" s="622" t="str">
        <f>IF(NOT(ISBLANK('A-RACHNATMAK'!J751)),"A",IF(NOT(ISBLANK('A-RACHNATMAK'!J750)),"B",IF(NOT(ISBLANK('A-RACHNATMAK'!J749)),"C","")))</f>
        <v/>
      </c>
      <c r="J710" s="622" t="str">
        <f>IF(NOT(ISBLANK('A-RACHNATMAK'!K751)),"A",IF(NOT(ISBLANK('A-RACHNATMAK'!K750)),"B",IF(NOT(ISBLANK('A-RACHNATMAK'!K749)),"C","")))</f>
        <v/>
      </c>
      <c r="K710" s="622" t="str">
        <f>IF(NOT(ISBLANK('A-RACHNATMAK'!L751)),"A",IF(NOT(ISBLANK('A-RACHNATMAK'!L750)),"B",IF(NOT(ISBLANK('A-RACHNATMAK'!L749)),"C","")))</f>
        <v/>
      </c>
      <c r="L710" s="622" t="str">
        <f>IF(NOT(ISBLANK('A-RACHNATMAK'!M751)),"A",IF(NOT(ISBLANK('A-RACHNATMAK'!M750)),"B",IF(NOT(ISBLANK('A-RACHNATMAK'!M749)),"C","")))</f>
        <v/>
      </c>
      <c r="M710" s="622" t="str">
        <f>IF(NOT(ISBLANK('A-RACHNATMAK'!N751)),"A",IF(NOT(ISBLANK('A-RACHNATMAK'!N750)),"B",IF(NOT(ISBLANK('A-RACHNATMAK'!N749)),"C","")))</f>
        <v/>
      </c>
      <c r="N710" s="622" t="str">
        <f>IF(NOT(ISBLANK('A-RACHNATMAK'!O751)),"A",IF(NOT(ISBLANK('A-RACHNATMAK'!O750)),"B",IF(NOT(ISBLANK('A-RACHNATMAK'!O749)),"C","")))</f>
        <v/>
      </c>
      <c r="O710" s="622" t="str">
        <f>IF(NOT(ISBLANK('A-RACHNATMAK'!P751)),"A",IF(NOT(ISBLANK('A-RACHNATMAK'!P750)),"B",IF(NOT(ISBLANK('A-RACHNATMAK'!P749)),"C","")))</f>
        <v/>
      </c>
      <c r="P710" s="622" t="str">
        <f>IF(NOT(ISBLANK('A-RACHNATMAK'!Q751)),"A",IF(NOT(ISBLANK('A-RACHNATMAK'!Q750)),"B",IF(NOT(ISBLANK('A-RACHNATMAK'!Q749)),"C","")))</f>
        <v/>
      </c>
      <c r="Q710" s="622" t="str">
        <f>IF(NOT(ISBLANK('A-RACHNATMAK'!R751)),"A",IF(NOT(ISBLANK('A-RACHNATMAK'!R750)),"B",IF(NOT(ISBLANK('A-RACHNATMAK'!R749)),"C","")))</f>
        <v/>
      </c>
      <c r="R710" s="622" t="str">
        <f>IF(NOT(ISBLANK('A-RACHNATMAK'!S751)),"A",IF(NOT(ISBLANK('A-RACHNATMAK'!S750)),"B",IF(NOT(ISBLANK('A-RACHNATMAK'!S749)),"C","")))</f>
        <v/>
      </c>
      <c r="S710" s="622" t="str">
        <f>IF(NOT(ISBLANK('A-RACHNATMAK'!T751)),"A",IF(NOT(ISBLANK('A-RACHNATMAK'!T750)),"B",IF(NOT(ISBLANK('A-RACHNATMAK'!T749)),"C","")))</f>
        <v/>
      </c>
      <c r="T710" s="622" t="str">
        <f>IF(NOT(ISBLANK('A-RACHNATMAK'!U751)),"A",IF(NOT(ISBLANK('A-RACHNATMAK'!U750)),"B",IF(NOT(ISBLANK('A-RACHNATMAK'!U749)),"C","")))</f>
        <v/>
      </c>
      <c r="U710" s="622" t="str">
        <f>IF(NOT(ISBLANK('A-RACHNATMAK'!V751)),"A",IF(NOT(ISBLANK('A-RACHNATMAK'!V750)),"B",IF(NOT(ISBLANK('A-RACHNATMAK'!V749)),"C","")))</f>
        <v/>
      </c>
      <c r="V710" s="622">
        <f t="shared" ref="V710" si="1350">COUNTIF(B710:U710,"A")</f>
        <v>0</v>
      </c>
      <c r="W710" s="622">
        <f t="shared" ref="W710" si="1351">COUNTIF(B710:U710,"B")</f>
        <v>0</v>
      </c>
      <c r="X710" s="622">
        <f t="shared" ref="X710" si="1352">COUNTIF(B710:U710,"C")</f>
        <v>0</v>
      </c>
      <c r="Y710" s="330"/>
      <c r="Z710" s="623">
        <v>23</v>
      </c>
      <c r="AA710" s="622" t="str">
        <f>IF(NOT(ISBLANK('A-RACHNATMAK'!AD751)),"A",IF(NOT(ISBLANK('A-RACHNATMAK'!AD750)),"B",IF(NOT(ISBLANK('A-RACHNATMAK'!AD749)),"C","")))</f>
        <v/>
      </c>
      <c r="AB710" s="622" t="str">
        <f>IF(NOT(ISBLANK('A-RACHNATMAK'!AE751)),"A",IF(NOT(ISBLANK('A-RACHNATMAK'!AE750)),"B",IF(NOT(ISBLANK('A-RACHNATMAK'!AE749)),"C","")))</f>
        <v/>
      </c>
      <c r="AC710" s="622" t="str">
        <f>IF(NOT(ISBLANK('A-RACHNATMAK'!AF751)),"A",IF(NOT(ISBLANK('A-RACHNATMAK'!AF750)),"B",IF(NOT(ISBLANK('A-RACHNATMAK'!AF749)),"C","")))</f>
        <v/>
      </c>
      <c r="AD710" s="622" t="str">
        <f>IF(NOT(ISBLANK('A-RACHNATMAK'!AG751)),"A",IF(NOT(ISBLANK('A-RACHNATMAK'!AG750)),"B",IF(NOT(ISBLANK('A-RACHNATMAK'!AG749)),"C","")))</f>
        <v/>
      </c>
      <c r="AE710" s="622" t="str">
        <f>IF(NOT(ISBLANK('A-RACHNATMAK'!AH751)),"A",IF(NOT(ISBLANK('A-RACHNATMAK'!AH750)),"B",IF(NOT(ISBLANK('A-RACHNATMAK'!AH749)),"C","")))</f>
        <v/>
      </c>
      <c r="AF710" s="622" t="str">
        <f>IF(NOT(ISBLANK('A-RACHNATMAK'!AI751)),"A",IF(NOT(ISBLANK('A-RACHNATMAK'!AI750)),"B",IF(NOT(ISBLANK('A-RACHNATMAK'!AI749)),"C","")))</f>
        <v/>
      </c>
      <c r="AG710" s="622" t="str">
        <f>IF(NOT(ISBLANK('A-RACHNATMAK'!AJ751)),"A",IF(NOT(ISBLANK('A-RACHNATMAK'!AJ750)),"B",IF(NOT(ISBLANK('A-RACHNATMAK'!AJ749)),"C","")))</f>
        <v/>
      </c>
      <c r="AH710" s="622" t="str">
        <f>IF(NOT(ISBLANK('A-RACHNATMAK'!AK751)),"A",IF(NOT(ISBLANK('A-RACHNATMAK'!AK750)),"B",IF(NOT(ISBLANK('A-RACHNATMAK'!AK749)),"C","")))</f>
        <v/>
      </c>
      <c r="AI710" s="622" t="str">
        <f>IF(NOT(ISBLANK('A-RACHNATMAK'!AL751)),"A",IF(NOT(ISBLANK('A-RACHNATMAK'!AL750)),"B",IF(NOT(ISBLANK('A-RACHNATMAK'!AL749)),"C","")))</f>
        <v/>
      </c>
      <c r="AJ710" s="622" t="str">
        <f>IF(NOT(ISBLANK('A-RACHNATMAK'!AM751)),"A",IF(NOT(ISBLANK('A-RACHNATMAK'!AM750)),"B",IF(NOT(ISBLANK('A-RACHNATMAK'!AM749)),"C","")))</f>
        <v/>
      </c>
      <c r="AK710" s="622" t="str">
        <f>IF(NOT(ISBLANK('A-RACHNATMAK'!AN751)),"A",IF(NOT(ISBLANK('A-RACHNATMAK'!AN750)),"B",IF(NOT(ISBLANK('A-RACHNATMAK'!AN749)),"C","")))</f>
        <v/>
      </c>
      <c r="AL710" s="622" t="str">
        <f>IF(NOT(ISBLANK('A-RACHNATMAK'!AO751)),"A",IF(NOT(ISBLANK('A-RACHNATMAK'!AO750)),"B",IF(NOT(ISBLANK('A-RACHNATMAK'!AO749)),"C","")))</f>
        <v/>
      </c>
      <c r="AM710" s="622" t="str">
        <f>IF(NOT(ISBLANK('A-RACHNATMAK'!AP751)),"A",IF(NOT(ISBLANK('A-RACHNATMAK'!AP750)),"B",IF(NOT(ISBLANK('A-RACHNATMAK'!AP749)),"C","")))</f>
        <v/>
      </c>
      <c r="AN710" s="622" t="str">
        <f>IF(NOT(ISBLANK('A-RACHNATMAK'!AQ751)),"A",IF(NOT(ISBLANK('A-RACHNATMAK'!AQ750)),"B",IF(NOT(ISBLANK('A-RACHNATMAK'!AQ749)),"C","")))</f>
        <v/>
      </c>
      <c r="AO710" s="622" t="str">
        <f>IF(NOT(ISBLANK('A-RACHNATMAK'!AR751)),"A",IF(NOT(ISBLANK('A-RACHNATMAK'!AR750)),"B",IF(NOT(ISBLANK('A-RACHNATMAK'!AR749)),"C","")))</f>
        <v/>
      </c>
      <c r="AP710" s="622" t="str">
        <f>IF(NOT(ISBLANK('A-RACHNATMAK'!AS751)),"A",IF(NOT(ISBLANK('A-RACHNATMAK'!AS750)),"B",IF(NOT(ISBLANK('A-RACHNATMAK'!AS749)),"C","")))</f>
        <v/>
      </c>
      <c r="AQ710" s="622" t="str">
        <f>IF(NOT(ISBLANK('A-RACHNATMAK'!AT751)),"A",IF(NOT(ISBLANK('A-RACHNATMAK'!AT750)),"B",IF(NOT(ISBLANK('A-RACHNATMAK'!AT749)),"C","")))</f>
        <v/>
      </c>
      <c r="AR710" s="622" t="str">
        <f>IF(NOT(ISBLANK('A-RACHNATMAK'!AU751)),"A",IF(NOT(ISBLANK('A-RACHNATMAK'!AU750)),"B",IF(NOT(ISBLANK('A-RACHNATMAK'!AU749)),"C","")))</f>
        <v/>
      </c>
      <c r="AS710" s="622" t="str">
        <f>IF(NOT(ISBLANK('A-RACHNATMAK'!AV751)),"A",IF(NOT(ISBLANK('A-RACHNATMAK'!AV750)),"B",IF(NOT(ISBLANK('A-RACHNATMAK'!AV749)),"C","")))</f>
        <v/>
      </c>
      <c r="AT710" s="622" t="str">
        <f>IF(NOT(ISBLANK('A-RACHNATMAK'!AW751)),"A",IF(NOT(ISBLANK('A-RACHNATMAK'!AW750)),"B",IF(NOT(ISBLANK('A-RACHNATMAK'!AW749)),"C","")))</f>
        <v/>
      </c>
      <c r="AU710" s="622">
        <f t="shared" ref="AU710" si="1353">COUNTIF(AA710:AT710,"A")</f>
        <v>0</v>
      </c>
      <c r="AV710" s="622">
        <f t="shared" ref="AV710" si="1354">COUNTIF(AA710:AT710,"B")</f>
        <v>0</v>
      </c>
      <c r="AW710" s="622">
        <f t="shared" ref="AW710" si="1355">COUNTIF(AA710:AT710,"C")</f>
        <v>0</v>
      </c>
    </row>
    <row r="711" spans="1:49" ht="7.5" customHeight="1">
      <c r="A711" s="623"/>
      <c r="B711" s="622"/>
      <c r="C711" s="622"/>
      <c r="D711" s="622"/>
      <c r="E711" s="622"/>
      <c r="F711" s="622"/>
      <c r="G711" s="622"/>
      <c r="H711" s="622"/>
      <c r="I711" s="622"/>
      <c r="J711" s="622"/>
      <c r="K711" s="622"/>
      <c r="L711" s="622"/>
      <c r="M711" s="622"/>
      <c r="N711" s="622"/>
      <c r="O711" s="622"/>
      <c r="P711" s="622"/>
      <c r="Q711" s="622"/>
      <c r="R711" s="622"/>
      <c r="S711" s="622"/>
      <c r="T711" s="622"/>
      <c r="U711" s="622"/>
      <c r="V711" s="622"/>
      <c r="W711" s="622"/>
      <c r="X711" s="622"/>
      <c r="Y711" s="330"/>
      <c r="Z711" s="623"/>
      <c r="AA711" s="622"/>
      <c r="AB711" s="622"/>
      <c r="AC711" s="622"/>
      <c r="AD711" s="622"/>
      <c r="AE711" s="622"/>
      <c r="AF711" s="622"/>
      <c r="AG711" s="622"/>
      <c r="AH711" s="622"/>
      <c r="AI711" s="622"/>
      <c r="AJ711" s="622"/>
      <c r="AK711" s="622"/>
      <c r="AL711" s="622"/>
      <c r="AM711" s="622"/>
      <c r="AN711" s="622"/>
      <c r="AO711" s="622"/>
      <c r="AP711" s="622"/>
      <c r="AQ711" s="622"/>
      <c r="AR711" s="622"/>
      <c r="AS711" s="622"/>
      <c r="AT711" s="622"/>
      <c r="AU711" s="622"/>
      <c r="AV711" s="622"/>
      <c r="AW711" s="622"/>
    </row>
    <row r="712" spans="1:49" ht="7.5" customHeight="1">
      <c r="A712" s="623"/>
      <c r="B712" s="622"/>
      <c r="C712" s="622"/>
      <c r="D712" s="622"/>
      <c r="E712" s="622"/>
      <c r="F712" s="622"/>
      <c r="G712" s="622"/>
      <c r="H712" s="622"/>
      <c r="I712" s="622"/>
      <c r="J712" s="622"/>
      <c r="K712" s="622"/>
      <c r="L712" s="622"/>
      <c r="M712" s="622"/>
      <c r="N712" s="622"/>
      <c r="O712" s="622"/>
      <c r="P712" s="622"/>
      <c r="Q712" s="622"/>
      <c r="R712" s="622"/>
      <c r="S712" s="622"/>
      <c r="T712" s="622"/>
      <c r="U712" s="622"/>
      <c r="V712" s="622"/>
      <c r="W712" s="622"/>
      <c r="X712" s="622"/>
      <c r="Y712" s="330"/>
      <c r="Z712" s="623"/>
      <c r="AA712" s="622"/>
      <c r="AB712" s="622"/>
      <c r="AC712" s="622"/>
      <c r="AD712" s="622"/>
      <c r="AE712" s="622"/>
      <c r="AF712" s="622"/>
      <c r="AG712" s="622"/>
      <c r="AH712" s="622"/>
      <c r="AI712" s="622"/>
      <c r="AJ712" s="622"/>
      <c r="AK712" s="622"/>
      <c r="AL712" s="622"/>
      <c r="AM712" s="622"/>
      <c r="AN712" s="622"/>
      <c r="AO712" s="622"/>
      <c r="AP712" s="622"/>
      <c r="AQ712" s="622"/>
      <c r="AR712" s="622"/>
      <c r="AS712" s="622"/>
      <c r="AT712" s="622"/>
      <c r="AU712" s="622"/>
      <c r="AV712" s="622"/>
      <c r="AW712" s="622"/>
    </row>
    <row r="713" spans="1:49" ht="7.5" customHeight="1">
      <c r="A713" s="623">
        <v>24</v>
      </c>
      <c r="B713" s="622" t="str">
        <f>IF(NOT(ISBLANK('A-RACHNATMAK'!C754)),"A",IF(NOT(ISBLANK('A-RACHNATMAK'!C753)),"B",IF(NOT(ISBLANK('A-RACHNATMAK'!C752)),"C","")))</f>
        <v/>
      </c>
      <c r="C713" s="622" t="str">
        <f>IF(NOT(ISBLANK('A-RACHNATMAK'!D754)),"A",IF(NOT(ISBLANK('A-RACHNATMAK'!D753)),"B",IF(NOT(ISBLANK('A-RACHNATMAK'!D752)),"C","")))</f>
        <v/>
      </c>
      <c r="D713" s="622" t="str">
        <f>IF(NOT(ISBLANK('A-RACHNATMAK'!E754)),"A",IF(NOT(ISBLANK('A-RACHNATMAK'!E753)),"B",IF(NOT(ISBLANK('A-RACHNATMAK'!E752)),"C","")))</f>
        <v/>
      </c>
      <c r="E713" s="622" t="str">
        <f>IF(NOT(ISBLANK('A-RACHNATMAK'!F754)),"A",IF(NOT(ISBLANK('A-RACHNATMAK'!F753)),"B",IF(NOT(ISBLANK('A-RACHNATMAK'!F752)),"C","")))</f>
        <v/>
      </c>
      <c r="F713" s="622" t="str">
        <f>IF(NOT(ISBLANK('A-RACHNATMAK'!G754)),"A",IF(NOT(ISBLANK('A-RACHNATMAK'!G753)),"B",IF(NOT(ISBLANK('A-RACHNATMAK'!G752)),"C","")))</f>
        <v/>
      </c>
      <c r="G713" s="622" t="str">
        <f>IF(NOT(ISBLANK('A-RACHNATMAK'!H754)),"A",IF(NOT(ISBLANK('A-RACHNATMAK'!H753)),"B",IF(NOT(ISBLANK('A-RACHNATMAK'!H752)),"C","")))</f>
        <v/>
      </c>
      <c r="H713" s="622" t="str">
        <f>IF(NOT(ISBLANK('A-RACHNATMAK'!I754)),"A",IF(NOT(ISBLANK('A-RACHNATMAK'!I753)),"B",IF(NOT(ISBLANK('A-RACHNATMAK'!I752)),"C","")))</f>
        <v/>
      </c>
      <c r="I713" s="622" t="str">
        <f>IF(NOT(ISBLANK('A-RACHNATMAK'!J754)),"A",IF(NOT(ISBLANK('A-RACHNATMAK'!J753)),"B",IF(NOT(ISBLANK('A-RACHNATMAK'!J752)),"C","")))</f>
        <v/>
      </c>
      <c r="J713" s="622" t="str">
        <f>IF(NOT(ISBLANK('A-RACHNATMAK'!K754)),"A",IF(NOT(ISBLANK('A-RACHNATMAK'!K753)),"B",IF(NOT(ISBLANK('A-RACHNATMAK'!K752)),"C","")))</f>
        <v/>
      </c>
      <c r="K713" s="622" t="str">
        <f>IF(NOT(ISBLANK('A-RACHNATMAK'!L754)),"A",IF(NOT(ISBLANK('A-RACHNATMAK'!L753)),"B",IF(NOT(ISBLANK('A-RACHNATMAK'!L752)),"C","")))</f>
        <v/>
      </c>
      <c r="L713" s="622" t="str">
        <f>IF(NOT(ISBLANK('A-RACHNATMAK'!M754)),"A",IF(NOT(ISBLANK('A-RACHNATMAK'!M753)),"B",IF(NOT(ISBLANK('A-RACHNATMAK'!M752)),"C","")))</f>
        <v/>
      </c>
      <c r="M713" s="622" t="str">
        <f>IF(NOT(ISBLANK('A-RACHNATMAK'!N754)),"A",IF(NOT(ISBLANK('A-RACHNATMAK'!N753)),"B",IF(NOT(ISBLANK('A-RACHNATMAK'!N752)),"C","")))</f>
        <v/>
      </c>
      <c r="N713" s="622" t="str">
        <f>IF(NOT(ISBLANK('A-RACHNATMAK'!O754)),"A",IF(NOT(ISBLANK('A-RACHNATMAK'!O753)),"B",IF(NOT(ISBLANK('A-RACHNATMAK'!O752)),"C","")))</f>
        <v/>
      </c>
      <c r="O713" s="622" t="str">
        <f>IF(NOT(ISBLANK('A-RACHNATMAK'!P754)),"A",IF(NOT(ISBLANK('A-RACHNATMAK'!P753)),"B",IF(NOT(ISBLANK('A-RACHNATMAK'!P752)),"C","")))</f>
        <v/>
      </c>
      <c r="P713" s="622" t="str">
        <f>IF(NOT(ISBLANK('A-RACHNATMAK'!Q754)),"A",IF(NOT(ISBLANK('A-RACHNATMAK'!Q753)),"B",IF(NOT(ISBLANK('A-RACHNATMAK'!Q752)),"C","")))</f>
        <v/>
      </c>
      <c r="Q713" s="622" t="str">
        <f>IF(NOT(ISBLANK('A-RACHNATMAK'!R754)),"A",IF(NOT(ISBLANK('A-RACHNATMAK'!R753)),"B",IF(NOT(ISBLANK('A-RACHNATMAK'!R752)),"C","")))</f>
        <v/>
      </c>
      <c r="R713" s="622" t="str">
        <f>IF(NOT(ISBLANK('A-RACHNATMAK'!S754)),"A",IF(NOT(ISBLANK('A-RACHNATMAK'!S753)),"B",IF(NOT(ISBLANK('A-RACHNATMAK'!S752)),"C","")))</f>
        <v/>
      </c>
      <c r="S713" s="622" t="str">
        <f>IF(NOT(ISBLANK('A-RACHNATMAK'!T754)),"A",IF(NOT(ISBLANK('A-RACHNATMAK'!T753)),"B",IF(NOT(ISBLANK('A-RACHNATMAK'!T752)),"C","")))</f>
        <v/>
      </c>
      <c r="T713" s="622" t="str">
        <f>IF(NOT(ISBLANK('A-RACHNATMAK'!U754)),"A",IF(NOT(ISBLANK('A-RACHNATMAK'!U753)),"B",IF(NOT(ISBLANK('A-RACHNATMAK'!U752)),"C","")))</f>
        <v/>
      </c>
      <c r="U713" s="622" t="str">
        <f>IF(NOT(ISBLANK('A-RACHNATMAK'!V754)),"A",IF(NOT(ISBLANK('A-RACHNATMAK'!V753)),"B",IF(NOT(ISBLANK('A-RACHNATMAK'!V752)),"C","")))</f>
        <v/>
      </c>
      <c r="V713" s="622">
        <f t="shared" ref="V713" si="1356">COUNTIF(B713:U713,"A")</f>
        <v>0</v>
      </c>
      <c r="W713" s="622">
        <f t="shared" ref="W713" si="1357">COUNTIF(B713:U713,"B")</f>
        <v>0</v>
      </c>
      <c r="X713" s="622">
        <f t="shared" ref="X713" si="1358">COUNTIF(B713:U713,"C")</f>
        <v>0</v>
      </c>
      <c r="Y713" s="330"/>
      <c r="Z713" s="623">
        <v>24</v>
      </c>
      <c r="AA713" s="622" t="str">
        <f>IF(NOT(ISBLANK('A-RACHNATMAK'!AD754)),"A",IF(NOT(ISBLANK('A-RACHNATMAK'!AD753)),"B",IF(NOT(ISBLANK('A-RACHNATMAK'!AD752)),"C","")))</f>
        <v/>
      </c>
      <c r="AB713" s="622" t="str">
        <f>IF(NOT(ISBLANK('A-RACHNATMAK'!AE754)),"A",IF(NOT(ISBLANK('A-RACHNATMAK'!AE753)),"B",IF(NOT(ISBLANK('A-RACHNATMAK'!AE752)),"C","")))</f>
        <v/>
      </c>
      <c r="AC713" s="622" t="str">
        <f>IF(NOT(ISBLANK('A-RACHNATMAK'!AF754)),"A",IF(NOT(ISBLANK('A-RACHNATMAK'!AF753)),"B",IF(NOT(ISBLANK('A-RACHNATMAK'!AF752)),"C","")))</f>
        <v/>
      </c>
      <c r="AD713" s="622" t="str">
        <f>IF(NOT(ISBLANK('A-RACHNATMAK'!AG754)),"A",IF(NOT(ISBLANK('A-RACHNATMAK'!AG753)),"B",IF(NOT(ISBLANK('A-RACHNATMAK'!AG752)),"C","")))</f>
        <v>B</v>
      </c>
      <c r="AE713" s="622" t="str">
        <f>IF(NOT(ISBLANK('A-RACHNATMAK'!AH754)),"A",IF(NOT(ISBLANK('A-RACHNATMAK'!AH753)),"B",IF(NOT(ISBLANK('A-RACHNATMAK'!AH752)),"C","")))</f>
        <v/>
      </c>
      <c r="AF713" s="622" t="str">
        <f>IF(NOT(ISBLANK('A-RACHNATMAK'!AI754)),"A",IF(NOT(ISBLANK('A-RACHNATMAK'!AI753)),"B",IF(NOT(ISBLANK('A-RACHNATMAK'!AI752)),"C","")))</f>
        <v/>
      </c>
      <c r="AG713" s="622" t="str">
        <f>IF(NOT(ISBLANK('A-RACHNATMAK'!AJ754)),"A",IF(NOT(ISBLANK('A-RACHNATMAK'!AJ753)),"B",IF(NOT(ISBLANK('A-RACHNATMAK'!AJ752)),"C","")))</f>
        <v>A</v>
      </c>
      <c r="AH713" s="622" t="str">
        <f>IF(NOT(ISBLANK('A-RACHNATMAK'!AK754)),"A",IF(NOT(ISBLANK('A-RACHNATMAK'!AK753)),"B",IF(NOT(ISBLANK('A-RACHNATMAK'!AK752)),"C","")))</f>
        <v/>
      </c>
      <c r="AI713" s="622" t="str">
        <f>IF(NOT(ISBLANK('A-RACHNATMAK'!AL754)),"A",IF(NOT(ISBLANK('A-RACHNATMAK'!AL753)),"B",IF(NOT(ISBLANK('A-RACHNATMAK'!AL752)),"C","")))</f>
        <v/>
      </c>
      <c r="AJ713" s="622" t="str">
        <f>IF(NOT(ISBLANK('A-RACHNATMAK'!AM754)),"A",IF(NOT(ISBLANK('A-RACHNATMAK'!AM753)),"B",IF(NOT(ISBLANK('A-RACHNATMAK'!AM752)),"C","")))</f>
        <v/>
      </c>
      <c r="AK713" s="622" t="str">
        <f>IF(NOT(ISBLANK('A-RACHNATMAK'!AN754)),"A",IF(NOT(ISBLANK('A-RACHNATMAK'!AN753)),"B",IF(NOT(ISBLANK('A-RACHNATMAK'!AN752)),"C","")))</f>
        <v/>
      </c>
      <c r="AL713" s="622" t="str">
        <f>IF(NOT(ISBLANK('A-RACHNATMAK'!AO754)),"A",IF(NOT(ISBLANK('A-RACHNATMAK'!AO753)),"B",IF(NOT(ISBLANK('A-RACHNATMAK'!AO752)),"C","")))</f>
        <v/>
      </c>
      <c r="AM713" s="622" t="str">
        <f>IF(NOT(ISBLANK('A-RACHNATMAK'!AP754)),"A",IF(NOT(ISBLANK('A-RACHNATMAK'!AP753)),"B",IF(NOT(ISBLANK('A-RACHNATMAK'!AP752)),"C","")))</f>
        <v/>
      </c>
      <c r="AN713" s="622" t="str">
        <f>IF(NOT(ISBLANK('A-RACHNATMAK'!AQ754)),"A",IF(NOT(ISBLANK('A-RACHNATMAK'!AQ753)),"B",IF(NOT(ISBLANK('A-RACHNATMAK'!AQ752)),"C","")))</f>
        <v/>
      </c>
      <c r="AO713" s="622" t="str">
        <f>IF(NOT(ISBLANK('A-RACHNATMAK'!AR754)),"A",IF(NOT(ISBLANK('A-RACHNATMAK'!AR753)),"B",IF(NOT(ISBLANK('A-RACHNATMAK'!AR752)),"C","")))</f>
        <v/>
      </c>
      <c r="AP713" s="622" t="str">
        <f>IF(NOT(ISBLANK('A-RACHNATMAK'!AS754)),"A",IF(NOT(ISBLANK('A-RACHNATMAK'!AS753)),"B",IF(NOT(ISBLANK('A-RACHNATMAK'!AS752)),"C","")))</f>
        <v/>
      </c>
      <c r="AQ713" s="622" t="str">
        <f>IF(NOT(ISBLANK('A-RACHNATMAK'!AT754)),"A",IF(NOT(ISBLANK('A-RACHNATMAK'!AT753)),"B",IF(NOT(ISBLANK('A-RACHNATMAK'!AT752)),"C","")))</f>
        <v/>
      </c>
      <c r="AR713" s="622" t="str">
        <f>IF(NOT(ISBLANK('A-RACHNATMAK'!AU754)),"A",IF(NOT(ISBLANK('A-RACHNATMAK'!AU753)),"B",IF(NOT(ISBLANK('A-RACHNATMAK'!AU752)),"C","")))</f>
        <v/>
      </c>
      <c r="AS713" s="622" t="str">
        <f>IF(NOT(ISBLANK('A-RACHNATMAK'!AV754)),"A",IF(NOT(ISBLANK('A-RACHNATMAK'!AV753)),"B",IF(NOT(ISBLANK('A-RACHNATMAK'!AV752)),"C","")))</f>
        <v/>
      </c>
      <c r="AT713" s="622" t="str">
        <f>IF(NOT(ISBLANK('A-RACHNATMAK'!AW754)),"A",IF(NOT(ISBLANK('A-RACHNATMAK'!AW753)),"B",IF(NOT(ISBLANK('A-RACHNATMAK'!AW752)),"C","")))</f>
        <v/>
      </c>
      <c r="AU713" s="622">
        <f t="shared" ref="AU713" si="1359">COUNTIF(AA713:AT713,"A")</f>
        <v>1</v>
      </c>
      <c r="AV713" s="622">
        <f t="shared" ref="AV713" si="1360">COUNTIF(AA713:AT713,"B")</f>
        <v>1</v>
      </c>
      <c r="AW713" s="622">
        <f t="shared" ref="AW713" si="1361">COUNTIF(AA713:AT713,"C")</f>
        <v>0</v>
      </c>
    </row>
    <row r="714" spans="1:49" ht="7.5" customHeight="1">
      <c r="A714" s="623"/>
      <c r="B714" s="622"/>
      <c r="C714" s="622"/>
      <c r="D714" s="622"/>
      <c r="E714" s="622"/>
      <c r="F714" s="622"/>
      <c r="G714" s="622"/>
      <c r="H714" s="622"/>
      <c r="I714" s="622"/>
      <c r="J714" s="622"/>
      <c r="K714" s="622"/>
      <c r="L714" s="622"/>
      <c r="M714" s="622"/>
      <c r="N714" s="622"/>
      <c r="O714" s="622"/>
      <c r="P714" s="622"/>
      <c r="Q714" s="622"/>
      <c r="R714" s="622"/>
      <c r="S714" s="622"/>
      <c r="T714" s="622"/>
      <c r="U714" s="622"/>
      <c r="V714" s="622"/>
      <c r="W714" s="622"/>
      <c r="X714" s="622"/>
      <c r="Y714" s="330"/>
      <c r="Z714" s="623"/>
      <c r="AA714" s="622"/>
      <c r="AB714" s="622"/>
      <c r="AC714" s="622"/>
      <c r="AD714" s="622"/>
      <c r="AE714" s="622"/>
      <c r="AF714" s="622"/>
      <c r="AG714" s="622"/>
      <c r="AH714" s="622"/>
      <c r="AI714" s="622"/>
      <c r="AJ714" s="622"/>
      <c r="AK714" s="622"/>
      <c r="AL714" s="622"/>
      <c r="AM714" s="622"/>
      <c r="AN714" s="622"/>
      <c r="AO714" s="622"/>
      <c r="AP714" s="622"/>
      <c r="AQ714" s="622"/>
      <c r="AR714" s="622"/>
      <c r="AS714" s="622"/>
      <c r="AT714" s="622"/>
      <c r="AU714" s="622"/>
      <c r="AV714" s="622"/>
      <c r="AW714" s="622"/>
    </row>
    <row r="715" spans="1:49" ht="7.5" customHeight="1">
      <c r="A715" s="623"/>
      <c r="B715" s="622"/>
      <c r="C715" s="622"/>
      <c r="D715" s="622"/>
      <c r="E715" s="622"/>
      <c r="F715" s="622"/>
      <c r="G715" s="622"/>
      <c r="H715" s="622"/>
      <c r="I715" s="622"/>
      <c r="J715" s="622"/>
      <c r="K715" s="622"/>
      <c r="L715" s="622"/>
      <c r="M715" s="622"/>
      <c r="N715" s="622"/>
      <c r="O715" s="622"/>
      <c r="P715" s="622"/>
      <c r="Q715" s="622"/>
      <c r="R715" s="622"/>
      <c r="S715" s="622"/>
      <c r="T715" s="622"/>
      <c r="U715" s="622"/>
      <c r="V715" s="622"/>
      <c r="W715" s="622"/>
      <c r="X715" s="622"/>
      <c r="Y715" s="330"/>
      <c r="Z715" s="623"/>
      <c r="AA715" s="622"/>
      <c r="AB715" s="622"/>
      <c r="AC715" s="622"/>
      <c r="AD715" s="622"/>
      <c r="AE715" s="622"/>
      <c r="AF715" s="622"/>
      <c r="AG715" s="622"/>
      <c r="AH715" s="622"/>
      <c r="AI715" s="622"/>
      <c r="AJ715" s="622"/>
      <c r="AK715" s="622"/>
      <c r="AL715" s="622"/>
      <c r="AM715" s="622"/>
      <c r="AN715" s="622"/>
      <c r="AO715" s="622"/>
      <c r="AP715" s="622"/>
      <c r="AQ715" s="622"/>
      <c r="AR715" s="622"/>
      <c r="AS715" s="622"/>
      <c r="AT715" s="622"/>
      <c r="AU715" s="622"/>
      <c r="AV715" s="622"/>
      <c r="AW715" s="622"/>
    </row>
    <row r="716" spans="1:49" ht="7.5" customHeight="1">
      <c r="A716" s="623">
        <v>25</v>
      </c>
      <c r="B716" s="622" t="str">
        <f>IF(NOT(ISBLANK('A-RACHNATMAK'!C757)),"A",IF(NOT(ISBLANK('A-RACHNATMAK'!C756)),"B",IF(NOT(ISBLANK('A-RACHNATMAK'!C755)),"C","")))</f>
        <v/>
      </c>
      <c r="C716" s="622" t="str">
        <f>IF(NOT(ISBLANK('A-RACHNATMAK'!D757)),"A",IF(NOT(ISBLANK('A-RACHNATMAK'!D756)),"B",IF(NOT(ISBLANK('A-RACHNATMAK'!D755)),"C","")))</f>
        <v/>
      </c>
      <c r="D716" s="622" t="str">
        <f>IF(NOT(ISBLANK('A-RACHNATMAK'!E757)),"A",IF(NOT(ISBLANK('A-RACHNATMAK'!E756)),"B",IF(NOT(ISBLANK('A-RACHNATMAK'!E755)),"C","")))</f>
        <v/>
      </c>
      <c r="E716" s="622" t="str">
        <f>IF(NOT(ISBLANK('A-RACHNATMAK'!F757)),"A",IF(NOT(ISBLANK('A-RACHNATMAK'!F756)),"B",IF(NOT(ISBLANK('A-RACHNATMAK'!F755)),"C","")))</f>
        <v/>
      </c>
      <c r="F716" s="622" t="str">
        <f>IF(NOT(ISBLANK('A-RACHNATMAK'!G757)),"A",IF(NOT(ISBLANK('A-RACHNATMAK'!G756)),"B",IF(NOT(ISBLANK('A-RACHNATMAK'!G755)),"C","")))</f>
        <v/>
      </c>
      <c r="G716" s="622" t="str">
        <f>IF(NOT(ISBLANK('A-RACHNATMAK'!H757)),"A",IF(NOT(ISBLANK('A-RACHNATMAK'!H756)),"B",IF(NOT(ISBLANK('A-RACHNATMAK'!H755)),"C","")))</f>
        <v/>
      </c>
      <c r="H716" s="622" t="str">
        <f>IF(NOT(ISBLANK('A-RACHNATMAK'!I757)),"A",IF(NOT(ISBLANK('A-RACHNATMAK'!I756)),"B",IF(NOT(ISBLANK('A-RACHNATMAK'!I755)),"C","")))</f>
        <v/>
      </c>
      <c r="I716" s="622" t="str">
        <f>IF(NOT(ISBLANK('A-RACHNATMAK'!J757)),"A",IF(NOT(ISBLANK('A-RACHNATMAK'!J756)),"B",IF(NOT(ISBLANK('A-RACHNATMAK'!J755)),"C","")))</f>
        <v/>
      </c>
      <c r="J716" s="622" t="str">
        <f>IF(NOT(ISBLANK('A-RACHNATMAK'!K757)),"A",IF(NOT(ISBLANK('A-RACHNATMAK'!K756)),"B",IF(NOT(ISBLANK('A-RACHNATMAK'!K755)),"C","")))</f>
        <v/>
      </c>
      <c r="K716" s="622" t="str">
        <f>IF(NOT(ISBLANK('A-RACHNATMAK'!L757)),"A",IF(NOT(ISBLANK('A-RACHNATMAK'!L756)),"B",IF(NOT(ISBLANK('A-RACHNATMAK'!L755)),"C","")))</f>
        <v/>
      </c>
      <c r="L716" s="622" t="str">
        <f>IF(NOT(ISBLANK('A-RACHNATMAK'!M757)),"A",IF(NOT(ISBLANK('A-RACHNATMAK'!M756)),"B",IF(NOT(ISBLANK('A-RACHNATMAK'!M755)),"C","")))</f>
        <v/>
      </c>
      <c r="M716" s="622" t="str">
        <f>IF(NOT(ISBLANK('A-RACHNATMAK'!N757)),"A",IF(NOT(ISBLANK('A-RACHNATMAK'!N756)),"B",IF(NOT(ISBLANK('A-RACHNATMAK'!N755)),"C","")))</f>
        <v/>
      </c>
      <c r="N716" s="622" t="str">
        <f>IF(NOT(ISBLANK('A-RACHNATMAK'!O757)),"A",IF(NOT(ISBLANK('A-RACHNATMAK'!O756)),"B",IF(NOT(ISBLANK('A-RACHNATMAK'!O755)),"C","")))</f>
        <v/>
      </c>
      <c r="O716" s="622" t="str">
        <f>IF(NOT(ISBLANK('A-RACHNATMAK'!P757)),"A",IF(NOT(ISBLANK('A-RACHNATMAK'!P756)),"B",IF(NOT(ISBLANK('A-RACHNATMAK'!P755)),"C","")))</f>
        <v/>
      </c>
      <c r="P716" s="622" t="str">
        <f>IF(NOT(ISBLANK('A-RACHNATMAK'!Q757)),"A",IF(NOT(ISBLANK('A-RACHNATMAK'!Q756)),"B",IF(NOT(ISBLANK('A-RACHNATMAK'!Q755)),"C","")))</f>
        <v/>
      </c>
      <c r="Q716" s="622" t="str">
        <f>IF(NOT(ISBLANK('A-RACHNATMAK'!R757)),"A",IF(NOT(ISBLANK('A-RACHNATMAK'!R756)),"B",IF(NOT(ISBLANK('A-RACHNATMAK'!R755)),"C","")))</f>
        <v/>
      </c>
      <c r="R716" s="622" t="str">
        <f>IF(NOT(ISBLANK('A-RACHNATMAK'!S757)),"A",IF(NOT(ISBLANK('A-RACHNATMAK'!S756)),"B",IF(NOT(ISBLANK('A-RACHNATMAK'!S755)),"C","")))</f>
        <v/>
      </c>
      <c r="S716" s="622" t="str">
        <f>IF(NOT(ISBLANK('A-RACHNATMAK'!T757)),"A",IF(NOT(ISBLANK('A-RACHNATMAK'!T756)),"B",IF(NOT(ISBLANK('A-RACHNATMAK'!T755)),"C","")))</f>
        <v/>
      </c>
      <c r="T716" s="622" t="str">
        <f>IF(NOT(ISBLANK('A-RACHNATMAK'!U757)),"A",IF(NOT(ISBLANK('A-RACHNATMAK'!U756)),"B",IF(NOT(ISBLANK('A-RACHNATMAK'!U755)),"C","")))</f>
        <v/>
      </c>
      <c r="U716" s="622" t="str">
        <f>IF(NOT(ISBLANK('A-RACHNATMAK'!V757)),"A",IF(NOT(ISBLANK('A-RACHNATMAK'!V756)),"B",IF(NOT(ISBLANK('A-RACHNATMAK'!V755)),"C","")))</f>
        <v/>
      </c>
      <c r="V716" s="622">
        <f t="shared" ref="V716" si="1362">COUNTIF(B716:U716,"A")</f>
        <v>0</v>
      </c>
      <c r="W716" s="622">
        <f t="shared" ref="W716" si="1363">COUNTIF(B716:U716,"B")</f>
        <v>0</v>
      </c>
      <c r="X716" s="622">
        <f t="shared" ref="X716" si="1364">COUNTIF(B716:U716,"C")</f>
        <v>0</v>
      </c>
      <c r="Y716" s="330"/>
      <c r="Z716" s="623">
        <v>25</v>
      </c>
      <c r="AA716" s="622" t="str">
        <f>IF(NOT(ISBLANK('A-RACHNATMAK'!AD757)),"A",IF(NOT(ISBLANK('A-RACHNATMAK'!AD756)),"B",IF(NOT(ISBLANK('A-RACHNATMAK'!AD755)),"C","")))</f>
        <v/>
      </c>
      <c r="AB716" s="622" t="str">
        <f>IF(NOT(ISBLANK('A-RACHNATMAK'!AE757)),"A",IF(NOT(ISBLANK('A-RACHNATMAK'!AE756)),"B",IF(NOT(ISBLANK('A-RACHNATMAK'!AE755)),"C","")))</f>
        <v/>
      </c>
      <c r="AC716" s="622" t="str">
        <f>IF(NOT(ISBLANK('A-RACHNATMAK'!AF757)),"A",IF(NOT(ISBLANK('A-RACHNATMAK'!AF756)),"B",IF(NOT(ISBLANK('A-RACHNATMAK'!AF755)),"C","")))</f>
        <v/>
      </c>
      <c r="AD716" s="622" t="str">
        <f>IF(NOT(ISBLANK('A-RACHNATMAK'!AG757)),"A",IF(NOT(ISBLANK('A-RACHNATMAK'!AG756)),"B",IF(NOT(ISBLANK('A-RACHNATMAK'!AG755)),"C","")))</f>
        <v/>
      </c>
      <c r="AE716" s="622" t="str">
        <f>IF(NOT(ISBLANK('A-RACHNATMAK'!AH757)),"A",IF(NOT(ISBLANK('A-RACHNATMAK'!AH756)),"B",IF(NOT(ISBLANK('A-RACHNATMAK'!AH755)),"C","")))</f>
        <v/>
      </c>
      <c r="AF716" s="622" t="str">
        <f>IF(NOT(ISBLANK('A-RACHNATMAK'!AI757)),"A",IF(NOT(ISBLANK('A-RACHNATMAK'!AI756)),"B",IF(NOT(ISBLANK('A-RACHNATMAK'!AI755)),"C","")))</f>
        <v/>
      </c>
      <c r="AG716" s="622" t="str">
        <f>IF(NOT(ISBLANK('A-RACHNATMAK'!AJ757)),"A",IF(NOT(ISBLANK('A-RACHNATMAK'!AJ756)),"B",IF(NOT(ISBLANK('A-RACHNATMAK'!AJ755)),"C","")))</f>
        <v/>
      </c>
      <c r="AH716" s="622" t="str">
        <f>IF(NOT(ISBLANK('A-RACHNATMAK'!AK757)),"A",IF(NOT(ISBLANK('A-RACHNATMAK'!AK756)),"B",IF(NOT(ISBLANK('A-RACHNATMAK'!AK755)),"C","")))</f>
        <v/>
      </c>
      <c r="AI716" s="622" t="str">
        <f>IF(NOT(ISBLANK('A-RACHNATMAK'!AL757)),"A",IF(NOT(ISBLANK('A-RACHNATMAK'!AL756)),"B",IF(NOT(ISBLANK('A-RACHNATMAK'!AL755)),"C","")))</f>
        <v/>
      </c>
      <c r="AJ716" s="622" t="str">
        <f>IF(NOT(ISBLANK('A-RACHNATMAK'!AM757)),"A",IF(NOT(ISBLANK('A-RACHNATMAK'!AM756)),"B",IF(NOT(ISBLANK('A-RACHNATMAK'!AM755)),"C","")))</f>
        <v/>
      </c>
      <c r="AK716" s="622" t="str">
        <f>IF(NOT(ISBLANK('A-RACHNATMAK'!AN757)),"A",IF(NOT(ISBLANK('A-RACHNATMAK'!AN756)),"B",IF(NOT(ISBLANK('A-RACHNATMAK'!AN755)),"C","")))</f>
        <v/>
      </c>
      <c r="AL716" s="622" t="str">
        <f>IF(NOT(ISBLANK('A-RACHNATMAK'!AO757)),"A",IF(NOT(ISBLANK('A-RACHNATMAK'!AO756)),"B",IF(NOT(ISBLANK('A-RACHNATMAK'!AO755)),"C","")))</f>
        <v/>
      </c>
      <c r="AM716" s="622" t="str">
        <f>IF(NOT(ISBLANK('A-RACHNATMAK'!AP757)),"A",IF(NOT(ISBLANK('A-RACHNATMAK'!AP756)),"B",IF(NOT(ISBLANK('A-RACHNATMAK'!AP755)),"C","")))</f>
        <v/>
      </c>
      <c r="AN716" s="622" t="str">
        <f>IF(NOT(ISBLANK('A-RACHNATMAK'!AQ757)),"A",IF(NOT(ISBLANK('A-RACHNATMAK'!AQ756)),"B",IF(NOT(ISBLANK('A-RACHNATMAK'!AQ755)),"C","")))</f>
        <v/>
      </c>
      <c r="AO716" s="622" t="str">
        <f>IF(NOT(ISBLANK('A-RACHNATMAK'!AR757)),"A",IF(NOT(ISBLANK('A-RACHNATMAK'!AR756)),"B",IF(NOT(ISBLANK('A-RACHNATMAK'!AR755)),"C","")))</f>
        <v/>
      </c>
      <c r="AP716" s="622" t="str">
        <f>IF(NOT(ISBLANK('A-RACHNATMAK'!AS757)),"A",IF(NOT(ISBLANK('A-RACHNATMAK'!AS756)),"B",IF(NOT(ISBLANK('A-RACHNATMAK'!AS755)),"C","")))</f>
        <v/>
      </c>
      <c r="AQ716" s="622" t="str">
        <f>IF(NOT(ISBLANK('A-RACHNATMAK'!AT757)),"A",IF(NOT(ISBLANK('A-RACHNATMAK'!AT756)),"B",IF(NOT(ISBLANK('A-RACHNATMAK'!AT755)),"C","")))</f>
        <v/>
      </c>
      <c r="AR716" s="622" t="str">
        <f>IF(NOT(ISBLANK('A-RACHNATMAK'!AU757)),"A",IF(NOT(ISBLANK('A-RACHNATMAK'!AU756)),"B",IF(NOT(ISBLANK('A-RACHNATMAK'!AU755)),"C","")))</f>
        <v/>
      </c>
      <c r="AS716" s="622" t="str">
        <f>IF(NOT(ISBLANK('A-RACHNATMAK'!AV757)),"A",IF(NOT(ISBLANK('A-RACHNATMAK'!AV756)),"B",IF(NOT(ISBLANK('A-RACHNATMAK'!AV755)),"C","")))</f>
        <v/>
      </c>
      <c r="AT716" s="622" t="str">
        <f>IF(NOT(ISBLANK('A-RACHNATMAK'!AW757)),"A",IF(NOT(ISBLANK('A-RACHNATMAK'!AW756)),"B",IF(NOT(ISBLANK('A-RACHNATMAK'!AW755)),"C","")))</f>
        <v/>
      </c>
      <c r="AU716" s="622">
        <f t="shared" ref="AU716" si="1365">COUNTIF(AA716:AT716,"A")</f>
        <v>0</v>
      </c>
      <c r="AV716" s="622">
        <f t="shared" ref="AV716" si="1366">COUNTIF(AA716:AT716,"B")</f>
        <v>0</v>
      </c>
      <c r="AW716" s="622">
        <f t="shared" ref="AW716" si="1367">COUNTIF(AA716:AT716,"C")</f>
        <v>0</v>
      </c>
    </row>
    <row r="717" spans="1:49" ht="7.5" customHeight="1">
      <c r="A717" s="623"/>
      <c r="B717" s="622"/>
      <c r="C717" s="622"/>
      <c r="D717" s="622"/>
      <c r="E717" s="622"/>
      <c r="F717" s="622"/>
      <c r="G717" s="622"/>
      <c r="H717" s="622"/>
      <c r="I717" s="622"/>
      <c r="J717" s="622"/>
      <c r="K717" s="622"/>
      <c r="L717" s="622"/>
      <c r="M717" s="622"/>
      <c r="N717" s="622"/>
      <c r="O717" s="622"/>
      <c r="P717" s="622"/>
      <c r="Q717" s="622"/>
      <c r="R717" s="622"/>
      <c r="S717" s="622"/>
      <c r="T717" s="622"/>
      <c r="U717" s="622"/>
      <c r="V717" s="622"/>
      <c r="W717" s="622"/>
      <c r="X717" s="622"/>
      <c r="Y717" s="330"/>
      <c r="Z717" s="623"/>
      <c r="AA717" s="622"/>
      <c r="AB717" s="622"/>
      <c r="AC717" s="622"/>
      <c r="AD717" s="622"/>
      <c r="AE717" s="622"/>
      <c r="AF717" s="622"/>
      <c r="AG717" s="622"/>
      <c r="AH717" s="622"/>
      <c r="AI717" s="622"/>
      <c r="AJ717" s="622"/>
      <c r="AK717" s="622"/>
      <c r="AL717" s="622"/>
      <c r="AM717" s="622"/>
      <c r="AN717" s="622"/>
      <c r="AO717" s="622"/>
      <c r="AP717" s="622"/>
      <c r="AQ717" s="622"/>
      <c r="AR717" s="622"/>
      <c r="AS717" s="622"/>
      <c r="AT717" s="622"/>
      <c r="AU717" s="622"/>
      <c r="AV717" s="622"/>
      <c r="AW717" s="622"/>
    </row>
    <row r="718" spans="1:49" ht="7.5" customHeight="1">
      <c r="A718" s="623"/>
      <c r="B718" s="622"/>
      <c r="C718" s="622"/>
      <c r="D718" s="622"/>
      <c r="E718" s="622"/>
      <c r="F718" s="622"/>
      <c r="G718" s="622"/>
      <c r="H718" s="622"/>
      <c r="I718" s="622"/>
      <c r="J718" s="622"/>
      <c r="K718" s="622"/>
      <c r="L718" s="622"/>
      <c r="M718" s="622"/>
      <c r="N718" s="622"/>
      <c r="O718" s="622"/>
      <c r="P718" s="622"/>
      <c r="Q718" s="622"/>
      <c r="R718" s="622"/>
      <c r="S718" s="622"/>
      <c r="T718" s="622"/>
      <c r="U718" s="622"/>
      <c r="V718" s="622"/>
      <c r="W718" s="622"/>
      <c r="X718" s="622"/>
      <c r="Y718" s="330"/>
      <c r="Z718" s="623"/>
      <c r="AA718" s="622"/>
      <c r="AB718" s="622"/>
      <c r="AC718" s="622"/>
      <c r="AD718" s="622"/>
      <c r="AE718" s="622"/>
      <c r="AF718" s="622"/>
      <c r="AG718" s="622"/>
      <c r="AH718" s="622"/>
      <c r="AI718" s="622"/>
      <c r="AJ718" s="622"/>
      <c r="AK718" s="622"/>
      <c r="AL718" s="622"/>
      <c r="AM718" s="622"/>
      <c r="AN718" s="622"/>
      <c r="AO718" s="622"/>
      <c r="AP718" s="622"/>
      <c r="AQ718" s="622"/>
      <c r="AR718" s="622"/>
      <c r="AS718" s="622"/>
      <c r="AT718" s="622"/>
      <c r="AU718" s="622"/>
      <c r="AV718" s="622"/>
      <c r="AW718" s="622"/>
    </row>
    <row r="719" spans="1:49" ht="7.5" customHeight="1">
      <c r="A719" s="623">
        <v>26</v>
      </c>
      <c r="B719" s="622" t="str">
        <f>IF(NOT(ISBLANK('A-RACHNATMAK'!C760)),"A",IF(NOT(ISBLANK('A-RACHNATMAK'!C759)),"B",IF(NOT(ISBLANK('A-RACHNATMAK'!C758)),"C","")))</f>
        <v/>
      </c>
      <c r="C719" s="622" t="str">
        <f>IF(NOT(ISBLANK('A-RACHNATMAK'!D760)),"A",IF(NOT(ISBLANK('A-RACHNATMAK'!D759)),"B",IF(NOT(ISBLANK('A-RACHNATMAK'!D758)),"C","")))</f>
        <v/>
      </c>
      <c r="D719" s="622" t="str">
        <f>IF(NOT(ISBLANK('A-RACHNATMAK'!E760)),"A",IF(NOT(ISBLANK('A-RACHNATMAK'!E759)),"B",IF(NOT(ISBLANK('A-RACHNATMAK'!E758)),"C","")))</f>
        <v/>
      </c>
      <c r="E719" s="622" t="str">
        <f>IF(NOT(ISBLANK('A-RACHNATMAK'!F760)),"A",IF(NOT(ISBLANK('A-RACHNATMAK'!F759)),"B",IF(NOT(ISBLANK('A-RACHNATMAK'!F758)),"C","")))</f>
        <v/>
      </c>
      <c r="F719" s="622" t="str">
        <f>IF(NOT(ISBLANK('A-RACHNATMAK'!G760)),"A",IF(NOT(ISBLANK('A-RACHNATMAK'!G759)),"B",IF(NOT(ISBLANK('A-RACHNATMAK'!G758)),"C","")))</f>
        <v/>
      </c>
      <c r="G719" s="622" t="str">
        <f>IF(NOT(ISBLANK('A-RACHNATMAK'!H760)),"A",IF(NOT(ISBLANK('A-RACHNATMAK'!H759)),"B",IF(NOT(ISBLANK('A-RACHNATMAK'!H758)),"C","")))</f>
        <v/>
      </c>
      <c r="H719" s="622" t="str">
        <f>IF(NOT(ISBLANK('A-RACHNATMAK'!I760)),"A",IF(NOT(ISBLANK('A-RACHNATMAK'!I759)),"B",IF(NOT(ISBLANK('A-RACHNATMAK'!I758)),"C","")))</f>
        <v/>
      </c>
      <c r="I719" s="622" t="str">
        <f>IF(NOT(ISBLANK('A-RACHNATMAK'!J760)),"A",IF(NOT(ISBLANK('A-RACHNATMAK'!J759)),"B",IF(NOT(ISBLANK('A-RACHNATMAK'!J758)),"C","")))</f>
        <v/>
      </c>
      <c r="J719" s="622" t="str">
        <f>IF(NOT(ISBLANK('A-RACHNATMAK'!K760)),"A",IF(NOT(ISBLANK('A-RACHNATMAK'!K759)),"B",IF(NOT(ISBLANK('A-RACHNATMAK'!K758)),"C","")))</f>
        <v/>
      </c>
      <c r="K719" s="622" t="str">
        <f>IF(NOT(ISBLANK('A-RACHNATMAK'!L760)),"A",IF(NOT(ISBLANK('A-RACHNATMAK'!L759)),"B",IF(NOT(ISBLANK('A-RACHNATMAK'!L758)),"C","")))</f>
        <v/>
      </c>
      <c r="L719" s="622" t="str">
        <f>IF(NOT(ISBLANK('A-RACHNATMAK'!M760)),"A",IF(NOT(ISBLANK('A-RACHNATMAK'!M759)),"B",IF(NOT(ISBLANK('A-RACHNATMAK'!M758)),"C","")))</f>
        <v/>
      </c>
      <c r="M719" s="622" t="str">
        <f>IF(NOT(ISBLANK('A-RACHNATMAK'!N760)),"A",IF(NOT(ISBLANK('A-RACHNATMAK'!N759)),"B",IF(NOT(ISBLANK('A-RACHNATMAK'!N758)),"C","")))</f>
        <v/>
      </c>
      <c r="N719" s="622" t="str">
        <f>IF(NOT(ISBLANK('A-RACHNATMAK'!O760)),"A",IF(NOT(ISBLANK('A-RACHNATMAK'!O759)),"B",IF(NOT(ISBLANK('A-RACHNATMAK'!O758)),"C","")))</f>
        <v/>
      </c>
      <c r="O719" s="622" t="str">
        <f>IF(NOT(ISBLANK('A-RACHNATMAK'!P760)),"A",IF(NOT(ISBLANK('A-RACHNATMAK'!P759)),"B",IF(NOT(ISBLANK('A-RACHNATMAK'!P758)),"C","")))</f>
        <v/>
      </c>
      <c r="P719" s="622" t="str">
        <f>IF(NOT(ISBLANK('A-RACHNATMAK'!Q760)),"A",IF(NOT(ISBLANK('A-RACHNATMAK'!Q759)),"B",IF(NOT(ISBLANK('A-RACHNATMAK'!Q758)),"C","")))</f>
        <v/>
      </c>
      <c r="Q719" s="622" t="str">
        <f>IF(NOT(ISBLANK('A-RACHNATMAK'!R760)),"A",IF(NOT(ISBLANK('A-RACHNATMAK'!R759)),"B",IF(NOT(ISBLANK('A-RACHNATMAK'!R758)),"C","")))</f>
        <v/>
      </c>
      <c r="R719" s="622" t="str">
        <f>IF(NOT(ISBLANK('A-RACHNATMAK'!S760)),"A",IF(NOT(ISBLANK('A-RACHNATMAK'!S759)),"B",IF(NOT(ISBLANK('A-RACHNATMAK'!S758)),"C","")))</f>
        <v/>
      </c>
      <c r="S719" s="622" t="str">
        <f>IF(NOT(ISBLANK('A-RACHNATMAK'!T760)),"A",IF(NOT(ISBLANK('A-RACHNATMAK'!T759)),"B",IF(NOT(ISBLANK('A-RACHNATMAK'!T758)),"C","")))</f>
        <v/>
      </c>
      <c r="T719" s="622" t="str">
        <f>IF(NOT(ISBLANK('A-RACHNATMAK'!U760)),"A",IF(NOT(ISBLANK('A-RACHNATMAK'!U759)),"B",IF(NOT(ISBLANK('A-RACHNATMAK'!U758)),"C","")))</f>
        <v/>
      </c>
      <c r="U719" s="622" t="str">
        <f>IF(NOT(ISBLANK('A-RACHNATMAK'!V760)),"A",IF(NOT(ISBLANK('A-RACHNATMAK'!V759)),"B",IF(NOT(ISBLANK('A-RACHNATMAK'!V758)),"C","")))</f>
        <v/>
      </c>
      <c r="V719" s="622">
        <f t="shared" ref="V719" si="1368">COUNTIF(B719:U719,"A")</f>
        <v>0</v>
      </c>
      <c r="W719" s="622">
        <f t="shared" ref="W719" si="1369">COUNTIF(B719:U719,"B")</f>
        <v>0</v>
      </c>
      <c r="X719" s="622">
        <f t="shared" ref="X719" si="1370">COUNTIF(B719:U719,"C")</f>
        <v>0</v>
      </c>
      <c r="Y719" s="330"/>
      <c r="Z719" s="623">
        <v>26</v>
      </c>
      <c r="AA719" s="622" t="str">
        <f>IF(NOT(ISBLANK('A-RACHNATMAK'!AD760)),"A",IF(NOT(ISBLANK('A-RACHNATMAK'!AD759)),"B",IF(NOT(ISBLANK('A-RACHNATMAK'!AD758)),"C","")))</f>
        <v/>
      </c>
      <c r="AB719" s="622" t="str">
        <f>IF(NOT(ISBLANK('A-RACHNATMAK'!AE760)),"A",IF(NOT(ISBLANK('A-RACHNATMAK'!AE759)),"B",IF(NOT(ISBLANK('A-RACHNATMAK'!AE758)),"C","")))</f>
        <v/>
      </c>
      <c r="AC719" s="622" t="str">
        <f>IF(NOT(ISBLANK('A-RACHNATMAK'!AF760)),"A",IF(NOT(ISBLANK('A-RACHNATMAK'!AF759)),"B",IF(NOT(ISBLANK('A-RACHNATMAK'!AF758)),"C","")))</f>
        <v/>
      </c>
      <c r="AD719" s="622" t="str">
        <f>IF(NOT(ISBLANK('A-RACHNATMAK'!AG760)),"A",IF(NOT(ISBLANK('A-RACHNATMAK'!AG759)),"B",IF(NOT(ISBLANK('A-RACHNATMAK'!AG758)),"C","")))</f>
        <v/>
      </c>
      <c r="AE719" s="622" t="str">
        <f>IF(NOT(ISBLANK('A-RACHNATMAK'!AH760)),"A",IF(NOT(ISBLANK('A-RACHNATMAK'!AH759)),"B",IF(NOT(ISBLANK('A-RACHNATMAK'!AH758)),"C","")))</f>
        <v/>
      </c>
      <c r="AF719" s="622" t="str">
        <f>IF(NOT(ISBLANK('A-RACHNATMAK'!AI760)),"A",IF(NOT(ISBLANK('A-RACHNATMAK'!AI759)),"B",IF(NOT(ISBLANK('A-RACHNATMAK'!AI758)),"C","")))</f>
        <v/>
      </c>
      <c r="AG719" s="622" t="str">
        <f>IF(NOT(ISBLANK('A-RACHNATMAK'!AJ760)),"A",IF(NOT(ISBLANK('A-RACHNATMAK'!AJ759)),"B",IF(NOT(ISBLANK('A-RACHNATMAK'!AJ758)),"C","")))</f>
        <v/>
      </c>
      <c r="AH719" s="622" t="str">
        <f>IF(NOT(ISBLANK('A-RACHNATMAK'!AK760)),"A",IF(NOT(ISBLANK('A-RACHNATMAK'!AK759)),"B",IF(NOT(ISBLANK('A-RACHNATMAK'!AK758)),"C","")))</f>
        <v/>
      </c>
      <c r="AI719" s="622" t="str">
        <f>IF(NOT(ISBLANK('A-RACHNATMAK'!AL760)),"A",IF(NOT(ISBLANK('A-RACHNATMAK'!AL759)),"B",IF(NOT(ISBLANK('A-RACHNATMAK'!AL758)),"C","")))</f>
        <v/>
      </c>
      <c r="AJ719" s="622" t="str">
        <f>IF(NOT(ISBLANK('A-RACHNATMAK'!AM760)),"A",IF(NOT(ISBLANK('A-RACHNATMAK'!AM759)),"B",IF(NOT(ISBLANK('A-RACHNATMAK'!AM758)),"C","")))</f>
        <v/>
      </c>
      <c r="AK719" s="622" t="str">
        <f>IF(NOT(ISBLANK('A-RACHNATMAK'!AN760)),"A",IF(NOT(ISBLANK('A-RACHNATMAK'!AN759)),"B",IF(NOT(ISBLANK('A-RACHNATMAK'!AN758)),"C","")))</f>
        <v/>
      </c>
      <c r="AL719" s="622" t="str">
        <f>IF(NOT(ISBLANK('A-RACHNATMAK'!AO760)),"A",IF(NOT(ISBLANK('A-RACHNATMAK'!AO759)),"B",IF(NOT(ISBLANK('A-RACHNATMAK'!AO758)),"C","")))</f>
        <v/>
      </c>
      <c r="AM719" s="622" t="str">
        <f>IF(NOT(ISBLANK('A-RACHNATMAK'!AP760)),"A",IF(NOT(ISBLANK('A-RACHNATMAK'!AP759)),"B",IF(NOT(ISBLANK('A-RACHNATMAK'!AP758)),"C","")))</f>
        <v/>
      </c>
      <c r="AN719" s="622" t="str">
        <f>IF(NOT(ISBLANK('A-RACHNATMAK'!AQ760)),"A",IF(NOT(ISBLANK('A-RACHNATMAK'!AQ759)),"B",IF(NOT(ISBLANK('A-RACHNATMAK'!AQ758)),"C","")))</f>
        <v/>
      </c>
      <c r="AO719" s="622" t="str">
        <f>IF(NOT(ISBLANK('A-RACHNATMAK'!AR760)),"A",IF(NOT(ISBLANK('A-RACHNATMAK'!AR759)),"B",IF(NOT(ISBLANK('A-RACHNATMAK'!AR758)),"C","")))</f>
        <v/>
      </c>
      <c r="AP719" s="622" t="str">
        <f>IF(NOT(ISBLANK('A-RACHNATMAK'!AS760)),"A",IF(NOT(ISBLANK('A-RACHNATMAK'!AS759)),"B",IF(NOT(ISBLANK('A-RACHNATMAK'!AS758)),"C","")))</f>
        <v/>
      </c>
      <c r="AQ719" s="622" t="str">
        <f>IF(NOT(ISBLANK('A-RACHNATMAK'!AT760)),"A",IF(NOT(ISBLANK('A-RACHNATMAK'!AT759)),"B",IF(NOT(ISBLANK('A-RACHNATMAK'!AT758)),"C","")))</f>
        <v/>
      </c>
      <c r="AR719" s="622" t="str">
        <f>IF(NOT(ISBLANK('A-RACHNATMAK'!AU760)),"A",IF(NOT(ISBLANK('A-RACHNATMAK'!AU759)),"B",IF(NOT(ISBLANK('A-RACHNATMAK'!AU758)),"C","")))</f>
        <v/>
      </c>
      <c r="AS719" s="622" t="str">
        <f>IF(NOT(ISBLANK('A-RACHNATMAK'!AV760)),"A",IF(NOT(ISBLANK('A-RACHNATMAK'!AV759)),"B",IF(NOT(ISBLANK('A-RACHNATMAK'!AV758)),"C","")))</f>
        <v/>
      </c>
      <c r="AT719" s="622" t="str">
        <f>IF(NOT(ISBLANK('A-RACHNATMAK'!AW760)),"A",IF(NOT(ISBLANK('A-RACHNATMAK'!AW759)),"B",IF(NOT(ISBLANK('A-RACHNATMAK'!AW758)),"C","")))</f>
        <v/>
      </c>
      <c r="AU719" s="622">
        <f t="shared" ref="AU719" si="1371">COUNTIF(AA719:AT719,"A")</f>
        <v>0</v>
      </c>
      <c r="AV719" s="622">
        <f t="shared" ref="AV719" si="1372">COUNTIF(AA719:AT719,"B")</f>
        <v>0</v>
      </c>
      <c r="AW719" s="622">
        <f t="shared" ref="AW719" si="1373">COUNTIF(AA719:AT719,"C")</f>
        <v>0</v>
      </c>
    </row>
    <row r="720" spans="1:49" ht="7.5" customHeight="1">
      <c r="A720" s="623"/>
      <c r="B720" s="622"/>
      <c r="C720" s="622"/>
      <c r="D720" s="622"/>
      <c r="E720" s="622"/>
      <c r="F720" s="622"/>
      <c r="G720" s="622"/>
      <c r="H720" s="622"/>
      <c r="I720" s="622"/>
      <c r="J720" s="622"/>
      <c r="K720" s="622"/>
      <c r="L720" s="622"/>
      <c r="M720" s="622"/>
      <c r="N720" s="622"/>
      <c r="O720" s="622"/>
      <c r="P720" s="622"/>
      <c r="Q720" s="622"/>
      <c r="R720" s="622"/>
      <c r="S720" s="622"/>
      <c r="T720" s="622"/>
      <c r="U720" s="622"/>
      <c r="V720" s="622"/>
      <c r="W720" s="622"/>
      <c r="X720" s="622"/>
      <c r="Y720" s="330"/>
      <c r="Z720" s="623"/>
      <c r="AA720" s="622"/>
      <c r="AB720" s="622"/>
      <c r="AC720" s="622"/>
      <c r="AD720" s="622"/>
      <c r="AE720" s="622"/>
      <c r="AF720" s="622"/>
      <c r="AG720" s="622"/>
      <c r="AH720" s="622"/>
      <c r="AI720" s="622"/>
      <c r="AJ720" s="622"/>
      <c r="AK720" s="622"/>
      <c r="AL720" s="622"/>
      <c r="AM720" s="622"/>
      <c r="AN720" s="622"/>
      <c r="AO720" s="622"/>
      <c r="AP720" s="622"/>
      <c r="AQ720" s="622"/>
      <c r="AR720" s="622"/>
      <c r="AS720" s="622"/>
      <c r="AT720" s="622"/>
      <c r="AU720" s="622"/>
      <c r="AV720" s="622"/>
      <c r="AW720" s="622"/>
    </row>
    <row r="721" spans="1:49" ht="7.5" customHeight="1">
      <c r="A721" s="623"/>
      <c r="B721" s="622"/>
      <c r="C721" s="622"/>
      <c r="D721" s="622"/>
      <c r="E721" s="622"/>
      <c r="F721" s="622"/>
      <c r="G721" s="622"/>
      <c r="H721" s="622"/>
      <c r="I721" s="622"/>
      <c r="J721" s="622"/>
      <c r="K721" s="622"/>
      <c r="L721" s="622"/>
      <c r="M721" s="622"/>
      <c r="N721" s="622"/>
      <c r="O721" s="622"/>
      <c r="P721" s="622"/>
      <c r="Q721" s="622"/>
      <c r="R721" s="622"/>
      <c r="S721" s="622"/>
      <c r="T721" s="622"/>
      <c r="U721" s="622"/>
      <c r="V721" s="622"/>
      <c r="W721" s="622"/>
      <c r="X721" s="622"/>
      <c r="Y721" s="330"/>
      <c r="Z721" s="623"/>
      <c r="AA721" s="622"/>
      <c r="AB721" s="622"/>
      <c r="AC721" s="622"/>
      <c r="AD721" s="622"/>
      <c r="AE721" s="622"/>
      <c r="AF721" s="622"/>
      <c r="AG721" s="622"/>
      <c r="AH721" s="622"/>
      <c r="AI721" s="622"/>
      <c r="AJ721" s="622"/>
      <c r="AK721" s="622"/>
      <c r="AL721" s="622"/>
      <c r="AM721" s="622"/>
      <c r="AN721" s="622"/>
      <c r="AO721" s="622"/>
      <c r="AP721" s="622"/>
      <c r="AQ721" s="622"/>
      <c r="AR721" s="622"/>
      <c r="AS721" s="622"/>
      <c r="AT721" s="622"/>
      <c r="AU721" s="622"/>
      <c r="AV721" s="622"/>
      <c r="AW721" s="622"/>
    </row>
    <row r="722" spans="1:49" ht="7.5" customHeight="1">
      <c r="A722" s="623">
        <v>27</v>
      </c>
      <c r="B722" s="622" t="str">
        <f>IF(NOT(ISBLANK('A-RACHNATMAK'!C763)),"A",IF(NOT(ISBLANK('A-RACHNATMAK'!C762)),"B",IF(NOT(ISBLANK('A-RACHNATMAK'!C761)),"C","")))</f>
        <v/>
      </c>
      <c r="C722" s="622" t="str">
        <f>IF(NOT(ISBLANK('A-RACHNATMAK'!D763)),"A",IF(NOT(ISBLANK('A-RACHNATMAK'!D762)),"B",IF(NOT(ISBLANK('A-RACHNATMAK'!D761)),"C","")))</f>
        <v/>
      </c>
      <c r="D722" s="622" t="str">
        <f>IF(NOT(ISBLANK('A-RACHNATMAK'!E763)),"A",IF(NOT(ISBLANK('A-RACHNATMAK'!E762)),"B",IF(NOT(ISBLANK('A-RACHNATMAK'!E761)),"C","")))</f>
        <v/>
      </c>
      <c r="E722" s="622" t="str">
        <f>IF(NOT(ISBLANK('A-RACHNATMAK'!F763)),"A",IF(NOT(ISBLANK('A-RACHNATMAK'!F762)),"B",IF(NOT(ISBLANK('A-RACHNATMAK'!F761)),"C","")))</f>
        <v/>
      </c>
      <c r="F722" s="622" t="str">
        <f>IF(NOT(ISBLANK('A-RACHNATMAK'!G763)),"A",IF(NOT(ISBLANK('A-RACHNATMAK'!G762)),"B",IF(NOT(ISBLANK('A-RACHNATMAK'!G761)),"C","")))</f>
        <v/>
      </c>
      <c r="G722" s="622" t="str">
        <f>IF(NOT(ISBLANK('A-RACHNATMAK'!H763)),"A",IF(NOT(ISBLANK('A-RACHNATMAK'!H762)),"B",IF(NOT(ISBLANK('A-RACHNATMAK'!H761)),"C","")))</f>
        <v/>
      </c>
      <c r="H722" s="622" t="str">
        <f>IF(NOT(ISBLANK('A-RACHNATMAK'!I763)),"A",IF(NOT(ISBLANK('A-RACHNATMAK'!I762)),"B",IF(NOT(ISBLANK('A-RACHNATMAK'!I761)),"C","")))</f>
        <v/>
      </c>
      <c r="I722" s="622" t="str">
        <f>IF(NOT(ISBLANK('A-RACHNATMAK'!J763)),"A",IF(NOT(ISBLANK('A-RACHNATMAK'!J762)),"B",IF(NOT(ISBLANK('A-RACHNATMAK'!J761)),"C","")))</f>
        <v/>
      </c>
      <c r="J722" s="622" t="str">
        <f>IF(NOT(ISBLANK('A-RACHNATMAK'!K763)),"A",IF(NOT(ISBLANK('A-RACHNATMAK'!K762)),"B",IF(NOT(ISBLANK('A-RACHNATMAK'!K761)),"C","")))</f>
        <v/>
      </c>
      <c r="K722" s="622" t="str">
        <f>IF(NOT(ISBLANK('A-RACHNATMAK'!L763)),"A",IF(NOT(ISBLANK('A-RACHNATMAK'!L762)),"B",IF(NOT(ISBLANK('A-RACHNATMAK'!L761)),"C","")))</f>
        <v/>
      </c>
      <c r="L722" s="622" t="str">
        <f>IF(NOT(ISBLANK('A-RACHNATMAK'!M763)),"A",IF(NOT(ISBLANK('A-RACHNATMAK'!M762)),"B",IF(NOT(ISBLANK('A-RACHNATMAK'!M761)),"C","")))</f>
        <v/>
      </c>
      <c r="M722" s="622" t="str">
        <f>IF(NOT(ISBLANK('A-RACHNATMAK'!N763)),"A",IF(NOT(ISBLANK('A-RACHNATMAK'!N762)),"B",IF(NOT(ISBLANK('A-RACHNATMAK'!N761)),"C","")))</f>
        <v/>
      </c>
      <c r="N722" s="622" t="str">
        <f>IF(NOT(ISBLANK('A-RACHNATMAK'!O763)),"A",IF(NOT(ISBLANK('A-RACHNATMAK'!O762)),"B",IF(NOT(ISBLANK('A-RACHNATMAK'!O761)),"C","")))</f>
        <v/>
      </c>
      <c r="O722" s="622" t="str">
        <f>IF(NOT(ISBLANK('A-RACHNATMAK'!P763)),"A",IF(NOT(ISBLANK('A-RACHNATMAK'!P762)),"B",IF(NOT(ISBLANK('A-RACHNATMAK'!P761)),"C","")))</f>
        <v/>
      </c>
      <c r="P722" s="622" t="str">
        <f>IF(NOT(ISBLANK('A-RACHNATMAK'!Q763)),"A",IF(NOT(ISBLANK('A-RACHNATMAK'!Q762)),"B",IF(NOT(ISBLANK('A-RACHNATMAK'!Q761)),"C","")))</f>
        <v/>
      </c>
      <c r="Q722" s="622" t="str">
        <f>IF(NOT(ISBLANK('A-RACHNATMAK'!R763)),"A",IF(NOT(ISBLANK('A-RACHNATMAK'!R762)),"B",IF(NOT(ISBLANK('A-RACHNATMAK'!R761)),"C","")))</f>
        <v/>
      </c>
      <c r="R722" s="622" t="str">
        <f>IF(NOT(ISBLANK('A-RACHNATMAK'!S763)),"A",IF(NOT(ISBLANK('A-RACHNATMAK'!S762)),"B",IF(NOT(ISBLANK('A-RACHNATMAK'!S761)),"C","")))</f>
        <v/>
      </c>
      <c r="S722" s="622" t="str">
        <f>IF(NOT(ISBLANK('A-RACHNATMAK'!T763)),"A",IF(NOT(ISBLANK('A-RACHNATMAK'!T762)),"B",IF(NOT(ISBLANK('A-RACHNATMAK'!T761)),"C","")))</f>
        <v/>
      </c>
      <c r="T722" s="622" t="str">
        <f>IF(NOT(ISBLANK('A-RACHNATMAK'!U763)),"A",IF(NOT(ISBLANK('A-RACHNATMAK'!U762)),"B",IF(NOT(ISBLANK('A-RACHNATMAK'!U761)),"C","")))</f>
        <v/>
      </c>
      <c r="U722" s="622" t="str">
        <f>IF(NOT(ISBLANK('A-RACHNATMAK'!V763)),"A",IF(NOT(ISBLANK('A-RACHNATMAK'!V762)),"B",IF(NOT(ISBLANK('A-RACHNATMAK'!V761)),"C","")))</f>
        <v/>
      </c>
      <c r="V722" s="622">
        <f t="shared" ref="V722" si="1374">COUNTIF(B722:U722,"A")</f>
        <v>0</v>
      </c>
      <c r="W722" s="622">
        <f t="shared" ref="W722" si="1375">COUNTIF(B722:U722,"B")</f>
        <v>0</v>
      </c>
      <c r="X722" s="622">
        <f t="shared" ref="X722" si="1376">COUNTIF(B722:U722,"C")</f>
        <v>0</v>
      </c>
      <c r="Y722" s="330"/>
      <c r="Z722" s="623">
        <v>27</v>
      </c>
      <c r="AA722" s="622" t="str">
        <f>IF(NOT(ISBLANK('A-RACHNATMAK'!AD763)),"A",IF(NOT(ISBLANK('A-RACHNATMAK'!AD762)),"B",IF(NOT(ISBLANK('A-RACHNATMAK'!AD761)),"C","")))</f>
        <v/>
      </c>
      <c r="AB722" s="622" t="str">
        <f>IF(NOT(ISBLANK('A-RACHNATMAK'!AE763)),"A",IF(NOT(ISBLANK('A-RACHNATMAK'!AE762)),"B",IF(NOT(ISBLANK('A-RACHNATMAK'!AE761)),"C","")))</f>
        <v/>
      </c>
      <c r="AC722" s="622" t="str">
        <f>IF(NOT(ISBLANK('A-RACHNATMAK'!AF763)),"A",IF(NOT(ISBLANK('A-RACHNATMAK'!AF762)),"B",IF(NOT(ISBLANK('A-RACHNATMAK'!AF761)),"C","")))</f>
        <v/>
      </c>
      <c r="AD722" s="622" t="str">
        <f>IF(NOT(ISBLANK('A-RACHNATMAK'!AG763)),"A",IF(NOT(ISBLANK('A-RACHNATMAK'!AG762)),"B",IF(NOT(ISBLANK('A-RACHNATMAK'!AG761)),"C","")))</f>
        <v/>
      </c>
      <c r="AE722" s="622" t="str">
        <f>IF(NOT(ISBLANK('A-RACHNATMAK'!AH763)),"A",IF(NOT(ISBLANK('A-RACHNATMAK'!AH762)),"B",IF(NOT(ISBLANK('A-RACHNATMAK'!AH761)),"C","")))</f>
        <v/>
      </c>
      <c r="AF722" s="622" t="str">
        <f>IF(NOT(ISBLANK('A-RACHNATMAK'!AI763)),"A",IF(NOT(ISBLANK('A-RACHNATMAK'!AI762)),"B",IF(NOT(ISBLANK('A-RACHNATMAK'!AI761)),"C","")))</f>
        <v/>
      </c>
      <c r="AG722" s="622" t="str">
        <f>IF(NOT(ISBLANK('A-RACHNATMAK'!AJ763)),"A",IF(NOT(ISBLANK('A-RACHNATMAK'!AJ762)),"B",IF(NOT(ISBLANK('A-RACHNATMAK'!AJ761)),"C","")))</f>
        <v/>
      </c>
      <c r="AH722" s="622" t="str">
        <f>IF(NOT(ISBLANK('A-RACHNATMAK'!AK763)),"A",IF(NOT(ISBLANK('A-RACHNATMAK'!AK762)),"B",IF(NOT(ISBLANK('A-RACHNATMAK'!AK761)),"C","")))</f>
        <v>A</v>
      </c>
      <c r="AI722" s="622" t="str">
        <f>IF(NOT(ISBLANK('A-RACHNATMAK'!AL763)),"A",IF(NOT(ISBLANK('A-RACHNATMAK'!AL762)),"B",IF(NOT(ISBLANK('A-RACHNATMAK'!AL761)),"C","")))</f>
        <v>C</v>
      </c>
      <c r="AJ722" s="622" t="str">
        <f>IF(NOT(ISBLANK('A-RACHNATMAK'!AM763)),"A",IF(NOT(ISBLANK('A-RACHNATMAK'!AM762)),"B",IF(NOT(ISBLANK('A-RACHNATMAK'!AM761)),"C","")))</f>
        <v/>
      </c>
      <c r="AK722" s="622" t="str">
        <f>IF(NOT(ISBLANK('A-RACHNATMAK'!AN763)),"A",IF(NOT(ISBLANK('A-RACHNATMAK'!AN762)),"B",IF(NOT(ISBLANK('A-RACHNATMAK'!AN761)),"C","")))</f>
        <v>A</v>
      </c>
      <c r="AL722" s="622" t="str">
        <f>IF(NOT(ISBLANK('A-RACHNATMAK'!AO763)),"A",IF(NOT(ISBLANK('A-RACHNATMAK'!AO762)),"B",IF(NOT(ISBLANK('A-RACHNATMAK'!AO761)),"C","")))</f>
        <v/>
      </c>
      <c r="AM722" s="622" t="str">
        <f>IF(NOT(ISBLANK('A-RACHNATMAK'!AP763)),"A",IF(NOT(ISBLANK('A-RACHNATMAK'!AP762)),"B",IF(NOT(ISBLANK('A-RACHNATMAK'!AP761)),"C","")))</f>
        <v/>
      </c>
      <c r="AN722" s="622" t="str">
        <f>IF(NOT(ISBLANK('A-RACHNATMAK'!AQ763)),"A",IF(NOT(ISBLANK('A-RACHNATMAK'!AQ762)),"B",IF(NOT(ISBLANK('A-RACHNATMAK'!AQ761)),"C","")))</f>
        <v>B</v>
      </c>
      <c r="AO722" s="622" t="str">
        <f>IF(NOT(ISBLANK('A-RACHNATMAK'!AR763)),"A",IF(NOT(ISBLANK('A-RACHNATMAK'!AR762)),"B",IF(NOT(ISBLANK('A-RACHNATMAK'!AR761)),"C","")))</f>
        <v/>
      </c>
      <c r="AP722" s="622" t="str">
        <f>IF(NOT(ISBLANK('A-RACHNATMAK'!AS763)),"A",IF(NOT(ISBLANK('A-RACHNATMAK'!AS762)),"B",IF(NOT(ISBLANK('A-RACHNATMAK'!AS761)),"C","")))</f>
        <v/>
      </c>
      <c r="AQ722" s="622" t="str">
        <f>IF(NOT(ISBLANK('A-RACHNATMAK'!AT763)),"A",IF(NOT(ISBLANK('A-RACHNATMAK'!AT762)),"B",IF(NOT(ISBLANK('A-RACHNATMAK'!AT761)),"C","")))</f>
        <v/>
      </c>
      <c r="AR722" s="622" t="str">
        <f>IF(NOT(ISBLANK('A-RACHNATMAK'!AU763)),"A",IF(NOT(ISBLANK('A-RACHNATMAK'!AU762)),"B",IF(NOT(ISBLANK('A-RACHNATMAK'!AU761)),"C","")))</f>
        <v/>
      </c>
      <c r="AS722" s="622" t="str">
        <f>IF(NOT(ISBLANK('A-RACHNATMAK'!AV763)),"A",IF(NOT(ISBLANK('A-RACHNATMAK'!AV762)),"B",IF(NOT(ISBLANK('A-RACHNATMAK'!AV761)),"C","")))</f>
        <v/>
      </c>
      <c r="AT722" s="622" t="str">
        <f>IF(NOT(ISBLANK('A-RACHNATMAK'!AW763)),"A",IF(NOT(ISBLANK('A-RACHNATMAK'!AW762)),"B",IF(NOT(ISBLANK('A-RACHNATMAK'!AW761)),"C","")))</f>
        <v/>
      </c>
      <c r="AU722" s="622">
        <f t="shared" ref="AU722" si="1377">COUNTIF(AA722:AT722,"A")</f>
        <v>2</v>
      </c>
      <c r="AV722" s="622">
        <f t="shared" ref="AV722" si="1378">COUNTIF(AA722:AT722,"B")</f>
        <v>1</v>
      </c>
      <c r="AW722" s="622">
        <f t="shared" ref="AW722" si="1379">COUNTIF(AA722:AT722,"C")</f>
        <v>1</v>
      </c>
    </row>
    <row r="723" spans="1:49" ht="7.5" customHeight="1">
      <c r="A723" s="623"/>
      <c r="B723" s="622"/>
      <c r="C723" s="622"/>
      <c r="D723" s="622"/>
      <c r="E723" s="622"/>
      <c r="F723" s="622"/>
      <c r="G723" s="622"/>
      <c r="H723" s="622"/>
      <c r="I723" s="622"/>
      <c r="J723" s="622"/>
      <c r="K723" s="622"/>
      <c r="L723" s="622"/>
      <c r="M723" s="622"/>
      <c r="N723" s="622"/>
      <c r="O723" s="622"/>
      <c r="P723" s="622"/>
      <c r="Q723" s="622"/>
      <c r="R723" s="622"/>
      <c r="S723" s="622"/>
      <c r="T723" s="622"/>
      <c r="U723" s="622"/>
      <c r="V723" s="622"/>
      <c r="W723" s="622"/>
      <c r="X723" s="622"/>
      <c r="Y723" s="330"/>
      <c r="Z723" s="623"/>
      <c r="AA723" s="622"/>
      <c r="AB723" s="622"/>
      <c r="AC723" s="622"/>
      <c r="AD723" s="622"/>
      <c r="AE723" s="622"/>
      <c r="AF723" s="622"/>
      <c r="AG723" s="622"/>
      <c r="AH723" s="622"/>
      <c r="AI723" s="622"/>
      <c r="AJ723" s="622"/>
      <c r="AK723" s="622"/>
      <c r="AL723" s="622"/>
      <c r="AM723" s="622"/>
      <c r="AN723" s="622"/>
      <c r="AO723" s="622"/>
      <c r="AP723" s="622"/>
      <c r="AQ723" s="622"/>
      <c r="AR723" s="622"/>
      <c r="AS723" s="622"/>
      <c r="AT723" s="622"/>
      <c r="AU723" s="622"/>
      <c r="AV723" s="622"/>
      <c r="AW723" s="622"/>
    </row>
    <row r="724" spans="1:49" ht="7.5" customHeight="1">
      <c r="A724" s="623"/>
      <c r="B724" s="622"/>
      <c r="C724" s="622"/>
      <c r="D724" s="622"/>
      <c r="E724" s="622"/>
      <c r="F724" s="622"/>
      <c r="G724" s="622"/>
      <c r="H724" s="622"/>
      <c r="I724" s="622"/>
      <c r="J724" s="622"/>
      <c r="K724" s="622"/>
      <c r="L724" s="622"/>
      <c r="M724" s="622"/>
      <c r="N724" s="622"/>
      <c r="O724" s="622"/>
      <c r="P724" s="622"/>
      <c r="Q724" s="622"/>
      <c r="R724" s="622"/>
      <c r="S724" s="622"/>
      <c r="T724" s="622"/>
      <c r="U724" s="622"/>
      <c r="V724" s="622"/>
      <c r="W724" s="622"/>
      <c r="X724" s="622"/>
      <c r="Y724" s="330"/>
      <c r="Z724" s="623"/>
      <c r="AA724" s="622"/>
      <c r="AB724" s="622"/>
      <c r="AC724" s="622"/>
      <c r="AD724" s="622"/>
      <c r="AE724" s="622"/>
      <c r="AF724" s="622"/>
      <c r="AG724" s="622"/>
      <c r="AH724" s="622"/>
      <c r="AI724" s="622"/>
      <c r="AJ724" s="622"/>
      <c r="AK724" s="622"/>
      <c r="AL724" s="622"/>
      <c r="AM724" s="622"/>
      <c r="AN724" s="622"/>
      <c r="AO724" s="622"/>
      <c r="AP724" s="622"/>
      <c r="AQ724" s="622"/>
      <c r="AR724" s="622"/>
      <c r="AS724" s="622"/>
      <c r="AT724" s="622"/>
      <c r="AU724" s="622"/>
      <c r="AV724" s="622"/>
      <c r="AW724" s="622"/>
    </row>
    <row r="725" spans="1:49" ht="7.5" customHeight="1">
      <c r="A725" s="623">
        <v>28</v>
      </c>
      <c r="B725" s="622" t="str">
        <f>IF(NOT(ISBLANK('A-RACHNATMAK'!C766)),"A",IF(NOT(ISBLANK('A-RACHNATMAK'!C765)),"B",IF(NOT(ISBLANK('A-RACHNATMAK'!C764)),"C","")))</f>
        <v/>
      </c>
      <c r="C725" s="622" t="str">
        <f>IF(NOT(ISBLANK('A-RACHNATMAK'!D766)),"A",IF(NOT(ISBLANK('A-RACHNATMAK'!D765)),"B",IF(NOT(ISBLANK('A-RACHNATMAK'!D764)),"C","")))</f>
        <v/>
      </c>
      <c r="D725" s="622" t="str">
        <f>IF(NOT(ISBLANK('A-RACHNATMAK'!E766)),"A",IF(NOT(ISBLANK('A-RACHNATMAK'!E765)),"B",IF(NOT(ISBLANK('A-RACHNATMAK'!E764)),"C","")))</f>
        <v/>
      </c>
      <c r="E725" s="622" t="str">
        <f>IF(NOT(ISBLANK('A-RACHNATMAK'!F766)),"A",IF(NOT(ISBLANK('A-RACHNATMAK'!F765)),"B",IF(NOT(ISBLANK('A-RACHNATMAK'!F764)),"C","")))</f>
        <v/>
      </c>
      <c r="F725" s="622" t="str">
        <f>IF(NOT(ISBLANK('A-RACHNATMAK'!G766)),"A",IF(NOT(ISBLANK('A-RACHNATMAK'!G765)),"B",IF(NOT(ISBLANK('A-RACHNATMAK'!G764)),"C","")))</f>
        <v/>
      </c>
      <c r="G725" s="622" t="str">
        <f>IF(NOT(ISBLANK('A-RACHNATMAK'!H766)),"A",IF(NOT(ISBLANK('A-RACHNATMAK'!H765)),"B",IF(NOT(ISBLANK('A-RACHNATMAK'!H764)),"C","")))</f>
        <v/>
      </c>
      <c r="H725" s="622" t="str">
        <f>IF(NOT(ISBLANK('A-RACHNATMAK'!I766)),"A",IF(NOT(ISBLANK('A-RACHNATMAK'!I765)),"B",IF(NOT(ISBLANK('A-RACHNATMAK'!I764)),"C","")))</f>
        <v/>
      </c>
      <c r="I725" s="622" t="str">
        <f>IF(NOT(ISBLANK('A-RACHNATMAK'!J766)),"A",IF(NOT(ISBLANK('A-RACHNATMAK'!J765)),"B",IF(NOT(ISBLANK('A-RACHNATMAK'!J764)),"C","")))</f>
        <v/>
      </c>
      <c r="J725" s="622" t="str">
        <f>IF(NOT(ISBLANK('A-RACHNATMAK'!K766)),"A",IF(NOT(ISBLANK('A-RACHNATMAK'!K765)),"B",IF(NOT(ISBLANK('A-RACHNATMAK'!K764)),"C","")))</f>
        <v/>
      </c>
      <c r="K725" s="622" t="str">
        <f>IF(NOT(ISBLANK('A-RACHNATMAK'!L766)),"A",IF(NOT(ISBLANK('A-RACHNATMAK'!L765)),"B",IF(NOT(ISBLANK('A-RACHNATMAK'!L764)),"C","")))</f>
        <v/>
      </c>
      <c r="L725" s="622" t="str">
        <f>IF(NOT(ISBLANK('A-RACHNATMAK'!M766)),"A",IF(NOT(ISBLANK('A-RACHNATMAK'!M765)),"B",IF(NOT(ISBLANK('A-RACHNATMAK'!M764)),"C","")))</f>
        <v/>
      </c>
      <c r="M725" s="622" t="str">
        <f>IF(NOT(ISBLANK('A-RACHNATMAK'!N766)),"A",IF(NOT(ISBLANK('A-RACHNATMAK'!N765)),"B",IF(NOT(ISBLANK('A-RACHNATMAK'!N764)),"C","")))</f>
        <v/>
      </c>
      <c r="N725" s="622" t="str">
        <f>IF(NOT(ISBLANK('A-RACHNATMAK'!O766)),"A",IF(NOT(ISBLANK('A-RACHNATMAK'!O765)),"B",IF(NOT(ISBLANK('A-RACHNATMAK'!O764)),"C","")))</f>
        <v/>
      </c>
      <c r="O725" s="622" t="str">
        <f>IF(NOT(ISBLANK('A-RACHNATMAK'!P766)),"A",IF(NOT(ISBLANK('A-RACHNATMAK'!P765)),"B",IF(NOT(ISBLANK('A-RACHNATMAK'!P764)),"C","")))</f>
        <v/>
      </c>
      <c r="P725" s="622" t="str">
        <f>IF(NOT(ISBLANK('A-RACHNATMAK'!Q766)),"A",IF(NOT(ISBLANK('A-RACHNATMAK'!Q765)),"B",IF(NOT(ISBLANK('A-RACHNATMAK'!Q764)),"C","")))</f>
        <v/>
      </c>
      <c r="Q725" s="622" t="str">
        <f>IF(NOT(ISBLANK('A-RACHNATMAK'!R766)),"A",IF(NOT(ISBLANK('A-RACHNATMAK'!R765)),"B",IF(NOT(ISBLANK('A-RACHNATMAK'!R764)),"C","")))</f>
        <v/>
      </c>
      <c r="R725" s="622" t="str">
        <f>IF(NOT(ISBLANK('A-RACHNATMAK'!S766)),"A",IF(NOT(ISBLANK('A-RACHNATMAK'!S765)),"B",IF(NOT(ISBLANK('A-RACHNATMAK'!S764)),"C","")))</f>
        <v/>
      </c>
      <c r="S725" s="622" t="str">
        <f>IF(NOT(ISBLANK('A-RACHNATMAK'!T766)),"A",IF(NOT(ISBLANK('A-RACHNATMAK'!T765)),"B",IF(NOT(ISBLANK('A-RACHNATMAK'!T764)),"C","")))</f>
        <v/>
      </c>
      <c r="T725" s="622" t="str">
        <f>IF(NOT(ISBLANK('A-RACHNATMAK'!U766)),"A",IF(NOT(ISBLANK('A-RACHNATMAK'!U765)),"B",IF(NOT(ISBLANK('A-RACHNATMAK'!U764)),"C","")))</f>
        <v/>
      </c>
      <c r="U725" s="622" t="str">
        <f>IF(NOT(ISBLANK('A-RACHNATMAK'!V766)),"A",IF(NOT(ISBLANK('A-RACHNATMAK'!V765)),"B",IF(NOT(ISBLANK('A-RACHNATMAK'!V764)),"C","")))</f>
        <v/>
      </c>
      <c r="V725" s="622">
        <f t="shared" ref="V725" si="1380">COUNTIF(B725:U725,"A")</f>
        <v>0</v>
      </c>
      <c r="W725" s="622">
        <f t="shared" ref="W725" si="1381">COUNTIF(B725:U725,"B")</f>
        <v>0</v>
      </c>
      <c r="X725" s="622">
        <f t="shared" ref="X725" si="1382">COUNTIF(B725:U725,"C")</f>
        <v>0</v>
      </c>
      <c r="Y725" s="330"/>
      <c r="Z725" s="623">
        <v>28</v>
      </c>
      <c r="AA725" s="622" t="str">
        <f>IF(NOT(ISBLANK('A-RACHNATMAK'!AD766)),"A",IF(NOT(ISBLANK('A-RACHNATMAK'!AD765)),"B",IF(NOT(ISBLANK('A-RACHNATMAK'!AD764)),"C","")))</f>
        <v/>
      </c>
      <c r="AB725" s="622" t="str">
        <f>IF(NOT(ISBLANK('A-RACHNATMAK'!AE766)),"A",IF(NOT(ISBLANK('A-RACHNATMAK'!AE765)),"B",IF(NOT(ISBLANK('A-RACHNATMAK'!AE764)),"C","")))</f>
        <v/>
      </c>
      <c r="AC725" s="622" t="str">
        <f>IF(NOT(ISBLANK('A-RACHNATMAK'!AF766)),"A",IF(NOT(ISBLANK('A-RACHNATMAK'!AF765)),"B",IF(NOT(ISBLANK('A-RACHNATMAK'!AF764)),"C","")))</f>
        <v/>
      </c>
      <c r="AD725" s="622" t="str">
        <f>IF(NOT(ISBLANK('A-RACHNATMAK'!AG766)),"A",IF(NOT(ISBLANK('A-RACHNATMAK'!AG765)),"B",IF(NOT(ISBLANK('A-RACHNATMAK'!AG764)),"C","")))</f>
        <v/>
      </c>
      <c r="AE725" s="622" t="str">
        <f>IF(NOT(ISBLANK('A-RACHNATMAK'!AH766)),"A",IF(NOT(ISBLANK('A-RACHNATMAK'!AH765)),"B",IF(NOT(ISBLANK('A-RACHNATMAK'!AH764)),"C","")))</f>
        <v/>
      </c>
      <c r="AF725" s="622" t="str">
        <f>IF(NOT(ISBLANK('A-RACHNATMAK'!AI766)),"A",IF(NOT(ISBLANK('A-RACHNATMAK'!AI765)),"B",IF(NOT(ISBLANK('A-RACHNATMAK'!AI764)),"C","")))</f>
        <v/>
      </c>
      <c r="AG725" s="622" t="str">
        <f>IF(NOT(ISBLANK('A-RACHNATMAK'!AJ766)),"A",IF(NOT(ISBLANK('A-RACHNATMAK'!AJ765)),"B",IF(NOT(ISBLANK('A-RACHNATMAK'!AJ764)),"C","")))</f>
        <v/>
      </c>
      <c r="AH725" s="622" t="str">
        <f>IF(NOT(ISBLANK('A-RACHNATMAK'!AK766)),"A",IF(NOT(ISBLANK('A-RACHNATMAK'!AK765)),"B",IF(NOT(ISBLANK('A-RACHNATMAK'!AK764)),"C","")))</f>
        <v/>
      </c>
      <c r="AI725" s="622" t="str">
        <f>IF(NOT(ISBLANK('A-RACHNATMAK'!AL766)),"A",IF(NOT(ISBLANK('A-RACHNATMAK'!AL765)),"B",IF(NOT(ISBLANK('A-RACHNATMAK'!AL764)),"C","")))</f>
        <v/>
      </c>
      <c r="AJ725" s="622" t="str">
        <f>IF(NOT(ISBLANK('A-RACHNATMAK'!AM766)),"A",IF(NOT(ISBLANK('A-RACHNATMAK'!AM765)),"B",IF(NOT(ISBLANK('A-RACHNATMAK'!AM764)),"C","")))</f>
        <v/>
      </c>
      <c r="AK725" s="622" t="str">
        <f>IF(NOT(ISBLANK('A-RACHNATMAK'!AN766)),"A",IF(NOT(ISBLANK('A-RACHNATMAK'!AN765)),"B",IF(NOT(ISBLANK('A-RACHNATMAK'!AN764)),"C","")))</f>
        <v/>
      </c>
      <c r="AL725" s="622" t="str">
        <f>IF(NOT(ISBLANK('A-RACHNATMAK'!AO766)),"A",IF(NOT(ISBLANK('A-RACHNATMAK'!AO765)),"B",IF(NOT(ISBLANK('A-RACHNATMAK'!AO764)),"C","")))</f>
        <v/>
      </c>
      <c r="AM725" s="622" t="str">
        <f>IF(NOT(ISBLANK('A-RACHNATMAK'!AP766)),"A",IF(NOT(ISBLANK('A-RACHNATMAK'!AP765)),"B",IF(NOT(ISBLANK('A-RACHNATMAK'!AP764)),"C","")))</f>
        <v/>
      </c>
      <c r="AN725" s="622" t="str">
        <f>IF(NOT(ISBLANK('A-RACHNATMAK'!AQ766)),"A",IF(NOT(ISBLANK('A-RACHNATMAK'!AQ765)),"B",IF(NOT(ISBLANK('A-RACHNATMAK'!AQ764)),"C","")))</f>
        <v/>
      </c>
      <c r="AO725" s="622" t="str">
        <f>IF(NOT(ISBLANK('A-RACHNATMAK'!AR766)),"A",IF(NOT(ISBLANK('A-RACHNATMAK'!AR765)),"B",IF(NOT(ISBLANK('A-RACHNATMAK'!AR764)),"C","")))</f>
        <v/>
      </c>
      <c r="AP725" s="622" t="str">
        <f>IF(NOT(ISBLANK('A-RACHNATMAK'!AS766)),"A",IF(NOT(ISBLANK('A-RACHNATMAK'!AS765)),"B",IF(NOT(ISBLANK('A-RACHNATMAK'!AS764)),"C","")))</f>
        <v/>
      </c>
      <c r="AQ725" s="622" t="str">
        <f>IF(NOT(ISBLANK('A-RACHNATMAK'!AT766)),"A",IF(NOT(ISBLANK('A-RACHNATMAK'!AT765)),"B",IF(NOT(ISBLANK('A-RACHNATMAK'!AT764)),"C","")))</f>
        <v/>
      </c>
      <c r="AR725" s="622" t="str">
        <f>IF(NOT(ISBLANK('A-RACHNATMAK'!AU766)),"A",IF(NOT(ISBLANK('A-RACHNATMAK'!AU765)),"B",IF(NOT(ISBLANK('A-RACHNATMAK'!AU764)),"C","")))</f>
        <v/>
      </c>
      <c r="AS725" s="622" t="str">
        <f>IF(NOT(ISBLANK('A-RACHNATMAK'!AV766)),"A",IF(NOT(ISBLANK('A-RACHNATMAK'!AV765)),"B",IF(NOT(ISBLANK('A-RACHNATMAK'!AV764)),"C","")))</f>
        <v/>
      </c>
      <c r="AT725" s="622" t="str">
        <f>IF(NOT(ISBLANK('A-RACHNATMAK'!AW766)),"A",IF(NOT(ISBLANK('A-RACHNATMAK'!AW765)),"B",IF(NOT(ISBLANK('A-RACHNATMAK'!AW764)),"C","")))</f>
        <v/>
      </c>
      <c r="AU725" s="622">
        <f t="shared" ref="AU725" si="1383">COUNTIF(AA725:AT725,"A")</f>
        <v>0</v>
      </c>
      <c r="AV725" s="622">
        <f t="shared" ref="AV725" si="1384">COUNTIF(AA725:AT725,"B")</f>
        <v>0</v>
      </c>
      <c r="AW725" s="622">
        <f t="shared" ref="AW725" si="1385">COUNTIF(AA725:AT725,"C")</f>
        <v>0</v>
      </c>
    </row>
    <row r="726" spans="1:49" ht="7.5" customHeight="1">
      <c r="A726" s="623"/>
      <c r="B726" s="622"/>
      <c r="C726" s="622"/>
      <c r="D726" s="622"/>
      <c r="E726" s="622"/>
      <c r="F726" s="622"/>
      <c r="G726" s="622"/>
      <c r="H726" s="622"/>
      <c r="I726" s="622"/>
      <c r="J726" s="622"/>
      <c r="K726" s="622"/>
      <c r="L726" s="622"/>
      <c r="M726" s="622"/>
      <c r="N726" s="622"/>
      <c r="O726" s="622"/>
      <c r="P726" s="622"/>
      <c r="Q726" s="622"/>
      <c r="R726" s="622"/>
      <c r="S726" s="622"/>
      <c r="T726" s="622"/>
      <c r="U726" s="622"/>
      <c r="V726" s="622"/>
      <c r="W726" s="622"/>
      <c r="X726" s="622"/>
      <c r="Y726" s="330"/>
      <c r="Z726" s="623"/>
      <c r="AA726" s="622"/>
      <c r="AB726" s="622"/>
      <c r="AC726" s="622"/>
      <c r="AD726" s="622"/>
      <c r="AE726" s="622"/>
      <c r="AF726" s="622"/>
      <c r="AG726" s="622"/>
      <c r="AH726" s="622"/>
      <c r="AI726" s="622"/>
      <c r="AJ726" s="622"/>
      <c r="AK726" s="622"/>
      <c r="AL726" s="622"/>
      <c r="AM726" s="622"/>
      <c r="AN726" s="622"/>
      <c r="AO726" s="622"/>
      <c r="AP726" s="622"/>
      <c r="AQ726" s="622"/>
      <c r="AR726" s="622"/>
      <c r="AS726" s="622"/>
      <c r="AT726" s="622"/>
      <c r="AU726" s="622"/>
      <c r="AV726" s="622"/>
      <c r="AW726" s="622"/>
    </row>
    <row r="727" spans="1:49" ht="7.5" customHeight="1">
      <c r="A727" s="623"/>
      <c r="B727" s="622"/>
      <c r="C727" s="622"/>
      <c r="D727" s="622"/>
      <c r="E727" s="622"/>
      <c r="F727" s="622"/>
      <c r="G727" s="622"/>
      <c r="H727" s="622"/>
      <c r="I727" s="622"/>
      <c r="J727" s="622"/>
      <c r="K727" s="622"/>
      <c r="L727" s="622"/>
      <c r="M727" s="622"/>
      <c r="N727" s="622"/>
      <c r="O727" s="622"/>
      <c r="P727" s="622"/>
      <c r="Q727" s="622"/>
      <c r="R727" s="622"/>
      <c r="S727" s="622"/>
      <c r="T727" s="622"/>
      <c r="U727" s="622"/>
      <c r="V727" s="622"/>
      <c r="W727" s="622"/>
      <c r="X727" s="622"/>
      <c r="Y727" s="330"/>
      <c r="Z727" s="623"/>
      <c r="AA727" s="622"/>
      <c r="AB727" s="622"/>
      <c r="AC727" s="622"/>
      <c r="AD727" s="622"/>
      <c r="AE727" s="622"/>
      <c r="AF727" s="622"/>
      <c r="AG727" s="622"/>
      <c r="AH727" s="622"/>
      <c r="AI727" s="622"/>
      <c r="AJ727" s="622"/>
      <c r="AK727" s="622"/>
      <c r="AL727" s="622"/>
      <c r="AM727" s="622"/>
      <c r="AN727" s="622"/>
      <c r="AO727" s="622"/>
      <c r="AP727" s="622"/>
      <c r="AQ727" s="622"/>
      <c r="AR727" s="622"/>
      <c r="AS727" s="622"/>
      <c r="AT727" s="622"/>
      <c r="AU727" s="622"/>
      <c r="AV727" s="622"/>
      <c r="AW727" s="622"/>
    </row>
    <row r="728" spans="1:49" ht="7.5" customHeight="1">
      <c r="A728" s="623">
        <v>29</v>
      </c>
      <c r="B728" s="622" t="str">
        <f>IF(NOT(ISBLANK('A-RACHNATMAK'!C769)),"A",IF(NOT(ISBLANK('A-RACHNATMAK'!C768)),"B",IF(NOT(ISBLANK('A-RACHNATMAK'!C767)),"C","")))</f>
        <v/>
      </c>
      <c r="C728" s="622" t="str">
        <f>IF(NOT(ISBLANK('A-RACHNATMAK'!D769)),"A",IF(NOT(ISBLANK('A-RACHNATMAK'!D768)),"B",IF(NOT(ISBLANK('A-RACHNATMAK'!D767)),"C","")))</f>
        <v/>
      </c>
      <c r="D728" s="622" t="str">
        <f>IF(NOT(ISBLANK('A-RACHNATMAK'!E769)),"A",IF(NOT(ISBLANK('A-RACHNATMAK'!E768)),"B",IF(NOT(ISBLANK('A-RACHNATMAK'!E767)),"C","")))</f>
        <v/>
      </c>
      <c r="E728" s="622" t="str">
        <f>IF(NOT(ISBLANK('A-RACHNATMAK'!F769)),"A",IF(NOT(ISBLANK('A-RACHNATMAK'!F768)),"B",IF(NOT(ISBLANK('A-RACHNATMAK'!F767)),"C","")))</f>
        <v/>
      </c>
      <c r="F728" s="622" t="str">
        <f>IF(NOT(ISBLANK('A-RACHNATMAK'!G769)),"A",IF(NOT(ISBLANK('A-RACHNATMAK'!G768)),"B",IF(NOT(ISBLANK('A-RACHNATMAK'!G767)),"C","")))</f>
        <v/>
      </c>
      <c r="G728" s="622" t="str">
        <f>IF(NOT(ISBLANK('A-RACHNATMAK'!H769)),"A",IF(NOT(ISBLANK('A-RACHNATMAK'!H768)),"B",IF(NOT(ISBLANK('A-RACHNATMAK'!H767)),"C","")))</f>
        <v/>
      </c>
      <c r="H728" s="622" t="str">
        <f>IF(NOT(ISBLANK('A-RACHNATMAK'!I769)),"A",IF(NOT(ISBLANK('A-RACHNATMAK'!I768)),"B",IF(NOT(ISBLANK('A-RACHNATMAK'!I767)),"C","")))</f>
        <v/>
      </c>
      <c r="I728" s="622" t="str">
        <f>IF(NOT(ISBLANK('A-RACHNATMAK'!J769)),"A",IF(NOT(ISBLANK('A-RACHNATMAK'!J768)),"B",IF(NOT(ISBLANK('A-RACHNATMAK'!J767)),"C","")))</f>
        <v/>
      </c>
      <c r="J728" s="622" t="str">
        <f>IF(NOT(ISBLANK('A-RACHNATMAK'!K769)),"A",IF(NOT(ISBLANK('A-RACHNATMAK'!K768)),"B",IF(NOT(ISBLANK('A-RACHNATMAK'!K767)),"C","")))</f>
        <v/>
      </c>
      <c r="K728" s="622" t="str">
        <f>IF(NOT(ISBLANK('A-RACHNATMAK'!L769)),"A",IF(NOT(ISBLANK('A-RACHNATMAK'!L768)),"B",IF(NOT(ISBLANK('A-RACHNATMAK'!L767)),"C","")))</f>
        <v/>
      </c>
      <c r="L728" s="622" t="str">
        <f>IF(NOT(ISBLANK('A-RACHNATMAK'!M769)),"A",IF(NOT(ISBLANK('A-RACHNATMAK'!M768)),"B",IF(NOT(ISBLANK('A-RACHNATMAK'!M767)),"C","")))</f>
        <v/>
      </c>
      <c r="M728" s="622" t="str">
        <f>IF(NOT(ISBLANK('A-RACHNATMAK'!N769)),"A",IF(NOT(ISBLANK('A-RACHNATMAK'!N768)),"B",IF(NOT(ISBLANK('A-RACHNATMAK'!N767)),"C","")))</f>
        <v/>
      </c>
      <c r="N728" s="622" t="str">
        <f>IF(NOT(ISBLANK('A-RACHNATMAK'!O769)),"A",IF(NOT(ISBLANK('A-RACHNATMAK'!O768)),"B",IF(NOT(ISBLANK('A-RACHNATMAK'!O767)),"C","")))</f>
        <v/>
      </c>
      <c r="O728" s="622" t="str">
        <f>IF(NOT(ISBLANK('A-RACHNATMAK'!P769)),"A",IF(NOT(ISBLANK('A-RACHNATMAK'!P768)),"B",IF(NOT(ISBLANK('A-RACHNATMAK'!P767)),"C","")))</f>
        <v/>
      </c>
      <c r="P728" s="622" t="str">
        <f>IF(NOT(ISBLANK('A-RACHNATMAK'!Q769)),"A",IF(NOT(ISBLANK('A-RACHNATMAK'!Q768)),"B",IF(NOT(ISBLANK('A-RACHNATMAK'!Q767)),"C","")))</f>
        <v/>
      </c>
      <c r="Q728" s="622" t="str">
        <f>IF(NOT(ISBLANK('A-RACHNATMAK'!R769)),"A",IF(NOT(ISBLANK('A-RACHNATMAK'!R768)),"B",IF(NOT(ISBLANK('A-RACHNATMAK'!R767)),"C","")))</f>
        <v/>
      </c>
      <c r="R728" s="622" t="str">
        <f>IF(NOT(ISBLANK('A-RACHNATMAK'!S769)),"A",IF(NOT(ISBLANK('A-RACHNATMAK'!S768)),"B",IF(NOT(ISBLANK('A-RACHNATMAK'!S767)),"C","")))</f>
        <v/>
      </c>
      <c r="S728" s="622" t="str">
        <f>IF(NOT(ISBLANK('A-RACHNATMAK'!T769)),"A",IF(NOT(ISBLANK('A-RACHNATMAK'!T768)),"B",IF(NOT(ISBLANK('A-RACHNATMAK'!T767)),"C","")))</f>
        <v/>
      </c>
      <c r="T728" s="622" t="str">
        <f>IF(NOT(ISBLANK('A-RACHNATMAK'!U769)),"A",IF(NOT(ISBLANK('A-RACHNATMAK'!U768)),"B",IF(NOT(ISBLANK('A-RACHNATMAK'!U767)),"C","")))</f>
        <v/>
      </c>
      <c r="U728" s="622" t="str">
        <f>IF(NOT(ISBLANK('A-RACHNATMAK'!V769)),"A",IF(NOT(ISBLANK('A-RACHNATMAK'!V768)),"B",IF(NOT(ISBLANK('A-RACHNATMAK'!V767)),"C","")))</f>
        <v/>
      </c>
      <c r="V728" s="622">
        <f t="shared" ref="V728" si="1386">COUNTIF(B728:U728,"A")</f>
        <v>0</v>
      </c>
      <c r="W728" s="622">
        <f t="shared" ref="W728" si="1387">COUNTIF(B728:U728,"B")</f>
        <v>0</v>
      </c>
      <c r="X728" s="622">
        <f t="shared" ref="X728" si="1388">COUNTIF(B728:U728,"C")</f>
        <v>0</v>
      </c>
      <c r="Y728" s="330"/>
      <c r="Z728" s="623">
        <v>29</v>
      </c>
      <c r="AA728" s="622" t="str">
        <f>IF(NOT(ISBLANK('A-RACHNATMAK'!AD769)),"A",IF(NOT(ISBLANK('A-RACHNATMAK'!AD768)),"B",IF(NOT(ISBLANK('A-RACHNATMAK'!AD767)),"C","")))</f>
        <v/>
      </c>
      <c r="AB728" s="622" t="str">
        <f>IF(NOT(ISBLANK('A-RACHNATMAK'!AE769)),"A",IF(NOT(ISBLANK('A-RACHNATMAK'!AE768)),"B",IF(NOT(ISBLANK('A-RACHNATMAK'!AE767)),"C","")))</f>
        <v/>
      </c>
      <c r="AC728" s="622" t="str">
        <f>IF(NOT(ISBLANK('A-RACHNATMAK'!AF769)),"A",IF(NOT(ISBLANK('A-RACHNATMAK'!AF768)),"B",IF(NOT(ISBLANK('A-RACHNATMAK'!AF767)),"C","")))</f>
        <v/>
      </c>
      <c r="AD728" s="622" t="str">
        <f>IF(NOT(ISBLANK('A-RACHNATMAK'!AG769)),"A",IF(NOT(ISBLANK('A-RACHNATMAK'!AG768)),"B",IF(NOT(ISBLANK('A-RACHNATMAK'!AG767)),"C","")))</f>
        <v/>
      </c>
      <c r="AE728" s="622" t="str">
        <f>IF(NOT(ISBLANK('A-RACHNATMAK'!AH769)),"A",IF(NOT(ISBLANK('A-RACHNATMAK'!AH768)),"B",IF(NOT(ISBLANK('A-RACHNATMAK'!AH767)),"C","")))</f>
        <v/>
      </c>
      <c r="AF728" s="622" t="str">
        <f>IF(NOT(ISBLANK('A-RACHNATMAK'!AI769)),"A",IF(NOT(ISBLANK('A-RACHNATMAK'!AI768)),"B",IF(NOT(ISBLANK('A-RACHNATMAK'!AI767)),"C","")))</f>
        <v/>
      </c>
      <c r="AG728" s="622" t="str">
        <f>IF(NOT(ISBLANK('A-RACHNATMAK'!AJ769)),"A",IF(NOT(ISBLANK('A-RACHNATMAK'!AJ768)),"B",IF(NOT(ISBLANK('A-RACHNATMAK'!AJ767)),"C","")))</f>
        <v/>
      </c>
      <c r="AH728" s="622" t="str">
        <f>IF(NOT(ISBLANK('A-RACHNATMAK'!AK769)),"A",IF(NOT(ISBLANK('A-RACHNATMAK'!AK768)),"B",IF(NOT(ISBLANK('A-RACHNATMAK'!AK767)),"C","")))</f>
        <v/>
      </c>
      <c r="AI728" s="622" t="str">
        <f>IF(NOT(ISBLANK('A-RACHNATMAK'!AL769)),"A",IF(NOT(ISBLANK('A-RACHNATMAK'!AL768)),"B",IF(NOT(ISBLANK('A-RACHNATMAK'!AL767)),"C","")))</f>
        <v/>
      </c>
      <c r="AJ728" s="622" t="str">
        <f>IF(NOT(ISBLANK('A-RACHNATMAK'!AM769)),"A",IF(NOT(ISBLANK('A-RACHNATMAK'!AM768)),"B",IF(NOT(ISBLANK('A-RACHNATMAK'!AM767)),"C","")))</f>
        <v/>
      </c>
      <c r="AK728" s="622" t="str">
        <f>IF(NOT(ISBLANK('A-RACHNATMAK'!AN769)),"A",IF(NOT(ISBLANK('A-RACHNATMAK'!AN768)),"B",IF(NOT(ISBLANK('A-RACHNATMAK'!AN767)),"C","")))</f>
        <v/>
      </c>
      <c r="AL728" s="622" t="str">
        <f>IF(NOT(ISBLANK('A-RACHNATMAK'!AO769)),"A",IF(NOT(ISBLANK('A-RACHNATMAK'!AO768)),"B",IF(NOT(ISBLANK('A-RACHNATMAK'!AO767)),"C","")))</f>
        <v/>
      </c>
      <c r="AM728" s="622" t="str">
        <f>IF(NOT(ISBLANK('A-RACHNATMAK'!AP769)),"A",IF(NOT(ISBLANK('A-RACHNATMAK'!AP768)),"B",IF(NOT(ISBLANK('A-RACHNATMAK'!AP767)),"C","")))</f>
        <v/>
      </c>
      <c r="AN728" s="622" t="str">
        <f>IF(NOT(ISBLANK('A-RACHNATMAK'!AQ769)),"A",IF(NOT(ISBLANK('A-RACHNATMAK'!AQ768)),"B",IF(NOT(ISBLANK('A-RACHNATMAK'!AQ767)),"C","")))</f>
        <v/>
      </c>
      <c r="AO728" s="622" t="str">
        <f>IF(NOT(ISBLANK('A-RACHNATMAK'!AR769)),"A",IF(NOT(ISBLANK('A-RACHNATMAK'!AR768)),"B",IF(NOT(ISBLANK('A-RACHNATMAK'!AR767)),"C","")))</f>
        <v/>
      </c>
      <c r="AP728" s="622" t="str">
        <f>IF(NOT(ISBLANK('A-RACHNATMAK'!AS769)),"A",IF(NOT(ISBLANK('A-RACHNATMAK'!AS768)),"B",IF(NOT(ISBLANK('A-RACHNATMAK'!AS767)),"C","")))</f>
        <v/>
      </c>
      <c r="AQ728" s="622" t="str">
        <f>IF(NOT(ISBLANK('A-RACHNATMAK'!AT769)),"A",IF(NOT(ISBLANK('A-RACHNATMAK'!AT768)),"B",IF(NOT(ISBLANK('A-RACHNATMAK'!AT767)),"C","")))</f>
        <v/>
      </c>
      <c r="AR728" s="622" t="str">
        <f>IF(NOT(ISBLANK('A-RACHNATMAK'!AU769)),"A",IF(NOT(ISBLANK('A-RACHNATMAK'!AU768)),"B",IF(NOT(ISBLANK('A-RACHNATMAK'!AU767)),"C","")))</f>
        <v/>
      </c>
      <c r="AS728" s="622" t="str">
        <f>IF(NOT(ISBLANK('A-RACHNATMAK'!AV769)),"A",IF(NOT(ISBLANK('A-RACHNATMAK'!AV768)),"B",IF(NOT(ISBLANK('A-RACHNATMAK'!AV767)),"C","")))</f>
        <v/>
      </c>
      <c r="AT728" s="622" t="str">
        <f>IF(NOT(ISBLANK('A-RACHNATMAK'!AW769)),"A",IF(NOT(ISBLANK('A-RACHNATMAK'!AW768)),"B",IF(NOT(ISBLANK('A-RACHNATMAK'!AW767)),"C","")))</f>
        <v/>
      </c>
      <c r="AU728" s="622">
        <f t="shared" ref="AU728" si="1389">COUNTIF(AA728:AT728,"A")</f>
        <v>0</v>
      </c>
      <c r="AV728" s="622">
        <f t="shared" ref="AV728" si="1390">COUNTIF(AA728:AT728,"B")</f>
        <v>0</v>
      </c>
      <c r="AW728" s="622">
        <f t="shared" ref="AW728" si="1391">COUNTIF(AA728:AT728,"C")</f>
        <v>0</v>
      </c>
    </row>
    <row r="729" spans="1:49" ht="7.5" customHeight="1">
      <c r="A729" s="623"/>
      <c r="B729" s="622"/>
      <c r="C729" s="622"/>
      <c r="D729" s="622"/>
      <c r="E729" s="622"/>
      <c r="F729" s="622"/>
      <c r="G729" s="622"/>
      <c r="H729" s="622"/>
      <c r="I729" s="622"/>
      <c r="J729" s="622"/>
      <c r="K729" s="622"/>
      <c r="L729" s="622"/>
      <c r="M729" s="622"/>
      <c r="N729" s="622"/>
      <c r="O729" s="622"/>
      <c r="P729" s="622"/>
      <c r="Q729" s="622"/>
      <c r="R729" s="622"/>
      <c r="S729" s="622"/>
      <c r="T729" s="622"/>
      <c r="U729" s="622"/>
      <c r="V729" s="622"/>
      <c r="W729" s="622"/>
      <c r="X729" s="622"/>
      <c r="Y729" s="330"/>
      <c r="Z729" s="623"/>
      <c r="AA729" s="622"/>
      <c r="AB729" s="622"/>
      <c r="AC729" s="622"/>
      <c r="AD729" s="622"/>
      <c r="AE729" s="622"/>
      <c r="AF729" s="622"/>
      <c r="AG729" s="622"/>
      <c r="AH729" s="622"/>
      <c r="AI729" s="622"/>
      <c r="AJ729" s="622"/>
      <c r="AK729" s="622"/>
      <c r="AL729" s="622"/>
      <c r="AM729" s="622"/>
      <c r="AN729" s="622"/>
      <c r="AO729" s="622"/>
      <c r="AP729" s="622"/>
      <c r="AQ729" s="622"/>
      <c r="AR729" s="622"/>
      <c r="AS729" s="622"/>
      <c r="AT729" s="622"/>
      <c r="AU729" s="622"/>
      <c r="AV729" s="622"/>
      <c r="AW729" s="622"/>
    </row>
    <row r="730" spans="1:49" ht="7.5" customHeight="1">
      <c r="A730" s="623"/>
      <c r="B730" s="622"/>
      <c r="C730" s="622"/>
      <c r="D730" s="622"/>
      <c r="E730" s="622"/>
      <c r="F730" s="622"/>
      <c r="G730" s="622"/>
      <c r="H730" s="622"/>
      <c r="I730" s="622"/>
      <c r="J730" s="622"/>
      <c r="K730" s="622"/>
      <c r="L730" s="622"/>
      <c r="M730" s="622"/>
      <c r="N730" s="622"/>
      <c r="O730" s="622"/>
      <c r="P730" s="622"/>
      <c r="Q730" s="622"/>
      <c r="R730" s="622"/>
      <c r="S730" s="622"/>
      <c r="T730" s="622"/>
      <c r="U730" s="622"/>
      <c r="V730" s="622"/>
      <c r="W730" s="622"/>
      <c r="X730" s="622"/>
      <c r="Y730" s="330"/>
      <c r="Z730" s="623"/>
      <c r="AA730" s="622"/>
      <c r="AB730" s="622"/>
      <c r="AC730" s="622"/>
      <c r="AD730" s="622"/>
      <c r="AE730" s="622"/>
      <c r="AF730" s="622"/>
      <c r="AG730" s="622"/>
      <c r="AH730" s="622"/>
      <c r="AI730" s="622"/>
      <c r="AJ730" s="622"/>
      <c r="AK730" s="622"/>
      <c r="AL730" s="622"/>
      <c r="AM730" s="622"/>
      <c r="AN730" s="622"/>
      <c r="AO730" s="622"/>
      <c r="AP730" s="622"/>
      <c r="AQ730" s="622"/>
      <c r="AR730" s="622"/>
      <c r="AS730" s="622"/>
      <c r="AT730" s="622"/>
      <c r="AU730" s="622"/>
      <c r="AV730" s="622"/>
      <c r="AW730" s="622"/>
    </row>
    <row r="731" spans="1:49" ht="7.5" customHeight="1">
      <c r="A731" s="623">
        <v>30</v>
      </c>
      <c r="B731" s="622" t="str">
        <f>IF(NOT(ISBLANK('A-RACHNATMAK'!C772)),"A",IF(NOT(ISBLANK('A-RACHNATMAK'!C771)),"B",IF(NOT(ISBLANK('A-RACHNATMAK'!C770)),"C","")))</f>
        <v/>
      </c>
      <c r="C731" s="622" t="str">
        <f>IF(NOT(ISBLANK('A-RACHNATMAK'!D772)),"A",IF(NOT(ISBLANK('A-RACHNATMAK'!D771)),"B",IF(NOT(ISBLANK('A-RACHNATMAK'!D770)),"C","")))</f>
        <v/>
      </c>
      <c r="D731" s="622" t="str">
        <f>IF(NOT(ISBLANK('A-RACHNATMAK'!E772)),"A",IF(NOT(ISBLANK('A-RACHNATMAK'!E771)),"B",IF(NOT(ISBLANK('A-RACHNATMAK'!E770)),"C","")))</f>
        <v/>
      </c>
      <c r="E731" s="622" t="str">
        <f>IF(NOT(ISBLANK('A-RACHNATMAK'!F772)),"A",IF(NOT(ISBLANK('A-RACHNATMAK'!F771)),"B",IF(NOT(ISBLANK('A-RACHNATMAK'!F770)),"C","")))</f>
        <v/>
      </c>
      <c r="F731" s="622" t="str">
        <f>IF(NOT(ISBLANK('A-RACHNATMAK'!G772)),"A",IF(NOT(ISBLANK('A-RACHNATMAK'!G771)),"B",IF(NOT(ISBLANK('A-RACHNATMAK'!G770)),"C","")))</f>
        <v/>
      </c>
      <c r="G731" s="622" t="str">
        <f>IF(NOT(ISBLANK('A-RACHNATMAK'!H772)),"A",IF(NOT(ISBLANK('A-RACHNATMAK'!H771)),"B",IF(NOT(ISBLANK('A-RACHNATMAK'!H770)),"C","")))</f>
        <v/>
      </c>
      <c r="H731" s="622" t="str">
        <f>IF(NOT(ISBLANK('A-RACHNATMAK'!I772)),"A",IF(NOT(ISBLANK('A-RACHNATMAK'!I771)),"B",IF(NOT(ISBLANK('A-RACHNATMAK'!I770)),"C","")))</f>
        <v/>
      </c>
      <c r="I731" s="622" t="str">
        <f>IF(NOT(ISBLANK('A-RACHNATMAK'!J772)),"A",IF(NOT(ISBLANK('A-RACHNATMAK'!J771)),"B",IF(NOT(ISBLANK('A-RACHNATMAK'!J770)),"C","")))</f>
        <v/>
      </c>
      <c r="J731" s="622" t="str">
        <f>IF(NOT(ISBLANK('A-RACHNATMAK'!K772)),"A",IF(NOT(ISBLANK('A-RACHNATMAK'!K771)),"B",IF(NOT(ISBLANK('A-RACHNATMAK'!K770)),"C","")))</f>
        <v/>
      </c>
      <c r="K731" s="622" t="str">
        <f>IF(NOT(ISBLANK('A-RACHNATMAK'!L772)),"A",IF(NOT(ISBLANK('A-RACHNATMAK'!L771)),"B",IF(NOT(ISBLANK('A-RACHNATMAK'!L770)),"C","")))</f>
        <v/>
      </c>
      <c r="L731" s="622" t="str">
        <f>IF(NOT(ISBLANK('A-RACHNATMAK'!M772)),"A",IF(NOT(ISBLANK('A-RACHNATMAK'!M771)),"B",IF(NOT(ISBLANK('A-RACHNATMAK'!M770)),"C","")))</f>
        <v/>
      </c>
      <c r="M731" s="622" t="str">
        <f>IF(NOT(ISBLANK('A-RACHNATMAK'!N772)),"A",IF(NOT(ISBLANK('A-RACHNATMAK'!N771)),"B",IF(NOT(ISBLANK('A-RACHNATMAK'!N770)),"C","")))</f>
        <v/>
      </c>
      <c r="N731" s="622" t="str">
        <f>IF(NOT(ISBLANK('A-RACHNATMAK'!O772)),"A",IF(NOT(ISBLANK('A-RACHNATMAK'!O771)),"B",IF(NOT(ISBLANK('A-RACHNATMAK'!O770)),"C","")))</f>
        <v/>
      </c>
      <c r="O731" s="622" t="str">
        <f>IF(NOT(ISBLANK('A-RACHNATMAK'!P772)),"A",IF(NOT(ISBLANK('A-RACHNATMAK'!P771)),"B",IF(NOT(ISBLANK('A-RACHNATMAK'!P770)),"C","")))</f>
        <v/>
      </c>
      <c r="P731" s="622" t="str">
        <f>IF(NOT(ISBLANK('A-RACHNATMAK'!Q772)),"A",IF(NOT(ISBLANK('A-RACHNATMAK'!Q771)),"B",IF(NOT(ISBLANK('A-RACHNATMAK'!Q770)),"C","")))</f>
        <v/>
      </c>
      <c r="Q731" s="622" t="str">
        <f>IF(NOT(ISBLANK('A-RACHNATMAK'!R772)),"A",IF(NOT(ISBLANK('A-RACHNATMAK'!R771)),"B",IF(NOT(ISBLANK('A-RACHNATMAK'!R770)),"C","")))</f>
        <v/>
      </c>
      <c r="R731" s="622" t="str">
        <f>IF(NOT(ISBLANK('A-RACHNATMAK'!S772)),"A",IF(NOT(ISBLANK('A-RACHNATMAK'!S771)),"B",IF(NOT(ISBLANK('A-RACHNATMAK'!S770)),"C","")))</f>
        <v/>
      </c>
      <c r="S731" s="622" t="str">
        <f>IF(NOT(ISBLANK('A-RACHNATMAK'!T772)),"A",IF(NOT(ISBLANK('A-RACHNATMAK'!T771)),"B",IF(NOT(ISBLANK('A-RACHNATMAK'!T770)),"C","")))</f>
        <v/>
      </c>
      <c r="T731" s="622" t="str">
        <f>IF(NOT(ISBLANK('A-RACHNATMAK'!U772)),"A",IF(NOT(ISBLANK('A-RACHNATMAK'!U771)),"B",IF(NOT(ISBLANK('A-RACHNATMAK'!U770)),"C","")))</f>
        <v/>
      </c>
      <c r="U731" s="622" t="str">
        <f>IF(NOT(ISBLANK('A-RACHNATMAK'!V772)),"A",IF(NOT(ISBLANK('A-RACHNATMAK'!V771)),"B",IF(NOT(ISBLANK('A-RACHNATMAK'!V770)),"C","")))</f>
        <v/>
      </c>
      <c r="V731" s="622">
        <f t="shared" ref="V731" si="1392">COUNTIF(B731:U731,"A")</f>
        <v>0</v>
      </c>
      <c r="W731" s="622">
        <f t="shared" ref="W731" si="1393">COUNTIF(B731:U731,"B")</f>
        <v>0</v>
      </c>
      <c r="X731" s="622">
        <f t="shared" ref="X731" si="1394">COUNTIF(B731:U731,"C")</f>
        <v>0</v>
      </c>
      <c r="Y731" s="330"/>
      <c r="Z731" s="623">
        <v>30</v>
      </c>
      <c r="AA731" s="622" t="str">
        <f>IF(NOT(ISBLANK('A-RACHNATMAK'!AD772)),"A",IF(NOT(ISBLANK('A-RACHNATMAK'!AD771)),"B",IF(NOT(ISBLANK('A-RACHNATMAK'!AD770)),"C","")))</f>
        <v/>
      </c>
      <c r="AB731" s="622" t="str">
        <f>IF(NOT(ISBLANK('A-RACHNATMAK'!AE772)),"A",IF(NOT(ISBLANK('A-RACHNATMAK'!AE771)),"B",IF(NOT(ISBLANK('A-RACHNATMAK'!AE770)),"C","")))</f>
        <v/>
      </c>
      <c r="AC731" s="622" t="str">
        <f>IF(NOT(ISBLANK('A-RACHNATMAK'!AF772)),"A",IF(NOT(ISBLANK('A-RACHNATMAK'!AF771)),"B",IF(NOT(ISBLANK('A-RACHNATMAK'!AF770)),"C","")))</f>
        <v/>
      </c>
      <c r="AD731" s="622" t="str">
        <f>IF(NOT(ISBLANK('A-RACHNATMAK'!AG772)),"A",IF(NOT(ISBLANK('A-RACHNATMAK'!AG771)),"B",IF(NOT(ISBLANK('A-RACHNATMAK'!AG770)),"C","")))</f>
        <v/>
      </c>
      <c r="AE731" s="622" t="str">
        <f>IF(NOT(ISBLANK('A-RACHNATMAK'!AH772)),"A",IF(NOT(ISBLANK('A-RACHNATMAK'!AH771)),"B",IF(NOT(ISBLANK('A-RACHNATMAK'!AH770)),"C","")))</f>
        <v/>
      </c>
      <c r="AF731" s="622" t="str">
        <f>IF(NOT(ISBLANK('A-RACHNATMAK'!AI772)),"A",IF(NOT(ISBLANK('A-RACHNATMAK'!AI771)),"B",IF(NOT(ISBLANK('A-RACHNATMAK'!AI770)),"C","")))</f>
        <v/>
      </c>
      <c r="AG731" s="622" t="str">
        <f>IF(NOT(ISBLANK('A-RACHNATMAK'!AJ772)),"A",IF(NOT(ISBLANK('A-RACHNATMAK'!AJ771)),"B",IF(NOT(ISBLANK('A-RACHNATMAK'!AJ770)),"C","")))</f>
        <v/>
      </c>
      <c r="AH731" s="622" t="str">
        <f>IF(NOT(ISBLANK('A-RACHNATMAK'!AK772)),"A",IF(NOT(ISBLANK('A-RACHNATMAK'!AK771)),"B",IF(NOT(ISBLANK('A-RACHNATMAK'!AK770)),"C","")))</f>
        <v/>
      </c>
      <c r="AI731" s="622" t="str">
        <f>IF(NOT(ISBLANK('A-RACHNATMAK'!AL772)),"A",IF(NOT(ISBLANK('A-RACHNATMAK'!AL771)),"B",IF(NOT(ISBLANK('A-RACHNATMAK'!AL770)),"C","")))</f>
        <v/>
      </c>
      <c r="AJ731" s="622" t="str">
        <f>IF(NOT(ISBLANK('A-RACHNATMAK'!AM772)),"A",IF(NOT(ISBLANK('A-RACHNATMAK'!AM771)),"B",IF(NOT(ISBLANK('A-RACHNATMAK'!AM770)),"C","")))</f>
        <v/>
      </c>
      <c r="AK731" s="622" t="str">
        <f>IF(NOT(ISBLANK('A-RACHNATMAK'!AN772)),"A",IF(NOT(ISBLANK('A-RACHNATMAK'!AN771)),"B",IF(NOT(ISBLANK('A-RACHNATMAK'!AN770)),"C","")))</f>
        <v/>
      </c>
      <c r="AL731" s="622" t="str">
        <f>IF(NOT(ISBLANK('A-RACHNATMAK'!AO772)),"A",IF(NOT(ISBLANK('A-RACHNATMAK'!AO771)),"B",IF(NOT(ISBLANK('A-RACHNATMAK'!AO770)),"C","")))</f>
        <v/>
      </c>
      <c r="AM731" s="622" t="str">
        <f>IF(NOT(ISBLANK('A-RACHNATMAK'!AP772)),"A",IF(NOT(ISBLANK('A-RACHNATMAK'!AP771)),"B",IF(NOT(ISBLANK('A-RACHNATMAK'!AP770)),"C","")))</f>
        <v/>
      </c>
      <c r="AN731" s="622" t="str">
        <f>IF(NOT(ISBLANK('A-RACHNATMAK'!AQ772)),"A",IF(NOT(ISBLANK('A-RACHNATMAK'!AQ771)),"B",IF(NOT(ISBLANK('A-RACHNATMAK'!AQ770)),"C","")))</f>
        <v/>
      </c>
      <c r="AO731" s="622" t="str">
        <f>IF(NOT(ISBLANK('A-RACHNATMAK'!AR772)),"A",IF(NOT(ISBLANK('A-RACHNATMAK'!AR771)),"B",IF(NOT(ISBLANK('A-RACHNATMAK'!AR770)),"C","")))</f>
        <v/>
      </c>
      <c r="AP731" s="622" t="str">
        <f>IF(NOT(ISBLANK('A-RACHNATMAK'!AS772)),"A",IF(NOT(ISBLANK('A-RACHNATMAK'!AS771)),"B",IF(NOT(ISBLANK('A-RACHNATMAK'!AS770)),"C","")))</f>
        <v/>
      </c>
      <c r="AQ731" s="622" t="str">
        <f>IF(NOT(ISBLANK('A-RACHNATMAK'!AT772)),"A",IF(NOT(ISBLANK('A-RACHNATMAK'!AT771)),"B",IF(NOT(ISBLANK('A-RACHNATMAK'!AT770)),"C","")))</f>
        <v/>
      </c>
      <c r="AR731" s="622" t="str">
        <f>IF(NOT(ISBLANK('A-RACHNATMAK'!AU772)),"A",IF(NOT(ISBLANK('A-RACHNATMAK'!AU771)),"B",IF(NOT(ISBLANK('A-RACHNATMAK'!AU770)),"C","")))</f>
        <v/>
      </c>
      <c r="AS731" s="622" t="str">
        <f>IF(NOT(ISBLANK('A-RACHNATMAK'!AV772)),"A",IF(NOT(ISBLANK('A-RACHNATMAK'!AV771)),"B",IF(NOT(ISBLANK('A-RACHNATMAK'!AV770)),"C","")))</f>
        <v/>
      </c>
      <c r="AT731" s="622" t="str">
        <f>IF(NOT(ISBLANK('A-RACHNATMAK'!AW772)),"A",IF(NOT(ISBLANK('A-RACHNATMAK'!AW771)),"B",IF(NOT(ISBLANK('A-RACHNATMAK'!AW770)),"C","")))</f>
        <v/>
      </c>
      <c r="AU731" s="622">
        <f t="shared" ref="AU731" si="1395">COUNTIF(AA731:AT731,"A")</f>
        <v>0</v>
      </c>
      <c r="AV731" s="622">
        <f t="shared" ref="AV731" si="1396">COUNTIF(AA731:AT731,"B")</f>
        <v>0</v>
      </c>
      <c r="AW731" s="622">
        <f t="shared" ref="AW731" si="1397">COUNTIF(AA731:AT731,"C")</f>
        <v>0</v>
      </c>
    </row>
    <row r="732" spans="1:49" ht="7.5" customHeight="1">
      <c r="A732" s="623"/>
      <c r="B732" s="622"/>
      <c r="C732" s="622"/>
      <c r="D732" s="622"/>
      <c r="E732" s="622"/>
      <c r="F732" s="622"/>
      <c r="G732" s="622"/>
      <c r="H732" s="622"/>
      <c r="I732" s="622"/>
      <c r="J732" s="622"/>
      <c r="K732" s="622"/>
      <c r="L732" s="622"/>
      <c r="M732" s="622"/>
      <c r="N732" s="622"/>
      <c r="O732" s="622"/>
      <c r="P732" s="622"/>
      <c r="Q732" s="622"/>
      <c r="R732" s="622"/>
      <c r="S732" s="622"/>
      <c r="T732" s="622"/>
      <c r="U732" s="622"/>
      <c r="V732" s="622"/>
      <c r="W732" s="622"/>
      <c r="X732" s="622"/>
      <c r="Y732" s="330"/>
      <c r="Z732" s="623"/>
      <c r="AA732" s="622"/>
      <c r="AB732" s="622"/>
      <c r="AC732" s="622"/>
      <c r="AD732" s="622"/>
      <c r="AE732" s="622"/>
      <c r="AF732" s="622"/>
      <c r="AG732" s="622"/>
      <c r="AH732" s="622"/>
      <c r="AI732" s="622"/>
      <c r="AJ732" s="622"/>
      <c r="AK732" s="622"/>
      <c r="AL732" s="622"/>
      <c r="AM732" s="622"/>
      <c r="AN732" s="622"/>
      <c r="AO732" s="622"/>
      <c r="AP732" s="622"/>
      <c r="AQ732" s="622"/>
      <c r="AR732" s="622"/>
      <c r="AS732" s="622"/>
      <c r="AT732" s="622"/>
      <c r="AU732" s="622"/>
      <c r="AV732" s="622"/>
      <c r="AW732" s="622"/>
    </row>
    <row r="733" spans="1:49" ht="7.5" customHeight="1">
      <c r="A733" s="623"/>
      <c r="B733" s="622"/>
      <c r="C733" s="622"/>
      <c r="D733" s="622"/>
      <c r="E733" s="622"/>
      <c r="F733" s="622"/>
      <c r="G733" s="622"/>
      <c r="H733" s="622"/>
      <c r="I733" s="622"/>
      <c r="J733" s="622"/>
      <c r="K733" s="622"/>
      <c r="L733" s="622"/>
      <c r="M733" s="622"/>
      <c r="N733" s="622"/>
      <c r="O733" s="622"/>
      <c r="P733" s="622"/>
      <c r="Q733" s="622"/>
      <c r="R733" s="622"/>
      <c r="S733" s="622"/>
      <c r="T733" s="622"/>
      <c r="U733" s="622"/>
      <c r="V733" s="622"/>
      <c r="W733" s="622"/>
      <c r="X733" s="622"/>
      <c r="Y733" s="330"/>
      <c r="Z733" s="623"/>
      <c r="AA733" s="622"/>
      <c r="AB733" s="622"/>
      <c r="AC733" s="622"/>
      <c r="AD733" s="622"/>
      <c r="AE733" s="622"/>
      <c r="AF733" s="622"/>
      <c r="AG733" s="622"/>
      <c r="AH733" s="622"/>
      <c r="AI733" s="622"/>
      <c r="AJ733" s="622"/>
      <c r="AK733" s="622"/>
      <c r="AL733" s="622"/>
      <c r="AM733" s="622"/>
      <c r="AN733" s="622"/>
      <c r="AO733" s="622"/>
      <c r="AP733" s="622"/>
      <c r="AQ733" s="622"/>
      <c r="AR733" s="622"/>
      <c r="AS733" s="622"/>
      <c r="AT733" s="622"/>
      <c r="AU733" s="622"/>
      <c r="AV733" s="622"/>
      <c r="AW733" s="622"/>
    </row>
    <row r="734" spans="1:49" ht="7.5" customHeight="1">
      <c r="A734" s="623">
        <v>31</v>
      </c>
      <c r="B734" s="622" t="str">
        <f>IF(NOT(ISBLANK('A-RACHNATMAK'!C775)),"A",IF(NOT(ISBLANK('A-RACHNATMAK'!C774)),"B",IF(NOT(ISBLANK('A-RACHNATMAK'!C773)),"C","")))</f>
        <v/>
      </c>
      <c r="C734" s="622" t="str">
        <f>IF(NOT(ISBLANK('A-RACHNATMAK'!D775)),"A",IF(NOT(ISBLANK('A-RACHNATMAK'!D774)),"B",IF(NOT(ISBLANK('A-RACHNATMAK'!D773)),"C","")))</f>
        <v/>
      </c>
      <c r="D734" s="622" t="str">
        <f>IF(NOT(ISBLANK('A-RACHNATMAK'!E775)),"A",IF(NOT(ISBLANK('A-RACHNATMAK'!E774)),"B",IF(NOT(ISBLANK('A-RACHNATMAK'!E773)),"C","")))</f>
        <v/>
      </c>
      <c r="E734" s="622" t="str">
        <f>IF(NOT(ISBLANK('A-RACHNATMAK'!F775)),"A",IF(NOT(ISBLANK('A-RACHNATMAK'!F774)),"B",IF(NOT(ISBLANK('A-RACHNATMAK'!F773)),"C","")))</f>
        <v/>
      </c>
      <c r="F734" s="622" t="str">
        <f>IF(NOT(ISBLANK('A-RACHNATMAK'!G775)),"A",IF(NOT(ISBLANK('A-RACHNATMAK'!G774)),"B",IF(NOT(ISBLANK('A-RACHNATMAK'!G773)),"C","")))</f>
        <v/>
      </c>
      <c r="G734" s="622" t="str">
        <f>IF(NOT(ISBLANK('A-RACHNATMAK'!H775)),"A",IF(NOT(ISBLANK('A-RACHNATMAK'!H774)),"B",IF(NOT(ISBLANK('A-RACHNATMAK'!H773)),"C","")))</f>
        <v/>
      </c>
      <c r="H734" s="622" t="str">
        <f>IF(NOT(ISBLANK('A-RACHNATMAK'!I775)),"A",IF(NOT(ISBLANK('A-RACHNATMAK'!I774)),"B",IF(NOT(ISBLANK('A-RACHNATMAK'!I773)),"C","")))</f>
        <v/>
      </c>
      <c r="I734" s="622" t="str">
        <f>IF(NOT(ISBLANK('A-RACHNATMAK'!J775)),"A",IF(NOT(ISBLANK('A-RACHNATMAK'!J774)),"B",IF(NOT(ISBLANK('A-RACHNATMAK'!J773)),"C","")))</f>
        <v/>
      </c>
      <c r="J734" s="622" t="str">
        <f>IF(NOT(ISBLANK('A-RACHNATMAK'!K775)),"A",IF(NOT(ISBLANK('A-RACHNATMAK'!K774)),"B",IF(NOT(ISBLANK('A-RACHNATMAK'!K773)),"C","")))</f>
        <v/>
      </c>
      <c r="K734" s="622" t="str">
        <f>IF(NOT(ISBLANK('A-RACHNATMAK'!L775)),"A",IF(NOT(ISBLANK('A-RACHNATMAK'!L774)),"B",IF(NOT(ISBLANK('A-RACHNATMAK'!L773)),"C","")))</f>
        <v/>
      </c>
      <c r="L734" s="622" t="str">
        <f>IF(NOT(ISBLANK('A-RACHNATMAK'!M775)),"A",IF(NOT(ISBLANK('A-RACHNATMAK'!M774)),"B",IF(NOT(ISBLANK('A-RACHNATMAK'!M773)),"C","")))</f>
        <v/>
      </c>
      <c r="M734" s="622" t="str">
        <f>IF(NOT(ISBLANK('A-RACHNATMAK'!N775)),"A",IF(NOT(ISBLANK('A-RACHNATMAK'!N774)),"B",IF(NOT(ISBLANK('A-RACHNATMAK'!N773)),"C","")))</f>
        <v/>
      </c>
      <c r="N734" s="622" t="str">
        <f>IF(NOT(ISBLANK('A-RACHNATMAK'!O775)),"A",IF(NOT(ISBLANK('A-RACHNATMAK'!O774)),"B",IF(NOT(ISBLANK('A-RACHNATMAK'!O773)),"C","")))</f>
        <v/>
      </c>
      <c r="O734" s="622" t="str">
        <f>IF(NOT(ISBLANK('A-RACHNATMAK'!P775)),"A",IF(NOT(ISBLANK('A-RACHNATMAK'!P774)),"B",IF(NOT(ISBLANK('A-RACHNATMAK'!P773)),"C","")))</f>
        <v/>
      </c>
      <c r="P734" s="622" t="str">
        <f>IF(NOT(ISBLANK('A-RACHNATMAK'!Q775)),"A",IF(NOT(ISBLANK('A-RACHNATMAK'!Q774)),"B",IF(NOT(ISBLANK('A-RACHNATMAK'!Q773)),"C","")))</f>
        <v/>
      </c>
      <c r="Q734" s="622" t="str">
        <f>IF(NOT(ISBLANK('A-RACHNATMAK'!R775)),"A",IF(NOT(ISBLANK('A-RACHNATMAK'!R774)),"B",IF(NOT(ISBLANK('A-RACHNATMAK'!R773)),"C","")))</f>
        <v/>
      </c>
      <c r="R734" s="622" t="str">
        <f>IF(NOT(ISBLANK('A-RACHNATMAK'!S775)),"A",IF(NOT(ISBLANK('A-RACHNATMAK'!S774)),"B",IF(NOT(ISBLANK('A-RACHNATMAK'!S773)),"C","")))</f>
        <v/>
      </c>
      <c r="S734" s="622" t="str">
        <f>IF(NOT(ISBLANK('A-RACHNATMAK'!T775)),"A",IF(NOT(ISBLANK('A-RACHNATMAK'!T774)),"B",IF(NOT(ISBLANK('A-RACHNATMAK'!T773)),"C","")))</f>
        <v/>
      </c>
      <c r="T734" s="622" t="str">
        <f>IF(NOT(ISBLANK('A-RACHNATMAK'!U775)),"A",IF(NOT(ISBLANK('A-RACHNATMAK'!U774)),"B",IF(NOT(ISBLANK('A-RACHNATMAK'!U773)),"C","")))</f>
        <v/>
      </c>
      <c r="U734" s="622" t="str">
        <f>IF(NOT(ISBLANK('A-RACHNATMAK'!V775)),"A",IF(NOT(ISBLANK('A-RACHNATMAK'!V774)),"B",IF(NOT(ISBLANK('A-RACHNATMAK'!V773)),"C","")))</f>
        <v/>
      </c>
      <c r="V734" s="622">
        <f t="shared" ref="V734" si="1398">COUNTIF(B734:U734,"A")</f>
        <v>0</v>
      </c>
      <c r="W734" s="622">
        <f t="shared" ref="W734" si="1399">COUNTIF(B734:U734,"B")</f>
        <v>0</v>
      </c>
      <c r="X734" s="622">
        <f t="shared" ref="X734" si="1400">COUNTIF(B734:U734,"C")</f>
        <v>0</v>
      </c>
      <c r="Y734" s="330"/>
      <c r="Z734" s="623">
        <v>31</v>
      </c>
      <c r="AA734" s="622" t="str">
        <f>IF(NOT(ISBLANK('A-RACHNATMAK'!AD775)),"A",IF(NOT(ISBLANK('A-RACHNATMAK'!AD774)),"B",IF(NOT(ISBLANK('A-RACHNATMAK'!AD773)),"C","")))</f>
        <v/>
      </c>
      <c r="AB734" s="622" t="str">
        <f>IF(NOT(ISBLANK('A-RACHNATMAK'!AE775)),"A",IF(NOT(ISBLANK('A-RACHNATMAK'!AE774)),"B",IF(NOT(ISBLANK('A-RACHNATMAK'!AE773)),"C","")))</f>
        <v/>
      </c>
      <c r="AC734" s="622" t="str">
        <f>IF(NOT(ISBLANK('A-RACHNATMAK'!AF775)),"A",IF(NOT(ISBLANK('A-RACHNATMAK'!AF774)),"B",IF(NOT(ISBLANK('A-RACHNATMAK'!AF773)),"C","")))</f>
        <v/>
      </c>
      <c r="AD734" s="622" t="str">
        <f>IF(NOT(ISBLANK('A-RACHNATMAK'!AG775)),"A",IF(NOT(ISBLANK('A-RACHNATMAK'!AG774)),"B",IF(NOT(ISBLANK('A-RACHNATMAK'!AG773)),"C","")))</f>
        <v/>
      </c>
      <c r="AE734" s="622" t="str">
        <f>IF(NOT(ISBLANK('A-RACHNATMAK'!AH775)),"A",IF(NOT(ISBLANK('A-RACHNATMAK'!AH774)),"B",IF(NOT(ISBLANK('A-RACHNATMAK'!AH773)),"C","")))</f>
        <v/>
      </c>
      <c r="AF734" s="622" t="str">
        <f>IF(NOT(ISBLANK('A-RACHNATMAK'!AI775)),"A",IF(NOT(ISBLANK('A-RACHNATMAK'!AI774)),"B",IF(NOT(ISBLANK('A-RACHNATMAK'!AI773)),"C","")))</f>
        <v/>
      </c>
      <c r="AG734" s="622" t="str">
        <f>IF(NOT(ISBLANK('A-RACHNATMAK'!AJ775)),"A",IF(NOT(ISBLANK('A-RACHNATMAK'!AJ774)),"B",IF(NOT(ISBLANK('A-RACHNATMAK'!AJ773)),"C","")))</f>
        <v/>
      </c>
      <c r="AH734" s="622" t="str">
        <f>IF(NOT(ISBLANK('A-RACHNATMAK'!AK775)),"A",IF(NOT(ISBLANK('A-RACHNATMAK'!AK774)),"B",IF(NOT(ISBLANK('A-RACHNATMAK'!AK773)),"C","")))</f>
        <v/>
      </c>
      <c r="AI734" s="622" t="str">
        <f>IF(NOT(ISBLANK('A-RACHNATMAK'!AL775)),"A",IF(NOT(ISBLANK('A-RACHNATMAK'!AL774)),"B",IF(NOT(ISBLANK('A-RACHNATMAK'!AL773)),"C","")))</f>
        <v/>
      </c>
      <c r="AJ734" s="622" t="str">
        <f>IF(NOT(ISBLANK('A-RACHNATMAK'!AM775)),"A",IF(NOT(ISBLANK('A-RACHNATMAK'!AM774)),"B",IF(NOT(ISBLANK('A-RACHNATMAK'!AM773)),"C","")))</f>
        <v/>
      </c>
      <c r="AK734" s="622" t="str">
        <f>IF(NOT(ISBLANK('A-RACHNATMAK'!AN775)),"A",IF(NOT(ISBLANK('A-RACHNATMAK'!AN774)),"B",IF(NOT(ISBLANK('A-RACHNATMAK'!AN773)),"C","")))</f>
        <v/>
      </c>
      <c r="AL734" s="622" t="str">
        <f>IF(NOT(ISBLANK('A-RACHNATMAK'!AO775)),"A",IF(NOT(ISBLANK('A-RACHNATMAK'!AO774)),"B",IF(NOT(ISBLANK('A-RACHNATMAK'!AO773)),"C","")))</f>
        <v/>
      </c>
      <c r="AM734" s="622" t="str">
        <f>IF(NOT(ISBLANK('A-RACHNATMAK'!AP775)),"A",IF(NOT(ISBLANK('A-RACHNATMAK'!AP774)),"B",IF(NOT(ISBLANK('A-RACHNATMAK'!AP773)),"C","")))</f>
        <v/>
      </c>
      <c r="AN734" s="622" t="str">
        <f>IF(NOT(ISBLANK('A-RACHNATMAK'!AQ775)),"A",IF(NOT(ISBLANK('A-RACHNATMAK'!AQ774)),"B",IF(NOT(ISBLANK('A-RACHNATMAK'!AQ773)),"C","")))</f>
        <v/>
      </c>
      <c r="AO734" s="622" t="str">
        <f>IF(NOT(ISBLANK('A-RACHNATMAK'!AR775)),"A",IF(NOT(ISBLANK('A-RACHNATMAK'!AR774)),"B",IF(NOT(ISBLANK('A-RACHNATMAK'!AR773)),"C","")))</f>
        <v/>
      </c>
      <c r="AP734" s="622" t="str">
        <f>IF(NOT(ISBLANK('A-RACHNATMAK'!AS775)),"A",IF(NOT(ISBLANK('A-RACHNATMAK'!AS774)),"B",IF(NOT(ISBLANK('A-RACHNATMAK'!AS773)),"C","")))</f>
        <v/>
      </c>
      <c r="AQ734" s="622" t="str">
        <f>IF(NOT(ISBLANK('A-RACHNATMAK'!AT775)),"A",IF(NOT(ISBLANK('A-RACHNATMAK'!AT774)),"B",IF(NOT(ISBLANK('A-RACHNATMAK'!AT773)),"C","")))</f>
        <v/>
      </c>
      <c r="AR734" s="622" t="str">
        <f>IF(NOT(ISBLANK('A-RACHNATMAK'!AU775)),"A",IF(NOT(ISBLANK('A-RACHNATMAK'!AU774)),"B",IF(NOT(ISBLANK('A-RACHNATMAK'!AU773)),"C","")))</f>
        <v/>
      </c>
      <c r="AS734" s="622" t="str">
        <f>IF(NOT(ISBLANK('A-RACHNATMAK'!AV775)),"A",IF(NOT(ISBLANK('A-RACHNATMAK'!AV774)),"B",IF(NOT(ISBLANK('A-RACHNATMAK'!AV773)),"C","")))</f>
        <v/>
      </c>
      <c r="AT734" s="622" t="str">
        <f>IF(NOT(ISBLANK('A-RACHNATMAK'!AW775)),"A",IF(NOT(ISBLANK('A-RACHNATMAK'!AW774)),"B",IF(NOT(ISBLANK('A-RACHNATMAK'!AW773)),"C","")))</f>
        <v/>
      </c>
      <c r="AU734" s="622">
        <f t="shared" ref="AU734" si="1401">COUNTIF(AA734:AT734,"A")</f>
        <v>0</v>
      </c>
      <c r="AV734" s="622">
        <f t="shared" ref="AV734" si="1402">COUNTIF(AA734:AT734,"B")</f>
        <v>0</v>
      </c>
      <c r="AW734" s="622">
        <f t="shared" ref="AW734" si="1403">COUNTIF(AA734:AT734,"C")</f>
        <v>0</v>
      </c>
    </row>
    <row r="735" spans="1:49" ht="7.5" customHeight="1">
      <c r="A735" s="623"/>
      <c r="B735" s="622"/>
      <c r="C735" s="622"/>
      <c r="D735" s="622"/>
      <c r="E735" s="622"/>
      <c r="F735" s="622"/>
      <c r="G735" s="622"/>
      <c r="H735" s="622"/>
      <c r="I735" s="622"/>
      <c r="J735" s="622"/>
      <c r="K735" s="622"/>
      <c r="L735" s="622"/>
      <c r="M735" s="622"/>
      <c r="N735" s="622"/>
      <c r="O735" s="622"/>
      <c r="P735" s="622"/>
      <c r="Q735" s="622"/>
      <c r="R735" s="622"/>
      <c r="S735" s="622"/>
      <c r="T735" s="622"/>
      <c r="U735" s="622"/>
      <c r="V735" s="622"/>
      <c r="W735" s="622"/>
      <c r="X735" s="622"/>
      <c r="Y735" s="330"/>
      <c r="Z735" s="623"/>
      <c r="AA735" s="622"/>
      <c r="AB735" s="622"/>
      <c r="AC735" s="622"/>
      <c r="AD735" s="622"/>
      <c r="AE735" s="622"/>
      <c r="AF735" s="622"/>
      <c r="AG735" s="622"/>
      <c r="AH735" s="622"/>
      <c r="AI735" s="622"/>
      <c r="AJ735" s="622"/>
      <c r="AK735" s="622"/>
      <c r="AL735" s="622"/>
      <c r="AM735" s="622"/>
      <c r="AN735" s="622"/>
      <c r="AO735" s="622"/>
      <c r="AP735" s="622"/>
      <c r="AQ735" s="622"/>
      <c r="AR735" s="622"/>
      <c r="AS735" s="622"/>
      <c r="AT735" s="622"/>
      <c r="AU735" s="622"/>
      <c r="AV735" s="622"/>
      <c r="AW735" s="622"/>
    </row>
    <row r="736" spans="1:49" ht="7.5" customHeight="1">
      <c r="A736" s="623"/>
      <c r="B736" s="622"/>
      <c r="C736" s="622"/>
      <c r="D736" s="622"/>
      <c r="E736" s="622"/>
      <c r="F736" s="622"/>
      <c r="G736" s="622"/>
      <c r="H736" s="622"/>
      <c r="I736" s="622"/>
      <c r="J736" s="622"/>
      <c r="K736" s="622"/>
      <c r="L736" s="622"/>
      <c r="M736" s="622"/>
      <c r="N736" s="622"/>
      <c r="O736" s="622"/>
      <c r="P736" s="622"/>
      <c r="Q736" s="622"/>
      <c r="R736" s="622"/>
      <c r="S736" s="622"/>
      <c r="T736" s="622"/>
      <c r="U736" s="622"/>
      <c r="V736" s="622"/>
      <c r="W736" s="622"/>
      <c r="X736" s="622"/>
      <c r="Y736" s="330"/>
      <c r="Z736" s="623"/>
      <c r="AA736" s="622"/>
      <c r="AB736" s="622"/>
      <c r="AC736" s="622"/>
      <c r="AD736" s="622"/>
      <c r="AE736" s="622"/>
      <c r="AF736" s="622"/>
      <c r="AG736" s="622"/>
      <c r="AH736" s="622"/>
      <c r="AI736" s="622"/>
      <c r="AJ736" s="622"/>
      <c r="AK736" s="622"/>
      <c r="AL736" s="622"/>
      <c r="AM736" s="622"/>
      <c r="AN736" s="622"/>
      <c r="AO736" s="622"/>
      <c r="AP736" s="622"/>
      <c r="AQ736" s="622"/>
      <c r="AR736" s="622"/>
      <c r="AS736" s="622"/>
      <c r="AT736" s="622"/>
      <c r="AU736" s="622"/>
      <c r="AV736" s="622"/>
      <c r="AW736" s="622"/>
    </row>
    <row r="737" spans="1:49" ht="7.5" customHeight="1">
      <c r="A737" s="623">
        <v>32</v>
      </c>
      <c r="B737" s="622" t="str">
        <f>IF(NOT(ISBLANK('A-RACHNATMAK'!C778)),"A",IF(NOT(ISBLANK('A-RACHNATMAK'!C777)),"B",IF(NOT(ISBLANK('A-RACHNATMAK'!C776)),"C","")))</f>
        <v/>
      </c>
      <c r="C737" s="622" t="str">
        <f>IF(NOT(ISBLANK('A-RACHNATMAK'!D778)),"A",IF(NOT(ISBLANK('A-RACHNATMAK'!D777)),"B",IF(NOT(ISBLANK('A-RACHNATMAK'!D776)),"C","")))</f>
        <v/>
      </c>
      <c r="D737" s="622" t="str">
        <f>IF(NOT(ISBLANK('A-RACHNATMAK'!E778)),"A",IF(NOT(ISBLANK('A-RACHNATMAK'!E777)),"B",IF(NOT(ISBLANK('A-RACHNATMAK'!E776)),"C","")))</f>
        <v/>
      </c>
      <c r="E737" s="622" t="str">
        <f>IF(NOT(ISBLANK('A-RACHNATMAK'!F778)),"A",IF(NOT(ISBLANK('A-RACHNATMAK'!F777)),"B",IF(NOT(ISBLANK('A-RACHNATMAK'!F776)),"C","")))</f>
        <v/>
      </c>
      <c r="F737" s="622" t="str">
        <f>IF(NOT(ISBLANK('A-RACHNATMAK'!G778)),"A",IF(NOT(ISBLANK('A-RACHNATMAK'!G777)),"B",IF(NOT(ISBLANK('A-RACHNATMAK'!G776)),"C","")))</f>
        <v/>
      </c>
      <c r="G737" s="622" t="str">
        <f>IF(NOT(ISBLANK('A-RACHNATMAK'!H778)),"A",IF(NOT(ISBLANK('A-RACHNATMAK'!H777)),"B",IF(NOT(ISBLANK('A-RACHNATMAK'!H776)),"C","")))</f>
        <v/>
      </c>
      <c r="H737" s="622" t="str">
        <f>IF(NOT(ISBLANK('A-RACHNATMAK'!I778)),"A",IF(NOT(ISBLANK('A-RACHNATMAK'!I777)),"B",IF(NOT(ISBLANK('A-RACHNATMAK'!I776)),"C","")))</f>
        <v/>
      </c>
      <c r="I737" s="622" t="str">
        <f>IF(NOT(ISBLANK('A-RACHNATMAK'!J778)),"A",IF(NOT(ISBLANK('A-RACHNATMAK'!J777)),"B",IF(NOT(ISBLANK('A-RACHNATMAK'!J776)),"C","")))</f>
        <v/>
      </c>
      <c r="J737" s="622" t="str">
        <f>IF(NOT(ISBLANK('A-RACHNATMAK'!K778)),"A",IF(NOT(ISBLANK('A-RACHNATMAK'!K777)),"B",IF(NOT(ISBLANK('A-RACHNATMAK'!K776)),"C","")))</f>
        <v/>
      </c>
      <c r="K737" s="622" t="str">
        <f>IF(NOT(ISBLANK('A-RACHNATMAK'!L778)),"A",IF(NOT(ISBLANK('A-RACHNATMAK'!L777)),"B",IF(NOT(ISBLANK('A-RACHNATMAK'!L776)),"C","")))</f>
        <v/>
      </c>
      <c r="L737" s="622" t="str">
        <f>IF(NOT(ISBLANK('A-RACHNATMAK'!M778)),"A",IF(NOT(ISBLANK('A-RACHNATMAK'!M777)),"B",IF(NOT(ISBLANK('A-RACHNATMAK'!M776)),"C","")))</f>
        <v/>
      </c>
      <c r="M737" s="622" t="str">
        <f>IF(NOT(ISBLANK('A-RACHNATMAK'!N778)),"A",IF(NOT(ISBLANK('A-RACHNATMAK'!N777)),"B",IF(NOT(ISBLANK('A-RACHNATMAK'!N776)),"C","")))</f>
        <v/>
      </c>
      <c r="N737" s="622" t="str">
        <f>IF(NOT(ISBLANK('A-RACHNATMAK'!O778)),"A",IF(NOT(ISBLANK('A-RACHNATMAK'!O777)),"B",IF(NOT(ISBLANK('A-RACHNATMAK'!O776)),"C","")))</f>
        <v/>
      </c>
      <c r="O737" s="622" t="str">
        <f>IF(NOT(ISBLANK('A-RACHNATMAK'!P778)),"A",IF(NOT(ISBLANK('A-RACHNATMAK'!P777)),"B",IF(NOT(ISBLANK('A-RACHNATMAK'!P776)),"C","")))</f>
        <v/>
      </c>
      <c r="P737" s="622" t="str">
        <f>IF(NOT(ISBLANK('A-RACHNATMAK'!Q778)),"A",IF(NOT(ISBLANK('A-RACHNATMAK'!Q777)),"B",IF(NOT(ISBLANK('A-RACHNATMAK'!Q776)),"C","")))</f>
        <v/>
      </c>
      <c r="Q737" s="622" t="str">
        <f>IF(NOT(ISBLANK('A-RACHNATMAK'!R778)),"A",IF(NOT(ISBLANK('A-RACHNATMAK'!R777)),"B",IF(NOT(ISBLANK('A-RACHNATMAK'!R776)),"C","")))</f>
        <v/>
      </c>
      <c r="R737" s="622" t="str">
        <f>IF(NOT(ISBLANK('A-RACHNATMAK'!S778)),"A",IF(NOT(ISBLANK('A-RACHNATMAK'!S777)),"B",IF(NOT(ISBLANK('A-RACHNATMAK'!S776)),"C","")))</f>
        <v/>
      </c>
      <c r="S737" s="622" t="str">
        <f>IF(NOT(ISBLANK('A-RACHNATMAK'!T778)),"A",IF(NOT(ISBLANK('A-RACHNATMAK'!T777)),"B",IF(NOT(ISBLANK('A-RACHNATMAK'!T776)),"C","")))</f>
        <v/>
      </c>
      <c r="T737" s="622" t="str">
        <f>IF(NOT(ISBLANK('A-RACHNATMAK'!U778)),"A",IF(NOT(ISBLANK('A-RACHNATMAK'!U777)),"B",IF(NOT(ISBLANK('A-RACHNATMAK'!U776)),"C","")))</f>
        <v/>
      </c>
      <c r="U737" s="622" t="str">
        <f>IF(NOT(ISBLANK('A-RACHNATMAK'!V778)),"A",IF(NOT(ISBLANK('A-RACHNATMAK'!V777)),"B",IF(NOT(ISBLANK('A-RACHNATMAK'!V776)),"C","")))</f>
        <v/>
      </c>
      <c r="V737" s="622">
        <f t="shared" ref="V737" si="1404">COUNTIF(B737:U737,"A")</f>
        <v>0</v>
      </c>
      <c r="W737" s="622">
        <f t="shared" ref="W737" si="1405">COUNTIF(B737:U737,"B")</f>
        <v>0</v>
      </c>
      <c r="X737" s="622">
        <f t="shared" ref="X737" si="1406">COUNTIF(B737:U737,"C")</f>
        <v>0</v>
      </c>
      <c r="Y737" s="330"/>
      <c r="Z737" s="623">
        <v>32</v>
      </c>
      <c r="AA737" s="622" t="str">
        <f>IF(NOT(ISBLANK('A-RACHNATMAK'!AD778)),"A",IF(NOT(ISBLANK('A-RACHNATMAK'!AD777)),"B",IF(NOT(ISBLANK('A-RACHNATMAK'!AD776)),"C","")))</f>
        <v/>
      </c>
      <c r="AB737" s="622" t="str">
        <f>IF(NOT(ISBLANK('A-RACHNATMAK'!AE778)),"A",IF(NOT(ISBLANK('A-RACHNATMAK'!AE777)),"B",IF(NOT(ISBLANK('A-RACHNATMAK'!AE776)),"C","")))</f>
        <v/>
      </c>
      <c r="AC737" s="622" t="str">
        <f>IF(NOT(ISBLANK('A-RACHNATMAK'!AF778)),"A",IF(NOT(ISBLANK('A-RACHNATMAK'!AF777)),"B",IF(NOT(ISBLANK('A-RACHNATMAK'!AF776)),"C","")))</f>
        <v/>
      </c>
      <c r="AD737" s="622" t="str">
        <f>IF(NOT(ISBLANK('A-RACHNATMAK'!AG778)),"A",IF(NOT(ISBLANK('A-RACHNATMAK'!AG777)),"B",IF(NOT(ISBLANK('A-RACHNATMAK'!AG776)),"C","")))</f>
        <v/>
      </c>
      <c r="AE737" s="622" t="str">
        <f>IF(NOT(ISBLANK('A-RACHNATMAK'!AH778)),"A",IF(NOT(ISBLANK('A-RACHNATMAK'!AH777)),"B",IF(NOT(ISBLANK('A-RACHNATMAK'!AH776)),"C","")))</f>
        <v/>
      </c>
      <c r="AF737" s="622" t="str">
        <f>IF(NOT(ISBLANK('A-RACHNATMAK'!AI778)),"A",IF(NOT(ISBLANK('A-RACHNATMAK'!AI777)),"B",IF(NOT(ISBLANK('A-RACHNATMAK'!AI776)),"C","")))</f>
        <v/>
      </c>
      <c r="AG737" s="622" t="str">
        <f>IF(NOT(ISBLANK('A-RACHNATMAK'!AJ778)),"A",IF(NOT(ISBLANK('A-RACHNATMAK'!AJ777)),"B",IF(NOT(ISBLANK('A-RACHNATMAK'!AJ776)),"C","")))</f>
        <v/>
      </c>
      <c r="AH737" s="622" t="str">
        <f>IF(NOT(ISBLANK('A-RACHNATMAK'!AK778)),"A",IF(NOT(ISBLANK('A-RACHNATMAK'!AK777)),"B",IF(NOT(ISBLANK('A-RACHNATMAK'!AK776)),"C","")))</f>
        <v/>
      </c>
      <c r="AI737" s="622" t="str">
        <f>IF(NOT(ISBLANK('A-RACHNATMAK'!AL778)),"A",IF(NOT(ISBLANK('A-RACHNATMAK'!AL777)),"B",IF(NOT(ISBLANK('A-RACHNATMAK'!AL776)),"C","")))</f>
        <v/>
      </c>
      <c r="AJ737" s="622" t="str">
        <f>IF(NOT(ISBLANK('A-RACHNATMAK'!AM778)),"A",IF(NOT(ISBLANK('A-RACHNATMAK'!AM777)),"B",IF(NOT(ISBLANK('A-RACHNATMAK'!AM776)),"C","")))</f>
        <v/>
      </c>
      <c r="AK737" s="622" t="str">
        <f>IF(NOT(ISBLANK('A-RACHNATMAK'!AN778)),"A",IF(NOT(ISBLANK('A-RACHNATMAK'!AN777)),"B",IF(NOT(ISBLANK('A-RACHNATMAK'!AN776)),"C","")))</f>
        <v/>
      </c>
      <c r="AL737" s="622" t="str">
        <f>IF(NOT(ISBLANK('A-RACHNATMAK'!AO778)),"A",IF(NOT(ISBLANK('A-RACHNATMAK'!AO777)),"B",IF(NOT(ISBLANK('A-RACHNATMAK'!AO776)),"C","")))</f>
        <v/>
      </c>
      <c r="AM737" s="622" t="str">
        <f>IF(NOT(ISBLANK('A-RACHNATMAK'!AP778)),"A",IF(NOT(ISBLANK('A-RACHNATMAK'!AP777)),"B",IF(NOT(ISBLANK('A-RACHNATMAK'!AP776)),"C","")))</f>
        <v/>
      </c>
      <c r="AN737" s="622" t="str">
        <f>IF(NOT(ISBLANK('A-RACHNATMAK'!AQ778)),"A",IF(NOT(ISBLANK('A-RACHNATMAK'!AQ777)),"B",IF(NOT(ISBLANK('A-RACHNATMAK'!AQ776)),"C","")))</f>
        <v/>
      </c>
      <c r="AO737" s="622" t="str">
        <f>IF(NOT(ISBLANK('A-RACHNATMAK'!AR778)),"A",IF(NOT(ISBLANK('A-RACHNATMAK'!AR777)),"B",IF(NOT(ISBLANK('A-RACHNATMAK'!AR776)),"C","")))</f>
        <v/>
      </c>
      <c r="AP737" s="622" t="str">
        <f>IF(NOT(ISBLANK('A-RACHNATMAK'!AS778)),"A",IF(NOT(ISBLANK('A-RACHNATMAK'!AS777)),"B",IF(NOT(ISBLANK('A-RACHNATMAK'!AS776)),"C","")))</f>
        <v/>
      </c>
      <c r="AQ737" s="622" t="str">
        <f>IF(NOT(ISBLANK('A-RACHNATMAK'!AT778)),"A",IF(NOT(ISBLANK('A-RACHNATMAK'!AT777)),"B",IF(NOT(ISBLANK('A-RACHNATMAK'!AT776)),"C","")))</f>
        <v/>
      </c>
      <c r="AR737" s="622" t="str">
        <f>IF(NOT(ISBLANK('A-RACHNATMAK'!AU778)),"A",IF(NOT(ISBLANK('A-RACHNATMAK'!AU777)),"B",IF(NOT(ISBLANK('A-RACHNATMAK'!AU776)),"C","")))</f>
        <v/>
      </c>
      <c r="AS737" s="622" t="str">
        <f>IF(NOT(ISBLANK('A-RACHNATMAK'!AV778)),"A",IF(NOT(ISBLANK('A-RACHNATMAK'!AV777)),"B",IF(NOT(ISBLANK('A-RACHNATMAK'!AV776)),"C","")))</f>
        <v/>
      </c>
      <c r="AT737" s="622" t="str">
        <f>IF(NOT(ISBLANK('A-RACHNATMAK'!AW778)),"A",IF(NOT(ISBLANK('A-RACHNATMAK'!AW777)),"B",IF(NOT(ISBLANK('A-RACHNATMAK'!AW776)),"C","")))</f>
        <v/>
      </c>
      <c r="AU737" s="622">
        <f t="shared" ref="AU737" si="1407">COUNTIF(AA737:AT737,"A")</f>
        <v>0</v>
      </c>
      <c r="AV737" s="622">
        <f t="shared" ref="AV737" si="1408">COUNTIF(AA737:AT737,"B")</f>
        <v>0</v>
      </c>
      <c r="AW737" s="622">
        <f t="shared" ref="AW737" si="1409">COUNTIF(AA737:AT737,"C")</f>
        <v>0</v>
      </c>
    </row>
    <row r="738" spans="1:49" ht="7.5" customHeight="1">
      <c r="A738" s="623"/>
      <c r="B738" s="622"/>
      <c r="C738" s="622"/>
      <c r="D738" s="622"/>
      <c r="E738" s="622"/>
      <c r="F738" s="622"/>
      <c r="G738" s="622"/>
      <c r="H738" s="622"/>
      <c r="I738" s="622"/>
      <c r="J738" s="622"/>
      <c r="K738" s="622"/>
      <c r="L738" s="622"/>
      <c r="M738" s="622"/>
      <c r="N738" s="622"/>
      <c r="O738" s="622"/>
      <c r="P738" s="622"/>
      <c r="Q738" s="622"/>
      <c r="R738" s="622"/>
      <c r="S738" s="622"/>
      <c r="T738" s="622"/>
      <c r="U738" s="622"/>
      <c r="V738" s="622"/>
      <c r="W738" s="622"/>
      <c r="X738" s="622"/>
      <c r="Y738" s="330"/>
      <c r="Z738" s="623"/>
      <c r="AA738" s="622"/>
      <c r="AB738" s="622"/>
      <c r="AC738" s="622"/>
      <c r="AD738" s="622"/>
      <c r="AE738" s="622"/>
      <c r="AF738" s="622"/>
      <c r="AG738" s="622"/>
      <c r="AH738" s="622"/>
      <c r="AI738" s="622"/>
      <c r="AJ738" s="622"/>
      <c r="AK738" s="622"/>
      <c r="AL738" s="622"/>
      <c r="AM738" s="622"/>
      <c r="AN738" s="622"/>
      <c r="AO738" s="622"/>
      <c r="AP738" s="622"/>
      <c r="AQ738" s="622"/>
      <c r="AR738" s="622"/>
      <c r="AS738" s="622"/>
      <c r="AT738" s="622"/>
      <c r="AU738" s="622"/>
      <c r="AV738" s="622"/>
      <c r="AW738" s="622"/>
    </row>
    <row r="739" spans="1:49" ht="7.5" customHeight="1">
      <c r="A739" s="623"/>
      <c r="B739" s="622"/>
      <c r="C739" s="622"/>
      <c r="D739" s="622"/>
      <c r="E739" s="622"/>
      <c r="F739" s="622"/>
      <c r="G739" s="622"/>
      <c r="H739" s="622"/>
      <c r="I739" s="622"/>
      <c r="J739" s="622"/>
      <c r="K739" s="622"/>
      <c r="L739" s="622"/>
      <c r="M739" s="622"/>
      <c r="N739" s="622"/>
      <c r="O739" s="622"/>
      <c r="P739" s="622"/>
      <c r="Q739" s="622"/>
      <c r="R739" s="622"/>
      <c r="S739" s="622"/>
      <c r="T739" s="622"/>
      <c r="U739" s="622"/>
      <c r="V739" s="622"/>
      <c r="W739" s="622"/>
      <c r="X739" s="622"/>
      <c r="Y739" s="330"/>
      <c r="Z739" s="623"/>
      <c r="AA739" s="622"/>
      <c r="AB739" s="622"/>
      <c r="AC739" s="622"/>
      <c r="AD739" s="622"/>
      <c r="AE739" s="622"/>
      <c r="AF739" s="622"/>
      <c r="AG739" s="622"/>
      <c r="AH739" s="622"/>
      <c r="AI739" s="622"/>
      <c r="AJ739" s="622"/>
      <c r="AK739" s="622"/>
      <c r="AL739" s="622"/>
      <c r="AM739" s="622"/>
      <c r="AN739" s="622"/>
      <c r="AO739" s="622"/>
      <c r="AP739" s="622"/>
      <c r="AQ739" s="622"/>
      <c r="AR739" s="622"/>
      <c r="AS739" s="622"/>
      <c r="AT739" s="622"/>
      <c r="AU739" s="622"/>
      <c r="AV739" s="622"/>
      <c r="AW739" s="622"/>
    </row>
    <row r="740" spans="1:49" ht="7.5" customHeight="1">
      <c r="A740" s="623">
        <v>33</v>
      </c>
      <c r="B740" s="622" t="str">
        <f>IF(NOT(ISBLANK('A-RACHNATMAK'!C781)),"A",IF(NOT(ISBLANK('A-RACHNATMAK'!C780)),"B",IF(NOT(ISBLANK('A-RACHNATMAK'!C779)),"C","")))</f>
        <v/>
      </c>
      <c r="C740" s="622" t="str">
        <f>IF(NOT(ISBLANK('A-RACHNATMAK'!D781)),"A",IF(NOT(ISBLANK('A-RACHNATMAK'!D780)),"B",IF(NOT(ISBLANK('A-RACHNATMAK'!D779)),"C","")))</f>
        <v/>
      </c>
      <c r="D740" s="622" t="str">
        <f>IF(NOT(ISBLANK('A-RACHNATMAK'!E781)),"A",IF(NOT(ISBLANK('A-RACHNATMAK'!E780)),"B",IF(NOT(ISBLANK('A-RACHNATMAK'!E779)),"C","")))</f>
        <v/>
      </c>
      <c r="E740" s="622" t="str">
        <f>IF(NOT(ISBLANK('A-RACHNATMAK'!F781)),"A",IF(NOT(ISBLANK('A-RACHNATMAK'!F780)),"B",IF(NOT(ISBLANK('A-RACHNATMAK'!F779)),"C","")))</f>
        <v/>
      </c>
      <c r="F740" s="622" t="str">
        <f>IF(NOT(ISBLANK('A-RACHNATMAK'!G781)),"A",IF(NOT(ISBLANK('A-RACHNATMAK'!G780)),"B",IF(NOT(ISBLANK('A-RACHNATMAK'!G779)),"C","")))</f>
        <v/>
      </c>
      <c r="G740" s="622" t="str">
        <f>IF(NOT(ISBLANK('A-RACHNATMAK'!H781)),"A",IF(NOT(ISBLANK('A-RACHNATMAK'!H780)),"B",IF(NOT(ISBLANK('A-RACHNATMAK'!H779)),"C","")))</f>
        <v/>
      </c>
      <c r="H740" s="622" t="str">
        <f>IF(NOT(ISBLANK('A-RACHNATMAK'!I781)),"A",IF(NOT(ISBLANK('A-RACHNATMAK'!I780)),"B",IF(NOT(ISBLANK('A-RACHNATMAK'!I779)),"C","")))</f>
        <v/>
      </c>
      <c r="I740" s="622" t="str">
        <f>IF(NOT(ISBLANK('A-RACHNATMAK'!J781)),"A",IF(NOT(ISBLANK('A-RACHNATMAK'!J780)),"B",IF(NOT(ISBLANK('A-RACHNATMAK'!J779)),"C","")))</f>
        <v/>
      </c>
      <c r="J740" s="622" t="str">
        <f>IF(NOT(ISBLANK('A-RACHNATMAK'!K781)),"A",IF(NOT(ISBLANK('A-RACHNATMAK'!K780)),"B",IF(NOT(ISBLANK('A-RACHNATMAK'!K779)),"C","")))</f>
        <v/>
      </c>
      <c r="K740" s="622" t="str">
        <f>IF(NOT(ISBLANK('A-RACHNATMAK'!L781)),"A",IF(NOT(ISBLANK('A-RACHNATMAK'!L780)),"B",IF(NOT(ISBLANK('A-RACHNATMAK'!L779)),"C","")))</f>
        <v/>
      </c>
      <c r="L740" s="622" t="str">
        <f>IF(NOT(ISBLANK('A-RACHNATMAK'!M781)),"A",IF(NOT(ISBLANK('A-RACHNATMAK'!M780)),"B",IF(NOT(ISBLANK('A-RACHNATMAK'!M779)),"C","")))</f>
        <v/>
      </c>
      <c r="M740" s="622" t="str">
        <f>IF(NOT(ISBLANK('A-RACHNATMAK'!N781)),"A",IF(NOT(ISBLANK('A-RACHNATMAK'!N780)),"B",IF(NOT(ISBLANK('A-RACHNATMAK'!N779)),"C","")))</f>
        <v/>
      </c>
      <c r="N740" s="622" t="str">
        <f>IF(NOT(ISBLANK('A-RACHNATMAK'!O781)),"A",IF(NOT(ISBLANK('A-RACHNATMAK'!O780)),"B",IF(NOT(ISBLANK('A-RACHNATMAK'!O779)),"C","")))</f>
        <v/>
      </c>
      <c r="O740" s="622" t="str">
        <f>IF(NOT(ISBLANK('A-RACHNATMAK'!P781)),"A",IF(NOT(ISBLANK('A-RACHNATMAK'!P780)),"B",IF(NOT(ISBLANK('A-RACHNATMAK'!P779)),"C","")))</f>
        <v/>
      </c>
      <c r="P740" s="622" t="str">
        <f>IF(NOT(ISBLANK('A-RACHNATMAK'!Q781)),"A",IF(NOT(ISBLANK('A-RACHNATMAK'!Q780)),"B",IF(NOT(ISBLANK('A-RACHNATMAK'!Q779)),"C","")))</f>
        <v/>
      </c>
      <c r="Q740" s="622" t="str">
        <f>IF(NOT(ISBLANK('A-RACHNATMAK'!R781)),"A",IF(NOT(ISBLANK('A-RACHNATMAK'!R780)),"B",IF(NOT(ISBLANK('A-RACHNATMAK'!R779)),"C","")))</f>
        <v/>
      </c>
      <c r="R740" s="622" t="str">
        <f>IF(NOT(ISBLANK('A-RACHNATMAK'!S781)),"A",IF(NOT(ISBLANK('A-RACHNATMAK'!S780)),"B",IF(NOT(ISBLANK('A-RACHNATMAK'!S779)),"C","")))</f>
        <v/>
      </c>
      <c r="S740" s="622" t="str">
        <f>IF(NOT(ISBLANK('A-RACHNATMAK'!T781)),"A",IF(NOT(ISBLANK('A-RACHNATMAK'!T780)),"B",IF(NOT(ISBLANK('A-RACHNATMAK'!T779)),"C","")))</f>
        <v/>
      </c>
      <c r="T740" s="622" t="str">
        <f>IF(NOT(ISBLANK('A-RACHNATMAK'!U781)),"A",IF(NOT(ISBLANK('A-RACHNATMAK'!U780)),"B",IF(NOT(ISBLANK('A-RACHNATMAK'!U779)),"C","")))</f>
        <v/>
      </c>
      <c r="U740" s="622" t="str">
        <f>IF(NOT(ISBLANK('A-RACHNATMAK'!V781)),"A",IF(NOT(ISBLANK('A-RACHNATMAK'!V780)),"B",IF(NOT(ISBLANK('A-RACHNATMAK'!V779)),"C","")))</f>
        <v/>
      </c>
      <c r="V740" s="622">
        <f t="shared" ref="V740" si="1410">COUNTIF(B740:U740,"A")</f>
        <v>0</v>
      </c>
      <c r="W740" s="622">
        <f t="shared" ref="W740" si="1411">COUNTIF(B740:U740,"B")</f>
        <v>0</v>
      </c>
      <c r="X740" s="622">
        <f t="shared" ref="X740" si="1412">COUNTIF(B740:U740,"C")</f>
        <v>0</v>
      </c>
      <c r="Y740" s="330"/>
      <c r="Z740" s="623">
        <v>33</v>
      </c>
      <c r="AA740" s="622" t="str">
        <f>IF(NOT(ISBLANK('A-RACHNATMAK'!AD781)),"A",IF(NOT(ISBLANK('A-RACHNATMAK'!AD780)),"B",IF(NOT(ISBLANK('A-RACHNATMAK'!AD779)),"C","")))</f>
        <v/>
      </c>
      <c r="AB740" s="622" t="str">
        <f>IF(NOT(ISBLANK('A-RACHNATMAK'!AE781)),"A",IF(NOT(ISBLANK('A-RACHNATMAK'!AE780)),"B",IF(NOT(ISBLANK('A-RACHNATMAK'!AE779)),"C","")))</f>
        <v/>
      </c>
      <c r="AC740" s="622" t="str">
        <f>IF(NOT(ISBLANK('A-RACHNATMAK'!AF781)),"A",IF(NOT(ISBLANK('A-RACHNATMAK'!AF780)),"B",IF(NOT(ISBLANK('A-RACHNATMAK'!AF779)),"C","")))</f>
        <v/>
      </c>
      <c r="AD740" s="622" t="str">
        <f>IF(NOT(ISBLANK('A-RACHNATMAK'!AG781)),"A",IF(NOT(ISBLANK('A-RACHNATMAK'!AG780)),"B",IF(NOT(ISBLANK('A-RACHNATMAK'!AG779)),"C","")))</f>
        <v/>
      </c>
      <c r="AE740" s="622" t="str">
        <f>IF(NOT(ISBLANK('A-RACHNATMAK'!AH781)),"A",IF(NOT(ISBLANK('A-RACHNATMAK'!AH780)),"B",IF(NOT(ISBLANK('A-RACHNATMAK'!AH779)),"C","")))</f>
        <v/>
      </c>
      <c r="AF740" s="622" t="str">
        <f>IF(NOT(ISBLANK('A-RACHNATMAK'!AI781)),"A",IF(NOT(ISBLANK('A-RACHNATMAK'!AI780)),"B",IF(NOT(ISBLANK('A-RACHNATMAK'!AI779)),"C","")))</f>
        <v/>
      </c>
      <c r="AG740" s="622" t="str">
        <f>IF(NOT(ISBLANK('A-RACHNATMAK'!AJ781)),"A",IF(NOT(ISBLANK('A-RACHNATMAK'!AJ780)),"B",IF(NOT(ISBLANK('A-RACHNATMAK'!AJ779)),"C","")))</f>
        <v/>
      </c>
      <c r="AH740" s="622" t="str">
        <f>IF(NOT(ISBLANK('A-RACHNATMAK'!AK781)),"A",IF(NOT(ISBLANK('A-RACHNATMAK'!AK780)),"B",IF(NOT(ISBLANK('A-RACHNATMAK'!AK779)),"C","")))</f>
        <v/>
      </c>
      <c r="AI740" s="622" t="str">
        <f>IF(NOT(ISBLANK('A-RACHNATMAK'!AL781)),"A",IF(NOT(ISBLANK('A-RACHNATMAK'!AL780)),"B",IF(NOT(ISBLANK('A-RACHNATMAK'!AL779)),"C","")))</f>
        <v/>
      </c>
      <c r="AJ740" s="622" t="str">
        <f>IF(NOT(ISBLANK('A-RACHNATMAK'!AM781)),"A",IF(NOT(ISBLANK('A-RACHNATMAK'!AM780)),"B",IF(NOT(ISBLANK('A-RACHNATMAK'!AM779)),"C","")))</f>
        <v/>
      </c>
      <c r="AK740" s="622" t="str">
        <f>IF(NOT(ISBLANK('A-RACHNATMAK'!AN781)),"A",IF(NOT(ISBLANK('A-RACHNATMAK'!AN780)),"B",IF(NOT(ISBLANK('A-RACHNATMAK'!AN779)),"C","")))</f>
        <v/>
      </c>
      <c r="AL740" s="622" t="str">
        <f>IF(NOT(ISBLANK('A-RACHNATMAK'!AO781)),"A",IF(NOT(ISBLANK('A-RACHNATMAK'!AO780)),"B",IF(NOT(ISBLANK('A-RACHNATMAK'!AO779)),"C","")))</f>
        <v/>
      </c>
      <c r="AM740" s="622" t="str">
        <f>IF(NOT(ISBLANK('A-RACHNATMAK'!AP781)),"A",IF(NOT(ISBLANK('A-RACHNATMAK'!AP780)),"B",IF(NOT(ISBLANK('A-RACHNATMAK'!AP779)),"C","")))</f>
        <v/>
      </c>
      <c r="AN740" s="622" t="str">
        <f>IF(NOT(ISBLANK('A-RACHNATMAK'!AQ781)),"A",IF(NOT(ISBLANK('A-RACHNATMAK'!AQ780)),"B",IF(NOT(ISBLANK('A-RACHNATMAK'!AQ779)),"C","")))</f>
        <v/>
      </c>
      <c r="AO740" s="622" t="str">
        <f>IF(NOT(ISBLANK('A-RACHNATMAK'!AR781)),"A",IF(NOT(ISBLANK('A-RACHNATMAK'!AR780)),"B",IF(NOT(ISBLANK('A-RACHNATMAK'!AR779)),"C","")))</f>
        <v/>
      </c>
      <c r="AP740" s="622" t="str">
        <f>IF(NOT(ISBLANK('A-RACHNATMAK'!AS781)),"A",IF(NOT(ISBLANK('A-RACHNATMAK'!AS780)),"B",IF(NOT(ISBLANK('A-RACHNATMAK'!AS779)),"C","")))</f>
        <v/>
      </c>
      <c r="AQ740" s="622" t="str">
        <f>IF(NOT(ISBLANK('A-RACHNATMAK'!AT781)),"A",IF(NOT(ISBLANK('A-RACHNATMAK'!AT780)),"B",IF(NOT(ISBLANK('A-RACHNATMAK'!AT779)),"C","")))</f>
        <v/>
      </c>
      <c r="AR740" s="622" t="str">
        <f>IF(NOT(ISBLANK('A-RACHNATMAK'!AU781)),"A",IF(NOT(ISBLANK('A-RACHNATMAK'!AU780)),"B",IF(NOT(ISBLANK('A-RACHNATMAK'!AU779)),"C","")))</f>
        <v/>
      </c>
      <c r="AS740" s="622" t="str">
        <f>IF(NOT(ISBLANK('A-RACHNATMAK'!AV781)),"A",IF(NOT(ISBLANK('A-RACHNATMAK'!AV780)),"B",IF(NOT(ISBLANK('A-RACHNATMAK'!AV779)),"C","")))</f>
        <v/>
      </c>
      <c r="AT740" s="622" t="str">
        <f>IF(NOT(ISBLANK('A-RACHNATMAK'!AW781)),"A",IF(NOT(ISBLANK('A-RACHNATMAK'!AW780)),"B",IF(NOT(ISBLANK('A-RACHNATMAK'!AW779)),"C","")))</f>
        <v/>
      </c>
      <c r="AU740" s="622">
        <f t="shared" ref="AU740" si="1413">COUNTIF(AA740:AT740,"A")</f>
        <v>0</v>
      </c>
      <c r="AV740" s="622">
        <f t="shared" ref="AV740" si="1414">COUNTIF(AA740:AT740,"B")</f>
        <v>0</v>
      </c>
      <c r="AW740" s="622">
        <f t="shared" ref="AW740" si="1415">COUNTIF(AA740:AT740,"C")</f>
        <v>0</v>
      </c>
    </row>
    <row r="741" spans="1:49" ht="7.5" customHeight="1">
      <c r="A741" s="623"/>
      <c r="B741" s="622"/>
      <c r="C741" s="622"/>
      <c r="D741" s="622"/>
      <c r="E741" s="622"/>
      <c r="F741" s="622"/>
      <c r="G741" s="622"/>
      <c r="H741" s="622"/>
      <c r="I741" s="622"/>
      <c r="J741" s="622"/>
      <c r="K741" s="622"/>
      <c r="L741" s="622"/>
      <c r="M741" s="622"/>
      <c r="N741" s="622"/>
      <c r="O741" s="622"/>
      <c r="P741" s="622"/>
      <c r="Q741" s="622"/>
      <c r="R741" s="622"/>
      <c r="S741" s="622"/>
      <c r="T741" s="622"/>
      <c r="U741" s="622"/>
      <c r="V741" s="622"/>
      <c r="W741" s="622"/>
      <c r="X741" s="622"/>
      <c r="Y741" s="330"/>
      <c r="Z741" s="623"/>
      <c r="AA741" s="622"/>
      <c r="AB741" s="622"/>
      <c r="AC741" s="622"/>
      <c r="AD741" s="622"/>
      <c r="AE741" s="622"/>
      <c r="AF741" s="622"/>
      <c r="AG741" s="622"/>
      <c r="AH741" s="622"/>
      <c r="AI741" s="622"/>
      <c r="AJ741" s="622"/>
      <c r="AK741" s="622"/>
      <c r="AL741" s="622"/>
      <c r="AM741" s="622"/>
      <c r="AN741" s="622"/>
      <c r="AO741" s="622"/>
      <c r="AP741" s="622"/>
      <c r="AQ741" s="622"/>
      <c r="AR741" s="622"/>
      <c r="AS741" s="622"/>
      <c r="AT741" s="622"/>
      <c r="AU741" s="622"/>
      <c r="AV741" s="622"/>
      <c r="AW741" s="622"/>
    </row>
    <row r="742" spans="1:49" ht="7.5" customHeight="1">
      <c r="A742" s="623"/>
      <c r="B742" s="622"/>
      <c r="C742" s="622"/>
      <c r="D742" s="622"/>
      <c r="E742" s="622"/>
      <c r="F742" s="622"/>
      <c r="G742" s="622"/>
      <c r="H742" s="622"/>
      <c r="I742" s="622"/>
      <c r="J742" s="622"/>
      <c r="K742" s="622"/>
      <c r="L742" s="622"/>
      <c r="M742" s="622"/>
      <c r="N742" s="622"/>
      <c r="O742" s="622"/>
      <c r="P742" s="622"/>
      <c r="Q742" s="622"/>
      <c r="R742" s="622"/>
      <c r="S742" s="622"/>
      <c r="T742" s="622"/>
      <c r="U742" s="622"/>
      <c r="V742" s="622"/>
      <c r="W742" s="622"/>
      <c r="X742" s="622"/>
      <c r="Y742" s="330"/>
      <c r="Z742" s="623"/>
      <c r="AA742" s="622"/>
      <c r="AB742" s="622"/>
      <c r="AC742" s="622"/>
      <c r="AD742" s="622"/>
      <c r="AE742" s="622"/>
      <c r="AF742" s="622"/>
      <c r="AG742" s="622"/>
      <c r="AH742" s="622"/>
      <c r="AI742" s="622"/>
      <c r="AJ742" s="622"/>
      <c r="AK742" s="622"/>
      <c r="AL742" s="622"/>
      <c r="AM742" s="622"/>
      <c r="AN742" s="622"/>
      <c r="AO742" s="622"/>
      <c r="AP742" s="622"/>
      <c r="AQ742" s="622"/>
      <c r="AR742" s="622"/>
      <c r="AS742" s="622"/>
      <c r="AT742" s="622"/>
      <c r="AU742" s="622"/>
      <c r="AV742" s="622"/>
      <c r="AW742" s="622"/>
    </row>
    <row r="743" spans="1:49" ht="7.5" customHeight="1">
      <c r="A743" s="623">
        <v>34</v>
      </c>
      <c r="B743" s="622" t="str">
        <f>IF(NOT(ISBLANK('A-RACHNATMAK'!C784)),"A",IF(NOT(ISBLANK('A-RACHNATMAK'!C783)),"B",IF(NOT(ISBLANK('A-RACHNATMAK'!C782)),"C","")))</f>
        <v/>
      </c>
      <c r="C743" s="622" t="str">
        <f>IF(NOT(ISBLANK('A-RACHNATMAK'!D784)),"A",IF(NOT(ISBLANK('A-RACHNATMAK'!D783)),"B",IF(NOT(ISBLANK('A-RACHNATMAK'!D782)),"C","")))</f>
        <v/>
      </c>
      <c r="D743" s="622" t="str">
        <f>IF(NOT(ISBLANK('A-RACHNATMAK'!E784)),"A",IF(NOT(ISBLANK('A-RACHNATMAK'!E783)),"B",IF(NOT(ISBLANK('A-RACHNATMAK'!E782)),"C","")))</f>
        <v/>
      </c>
      <c r="E743" s="622" t="str">
        <f>IF(NOT(ISBLANK('A-RACHNATMAK'!F784)),"A",IF(NOT(ISBLANK('A-RACHNATMAK'!F783)),"B",IF(NOT(ISBLANK('A-RACHNATMAK'!F782)),"C","")))</f>
        <v/>
      </c>
      <c r="F743" s="622" t="str">
        <f>IF(NOT(ISBLANK('A-RACHNATMAK'!G784)),"A",IF(NOT(ISBLANK('A-RACHNATMAK'!G783)),"B",IF(NOT(ISBLANK('A-RACHNATMAK'!G782)),"C","")))</f>
        <v/>
      </c>
      <c r="G743" s="622" t="str">
        <f>IF(NOT(ISBLANK('A-RACHNATMAK'!H784)),"A",IF(NOT(ISBLANK('A-RACHNATMAK'!H783)),"B",IF(NOT(ISBLANK('A-RACHNATMAK'!H782)),"C","")))</f>
        <v/>
      </c>
      <c r="H743" s="622" t="str">
        <f>IF(NOT(ISBLANK('A-RACHNATMAK'!I784)),"A",IF(NOT(ISBLANK('A-RACHNATMAK'!I783)),"B",IF(NOT(ISBLANK('A-RACHNATMAK'!I782)),"C","")))</f>
        <v/>
      </c>
      <c r="I743" s="622" t="str">
        <f>IF(NOT(ISBLANK('A-RACHNATMAK'!J784)),"A",IF(NOT(ISBLANK('A-RACHNATMAK'!J783)),"B",IF(NOT(ISBLANK('A-RACHNATMAK'!J782)),"C","")))</f>
        <v/>
      </c>
      <c r="J743" s="622" t="str">
        <f>IF(NOT(ISBLANK('A-RACHNATMAK'!K784)),"A",IF(NOT(ISBLANK('A-RACHNATMAK'!K783)),"B",IF(NOT(ISBLANK('A-RACHNATMAK'!K782)),"C","")))</f>
        <v/>
      </c>
      <c r="K743" s="622" t="str">
        <f>IF(NOT(ISBLANK('A-RACHNATMAK'!L784)),"A",IF(NOT(ISBLANK('A-RACHNATMAK'!L783)),"B",IF(NOT(ISBLANK('A-RACHNATMAK'!L782)),"C","")))</f>
        <v/>
      </c>
      <c r="L743" s="622" t="str">
        <f>IF(NOT(ISBLANK('A-RACHNATMAK'!M784)),"A",IF(NOT(ISBLANK('A-RACHNATMAK'!M783)),"B",IF(NOT(ISBLANK('A-RACHNATMAK'!M782)),"C","")))</f>
        <v/>
      </c>
      <c r="M743" s="622" t="str">
        <f>IF(NOT(ISBLANK('A-RACHNATMAK'!N784)),"A",IF(NOT(ISBLANK('A-RACHNATMAK'!N783)),"B",IF(NOT(ISBLANK('A-RACHNATMAK'!N782)),"C","")))</f>
        <v/>
      </c>
      <c r="N743" s="622" t="str">
        <f>IF(NOT(ISBLANK('A-RACHNATMAK'!O784)),"A",IF(NOT(ISBLANK('A-RACHNATMAK'!O783)),"B",IF(NOT(ISBLANK('A-RACHNATMAK'!O782)),"C","")))</f>
        <v/>
      </c>
      <c r="O743" s="622" t="str">
        <f>IF(NOT(ISBLANK('A-RACHNATMAK'!P784)),"A",IF(NOT(ISBLANK('A-RACHNATMAK'!P783)),"B",IF(NOT(ISBLANK('A-RACHNATMAK'!P782)),"C","")))</f>
        <v/>
      </c>
      <c r="P743" s="622" t="str">
        <f>IF(NOT(ISBLANK('A-RACHNATMAK'!Q784)),"A",IF(NOT(ISBLANK('A-RACHNATMAK'!Q783)),"B",IF(NOT(ISBLANK('A-RACHNATMAK'!Q782)),"C","")))</f>
        <v/>
      </c>
      <c r="Q743" s="622" t="str">
        <f>IF(NOT(ISBLANK('A-RACHNATMAK'!R784)),"A",IF(NOT(ISBLANK('A-RACHNATMAK'!R783)),"B",IF(NOT(ISBLANK('A-RACHNATMAK'!R782)),"C","")))</f>
        <v/>
      </c>
      <c r="R743" s="622" t="str">
        <f>IF(NOT(ISBLANK('A-RACHNATMAK'!S784)),"A",IF(NOT(ISBLANK('A-RACHNATMAK'!S783)),"B",IF(NOT(ISBLANK('A-RACHNATMAK'!S782)),"C","")))</f>
        <v/>
      </c>
      <c r="S743" s="622" t="str">
        <f>IF(NOT(ISBLANK('A-RACHNATMAK'!T784)),"A",IF(NOT(ISBLANK('A-RACHNATMAK'!T783)),"B",IF(NOT(ISBLANK('A-RACHNATMAK'!T782)),"C","")))</f>
        <v/>
      </c>
      <c r="T743" s="622" t="str">
        <f>IF(NOT(ISBLANK('A-RACHNATMAK'!U784)),"A",IF(NOT(ISBLANK('A-RACHNATMAK'!U783)),"B",IF(NOT(ISBLANK('A-RACHNATMAK'!U782)),"C","")))</f>
        <v/>
      </c>
      <c r="U743" s="622" t="str">
        <f>IF(NOT(ISBLANK('A-RACHNATMAK'!V784)),"A",IF(NOT(ISBLANK('A-RACHNATMAK'!V783)),"B",IF(NOT(ISBLANK('A-RACHNATMAK'!V782)),"C","")))</f>
        <v/>
      </c>
      <c r="V743" s="622">
        <f t="shared" ref="V743" si="1416">COUNTIF(B743:U743,"A")</f>
        <v>0</v>
      </c>
      <c r="W743" s="622">
        <f t="shared" ref="W743" si="1417">COUNTIF(B743:U743,"B")</f>
        <v>0</v>
      </c>
      <c r="X743" s="622">
        <f t="shared" ref="X743" si="1418">COUNTIF(B743:U743,"C")</f>
        <v>0</v>
      </c>
      <c r="Y743" s="330"/>
      <c r="Z743" s="623">
        <v>34</v>
      </c>
      <c r="AA743" s="622" t="str">
        <f>IF(NOT(ISBLANK('A-RACHNATMAK'!AD784)),"A",IF(NOT(ISBLANK('A-RACHNATMAK'!AD783)),"B",IF(NOT(ISBLANK('A-RACHNATMAK'!AD782)),"C","")))</f>
        <v/>
      </c>
      <c r="AB743" s="622" t="str">
        <f>IF(NOT(ISBLANK('A-RACHNATMAK'!AE784)),"A",IF(NOT(ISBLANK('A-RACHNATMAK'!AE783)),"B",IF(NOT(ISBLANK('A-RACHNATMAK'!AE782)),"C","")))</f>
        <v/>
      </c>
      <c r="AC743" s="622" t="str">
        <f>IF(NOT(ISBLANK('A-RACHNATMAK'!AF784)),"A",IF(NOT(ISBLANK('A-RACHNATMAK'!AF783)),"B",IF(NOT(ISBLANK('A-RACHNATMAK'!AF782)),"C","")))</f>
        <v/>
      </c>
      <c r="AD743" s="622" t="str">
        <f>IF(NOT(ISBLANK('A-RACHNATMAK'!AG784)),"A",IF(NOT(ISBLANK('A-RACHNATMAK'!AG783)),"B",IF(NOT(ISBLANK('A-RACHNATMAK'!AG782)),"C","")))</f>
        <v/>
      </c>
      <c r="AE743" s="622" t="str">
        <f>IF(NOT(ISBLANK('A-RACHNATMAK'!AH784)),"A",IF(NOT(ISBLANK('A-RACHNATMAK'!AH783)),"B",IF(NOT(ISBLANK('A-RACHNATMAK'!AH782)),"C","")))</f>
        <v/>
      </c>
      <c r="AF743" s="622" t="str">
        <f>IF(NOT(ISBLANK('A-RACHNATMAK'!AI784)),"A",IF(NOT(ISBLANK('A-RACHNATMAK'!AI783)),"B",IF(NOT(ISBLANK('A-RACHNATMAK'!AI782)),"C","")))</f>
        <v/>
      </c>
      <c r="AG743" s="622" t="str">
        <f>IF(NOT(ISBLANK('A-RACHNATMAK'!AJ784)),"A",IF(NOT(ISBLANK('A-RACHNATMAK'!AJ783)),"B",IF(NOT(ISBLANK('A-RACHNATMAK'!AJ782)),"C","")))</f>
        <v/>
      </c>
      <c r="AH743" s="622" t="str">
        <f>IF(NOT(ISBLANK('A-RACHNATMAK'!AK784)),"A",IF(NOT(ISBLANK('A-RACHNATMAK'!AK783)),"B",IF(NOT(ISBLANK('A-RACHNATMAK'!AK782)),"C","")))</f>
        <v/>
      </c>
      <c r="AI743" s="622" t="str">
        <f>IF(NOT(ISBLANK('A-RACHNATMAK'!AL784)),"A",IF(NOT(ISBLANK('A-RACHNATMAK'!AL783)),"B",IF(NOT(ISBLANK('A-RACHNATMAK'!AL782)),"C","")))</f>
        <v/>
      </c>
      <c r="AJ743" s="622" t="str">
        <f>IF(NOT(ISBLANK('A-RACHNATMAK'!AM784)),"A",IF(NOT(ISBLANK('A-RACHNATMAK'!AM783)),"B",IF(NOT(ISBLANK('A-RACHNATMAK'!AM782)),"C","")))</f>
        <v/>
      </c>
      <c r="AK743" s="622" t="str">
        <f>IF(NOT(ISBLANK('A-RACHNATMAK'!AN784)),"A",IF(NOT(ISBLANK('A-RACHNATMAK'!AN783)),"B",IF(NOT(ISBLANK('A-RACHNATMAK'!AN782)),"C","")))</f>
        <v/>
      </c>
      <c r="AL743" s="622" t="str">
        <f>IF(NOT(ISBLANK('A-RACHNATMAK'!AO784)),"A",IF(NOT(ISBLANK('A-RACHNATMAK'!AO783)),"B",IF(NOT(ISBLANK('A-RACHNATMAK'!AO782)),"C","")))</f>
        <v/>
      </c>
      <c r="AM743" s="622" t="str">
        <f>IF(NOT(ISBLANK('A-RACHNATMAK'!AP784)),"A",IF(NOT(ISBLANK('A-RACHNATMAK'!AP783)),"B",IF(NOT(ISBLANK('A-RACHNATMAK'!AP782)),"C","")))</f>
        <v/>
      </c>
      <c r="AN743" s="622" t="str">
        <f>IF(NOT(ISBLANK('A-RACHNATMAK'!AQ784)),"A",IF(NOT(ISBLANK('A-RACHNATMAK'!AQ783)),"B",IF(NOT(ISBLANK('A-RACHNATMAK'!AQ782)),"C","")))</f>
        <v/>
      </c>
      <c r="AO743" s="622" t="str">
        <f>IF(NOT(ISBLANK('A-RACHNATMAK'!AR784)),"A",IF(NOT(ISBLANK('A-RACHNATMAK'!AR783)),"B",IF(NOT(ISBLANK('A-RACHNATMAK'!AR782)),"C","")))</f>
        <v/>
      </c>
      <c r="AP743" s="622" t="str">
        <f>IF(NOT(ISBLANK('A-RACHNATMAK'!AS784)),"A",IF(NOT(ISBLANK('A-RACHNATMAK'!AS783)),"B",IF(NOT(ISBLANK('A-RACHNATMAK'!AS782)),"C","")))</f>
        <v/>
      </c>
      <c r="AQ743" s="622" t="str">
        <f>IF(NOT(ISBLANK('A-RACHNATMAK'!AT784)),"A",IF(NOT(ISBLANK('A-RACHNATMAK'!AT783)),"B",IF(NOT(ISBLANK('A-RACHNATMAK'!AT782)),"C","")))</f>
        <v/>
      </c>
      <c r="AR743" s="622" t="str">
        <f>IF(NOT(ISBLANK('A-RACHNATMAK'!AU784)),"A",IF(NOT(ISBLANK('A-RACHNATMAK'!AU783)),"B",IF(NOT(ISBLANK('A-RACHNATMAK'!AU782)),"C","")))</f>
        <v/>
      </c>
      <c r="AS743" s="622" t="str">
        <f>IF(NOT(ISBLANK('A-RACHNATMAK'!AV784)),"A",IF(NOT(ISBLANK('A-RACHNATMAK'!AV783)),"B",IF(NOT(ISBLANK('A-RACHNATMAK'!AV782)),"C","")))</f>
        <v/>
      </c>
      <c r="AT743" s="622" t="str">
        <f>IF(NOT(ISBLANK('A-RACHNATMAK'!AW784)),"A",IF(NOT(ISBLANK('A-RACHNATMAK'!AW783)),"B",IF(NOT(ISBLANK('A-RACHNATMAK'!AW782)),"C","")))</f>
        <v/>
      </c>
      <c r="AU743" s="622">
        <f t="shared" ref="AU743" si="1419">COUNTIF(AA743:AT743,"A")</f>
        <v>0</v>
      </c>
      <c r="AV743" s="622">
        <f t="shared" ref="AV743" si="1420">COUNTIF(AA743:AT743,"B")</f>
        <v>0</v>
      </c>
      <c r="AW743" s="622">
        <f t="shared" ref="AW743" si="1421">COUNTIF(AA743:AT743,"C")</f>
        <v>0</v>
      </c>
    </row>
    <row r="744" spans="1:49" ht="7.5" customHeight="1">
      <c r="A744" s="623"/>
      <c r="B744" s="622"/>
      <c r="C744" s="622"/>
      <c r="D744" s="622"/>
      <c r="E744" s="622"/>
      <c r="F744" s="622"/>
      <c r="G744" s="622"/>
      <c r="H744" s="622"/>
      <c r="I744" s="622"/>
      <c r="J744" s="622"/>
      <c r="K744" s="622"/>
      <c r="L744" s="622"/>
      <c r="M744" s="622"/>
      <c r="N744" s="622"/>
      <c r="O744" s="622"/>
      <c r="P744" s="622"/>
      <c r="Q744" s="622"/>
      <c r="R744" s="622"/>
      <c r="S744" s="622"/>
      <c r="T744" s="622"/>
      <c r="U744" s="622"/>
      <c r="V744" s="622"/>
      <c r="W744" s="622"/>
      <c r="X744" s="622"/>
      <c r="Y744" s="330"/>
      <c r="Z744" s="623"/>
      <c r="AA744" s="622"/>
      <c r="AB744" s="622"/>
      <c r="AC744" s="622"/>
      <c r="AD744" s="622"/>
      <c r="AE744" s="622"/>
      <c r="AF744" s="622"/>
      <c r="AG744" s="622"/>
      <c r="AH744" s="622"/>
      <c r="AI744" s="622"/>
      <c r="AJ744" s="622"/>
      <c r="AK744" s="622"/>
      <c r="AL744" s="622"/>
      <c r="AM744" s="622"/>
      <c r="AN744" s="622"/>
      <c r="AO744" s="622"/>
      <c r="AP744" s="622"/>
      <c r="AQ744" s="622"/>
      <c r="AR744" s="622"/>
      <c r="AS744" s="622"/>
      <c r="AT744" s="622"/>
      <c r="AU744" s="622"/>
      <c r="AV744" s="622"/>
      <c r="AW744" s="622"/>
    </row>
    <row r="745" spans="1:49" ht="7.5" customHeight="1">
      <c r="A745" s="623"/>
      <c r="B745" s="622"/>
      <c r="C745" s="622"/>
      <c r="D745" s="622"/>
      <c r="E745" s="622"/>
      <c r="F745" s="622"/>
      <c r="G745" s="622"/>
      <c r="H745" s="622"/>
      <c r="I745" s="622"/>
      <c r="J745" s="622"/>
      <c r="K745" s="622"/>
      <c r="L745" s="622"/>
      <c r="M745" s="622"/>
      <c r="N745" s="622"/>
      <c r="O745" s="622"/>
      <c r="P745" s="622"/>
      <c r="Q745" s="622"/>
      <c r="R745" s="622"/>
      <c r="S745" s="622"/>
      <c r="T745" s="622"/>
      <c r="U745" s="622"/>
      <c r="V745" s="622"/>
      <c r="W745" s="622"/>
      <c r="X745" s="622"/>
      <c r="Y745" s="330"/>
      <c r="Z745" s="623"/>
      <c r="AA745" s="622"/>
      <c r="AB745" s="622"/>
      <c r="AC745" s="622"/>
      <c r="AD745" s="622"/>
      <c r="AE745" s="622"/>
      <c r="AF745" s="622"/>
      <c r="AG745" s="622"/>
      <c r="AH745" s="622"/>
      <c r="AI745" s="622"/>
      <c r="AJ745" s="622"/>
      <c r="AK745" s="622"/>
      <c r="AL745" s="622"/>
      <c r="AM745" s="622"/>
      <c r="AN745" s="622"/>
      <c r="AO745" s="622"/>
      <c r="AP745" s="622"/>
      <c r="AQ745" s="622"/>
      <c r="AR745" s="622"/>
      <c r="AS745" s="622"/>
      <c r="AT745" s="622"/>
      <c r="AU745" s="622"/>
      <c r="AV745" s="622"/>
      <c r="AW745" s="622"/>
    </row>
    <row r="746" spans="1:49" ht="7.5" customHeight="1">
      <c r="A746" s="623">
        <v>35</v>
      </c>
      <c r="B746" s="622" t="str">
        <f>IF(NOT(ISBLANK('A-RACHNATMAK'!C787)),"A",IF(NOT(ISBLANK('A-RACHNATMAK'!C786)),"B",IF(NOT(ISBLANK('A-RACHNATMAK'!C785)),"C","")))</f>
        <v/>
      </c>
      <c r="C746" s="622" t="str">
        <f>IF(NOT(ISBLANK('A-RACHNATMAK'!D787)),"A",IF(NOT(ISBLANK('A-RACHNATMAK'!D786)),"B",IF(NOT(ISBLANK('A-RACHNATMAK'!D785)),"C","")))</f>
        <v/>
      </c>
      <c r="D746" s="622" t="str">
        <f>IF(NOT(ISBLANK('A-RACHNATMAK'!E787)),"A",IF(NOT(ISBLANK('A-RACHNATMAK'!E786)),"B",IF(NOT(ISBLANK('A-RACHNATMAK'!E785)),"C","")))</f>
        <v/>
      </c>
      <c r="E746" s="622" t="str">
        <f>IF(NOT(ISBLANK('A-RACHNATMAK'!F787)),"A",IF(NOT(ISBLANK('A-RACHNATMAK'!F786)),"B",IF(NOT(ISBLANK('A-RACHNATMAK'!F785)),"C","")))</f>
        <v/>
      </c>
      <c r="F746" s="622" t="str">
        <f>IF(NOT(ISBLANK('A-RACHNATMAK'!G787)),"A",IF(NOT(ISBLANK('A-RACHNATMAK'!G786)),"B",IF(NOT(ISBLANK('A-RACHNATMAK'!G785)),"C","")))</f>
        <v/>
      </c>
      <c r="G746" s="622" t="str">
        <f>IF(NOT(ISBLANK('A-RACHNATMAK'!H787)),"A",IF(NOT(ISBLANK('A-RACHNATMAK'!H786)),"B",IF(NOT(ISBLANK('A-RACHNATMAK'!H785)),"C","")))</f>
        <v/>
      </c>
      <c r="H746" s="622" t="str">
        <f>IF(NOT(ISBLANK('A-RACHNATMAK'!I787)),"A",IF(NOT(ISBLANK('A-RACHNATMAK'!I786)),"B",IF(NOT(ISBLANK('A-RACHNATMAK'!I785)),"C","")))</f>
        <v/>
      </c>
      <c r="I746" s="622" t="str">
        <f>IF(NOT(ISBLANK('A-RACHNATMAK'!J787)),"A",IF(NOT(ISBLANK('A-RACHNATMAK'!J786)),"B",IF(NOT(ISBLANK('A-RACHNATMAK'!J785)),"C","")))</f>
        <v/>
      </c>
      <c r="J746" s="622" t="str">
        <f>IF(NOT(ISBLANK('A-RACHNATMAK'!K787)),"A",IF(NOT(ISBLANK('A-RACHNATMAK'!K786)),"B",IF(NOT(ISBLANK('A-RACHNATMAK'!K785)),"C","")))</f>
        <v/>
      </c>
      <c r="K746" s="622" t="str">
        <f>IF(NOT(ISBLANK('A-RACHNATMAK'!L787)),"A",IF(NOT(ISBLANK('A-RACHNATMAK'!L786)),"B",IF(NOT(ISBLANK('A-RACHNATMAK'!L785)),"C","")))</f>
        <v/>
      </c>
      <c r="L746" s="622" t="str">
        <f>IF(NOT(ISBLANK('A-RACHNATMAK'!M787)),"A",IF(NOT(ISBLANK('A-RACHNATMAK'!M786)),"B",IF(NOT(ISBLANK('A-RACHNATMAK'!M785)),"C","")))</f>
        <v/>
      </c>
      <c r="M746" s="622" t="str">
        <f>IF(NOT(ISBLANK('A-RACHNATMAK'!N787)),"A",IF(NOT(ISBLANK('A-RACHNATMAK'!N786)),"B",IF(NOT(ISBLANK('A-RACHNATMAK'!N785)),"C","")))</f>
        <v/>
      </c>
      <c r="N746" s="622" t="str">
        <f>IF(NOT(ISBLANK('A-RACHNATMAK'!O787)),"A",IF(NOT(ISBLANK('A-RACHNATMAK'!O786)),"B",IF(NOT(ISBLANK('A-RACHNATMAK'!O785)),"C","")))</f>
        <v/>
      </c>
      <c r="O746" s="622" t="str">
        <f>IF(NOT(ISBLANK('A-RACHNATMAK'!P787)),"A",IF(NOT(ISBLANK('A-RACHNATMAK'!P786)),"B",IF(NOT(ISBLANK('A-RACHNATMAK'!P785)),"C","")))</f>
        <v/>
      </c>
      <c r="P746" s="622" t="str">
        <f>IF(NOT(ISBLANK('A-RACHNATMAK'!Q787)),"A",IF(NOT(ISBLANK('A-RACHNATMAK'!Q786)),"B",IF(NOT(ISBLANK('A-RACHNATMAK'!Q785)),"C","")))</f>
        <v/>
      </c>
      <c r="Q746" s="622" t="str">
        <f>IF(NOT(ISBLANK('A-RACHNATMAK'!R787)),"A",IF(NOT(ISBLANK('A-RACHNATMAK'!R786)),"B",IF(NOT(ISBLANK('A-RACHNATMAK'!R785)),"C","")))</f>
        <v/>
      </c>
      <c r="R746" s="622" t="str">
        <f>IF(NOT(ISBLANK('A-RACHNATMAK'!S787)),"A",IF(NOT(ISBLANK('A-RACHNATMAK'!S786)),"B",IF(NOT(ISBLANK('A-RACHNATMAK'!S785)),"C","")))</f>
        <v/>
      </c>
      <c r="S746" s="622" t="str">
        <f>IF(NOT(ISBLANK('A-RACHNATMAK'!T787)),"A",IF(NOT(ISBLANK('A-RACHNATMAK'!T786)),"B",IF(NOT(ISBLANK('A-RACHNATMAK'!T785)),"C","")))</f>
        <v/>
      </c>
      <c r="T746" s="622" t="str">
        <f>IF(NOT(ISBLANK('A-RACHNATMAK'!U787)),"A",IF(NOT(ISBLANK('A-RACHNATMAK'!U786)),"B",IF(NOT(ISBLANK('A-RACHNATMAK'!U785)),"C","")))</f>
        <v/>
      </c>
      <c r="U746" s="622" t="str">
        <f>IF(NOT(ISBLANK('A-RACHNATMAK'!V787)),"A",IF(NOT(ISBLANK('A-RACHNATMAK'!V786)),"B",IF(NOT(ISBLANK('A-RACHNATMAK'!V785)),"C","")))</f>
        <v/>
      </c>
      <c r="V746" s="622">
        <f t="shared" ref="V746" si="1422">COUNTIF(B746:U746,"A")</f>
        <v>0</v>
      </c>
      <c r="W746" s="622">
        <f t="shared" ref="W746" si="1423">COUNTIF(B746:U746,"B")</f>
        <v>0</v>
      </c>
      <c r="X746" s="622">
        <f t="shared" ref="X746" si="1424">COUNTIF(B746:U746,"C")</f>
        <v>0</v>
      </c>
      <c r="Y746" s="330"/>
      <c r="Z746" s="623">
        <v>35</v>
      </c>
      <c r="AA746" s="622" t="str">
        <f>IF(NOT(ISBLANK('A-RACHNATMAK'!AD787)),"A",IF(NOT(ISBLANK('A-RACHNATMAK'!AD786)),"B",IF(NOT(ISBLANK('A-RACHNATMAK'!AD785)),"C","")))</f>
        <v/>
      </c>
      <c r="AB746" s="622" t="str">
        <f>IF(NOT(ISBLANK('A-RACHNATMAK'!AE787)),"A",IF(NOT(ISBLANK('A-RACHNATMAK'!AE786)),"B",IF(NOT(ISBLANK('A-RACHNATMAK'!AE785)),"C","")))</f>
        <v/>
      </c>
      <c r="AC746" s="622" t="str">
        <f>IF(NOT(ISBLANK('A-RACHNATMAK'!AF787)),"A",IF(NOT(ISBLANK('A-RACHNATMAK'!AF786)),"B",IF(NOT(ISBLANK('A-RACHNATMAK'!AF785)),"C","")))</f>
        <v/>
      </c>
      <c r="AD746" s="622" t="str">
        <f>IF(NOT(ISBLANK('A-RACHNATMAK'!AG787)),"A",IF(NOT(ISBLANK('A-RACHNATMAK'!AG786)),"B",IF(NOT(ISBLANK('A-RACHNATMAK'!AG785)),"C","")))</f>
        <v/>
      </c>
      <c r="AE746" s="622" t="str">
        <f>IF(NOT(ISBLANK('A-RACHNATMAK'!AH787)),"A",IF(NOT(ISBLANK('A-RACHNATMAK'!AH786)),"B",IF(NOT(ISBLANK('A-RACHNATMAK'!AH785)),"C","")))</f>
        <v/>
      </c>
      <c r="AF746" s="622" t="str">
        <f>IF(NOT(ISBLANK('A-RACHNATMAK'!AI787)),"A",IF(NOT(ISBLANK('A-RACHNATMAK'!AI786)),"B",IF(NOT(ISBLANK('A-RACHNATMAK'!AI785)),"C","")))</f>
        <v/>
      </c>
      <c r="AG746" s="622" t="str">
        <f>IF(NOT(ISBLANK('A-RACHNATMAK'!AJ787)),"A",IF(NOT(ISBLANK('A-RACHNATMAK'!AJ786)),"B",IF(NOT(ISBLANK('A-RACHNATMAK'!AJ785)),"C","")))</f>
        <v/>
      </c>
      <c r="AH746" s="622" t="str">
        <f>IF(NOT(ISBLANK('A-RACHNATMAK'!AK787)),"A",IF(NOT(ISBLANK('A-RACHNATMAK'!AK786)),"B",IF(NOT(ISBLANK('A-RACHNATMAK'!AK785)),"C","")))</f>
        <v/>
      </c>
      <c r="AI746" s="622" t="str">
        <f>IF(NOT(ISBLANK('A-RACHNATMAK'!AL787)),"A",IF(NOT(ISBLANK('A-RACHNATMAK'!AL786)),"B",IF(NOT(ISBLANK('A-RACHNATMAK'!AL785)),"C","")))</f>
        <v/>
      </c>
      <c r="AJ746" s="622" t="str">
        <f>IF(NOT(ISBLANK('A-RACHNATMAK'!AM787)),"A",IF(NOT(ISBLANK('A-RACHNATMAK'!AM786)),"B",IF(NOT(ISBLANK('A-RACHNATMAK'!AM785)),"C","")))</f>
        <v/>
      </c>
      <c r="AK746" s="622" t="str">
        <f>IF(NOT(ISBLANK('A-RACHNATMAK'!AN787)),"A",IF(NOT(ISBLANK('A-RACHNATMAK'!AN786)),"B",IF(NOT(ISBLANK('A-RACHNATMAK'!AN785)),"C","")))</f>
        <v/>
      </c>
      <c r="AL746" s="622" t="str">
        <f>IF(NOT(ISBLANK('A-RACHNATMAK'!AO787)),"A",IF(NOT(ISBLANK('A-RACHNATMAK'!AO786)),"B",IF(NOT(ISBLANK('A-RACHNATMAK'!AO785)),"C","")))</f>
        <v/>
      </c>
      <c r="AM746" s="622" t="str">
        <f>IF(NOT(ISBLANK('A-RACHNATMAK'!AP787)),"A",IF(NOT(ISBLANK('A-RACHNATMAK'!AP786)),"B",IF(NOT(ISBLANK('A-RACHNATMAK'!AP785)),"C","")))</f>
        <v/>
      </c>
      <c r="AN746" s="622" t="str">
        <f>IF(NOT(ISBLANK('A-RACHNATMAK'!AQ787)),"A",IF(NOT(ISBLANK('A-RACHNATMAK'!AQ786)),"B",IF(NOT(ISBLANK('A-RACHNATMAK'!AQ785)),"C","")))</f>
        <v/>
      </c>
      <c r="AO746" s="622" t="str">
        <f>IF(NOT(ISBLANK('A-RACHNATMAK'!AR787)),"A",IF(NOT(ISBLANK('A-RACHNATMAK'!AR786)),"B",IF(NOT(ISBLANK('A-RACHNATMAK'!AR785)),"C","")))</f>
        <v/>
      </c>
      <c r="AP746" s="622" t="str">
        <f>IF(NOT(ISBLANK('A-RACHNATMAK'!AS787)),"A",IF(NOT(ISBLANK('A-RACHNATMAK'!AS786)),"B",IF(NOT(ISBLANK('A-RACHNATMAK'!AS785)),"C","")))</f>
        <v/>
      </c>
      <c r="AQ746" s="622" t="str">
        <f>IF(NOT(ISBLANK('A-RACHNATMAK'!AT787)),"A",IF(NOT(ISBLANK('A-RACHNATMAK'!AT786)),"B",IF(NOT(ISBLANK('A-RACHNATMAK'!AT785)),"C","")))</f>
        <v/>
      </c>
      <c r="AR746" s="622" t="str">
        <f>IF(NOT(ISBLANK('A-RACHNATMAK'!AU787)),"A",IF(NOT(ISBLANK('A-RACHNATMAK'!AU786)),"B",IF(NOT(ISBLANK('A-RACHNATMAK'!AU785)),"C","")))</f>
        <v/>
      </c>
      <c r="AS746" s="622" t="str">
        <f>IF(NOT(ISBLANK('A-RACHNATMAK'!AV787)),"A",IF(NOT(ISBLANK('A-RACHNATMAK'!AV786)),"B",IF(NOT(ISBLANK('A-RACHNATMAK'!AV785)),"C","")))</f>
        <v/>
      </c>
      <c r="AT746" s="622" t="str">
        <f>IF(NOT(ISBLANK('A-RACHNATMAK'!AW787)),"A",IF(NOT(ISBLANK('A-RACHNATMAK'!AW786)),"B",IF(NOT(ISBLANK('A-RACHNATMAK'!AW785)),"C","")))</f>
        <v/>
      </c>
      <c r="AU746" s="622">
        <f t="shared" ref="AU746" si="1425">COUNTIF(AA746:AT746,"A")</f>
        <v>0</v>
      </c>
      <c r="AV746" s="622">
        <f t="shared" ref="AV746" si="1426">COUNTIF(AA746:AT746,"B")</f>
        <v>0</v>
      </c>
      <c r="AW746" s="622">
        <f t="shared" ref="AW746" si="1427">COUNTIF(AA746:AT746,"C")</f>
        <v>0</v>
      </c>
    </row>
    <row r="747" spans="1:49" ht="7.5" customHeight="1">
      <c r="A747" s="623"/>
      <c r="B747" s="622"/>
      <c r="C747" s="622"/>
      <c r="D747" s="622"/>
      <c r="E747" s="622"/>
      <c r="F747" s="622"/>
      <c r="G747" s="622"/>
      <c r="H747" s="622"/>
      <c r="I747" s="622"/>
      <c r="J747" s="622"/>
      <c r="K747" s="622"/>
      <c r="L747" s="622"/>
      <c r="M747" s="622"/>
      <c r="N747" s="622"/>
      <c r="O747" s="622"/>
      <c r="P747" s="622"/>
      <c r="Q747" s="622"/>
      <c r="R747" s="622"/>
      <c r="S747" s="622"/>
      <c r="T747" s="622"/>
      <c r="U747" s="622"/>
      <c r="V747" s="622"/>
      <c r="W747" s="622"/>
      <c r="X747" s="622"/>
      <c r="Y747" s="330"/>
      <c r="Z747" s="623"/>
      <c r="AA747" s="622"/>
      <c r="AB747" s="622"/>
      <c r="AC747" s="622"/>
      <c r="AD747" s="622"/>
      <c r="AE747" s="622"/>
      <c r="AF747" s="622"/>
      <c r="AG747" s="622"/>
      <c r="AH747" s="622"/>
      <c r="AI747" s="622"/>
      <c r="AJ747" s="622"/>
      <c r="AK747" s="622"/>
      <c r="AL747" s="622"/>
      <c r="AM747" s="622"/>
      <c r="AN747" s="622"/>
      <c r="AO747" s="622"/>
      <c r="AP747" s="622"/>
      <c r="AQ747" s="622"/>
      <c r="AR747" s="622"/>
      <c r="AS747" s="622"/>
      <c r="AT747" s="622"/>
      <c r="AU747" s="622"/>
      <c r="AV747" s="622"/>
      <c r="AW747" s="622"/>
    </row>
    <row r="748" spans="1:49" ht="7.5" customHeight="1">
      <c r="A748" s="623"/>
      <c r="B748" s="622"/>
      <c r="C748" s="622"/>
      <c r="D748" s="622"/>
      <c r="E748" s="622"/>
      <c r="F748" s="622"/>
      <c r="G748" s="622"/>
      <c r="H748" s="622"/>
      <c r="I748" s="622"/>
      <c r="J748" s="622"/>
      <c r="K748" s="622"/>
      <c r="L748" s="622"/>
      <c r="M748" s="622"/>
      <c r="N748" s="622"/>
      <c r="O748" s="622"/>
      <c r="P748" s="622"/>
      <c r="Q748" s="622"/>
      <c r="R748" s="622"/>
      <c r="S748" s="622"/>
      <c r="T748" s="622"/>
      <c r="U748" s="622"/>
      <c r="V748" s="622"/>
      <c r="W748" s="622"/>
      <c r="X748" s="622"/>
      <c r="Y748" s="330"/>
      <c r="Z748" s="623"/>
      <c r="AA748" s="622"/>
      <c r="AB748" s="622"/>
      <c r="AC748" s="622"/>
      <c r="AD748" s="622"/>
      <c r="AE748" s="622"/>
      <c r="AF748" s="622"/>
      <c r="AG748" s="622"/>
      <c r="AH748" s="622"/>
      <c r="AI748" s="622"/>
      <c r="AJ748" s="622"/>
      <c r="AK748" s="622"/>
      <c r="AL748" s="622"/>
      <c r="AM748" s="622"/>
      <c r="AN748" s="622"/>
      <c r="AO748" s="622"/>
      <c r="AP748" s="622"/>
      <c r="AQ748" s="622"/>
      <c r="AR748" s="622"/>
      <c r="AS748" s="622"/>
      <c r="AT748" s="622"/>
      <c r="AU748" s="622"/>
      <c r="AV748" s="622"/>
      <c r="AW748" s="622"/>
    </row>
  </sheetData>
  <sheetProtection password="DC6E" sheet="1" objects="1" scenarios="1"/>
  <mergeCells count="11774">
    <mergeCell ref="AS743:AS745"/>
    <mergeCell ref="AT743:AT745"/>
    <mergeCell ref="AU743:AU745"/>
    <mergeCell ref="AV743:AV745"/>
    <mergeCell ref="AW743:AW745"/>
    <mergeCell ref="AW746:AW748"/>
    <mergeCell ref="AS746:AS748"/>
    <mergeCell ref="AT746:AT748"/>
    <mergeCell ref="AU746:AU748"/>
    <mergeCell ref="AV746:AV748"/>
    <mergeCell ref="A746:A748"/>
    <mergeCell ref="B746:B748"/>
    <mergeCell ref="C746:C748"/>
    <mergeCell ref="D746:D748"/>
    <mergeCell ref="E746:E748"/>
    <mergeCell ref="AM743:AM745"/>
    <mergeCell ref="AN743:AN745"/>
    <mergeCell ref="AO743:AO745"/>
    <mergeCell ref="AP743:AP745"/>
    <mergeCell ref="AQ743:AQ745"/>
    <mergeCell ref="AR743:AR745"/>
    <mergeCell ref="AG743:AG745"/>
    <mergeCell ref="AH743:AH745"/>
    <mergeCell ref="AI743:AI745"/>
    <mergeCell ref="AJ743:AJ745"/>
    <mergeCell ref="AK743:AK745"/>
    <mergeCell ref="AL743:AL745"/>
    <mergeCell ref="AA743:AA745"/>
    <mergeCell ref="AB743:AB745"/>
    <mergeCell ref="AC743:AC745"/>
    <mergeCell ref="AD743:AD745"/>
    <mergeCell ref="AE743:AE745"/>
    <mergeCell ref="AF743:AF745"/>
    <mergeCell ref="T743:T745"/>
    <mergeCell ref="U743:U745"/>
    <mergeCell ref="V743:V745"/>
    <mergeCell ref="W743:W745"/>
    <mergeCell ref="X743:X745"/>
    <mergeCell ref="Z743:Z745"/>
    <mergeCell ref="N743:N745"/>
    <mergeCell ref="O743:O745"/>
    <mergeCell ref="P743:P745"/>
    <mergeCell ref="Q743:Q745"/>
    <mergeCell ref="R743:R745"/>
    <mergeCell ref="S743:S745"/>
    <mergeCell ref="H743:H745"/>
    <mergeCell ref="I743:I745"/>
    <mergeCell ref="J743:J745"/>
    <mergeCell ref="K743:K745"/>
    <mergeCell ref="L743:L745"/>
    <mergeCell ref="M743:M745"/>
    <mergeCell ref="AQ746:AQ748"/>
    <mergeCell ref="AR746:AR748"/>
    <mergeCell ref="AK746:AK748"/>
    <mergeCell ref="AL746:AL748"/>
    <mergeCell ref="AM746:AM748"/>
    <mergeCell ref="AN746:AN748"/>
    <mergeCell ref="AO746:AO748"/>
    <mergeCell ref="A743:A745"/>
    <mergeCell ref="B743:B745"/>
    <mergeCell ref="C743:C745"/>
    <mergeCell ref="D743:D745"/>
    <mergeCell ref="E743:E745"/>
    <mergeCell ref="F743:F745"/>
    <mergeCell ref="G743:G745"/>
    <mergeCell ref="AP746:AP748"/>
    <mergeCell ref="AE746:AE748"/>
    <mergeCell ref="AF746:AF748"/>
    <mergeCell ref="AG746:AG748"/>
    <mergeCell ref="AH746:AH748"/>
    <mergeCell ref="AI746:AI748"/>
    <mergeCell ref="AJ746:AJ748"/>
    <mergeCell ref="X746:X748"/>
    <mergeCell ref="Z746:Z748"/>
    <mergeCell ref="R737:R739"/>
    <mergeCell ref="S737:S739"/>
    <mergeCell ref="T737:T739"/>
    <mergeCell ref="U737:U739"/>
    <mergeCell ref="V737:V739"/>
    <mergeCell ref="W737:W739"/>
    <mergeCell ref="L737:L739"/>
    <mergeCell ref="M737:M739"/>
    <mergeCell ref="N737:N739"/>
    <mergeCell ref="O737:O739"/>
    <mergeCell ref="P737:P739"/>
    <mergeCell ref="Q737:Q739"/>
    <mergeCell ref="F737:F739"/>
    <mergeCell ref="G737:G739"/>
    <mergeCell ref="H737:H739"/>
    <mergeCell ref="I737:I739"/>
    <mergeCell ref="J737:J739"/>
    <mergeCell ref="K737:K739"/>
    <mergeCell ref="AA746:AA748"/>
    <mergeCell ref="AB746:AB748"/>
    <mergeCell ref="AC746:AC748"/>
    <mergeCell ref="AD746:AD748"/>
    <mergeCell ref="R746:R748"/>
    <mergeCell ref="S746:S748"/>
    <mergeCell ref="T746:T748"/>
    <mergeCell ref="U746:U748"/>
    <mergeCell ref="V746:V748"/>
    <mergeCell ref="W746:W748"/>
    <mergeCell ref="L746:L748"/>
    <mergeCell ref="M746:M748"/>
    <mergeCell ref="N746:N748"/>
    <mergeCell ref="O746:O748"/>
    <mergeCell ref="P746:P748"/>
    <mergeCell ref="Q746:Q748"/>
    <mergeCell ref="F746:F748"/>
    <mergeCell ref="G746:G748"/>
    <mergeCell ref="H746:H748"/>
    <mergeCell ref="I746:I748"/>
    <mergeCell ref="J746:J748"/>
    <mergeCell ref="K746:K748"/>
    <mergeCell ref="AU740:AU742"/>
    <mergeCell ref="AV740:AV742"/>
    <mergeCell ref="AW740:AW742"/>
    <mergeCell ref="A737:A739"/>
    <mergeCell ref="B737:B739"/>
    <mergeCell ref="C737:C739"/>
    <mergeCell ref="D737:D739"/>
    <mergeCell ref="E737:E739"/>
    <mergeCell ref="AO740:AO742"/>
    <mergeCell ref="AP740:AP742"/>
    <mergeCell ref="AQ740:AQ742"/>
    <mergeCell ref="AR740:AR742"/>
    <mergeCell ref="AS740:AS742"/>
    <mergeCell ref="AT740:AT742"/>
    <mergeCell ref="AI740:AI742"/>
    <mergeCell ref="AJ740:AJ742"/>
    <mergeCell ref="AK740:AK742"/>
    <mergeCell ref="AL740:AL742"/>
    <mergeCell ref="AM740:AM742"/>
    <mergeCell ref="AN740:AN742"/>
    <mergeCell ref="AC740:AC742"/>
    <mergeCell ref="AD740:AD742"/>
    <mergeCell ref="AE740:AE742"/>
    <mergeCell ref="AF740:AF742"/>
    <mergeCell ref="AG740:AG742"/>
    <mergeCell ref="AH740:AH742"/>
    <mergeCell ref="V740:V742"/>
    <mergeCell ref="W740:W742"/>
    <mergeCell ref="X740:X742"/>
    <mergeCell ref="Z740:Z742"/>
    <mergeCell ref="AA740:AA742"/>
    <mergeCell ref="AB740:AB742"/>
    <mergeCell ref="P740:P742"/>
    <mergeCell ref="Q740:Q742"/>
    <mergeCell ref="R740:R742"/>
    <mergeCell ref="S740:S742"/>
    <mergeCell ref="T740:T742"/>
    <mergeCell ref="U740:U742"/>
    <mergeCell ref="J740:J742"/>
    <mergeCell ref="K740:K742"/>
    <mergeCell ref="L740:L742"/>
    <mergeCell ref="M740:M742"/>
    <mergeCell ref="N740:N742"/>
    <mergeCell ref="O740:O742"/>
    <mergeCell ref="AG734:AG736"/>
    <mergeCell ref="AH734:AH736"/>
    <mergeCell ref="AI734:AI736"/>
    <mergeCell ref="AJ734:AJ736"/>
    <mergeCell ref="AK734:AK736"/>
    <mergeCell ref="AL734:AL736"/>
    <mergeCell ref="AA734:AA736"/>
    <mergeCell ref="AB734:AB736"/>
    <mergeCell ref="AC734:AC736"/>
    <mergeCell ref="AD734:AD736"/>
    <mergeCell ref="AE734:AE736"/>
    <mergeCell ref="AF734:AF736"/>
    <mergeCell ref="T734:T736"/>
    <mergeCell ref="U734:U736"/>
    <mergeCell ref="V734:V736"/>
    <mergeCell ref="W734:W736"/>
    <mergeCell ref="X734:X736"/>
    <mergeCell ref="Z734:Z736"/>
    <mergeCell ref="N734:N736"/>
    <mergeCell ref="O734:O736"/>
    <mergeCell ref="P734:P736"/>
    <mergeCell ref="Q734:Q736"/>
    <mergeCell ref="R734:R736"/>
    <mergeCell ref="S734:S736"/>
    <mergeCell ref="H734:H736"/>
    <mergeCell ref="I734:I736"/>
    <mergeCell ref="J734:J736"/>
    <mergeCell ref="K734:K736"/>
    <mergeCell ref="L734:L736"/>
    <mergeCell ref="M734:M736"/>
    <mergeCell ref="AW737:AW739"/>
    <mergeCell ref="A740:A742"/>
    <mergeCell ref="B740:B742"/>
    <mergeCell ref="C740:C742"/>
    <mergeCell ref="D740:D742"/>
    <mergeCell ref="E740:E742"/>
    <mergeCell ref="F740:F742"/>
    <mergeCell ref="G740:G742"/>
    <mergeCell ref="H740:H742"/>
    <mergeCell ref="I740:I742"/>
    <mergeCell ref="AQ737:AQ739"/>
    <mergeCell ref="AR737:AR739"/>
    <mergeCell ref="AS737:AS739"/>
    <mergeCell ref="AT737:AT739"/>
    <mergeCell ref="AU737:AU739"/>
    <mergeCell ref="AV737:AV739"/>
    <mergeCell ref="AK737:AK739"/>
    <mergeCell ref="AL737:AL739"/>
    <mergeCell ref="AM737:AM739"/>
    <mergeCell ref="AN737:AN739"/>
    <mergeCell ref="AO737:AO739"/>
    <mergeCell ref="AP737:AP739"/>
    <mergeCell ref="AE737:AE739"/>
    <mergeCell ref="AF737:AF739"/>
    <mergeCell ref="AG737:AG739"/>
    <mergeCell ref="AH737:AH739"/>
    <mergeCell ref="AI737:AI739"/>
    <mergeCell ref="AJ737:AJ739"/>
    <mergeCell ref="X737:X739"/>
    <mergeCell ref="Z737:Z739"/>
    <mergeCell ref="AA737:AA739"/>
    <mergeCell ref="AB737:AB739"/>
    <mergeCell ref="AC737:AC739"/>
    <mergeCell ref="AD737:AD739"/>
    <mergeCell ref="AW731:AW733"/>
    <mergeCell ref="A734:A736"/>
    <mergeCell ref="B734:B736"/>
    <mergeCell ref="C734:C736"/>
    <mergeCell ref="D734:D736"/>
    <mergeCell ref="E734:E736"/>
    <mergeCell ref="F734:F736"/>
    <mergeCell ref="G734:G736"/>
    <mergeCell ref="AO731:AO733"/>
    <mergeCell ref="AP731:AP733"/>
    <mergeCell ref="AQ731:AQ733"/>
    <mergeCell ref="AR731:AR733"/>
    <mergeCell ref="AS731:AS733"/>
    <mergeCell ref="AT731:AT733"/>
    <mergeCell ref="AI731:AI733"/>
    <mergeCell ref="AJ731:AJ733"/>
    <mergeCell ref="AK731:AK733"/>
    <mergeCell ref="AL731:AL733"/>
    <mergeCell ref="AM731:AM733"/>
    <mergeCell ref="AN731:AN733"/>
    <mergeCell ref="AC731:AC733"/>
    <mergeCell ref="AD731:AD733"/>
    <mergeCell ref="AE731:AE733"/>
    <mergeCell ref="AF731:AF733"/>
    <mergeCell ref="AG731:AG733"/>
    <mergeCell ref="AH731:AH733"/>
    <mergeCell ref="V731:V733"/>
    <mergeCell ref="W731:W733"/>
    <mergeCell ref="X731:X733"/>
    <mergeCell ref="Z731:Z733"/>
    <mergeCell ref="AA731:AA733"/>
    <mergeCell ref="AB731:AB733"/>
    <mergeCell ref="P731:P733"/>
    <mergeCell ref="Q731:Q733"/>
    <mergeCell ref="R731:R733"/>
    <mergeCell ref="S731:S733"/>
    <mergeCell ref="T731:T733"/>
    <mergeCell ref="U731:U733"/>
    <mergeCell ref="J731:J733"/>
    <mergeCell ref="K731:K733"/>
    <mergeCell ref="L731:L733"/>
    <mergeCell ref="M731:M733"/>
    <mergeCell ref="N731:N733"/>
    <mergeCell ref="O731:O733"/>
    <mergeCell ref="AS734:AS736"/>
    <mergeCell ref="AT734:AT736"/>
    <mergeCell ref="AU734:AU736"/>
    <mergeCell ref="AV734:AV736"/>
    <mergeCell ref="AW734:AW736"/>
    <mergeCell ref="A731:A733"/>
    <mergeCell ref="B731:B733"/>
    <mergeCell ref="C731:C733"/>
    <mergeCell ref="D731:D733"/>
    <mergeCell ref="E731:E733"/>
    <mergeCell ref="F731:F733"/>
    <mergeCell ref="G731:G733"/>
    <mergeCell ref="H731:H733"/>
    <mergeCell ref="I731:I733"/>
    <mergeCell ref="AM734:AM736"/>
    <mergeCell ref="AN734:AN736"/>
    <mergeCell ref="AO734:AO736"/>
    <mergeCell ref="AP734:AP736"/>
    <mergeCell ref="AQ734:AQ736"/>
    <mergeCell ref="AR734:AR736"/>
    <mergeCell ref="AS728:AS730"/>
    <mergeCell ref="AT728:AT730"/>
    <mergeCell ref="AU728:AU730"/>
    <mergeCell ref="AV728:AV730"/>
    <mergeCell ref="AK728:AK730"/>
    <mergeCell ref="AL728:AL730"/>
    <mergeCell ref="AM728:AM730"/>
    <mergeCell ref="AN728:AN730"/>
    <mergeCell ref="AO728:AO730"/>
    <mergeCell ref="AP728:AP730"/>
    <mergeCell ref="AE728:AE730"/>
    <mergeCell ref="AF728:AF730"/>
    <mergeCell ref="AG728:AG730"/>
    <mergeCell ref="AH728:AH730"/>
    <mergeCell ref="AI728:AI730"/>
    <mergeCell ref="AJ728:AJ730"/>
    <mergeCell ref="X728:X730"/>
    <mergeCell ref="Z728:Z730"/>
    <mergeCell ref="AA728:AA730"/>
    <mergeCell ref="AB728:AB730"/>
    <mergeCell ref="AC728:AC730"/>
    <mergeCell ref="AD728:AD730"/>
    <mergeCell ref="R728:R730"/>
    <mergeCell ref="S728:S730"/>
    <mergeCell ref="T728:T730"/>
    <mergeCell ref="U728:U730"/>
    <mergeCell ref="V728:V730"/>
    <mergeCell ref="W728:W730"/>
    <mergeCell ref="L728:L730"/>
    <mergeCell ref="M728:M730"/>
    <mergeCell ref="N728:N730"/>
    <mergeCell ref="O728:O730"/>
    <mergeCell ref="P728:P730"/>
    <mergeCell ref="Q728:Q730"/>
    <mergeCell ref="F728:F730"/>
    <mergeCell ref="G728:G730"/>
    <mergeCell ref="H728:H730"/>
    <mergeCell ref="I728:I730"/>
    <mergeCell ref="J728:J730"/>
    <mergeCell ref="K728:K730"/>
    <mergeCell ref="AU731:AU733"/>
    <mergeCell ref="AV731:AV733"/>
    <mergeCell ref="AU725:AU727"/>
    <mergeCell ref="AV725:AV727"/>
    <mergeCell ref="AW725:AW727"/>
    <mergeCell ref="A728:A730"/>
    <mergeCell ref="B728:B730"/>
    <mergeCell ref="C728:C730"/>
    <mergeCell ref="D728:D730"/>
    <mergeCell ref="E728:E730"/>
    <mergeCell ref="AM725:AM727"/>
    <mergeCell ref="AN725:AN727"/>
    <mergeCell ref="AO725:AO727"/>
    <mergeCell ref="AP725:AP727"/>
    <mergeCell ref="AQ725:AQ727"/>
    <mergeCell ref="AR725:AR727"/>
    <mergeCell ref="AG725:AG727"/>
    <mergeCell ref="AH725:AH727"/>
    <mergeCell ref="AI725:AI727"/>
    <mergeCell ref="AJ725:AJ727"/>
    <mergeCell ref="AK725:AK727"/>
    <mergeCell ref="AL725:AL727"/>
    <mergeCell ref="AA725:AA727"/>
    <mergeCell ref="AB725:AB727"/>
    <mergeCell ref="AC725:AC727"/>
    <mergeCell ref="AD725:AD727"/>
    <mergeCell ref="AE725:AE727"/>
    <mergeCell ref="AF725:AF727"/>
    <mergeCell ref="T725:T727"/>
    <mergeCell ref="U725:U727"/>
    <mergeCell ref="V725:V727"/>
    <mergeCell ref="W725:W727"/>
    <mergeCell ref="X725:X727"/>
    <mergeCell ref="Z725:Z727"/>
    <mergeCell ref="N725:N727"/>
    <mergeCell ref="O725:O727"/>
    <mergeCell ref="P725:P727"/>
    <mergeCell ref="Q725:Q727"/>
    <mergeCell ref="R725:R727"/>
    <mergeCell ref="S725:S727"/>
    <mergeCell ref="H725:H727"/>
    <mergeCell ref="I725:I727"/>
    <mergeCell ref="J725:J727"/>
    <mergeCell ref="K725:K727"/>
    <mergeCell ref="L725:L727"/>
    <mergeCell ref="M725:M727"/>
    <mergeCell ref="AW728:AW730"/>
    <mergeCell ref="A725:A727"/>
    <mergeCell ref="B725:B727"/>
    <mergeCell ref="C725:C727"/>
    <mergeCell ref="D725:D727"/>
    <mergeCell ref="E725:E727"/>
    <mergeCell ref="F725:F727"/>
    <mergeCell ref="G725:G727"/>
    <mergeCell ref="AS725:AS727"/>
    <mergeCell ref="AT725:AT727"/>
    <mergeCell ref="AQ728:AQ730"/>
    <mergeCell ref="AR728:AR730"/>
    <mergeCell ref="R719:R721"/>
    <mergeCell ref="S719:S721"/>
    <mergeCell ref="T719:T721"/>
    <mergeCell ref="U719:U721"/>
    <mergeCell ref="V719:V721"/>
    <mergeCell ref="W719:W721"/>
    <mergeCell ref="L719:L721"/>
    <mergeCell ref="M719:M721"/>
    <mergeCell ref="N719:N721"/>
    <mergeCell ref="O719:O721"/>
    <mergeCell ref="P719:P721"/>
    <mergeCell ref="Q719:Q721"/>
    <mergeCell ref="F719:F721"/>
    <mergeCell ref="G719:G721"/>
    <mergeCell ref="H719:H721"/>
    <mergeCell ref="I719:I721"/>
    <mergeCell ref="J719:J721"/>
    <mergeCell ref="K719:K721"/>
    <mergeCell ref="AU722:AU724"/>
    <mergeCell ref="AV722:AV724"/>
    <mergeCell ref="AW722:AW724"/>
    <mergeCell ref="A719:A721"/>
    <mergeCell ref="B719:B721"/>
    <mergeCell ref="C719:C721"/>
    <mergeCell ref="D719:D721"/>
    <mergeCell ref="E719:E721"/>
    <mergeCell ref="AO722:AO724"/>
    <mergeCell ref="AP722:AP724"/>
    <mergeCell ref="AQ722:AQ724"/>
    <mergeCell ref="AR722:AR724"/>
    <mergeCell ref="AS722:AS724"/>
    <mergeCell ref="AT722:AT724"/>
    <mergeCell ref="AI722:AI724"/>
    <mergeCell ref="AJ722:AJ724"/>
    <mergeCell ref="AK722:AK724"/>
    <mergeCell ref="AL722:AL724"/>
    <mergeCell ref="AM722:AM724"/>
    <mergeCell ref="AN722:AN724"/>
    <mergeCell ref="AC722:AC724"/>
    <mergeCell ref="AD722:AD724"/>
    <mergeCell ref="AE722:AE724"/>
    <mergeCell ref="AF722:AF724"/>
    <mergeCell ref="AG722:AG724"/>
    <mergeCell ref="AH722:AH724"/>
    <mergeCell ref="V722:V724"/>
    <mergeCell ref="W722:W724"/>
    <mergeCell ref="X722:X724"/>
    <mergeCell ref="Z722:Z724"/>
    <mergeCell ref="AA722:AA724"/>
    <mergeCell ref="AB722:AB724"/>
    <mergeCell ref="P722:P724"/>
    <mergeCell ref="Q722:Q724"/>
    <mergeCell ref="R722:R724"/>
    <mergeCell ref="S722:S724"/>
    <mergeCell ref="T722:T724"/>
    <mergeCell ref="U722:U724"/>
    <mergeCell ref="J722:J724"/>
    <mergeCell ref="K722:K724"/>
    <mergeCell ref="L722:L724"/>
    <mergeCell ref="M722:M724"/>
    <mergeCell ref="N722:N724"/>
    <mergeCell ref="O722:O724"/>
    <mergeCell ref="AG716:AG718"/>
    <mergeCell ref="AH716:AH718"/>
    <mergeCell ref="AI716:AI718"/>
    <mergeCell ref="AJ716:AJ718"/>
    <mergeCell ref="AK716:AK718"/>
    <mergeCell ref="AL716:AL718"/>
    <mergeCell ref="AA716:AA718"/>
    <mergeCell ref="AB716:AB718"/>
    <mergeCell ref="AC716:AC718"/>
    <mergeCell ref="AD716:AD718"/>
    <mergeCell ref="AE716:AE718"/>
    <mergeCell ref="AF716:AF718"/>
    <mergeCell ref="T716:T718"/>
    <mergeCell ref="U716:U718"/>
    <mergeCell ref="V716:V718"/>
    <mergeCell ref="W716:W718"/>
    <mergeCell ref="X716:X718"/>
    <mergeCell ref="Z716:Z718"/>
    <mergeCell ref="N716:N718"/>
    <mergeCell ref="O716:O718"/>
    <mergeCell ref="P716:P718"/>
    <mergeCell ref="Q716:Q718"/>
    <mergeCell ref="R716:R718"/>
    <mergeCell ref="S716:S718"/>
    <mergeCell ref="H716:H718"/>
    <mergeCell ref="I716:I718"/>
    <mergeCell ref="J716:J718"/>
    <mergeCell ref="K716:K718"/>
    <mergeCell ref="L716:L718"/>
    <mergeCell ref="M716:M718"/>
    <mergeCell ref="AW719:AW721"/>
    <mergeCell ref="A722:A724"/>
    <mergeCell ref="B722:B724"/>
    <mergeCell ref="C722:C724"/>
    <mergeCell ref="D722:D724"/>
    <mergeCell ref="E722:E724"/>
    <mergeCell ref="F722:F724"/>
    <mergeCell ref="G722:G724"/>
    <mergeCell ref="H722:H724"/>
    <mergeCell ref="I722:I724"/>
    <mergeCell ref="AQ719:AQ721"/>
    <mergeCell ref="AR719:AR721"/>
    <mergeCell ref="AS719:AS721"/>
    <mergeCell ref="AT719:AT721"/>
    <mergeCell ref="AU719:AU721"/>
    <mergeCell ref="AV719:AV721"/>
    <mergeCell ref="AK719:AK721"/>
    <mergeCell ref="AL719:AL721"/>
    <mergeCell ref="AM719:AM721"/>
    <mergeCell ref="AN719:AN721"/>
    <mergeCell ref="AO719:AO721"/>
    <mergeCell ref="AP719:AP721"/>
    <mergeCell ref="AE719:AE721"/>
    <mergeCell ref="AF719:AF721"/>
    <mergeCell ref="AG719:AG721"/>
    <mergeCell ref="AH719:AH721"/>
    <mergeCell ref="AI719:AI721"/>
    <mergeCell ref="AJ719:AJ721"/>
    <mergeCell ref="X719:X721"/>
    <mergeCell ref="Z719:Z721"/>
    <mergeCell ref="AA719:AA721"/>
    <mergeCell ref="AB719:AB721"/>
    <mergeCell ref="AC719:AC721"/>
    <mergeCell ref="AD719:AD721"/>
    <mergeCell ref="AW713:AW715"/>
    <mergeCell ref="A716:A718"/>
    <mergeCell ref="B716:B718"/>
    <mergeCell ref="C716:C718"/>
    <mergeCell ref="D716:D718"/>
    <mergeCell ref="E716:E718"/>
    <mergeCell ref="F716:F718"/>
    <mergeCell ref="G716:G718"/>
    <mergeCell ref="AO713:AO715"/>
    <mergeCell ref="AP713:AP715"/>
    <mergeCell ref="AQ713:AQ715"/>
    <mergeCell ref="AR713:AR715"/>
    <mergeCell ref="AS713:AS715"/>
    <mergeCell ref="AT713:AT715"/>
    <mergeCell ref="AI713:AI715"/>
    <mergeCell ref="AJ713:AJ715"/>
    <mergeCell ref="AK713:AK715"/>
    <mergeCell ref="AL713:AL715"/>
    <mergeCell ref="AM713:AM715"/>
    <mergeCell ref="AN713:AN715"/>
    <mergeCell ref="AC713:AC715"/>
    <mergeCell ref="AD713:AD715"/>
    <mergeCell ref="AE713:AE715"/>
    <mergeCell ref="AF713:AF715"/>
    <mergeCell ref="AG713:AG715"/>
    <mergeCell ref="AH713:AH715"/>
    <mergeCell ref="V713:V715"/>
    <mergeCell ref="W713:W715"/>
    <mergeCell ref="X713:X715"/>
    <mergeCell ref="Z713:Z715"/>
    <mergeCell ref="AA713:AA715"/>
    <mergeCell ref="AB713:AB715"/>
    <mergeCell ref="P713:P715"/>
    <mergeCell ref="Q713:Q715"/>
    <mergeCell ref="R713:R715"/>
    <mergeCell ref="S713:S715"/>
    <mergeCell ref="T713:T715"/>
    <mergeCell ref="U713:U715"/>
    <mergeCell ref="J713:J715"/>
    <mergeCell ref="K713:K715"/>
    <mergeCell ref="L713:L715"/>
    <mergeCell ref="M713:M715"/>
    <mergeCell ref="N713:N715"/>
    <mergeCell ref="O713:O715"/>
    <mergeCell ref="AS716:AS718"/>
    <mergeCell ref="AT716:AT718"/>
    <mergeCell ref="AU716:AU718"/>
    <mergeCell ref="AV716:AV718"/>
    <mergeCell ref="AW716:AW718"/>
    <mergeCell ref="A713:A715"/>
    <mergeCell ref="B713:B715"/>
    <mergeCell ref="C713:C715"/>
    <mergeCell ref="D713:D715"/>
    <mergeCell ref="E713:E715"/>
    <mergeCell ref="F713:F715"/>
    <mergeCell ref="G713:G715"/>
    <mergeCell ref="H713:H715"/>
    <mergeCell ref="I713:I715"/>
    <mergeCell ref="AM716:AM718"/>
    <mergeCell ref="AN716:AN718"/>
    <mergeCell ref="AO716:AO718"/>
    <mergeCell ref="AP716:AP718"/>
    <mergeCell ref="AQ716:AQ718"/>
    <mergeCell ref="AR716:AR718"/>
    <mergeCell ref="AS710:AS712"/>
    <mergeCell ref="AT710:AT712"/>
    <mergeCell ref="AU710:AU712"/>
    <mergeCell ref="AV710:AV712"/>
    <mergeCell ref="AK710:AK712"/>
    <mergeCell ref="AL710:AL712"/>
    <mergeCell ref="AM710:AM712"/>
    <mergeCell ref="AN710:AN712"/>
    <mergeCell ref="AO710:AO712"/>
    <mergeCell ref="AP710:AP712"/>
    <mergeCell ref="AE710:AE712"/>
    <mergeCell ref="AF710:AF712"/>
    <mergeCell ref="AG710:AG712"/>
    <mergeCell ref="AH710:AH712"/>
    <mergeCell ref="AI710:AI712"/>
    <mergeCell ref="AJ710:AJ712"/>
    <mergeCell ref="X710:X712"/>
    <mergeCell ref="Z710:Z712"/>
    <mergeCell ref="AA710:AA712"/>
    <mergeCell ref="AB710:AB712"/>
    <mergeCell ref="AC710:AC712"/>
    <mergeCell ref="AD710:AD712"/>
    <mergeCell ref="R710:R712"/>
    <mergeCell ref="S710:S712"/>
    <mergeCell ref="T710:T712"/>
    <mergeCell ref="U710:U712"/>
    <mergeCell ref="V710:V712"/>
    <mergeCell ref="W710:W712"/>
    <mergeCell ref="L710:L712"/>
    <mergeCell ref="M710:M712"/>
    <mergeCell ref="N710:N712"/>
    <mergeCell ref="O710:O712"/>
    <mergeCell ref="P710:P712"/>
    <mergeCell ref="Q710:Q712"/>
    <mergeCell ref="F710:F712"/>
    <mergeCell ref="G710:G712"/>
    <mergeCell ref="H710:H712"/>
    <mergeCell ref="I710:I712"/>
    <mergeCell ref="J710:J712"/>
    <mergeCell ref="K710:K712"/>
    <mergeCell ref="AU713:AU715"/>
    <mergeCell ref="AV713:AV715"/>
    <mergeCell ref="AU707:AU709"/>
    <mergeCell ref="AV707:AV709"/>
    <mergeCell ref="AW707:AW709"/>
    <mergeCell ref="A710:A712"/>
    <mergeCell ref="B710:B712"/>
    <mergeCell ref="C710:C712"/>
    <mergeCell ref="D710:D712"/>
    <mergeCell ref="E710:E712"/>
    <mergeCell ref="AM707:AM709"/>
    <mergeCell ref="AN707:AN709"/>
    <mergeCell ref="AO707:AO709"/>
    <mergeCell ref="AP707:AP709"/>
    <mergeCell ref="AQ707:AQ709"/>
    <mergeCell ref="AR707:AR709"/>
    <mergeCell ref="AG707:AG709"/>
    <mergeCell ref="AH707:AH709"/>
    <mergeCell ref="AI707:AI709"/>
    <mergeCell ref="AJ707:AJ709"/>
    <mergeCell ref="AK707:AK709"/>
    <mergeCell ref="AL707:AL709"/>
    <mergeCell ref="AA707:AA709"/>
    <mergeCell ref="AB707:AB709"/>
    <mergeCell ref="AC707:AC709"/>
    <mergeCell ref="AD707:AD709"/>
    <mergeCell ref="AE707:AE709"/>
    <mergeCell ref="AF707:AF709"/>
    <mergeCell ref="T707:T709"/>
    <mergeCell ref="U707:U709"/>
    <mergeCell ref="V707:V709"/>
    <mergeCell ref="W707:W709"/>
    <mergeCell ref="X707:X709"/>
    <mergeCell ref="Z707:Z709"/>
    <mergeCell ref="N707:N709"/>
    <mergeCell ref="O707:O709"/>
    <mergeCell ref="P707:P709"/>
    <mergeCell ref="Q707:Q709"/>
    <mergeCell ref="R707:R709"/>
    <mergeCell ref="S707:S709"/>
    <mergeCell ref="H707:H709"/>
    <mergeCell ref="I707:I709"/>
    <mergeCell ref="J707:J709"/>
    <mergeCell ref="K707:K709"/>
    <mergeCell ref="L707:L709"/>
    <mergeCell ref="M707:M709"/>
    <mergeCell ref="AW710:AW712"/>
    <mergeCell ref="A707:A709"/>
    <mergeCell ref="B707:B709"/>
    <mergeCell ref="C707:C709"/>
    <mergeCell ref="D707:D709"/>
    <mergeCell ref="E707:E709"/>
    <mergeCell ref="F707:F709"/>
    <mergeCell ref="G707:G709"/>
    <mergeCell ref="AS707:AS709"/>
    <mergeCell ref="AT707:AT709"/>
    <mergeCell ref="AQ710:AQ712"/>
    <mergeCell ref="AR710:AR712"/>
    <mergeCell ref="R701:R703"/>
    <mergeCell ref="S701:S703"/>
    <mergeCell ref="T701:T703"/>
    <mergeCell ref="U701:U703"/>
    <mergeCell ref="V701:V703"/>
    <mergeCell ref="W701:W703"/>
    <mergeCell ref="L701:L703"/>
    <mergeCell ref="M701:M703"/>
    <mergeCell ref="N701:N703"/>
    <mergeCell ref="O701:O703"/>
    <mergeCell ref="P701:P703"/>
    <mergeCell ref="Q701:Q703"/>
    <mergeCell ref="F701:F703"/>
    <mergeCell ref="G701:G703"/>
    <mergeCell ref="H701:H703"/>
    <mergeCell ref="I701:I703"/>
    <mergeCell ref="J701:J703"/>
    <mergeCell ref="K701:K703"/>
    <mergeCell ref="AU704:AU706"/>
    <mergeCell ref="AV704:AV706"/>
    <mergeCell ref="AW704:AW706"/>
    <mergeCell ref="A701:A703"/>
    <mergeCell ref="B701:B703"/>
    <mergeCell ref="C701:C703"/>
    <mergeCell ref="D701:D703"/>
    <mergeCell ref="E701:E703"/>
    <mergeCell ref="AO704:AO706"/>
    <mergeCell ref="AP704:AP706"/>
    <mergeCell ref="AQ704:AQ706"/>
    <mergeCell ref="AR704:AR706"/>
    <mergeCell ref="AS704:AS706"/>
    <mergeCell ref="AT704:AT706"/>
    <mergeCell ref="AI704:AI706"/>
    <mergeCell ref="AJ704:AJ706"/>
    <mergeCell ref="AK704:AK706"/>
    <mergeCell ref="AL704:AL706"/>
    <mergeCell ref="AM704:AM706"/>
    <mergeCell ref="AN704:AN706"/>
    <mergeCell ref="AC704:AC706"/>
    <mergeCell ref="AD704:AD706"/>
    <mergeCell ref="AE704:AE706"/>
    <mergeCell ref="AF704:AF706"/>
    <mergeCell ref="AG704:AG706"/>
    <mergeCell ref="AH704:AH706"/>
    <mergeCell ref="V704:V706"/>
    <mergeCell ref="W704:W706"/>
    <mergeCell ref="X704:X706"/>
    <mergeCell ref="Z704:Z706"/>
    <mergeCell ref="AA704:AA706"/>
    <mergeCell ref="AB704:AB706"/>
    <mergeCell ref="P704:P706"/>
    <mergeCell ref="Q704:Q706"/>
    <mergeCell ref="R704:R706"/>
    <mergeCell ref="S704:S706"/>
    <mergeCell ref="T704:T706"/>
    <mergeCell ref="U704:U706"/>
    <mergeCell ref="J704:J706"/>
    <mergeCell ref="K704:K706"/>
    <mergeCell ref="L704:L706"/>
    <mergeCell ref="M704:M706"/>
    <mergeCell ref="N704:N706"/>
    <mergeCell ref="O704:O706"/>
    <mergeCell ref="AG698:AG700"/>
    <mergeCell ref="AH698:AH700"/>
    <mergeCell ref="AI698:AI700"/>
    <mergeCell ref="AJ698:AJ700"/>
    <mergeCell ref="AK698:AK700"/>
    <mergeCell ref="AL698:AL700"/>
    <mergeCell ref="AA698:AA700"/>
    <mergeCell ref="AB698:AB700"/>
    <mergeCell ref="AC698:AC700"/>
    <mergeCell ref="AD698:AD700"/>
    <mergeCell ref="AE698:AE700"/>
    <mergeCell ref="AF698:AF700"/>
    <mergeCell ref="T698:T700"/>
    <mergeCell ref="U698:U700"/>
    <mergeCell ref="V698:V700"/>
    <mergeCell ref="W698:W700"/>
    <mergeCell ref="X698:X700"/>
    <mergeCell ref="Z698:Z700"/>
    <mergeCell ref="N698:N700"/>
    <mergeCell ref="O698:O700"/>
    <mergeCell ref="P698:P700"/>
    <mergeCell ref="Q698:Q700"/>
    <mergeCell ref="R698:R700"/>
    <mergeCell ref="S698:S700"/>
    <mergeCell ref="H698:H700"/>
    <mergeCell ref="I698:I700"/>
    <mergeCell ref="J698:J700"/>
    <mergeCell ref="K698:K700"/>
    <mergeCell ref="L698:L700"/>
    <mergeCell ref="M698:M700"/>
    <mergeCell ref="AW701:AW703"/>
    <mergeCell ref="A704:A706"/>
    <mergeCell ref="B704:B706"/>
    <mergeCell ref="C704:C706"/>
    <mergeCell ref="D704:D706"/>
    <mergeCell ref="E704:E706"/>
    <mergeCell ref="F704:F706"/>
    <mergeCell ref="G704:G706"/>
    <mergeCell ref="H704:H706"/>
    <mergeCell ref="I704:I706"/>
    <mergeCell ref="AQ701:AQ703"/>
    <mergeCell ref="AR701:AR703"/>
    <mergeCell ref="AS701:AS703"/>
    <mergeCell ref="AT701:AT703"/>
    <mergeCell ref="AU701:AU703"/>
    <mergeCell ref="AV701:AV703"/>
    <mergeCell ref="AK701:AK703"/>
    <mergeCell ref="AL701:AL703"/>
    <mergeCell ref="AM701:AM703"/>
    <mergeCell ref="AN701:AN703"/>
    <mergeCell ref="AO701:AO703"/>
    <mergeCell ref="AP701:AP703"/>
    <mergeCell ref="AE701:AE703"/>
    <mergeCell ref="AF701:AF703"/>
    <mergeCell ref="AG701:AG703"/>
    <mergeCell ref="AH701:AH703"/>
    <mergeCell ref="AI701:AI703"/>
    <mergeCell ref="AJ701:AJ703"/>
    <mergeCell ref="X701:X703"/>
    <mergeCell ref="Z701:Z703"/>
    <mergeCell ref="AA701:AA703"/>
    <mergeCell ref="AB701:AB703"/>
    <mergeCell ref="AC701:AC703"/>
    <mergeCell ref="AD701:AD703"/>
    <mergeCell ref="AW695:AW697"/>
    <mergeCell ref="A698:A700"/>
    <mergeCell ref="B698:B700"/>
    <mergeCell ref="C698:C700"/>
    <mergeCell ref="D698:D700"/>
    <mergeCell ref="E698:E700"/>
    <mergeCell ref="F698:F700"/>
    <mergeCell ref="G698:G700"/>
    <mergeCell ref="AO695:AO697"/>
    <mergeCell ref="AP695:AP697"/>
    <mergeCell ref="AQ695:AQ697"/>
    <mergeCell ref="AR695:AR697"/>
    <mergeCell ref="AS695:AS697"/>
    <mergeCell ref="AT695:AT697"/>
    <mergeCell ref="AI695:AI697"/>
    <mergeCell ref="AJ695:AJ697"/>
    <mergeCell ref="AK695:AK697"/>
    <mergeCell ref="AL695:AL697"/>
    <mergeCell ref="AM695:AM697"/>
    <mergeCell ref="AN695:AN697"/>
    <mergeCell ref="AC695:AC697"/>
    <mergeCell ref="AD695:AD697"/>
    <mergeCell ref="AE695:AE697"/>
    <mergeCell ref="AF695:AF697"/>
    <mergeCell ref="AG695:AG697"/>
    <mergeCell ref="AH695:AH697"/>
    <mergeCell ref="V695:V697"/>
    <mergeCell ref="W695:W697"/>
    <mergeCell ref="X695:X697"/>
    <mergeCell ref="Z695:Z697"/>
    <mergeCell ref="AA695:AA697"/>
    <mergeCell ref="AB695:AB697"/>
    <mergeCell ref="P695:P697"/>
    <mergeCell ref="Q695:Q697"/>
    <mergeCell ref="R695:R697"/>
    <mergeCell ref="S695:S697"/>
    <mergeCell ref="T695:T697"/>
    <mergeCell ref="U695:U697"/>
    <mergeCell ref="J695:J697"/>
    <mergeCell ref="K695:K697"/>
    <mergeCell ref="L695:L697"/>
    <mergeCell ref="M695:M697"/>
    <mergeCell ref="N695:N697"/>
    <mergeCell ref="O695:O697"/>
    <mergeCell ref="AS698:AS700"/>
    <mergeCell ref="AT698:AT700"/>
    <mergeCell ref="AU698:AU700"/>
    <mergeCell ref="AV698:AV700"/>
    <mergeCell ref="AW698:AW700"/>
    <mergeCell ref="A695:A697"/>
    <mergeCell ref="B695:B697"/>
    <mergeCell ref="C695:C697"/>
    <mergeCell ref="D695:D697"/>
    <mergeCell ref="E695:E697"/>
    <mergeCell ref="F695:F697"/>
    <mergeCell ref="G695:G697"/>
    <mergeCell ref="H695:H697"/>
    <mergeCell ref="I695:I697"/>
    <mergeCell ref="AM698:AM700"/>
    <mergeCell ref="AN698:AN700"/>
    <mergeCell ref="AO698:AO700"/>
    <mergeCell ref="AP698:AP700"/>
    <mergeCell ref="AQ698:AQ700"/>
    <mergeCell ref="AR698:AR700"/>
    <mergeCell ref="AS692:AS694"/>
    <mergeCell ref="AT692:AT694"/>
    <mergeCell ref="AU692:AU694"/>
    <mergeCell ref="AV692:AV694"/>
    <mergeCell ref="AK692:AK694"/>
    <mergeCell ref="AL692:AL694"/>
    <mergeCell ref="AM692:AM694"/>
    <mergeCell ref="AN692:AN694"/>
    <mergeCell ref="AO692:AO694"/>
    <mergeCell ref="AP692:AP694"/>
    <mergeCell ref="AE692:AE694"/>
    <mergeCell ref="AF692:AF694"/>
    <mergeCell ref="AG692:AG694"/>
    <mergeCell ref="AH692:AH694"/>
    <mergeCell ref="AI692:AI694"/>
    <mergeCell ref="AJ692:AJ694"/>
    <mergeCell ref="X692:X694"/>
    <mergeCell ref="Z692:Z694"/>
    <mergeCell ref="AA692:AA694"/>
    <mergeCell ref="AB692:AB694"/>
    <mergeCell ref="AC692:AC694"/>
    <mergeCell ref="AD692:AD694"/>
    <mergeCell ref="R692:R694"/>
    <mergeCell ref="S692:S694"/>
    <mergeCell ref="T692:T694"/>
    <mergeCell ref="U692:U694"/>
    <mergeCell ref="V692:V694"/>
    <mergeCell ref="W692:W694"/>
    <mergeCell ref="L692:L694"/>
    <mergeCell ref="M692:M694"/>
    <mergeCell ref="N692:N694"/>
    <mergeCell ref="O692:O694"/>
    <mergeCell ref="P692:P694"/>
    <mergeCell ref="Q692:Q694"/>
    <mergeCell ref="F692:F694"/>
    <mergeCell ref="G692:G694"/>
    <mergeCell ref="H692:H694"/>
    <mergeCell ref="I692:I694"/>
    <mergeCell ref="J692:J694"/>
    <mergeCell ref="K692:K694"/>
    <mergeCell ref="AU695:AU697"/>
    <mergeCell ref="AV695:AV697"/>
    <mergeCell ref="AU689:AU691"/>
    <mergeCell ref="AV689:AV691"/>
    <mergeCell ref="AW689:AW691"/>
    <mergeCell ref="A692:A694"/>
    <mergeCell ref="B692:B694"/>
    <mergeCell ref="C692:C694"/>
    <mergeCell ref="D692:D694"/>
    <mergeCell ref="E692:E694"/>
    <mergeCell ref="AM689:AM691"/>
    <mergeCell ref="AN689:AN691"/>
    <mergeCell ref="AO689:AO691"/>
    <mergeCell ref="AP689:AP691"/>
    <mergeCell ref="AQ689:AQ691"/>
    <mergeCell ref="AR689:AR691"/>
    <mergeCell ref="AG689:AG691"/>
    <mergeCell ref="AH689:AH691"/>
    <mergeCell ref="AI689:AI691"/>
    <mergeCell ref="AJ689:AJ691"/>
    <mergeCell ref="AK689:AK691"/>
    <mergeCell ref="AL689:AL691"/>
    <mergeCell ref="AA689:AA691"/>
    <mergeCell ref="AB689:AB691"/>
    <mergeCell ref="AC689:AC691"/>
    <mergeCell ref="AD689:AD691"/>
    <mergeCell ref="AE689:AE691"/>
    <mergeCell ref="AF689:AF691"/>
    <mergeCell ref="T689:T691"/>
    <mergeCell ref="U689:U691"/>
    <mergeCell ref="V689:V691"/>
    <mergeCell ref="W689:W691"/>
    <mergeCell ref="X689:X691"/>
    <mergeCell ref="Z689:Z691"/>
    <mergeCell ref="N689:N691"/>
    <mergeCell ref="O689:O691"/>
    <mergeCell ref="P689:P691"/>
    <mergeCell ref="Q689:Q691"/>
    <mergeCell ref="R689:R691"/>
    <mergeCell ref="S689:S691"/>
    <mergeCell ref="H689:H691"/>
    <mergeCell ref="I689:I691"/>
    <mergeCell ref="J689:J691"/>
    <mergeCell ref="K689:K691"/>
    <mergeCell ref="L689:L691"/>
    <mergeCell ref="M689:M691"/>
    <mergeCell ref="AW692:AW694"/>
    <mergeCell ref="A689:A691"/>
    <mergeCell ref="B689:B691"/>
    <mergeCell ref="C689:C691"/>
    <mergeCell ref="D689:D691"/>
    <mergeCell ref="E689:E691"/>
    <mergeCell ref="F689:F691"/>
    <mergeCell ref="G689:G691"/>
    <mergeCell ref="AS689:AS691"/>
    <mergeCell ref="AT689:AT691"/>
    <mergeCell ref="AQ692:AQ694"/>
    <mergeCell ref="AR692:AR694"/>
    <mergeCell ref="R683:R685"/>
    <mergeCell ref="S683:S685"/>
    <mergeCell ref="T683:T685"/>
    <mergeCell ref="U683:U685"/>
    <mergeCell ref="V683:V685"/>
    <mergeCell ref="W683:W685"/>
    <mergeCell ref="L683:L685"/>
    <mergeCell ref="M683:M685"/>
    <mergeCell ref="N683:N685"/>
    <mergeCell ref="O683:O685"/>
    <mergeCell ref="P683:P685"/>
    <mergeCell ref="Q683:Q685"/>
    <mergeCell ref="F683:F685"/>
    <mergeCell ref="G683:G685"/>
    <mergeCell ref="H683:H685"/>
    <mergeCell ref="I683:I685"/>
    <mergeCell ref="J683:J685"/>
    <mergeCell ref="K683:K685"/>
    <mergeCell ref="AU686:AU688"/>
    <mergeCell ref="AV686:AV688"/>
    <mergeCell ref="AW686:AW688"/>
    <mergeCell ref="A683:A685"/>
    <mergeCell ref="B683:B685"/>
    <mergeCell ref="C683:C685"/>
    <mergeCell ref="D683:D685"/>
    <mergeCell ref="E683:E685"/>
    <mergeCell ref="AO686:AO688"/>
    <mergeCell ref="AP686:AP688"/>
    <mergeCell ref="AQ686:AQ688"/>
    <mergeCell ref="AR686:AR688"/>
    <mergeCell ref="AS686:AS688"/>
    <mergeCell ref="AT686:AT688"/>
    <mergeCell ref="AI686:AI688"/>
    <mergeCell ref="AJ686:AJ688"/>
    <mergeCell ref="AK686:AK688"/>
    <mergeCell ref="AL686:AL688"/>
    <mergeCell ref="AM686:AM688"/>
    <mergeCell ref="AN686:AN688"/>
    <mergeCell ref="AC686:AC688"/>
    <mergeCell ref="AD686:AD688"/>
    <mergeCell ref="AE686:AE688"/>
    <mergeCell ref="AF686:AF688"/>
    <mergeCell ref="AG686:AG688"/>
    <mergeCell ref="AH686:AH688"/>
    <mergeCell ref="V686:V688"/>
    <mergeCell ref="W686:W688"/>
    <mergeCell ref="X686:X688"/>
    <mergeCell ref="Z686:Z688"/>
    <mergeCell ref="AA686:AA688"/>
    <mergeCell ref="AB686:AB688"/>
    <mergeCell ref="P686:P688"/>
    <mergeCell ref="Q686:Q688"/>
    <mergeCell ref="R686:R688"/>
    <mergeCell ref="S686:S688"/>
    <mergeCell ref="T686:T688"/>
    <mergeCell ref="U686:U688"/>
    <mergeCell ref="J686:J688"/>
    <mergeCell ref="K686:K688"/>
    <mergeCell ref="L686:L688"/>
    <mergeCell ref="M686:M688"/>
    <mergeCell ref="N686:N688"/>
    <mergeCell ref="O686:O688"/>
    <mergeCell ref="AG680:AG682"/>
    <mergeCell ref="AH680:AH682"/>
    <mergeCell ref="AI680:AI682"/>
    <mergeCell ref="AJ680:AJ682"/>
    <mergeCell ref="AK680:AK682"/>
    <mergeCell ref="AL680:AL682"/>
    <mergeCell ref="AA680:AA682"/>
    <mergeCell ref="AB680:AB682"/>
    <mergeCell ref="AC680:AC682"/>
    <mergeCell ref="AD680:AD682"/>
    <mergeCell ref="AE680:AE682"/>
    <mergeCell ref="AF680:AF682"/>
    <mergeCell ref="T680:T682"/>
    <mergeCell ref="U680:U682"/>
    <mergeCell ref="V680:V682"/>
    <mergeCell ref="W680:W682"/>
    <mergeCell ref="X680:X682"/>
    <mergeCell ref="Z680:Z682"/>
    <mergeCell ref="N680:N682"/>
    <mergeCell ref="O680:O682"/>
    <mergeCell ref="P680:P682"/>
    <mergeCell ref="Q680:Q682"/>
    <mergeCell ref="R680:R682"/>
    <mergeCell ref="S680:S682"/>
    <mergeCell ref="H680:H682"/>
    <mergeCell ref="I680:I682"/>
    <mergeCell ref="J680:J682"/>
    <mergeCell ref="K680:K682"/>
    <mergeCell ref="L680:L682"/>
    <mergeCell ref="M680:M682"/>
    <mergeCell ref="AW683:AW685"/>
    <mergeCell ref="A686:A688"/>
    <mergeCell ref="B686:B688"/>
    <mergeCell ref="C686:C688"/>
    <mergeCell ref="D686:D688"/>
    <mergeCell ref="E686:E688"/>
    <mergeCell ref="F686:F688"/>
    <mergeCell ref="G686:G688"/>
    <mergeCell ref="H686:H688"/>
    <mergeCell ref="I686:I688"/>
    <mergeCell ref="AQ683:AQ685"/>
    <mergeCell ref="AR683:AR685"/>
    <mergeCell ref="AS683:AS685"/>
    <mergeCell ref="AT683:AT685"/>
    <mergeCell ref="AU683:AU685"/>
    <mergeCell ref="AV683:AV685"/>
    <mergeCell ref="AK683:AK685"/>
    <mergeCell ref="AL683:AL685"/>
    <mergeCell ref="AM683:AM685"/>
    <mergeCell ref="AN683:AN685"/>
    <mergeCell ref="AO683:AO685"/>
    <mergeCell ref="AP683:AP685"/>
    <mergeCell ref="AE683:AE685"/>
    <mergeCell ref="AF683:AF685"/>
    <mergeCell ref="AG683:AG685"/>
    <mergeCell ref="AH683:AH685"/>
    <mergeCell ref="AI683:AI685"/>
    <mergeCell ref="AJ683:AJ685"/>
    <mergeCell ref="X683:X685"/>
    <mergeCell ref="Z683:Z685"/>
    <mergeCell ref="AA683:AA685"/>
    <mergeCell ref="AB683:AB685"/>
    <mergeCell ref="AC683:AC685"/>
    <mergeCell ref="AD683:AD685"/>
    <mergeCell ref="AW677:AW679"/>
    <mergeCell ref="A680:A682"/>
    <mergeCell ref="B680:B682"/>
    <mergeCell ref="C680:C682"/>
    <mergeCell ref="D680:D682"/>
    <mergeCell ref="E680:E682"/>
    <mergeCell ref="F680:F682"/>
    <mergeCell ref="G680:G682"/>
    <mergeCell ref="AO677:AO679"/>
    <mergeCell ref="AP677:AP679"/>
    <mergeCell ref="AQ677:AQ679"/>
    <mergeCell ref="AR677:AR679"/>
    <mergeCell ref="AS677:AS679"/>
    <mergeCell ref="AT677:AT679"/>
    <mergeCell ref="AI677:AI679"/>
    <mergeCell ref="AJ677:AJ679"/>
    <mergeCell ref="AK677:AK679"/>
    <mergeCell ref="AL677:AL679"/>
    <mergeCell ref="AM677:AM679"/>
    <mergeCell ref="AN677:AN679"/>
    <mergeCell ref="AC677:AC679"/>
    <mergeCell ref="AD677:AD679"/>
    <mergeCell ref="AE677:AE679"/>
    <mergeCell ref="AF677:AF679"/>
    <mergeCell ref="AG677:AG679"/>
    <mergeCell ref="AH677:AH679"/>
    <mergeCell ref="V677:V679"/>
    <mergeCell ref="W677:W679"/>
    <mergeCell ref="X677:X679"/>
    <mergeCell ref="Z677:Z679"/>
    <mergeCell ref="AA677:AA679"/>
    <mergeCell ref="AB677:AB679"/>
    <mergeCell ref="P677:P679"/>
    <mergeCell ref="Q677:Q679"/>
    <mergeCell ref="R677:R679"/>
    <mergeCell ref="S677:S679"/>
    <mergeCell ref="T677:T679"/>
    <mergeCell ref="U677:U679"/>
    <mergeCell ref="J677:J679"/>
    <mergeCell ref="K677:K679"/>
    <mergeCell ref="L677:L679"/>
    <mergeCell ref="M677:M679"/>
    <mergeCell ref="N677:N679"/>
    <mergeCell ref="O677:O679"/>
    <mergeCell ref="AS680:AS682"/>
    <mergeCell ref="AT680:AT682"/>
    <mergeCell ref="AU680:AU682"/>
    <mergeCell ref="AV680:AV682"/>
    <mergeCell ref="AW680:AW682"/>
    <mergeCell ref="A677:A679"/>
    <mergeCell ref="B677:B679"/>
    <mergeCell ref="C677:C679"/>
    <mergeCell ref="D677:D679"/>
    <mergeCell ref="E677:E679"/>
    <mergeCell ref="F677:F679"/>
    <mergeCell ref="G677:G679"/>
    <mergeCell ref="H677:H679"/>
    <mergeCell ref="I677:I679"/>
    <mergeCell ref="AM680:AM682"/>
    <mergeCell ref="AN680:AN682"/>
    <mergeCell ref="AO680:AO682"/>
    <mergeCell ref="AP680:AP682"/>
    <mergeCell ref="AQ680:AQ682"/>
    <mergeCell ref="AR680:AR682"/>
    <mergeCell ref="AS674:AS676"/>
    <mergeCell ref="AT674:AT676"/>
    <mergeCell ref="AU674:AU676"/>
    <mergeCell ref="AV674:AV676"/>
    <mergeCell ref="AK674:AK676"/>
    <mergeCell ref="AL674:AL676"/>
    <mergeCell ref="AM674:AM676"/>
    <mergeCell ref="AN674:AN676"/>
    <mergeCell ref="AO674:AO676"/>
    <mergeCell ref="AP674:AP676"/>
    <mergeCell ref="AE674:AE676"/>
    <mergeCell ref="AF674:AF676"/>
    <mergeCell ref="AG674:AG676"/>
    <mergeCell ref="AH674:AH676"/>
    <mergeCell ref="AI674:AI676"/>
    <mergeCell ref="AJ674:AJ676"/>
    <mergeCell ref="X674:X676"/>
    <mergeCell ref="Z674:Z676"/>
    <mergeCell ref="AA674:AA676"/>
    <mergeCell ref="AB674:AB676"/>
    <mergeCell ref="AC674:AC676"/>
    <mergeCell ref="AD674:AD676"/>
    <mergeCell ref="R674:R676"/>
    <mergeCell ref="S674:S676"/>
    <mergeCell ref="T674:T676"/>
    <mergeCell ref="U674:U676"/>
    <mergeCell ref="V674:V676"/>
    <mergeCell ref="W674:W676"/>
    <mergeCell ref="L674:L676"/>
    <mergeCell ref="M674:M676"/>
    <mergeCell ref="N674:N676"/>
    <mergeCell ref="O674:O676"/>
    <mergeCell ref="P674:P676"/>
    <mergeCell ref="Q674:Q676"/>
    <mergeCell ref="F674:F676"/>
    <mergeCell ref="G674:G676"/>
    <mergeCell ref="H674:H676"/>
    <mergeCell ref="I674:I676"/>
    <mergeCell ref="J674:J676"/>
    <mergeCell ref="K674:K676"/>
    <mergeCell ref="AU677:AU679"/>
    <mergeCell ref="AV677:AV679"/>
    <mergeCell ref="AU671:AU673"/>
    <mergeCell ref="AV671:AV673"/>
    <mergeCell ref="AW671:AW673"/>
    <mergeCell ref="A674:A676"/>
    <mergeCell ref="B674:B676"/>
    <mergeCell ref="C674:C676"/>
    <mergeCell ref="D674:D676"/>
    <mergeCell ref="E674:E676"/>
    <mergeCell ref="AM671:AM673"/>
    <mergeCell ref="AN671:AN673"/>
    <mergeCell ref="AO671:AO673"/>
    <mergeCell ref="AP671:AP673"/>
    <mergeCell ref="AQ671:AQ673"/>
    <mergeCell ref="AR671:AR673"/>
    <mergeCell ref="AG671:AG673"/>
    <mergeCell ref="AH671:AH673"/>
    <mergeCell ref="AI671:AI673"/>
    <mergeCell ref="AJ671:AJ673"/>
    <mergeCell ref="AK671:AK673"/>
    <mergeCell ref="AL671:AL673"/>
    <mergeCell ref="AA671:AA673"/>
    <mergeCell ref="AB671:AB673"/>
    <mergeCell ref="AC671:AC673"/>
    <mergeCell ref="AD671:AD673"/>
    <mergeCell ref="AE671:AE673"/>
    <mergeCell ref="AF671:AF673"/>
    <mergeCell ref="T671:T673"/>
    <mergeCell ref="U671:U673"/>
    <mergeCell ref="V671:V673"/>
    <mergeCell ref="W671:W673"/>
    <mergeCell ref="X671:X673"/>
    <mergeCell ref="Z671:Z673"/>
    <mergeCell ref="N671:N673"/>
    <mergeCell ref="O671:O673"/>
    <mergeCell ref="P671:P673"/>
    <mergeCell ref="Q671:Q673"/>
    <mergeCell ref="R671:R673"/>
    <mergeCell ref="S671:S673"/>
    <mergeCell ref="H671:H673"/>
    <mergeCell ref="I671:I673"/>
    <mergeCell ref="J671:J673"/>
    <mergeCell ref="K671:K673"/>
    <mergeCell ref="L671:L673"/>
    <mergeCell ref="M671:M673"/>
    <mergeCell ref="AW674:AW676"/>
    <mergeCell ref="A671:A673"/>
    <mergeCell ref="B671:B673"/>
    <mergeCell ref="C671:C673"/>
    <mergeCell ref="D671:D673"/>
    <mergeCell ref="E671:E673"/>
    <mergeCell ref="F671:F673"/>
    <mergeCell ref="G671:G673"/>
    <mergeCell ref="AS671:AS673"/>
    <mergeCell ref="AT671:AT673"/>
    <mergeCell ref="AQ674:AQ676"/>
    <mergeCell ref="AR674:AR676"/>
    <mergeCell ref="R665:R667"/>
    <mergeCell ref="S665:S667"/>
    <mergeCell ref="T665:T667"/>
    <mergeCell ref="U665:U667"/>
    <mergeCell ref="V665:V667"/>
    <mergeCell ref="W665:W667"/>
    <mergeCell ref="L665:L667"/>
    <mergeCell ref="M665:M667"/>
    <mergeCell ref="N665:N667"/>
    <mergeCell ref="O665:O667"/>
    <mergeCell ref="P665:P667"/>
    <mergeCell ref="Q665:Q667"/>
    <mergeCell ref="F665:F667"/>
    <mergeCell ref="G665:G667"/>
    <mergeCell ref="H665:H667"/>
    <mergeCell ref="I665:I667"/>
    <mergeCell ref="J665:J667"/>
    <mergeCell ref="K665:K667"/>
    <mergeCell ref="AU668:AU670"/>
    <mergeCell ref="AV668:AV670"/>
    <mergeCell ref="AW668:AW670"/>
    <mergeCell ref="A665:A667"/>
    <mergeCell ref="B665:B667"/>
    <mergeCell ref="C665:C667"/>
    <mergeCell ref="D665:D667"/>
    <mergeCell ref="E665:E667"/>
    <mergeCell ref="AO668:AO670"/>
    <mergeCell ref="AP668:AP670"/>
    <mergeCell ref="AQ668:AQ670"/>
    <mergeCell ref="AR668:AR670"/>
    <mergeCell ref="AS668:AS670"/>
    <mergeCell ref="AT668:AT670"/>
    <mergeCell ref="AI668:AI670"/>
    <mergeCell ref="AJ668:AJ670"/>
    <mergeCell ref="AK668:AK670"/>
    <mergeCell ref="AL668:AL670"/>
    <mergeCell ref="AM668:AM670"/>
    <mergeCell ref="AN668:AN670"/>
    <mergeCell ref="AC668:AC670"/>
    <mergeCell ref="AD668:AD670"/>
    <mergeCell ref="AE668:AE670"/>
    <mergeCell ref="AF668:AF670"/>
    <mergeCell ref="AG668:AG670"/>
    <mergeCell ref="AH668:AH670"/>
    <mergeCell ref="V668:V670"/>
    <mergeCell ref="W668:W670"/>
    <mergeCell ref="X668:X670"/>
    <mergeCell ref="Z668:Z670"/>
    <mergeCell ref="AA668:AA670"/>
    <mergeCell ref="AB668:AB670"/>
    <mergeCell ref="P668:P670"/>
    <mergeCell ref="Q668:Q670"/>
    <mergeCell ref="R668:R670"/>
    <mergeCell ref="S668:S670"/>
    <mergeCell ref="T668:T670"/>
    <mergeCell ref="U668:U670"/>
    <mergeCell ref="J668:J670"/>
    <mergeCell ref="K668:K670"/>
    <mergeCell ref="L668:L670"/>
    <mergeCell ref="M668:M670"/>
    <mergeCell ref="N668:N670"/>
    <mergeCell ref="O668:O670"/>
    <mergeCell ref="AG662:AG664"/>
    <mergeCell ref="AH662:AH664"/>
    <mergeCell ref="AI662:AI664"/>
    <mergeCell ref="AJ662:AJ664"/>
    <mergeCell ref="AK662:AK664"/>
    <mergeCell ref="AL662:AL664"/>
    <mergeCell ref="AA662:AA664"/>
    <mergeCell ref="AB662:AB664"/>
    <mergeCell ref="AC662:AC664"/>
    <mergeCell ref="AD662:AD664"/>
    <mergeCell ref="AE662:AE664"/>
    <mergeCell ref="AF662:AF664"/>
    <mergeCell ref="T662:T664"/>
    <mergeCell ref="U662:U664"/>
    <mergeCell ref="V662:V664"/>
    <mergeCell ref="W662:W664"/>
    <mergeCell ref="X662:X664"/>
    <mergeCell ref="Z662:Z664"/>
    <mergeCell ref="N662:N664"/>
    <mergeCell ref="O662:O664"/>
    <mergeCell ref="P662:P664"/>
    <mergeCell ref="Q662:Q664"/>
    <mergeCell ref="R662:R664"/>
    <mergeCell ref="S662:S664"/>
    <mergeCell ref="H662:H664"/>
    <mergeCell ref="I662:I664"/>
    <mergeCell ref="J662:J664"/>
    <mergeCell ref="K662:K664"/>
    <mergeCell ref="L662:L664"/>
    <mergeCell ref="M662:M664"/>
    <mergeCell ref="AW665:AW667"/>
    <mergeCell ref="A668:A670"/>
    <mergeCell ref="B668:B670"/>
    <mergeCell ref="C668:C670"/>
    <mergeCell ref="D668:D670"/>
    <mergeCell ref="E668:E670"/>
    <mergeCell ref="F668:F670"/>
    <mergeCell ref="G668:G670"/>
    <mergeCell ref="H668:H670"/>
    <mergeCell ref="I668:I670"/>
    <mergeCell ref="AQ665:AQ667"/>
    <mergeCell ref="AR665:AR667"/>
    <mergeCell ref="AS665:AS667"/>
    <mergeCell ref="AT665:AT667"/>
    <mergeCell ref="AU665:AU667"/>
    <mergeCell ref="AV665:AV667"/>
    <mergeCell ref="AK665:AK667"/>
    <mergeCell ref="AL665:AL667"/>
    <mergeCell ref="AM665:AM667"/>
    <mergeCell ref="AN665:AN667"/>
    <mergeCell ref="AO665:AO667"/>
    <mergeCell ref="AP665:AP667"/>
    <mergeCell ref="AE665:AE667"/>
    <mergeCell ref="AF665:AF667"/>
    <mergeCell ref="AG665:AG667"/>
    <mergeCell ref="AH665:AH667"/>
    <mergeCell ref="AI665:AI667"/>
    <mergeCell ref="AJ665:AJ667"/>
    <mergeCell ref="X665:X667"/>
    <mergeCell ref="Z665:Z667"/>
    <mergeCell ref="AA665:AA667"/>
    <mergeCell ref="AB665:AB667"/>
    <mergeCell ref="AC665:AC667"/>
    <mergeCell ref="AD665:AD667"/>
    <mergeCell ref="AW659:AW661"/>
    <mergeCell ref="A662:A664"/>
    <mergeCell ref="B662:B664"/>
    <mergeCell ref="C662:C664"/>
    <mergeCell ref="D662:D664"/>
    <mergeCell ref="E662:E664"/>
    <mergeCell ref="F662:F664"/>
    <mergeCell ref="G662:G664"/>
    <mergeCell ref="AO659:AO661"/>
    <mergeCell ref="AP659:AP661"/>
    <mergeCell ref="AQ659:AQ661"/>
    <mergeCell ref="AR659:AR661"/>
    <mergeCell ref="AS659:AS661"/>
    <mergeCell ref="AT659:AT661"/>
    <mergeCell ref="AI659:AI661"/>
    <mergeCell ref="AJ659:AJ661"/>
    <mergeCell ref="AK659:AK661"/>
    <mergeCell ref="AL659:AL661"/>
    <mergeCell ref="AM659:AM661"/>
    <mergeCell ref="AN659:AN661"/>
    <mergeCell ref="AC659:AC661"/>
    <mergeCell ref="AD659:AD661"/>
    <mergeCell ref="AE659:AE661"/>
    <mergeCell ref="AF659:AF661"/>
    <mergeCell ref="AG659:AG661"/>
    <mergeCell ref="AH659:AH661"/>
    <mergeCell ref="V659:V661"/>
    <mergeCell ref="W659:W661"/>
    <mergeCell ref="X659:X661"/>
    <mergeCell ref="Z659:Z661"/>
    <mergeCell ref="AA659:AA661"/>
    <mergeCell ref="AB659:AB661"/>
    <mergeCell ref="P659:P661"/>
    <mergeCell ref="Q659:Q661"/>
    <mergeCell ref="R659:R661"/>
    <mergeCell ref="S659:S661"/>
    <mergeCell ref="T659:T661"/>
    <mergeCell ref="U659:U661"/>
    <mergeCell ref="J659:J661"/>
    <mergeCell ref="K659:K661"/>
    <mergeCell ref="L659:L661"/>
    <mergeCell ref="M659:M661"/>
    <mergeCell ref="N659:N661"/>
    <mergeCell ref="O659:O661"/>
    <mergeCell ref="AS662:AS664"/>
    <mergeCell ref="AT662:AT664"/>
    <mergeCell ref="AU662:AU664"/>
    <mergeCell ref="AV662:AV664"/>
    <mergeCell ref="AW662:AW664"/>
    <mergeCell ref="A659:A661"/>
    <mergeCell ref="B659:B661"/>
    <mergeCell ref="C659:C661"/>
    <mergeCell ref="D659:D661"/>
    <mergeCell ref="E659:E661"/>
    <mergeCell ref="F659:F661"/>
    <mergeCell ref="G659:G661"/>
    <mergeCell ref="H659:H661"/>
    <mergeCell ref="I659:I661"/>
    <mergeCell ref="AM662:AM664"/>
    <mergeCell ref="AN662:AN664"/>
    <mergeCell ref="AO662:AO664"/>
    <mergeCell ref="AP662:AP664"/>
    <mergeCell ref="AQ662:AQ664"/>
    <mergeCell ref="AR662:AR664"/>
    <mergeCell ref="AS656:AS658"/>
    <mergeCell ref="AT656:AT658"/>
    <mergeCell ref="AU656:AU658"/>
    <mergeCell ref="AV656:AV658"/>
    <mergeCell ref="AK656:AK658"/>
    <mergeCell ref="AL656:AL658"/>
    <mergeCell ref="AM656:AM658"/>
    <mergeCell ref="AN656:AN658"/>
    <mergeCell ref="AO656:AO658"/>
    <mergeCell ref="AP656:AP658"/>
    <mergeCell ref="AE656:AE658"/>
    <mergeCell ref="AF656:AF658"/>
    <mergeCell ref="AG656:AG658"/>
    <mergeCell ref="AH656:AH658"/>
    <mergeCell ref="AI656:AI658"/>
    <mergeCell ref="AJ656:AJ658"/>
    <mergeCell ref="X656:X658"/>
    <mergeCell ref="Z656:Z658"/>
    <mergeCell ref="AA656:AA658"/>
    <mergeCell ref="AB656:AB658"/>
    <mergeCell ref="AC656:AC658"/>
    <mergeCell ref="AD656:AD658"/>
    <mergeCell ref="R656:R658"/>
    <mergeCell ref="S656:S658"/>
    <mergeCell ref="T656:T658"/>
    <mergeCell ref="U656:U658"/>
    <mergeCell ref="V656:V658"/>
    <mergeCell ref="W656:W658"/>
    <mergeCell ref="L656:L658"/>
    <mergeCell ref="M656:M658"/>
    <mergeCell ref="N656:N658"/>
    <mergeCell ref="O656:O658"/>
    <mergeCell ref="P656:P658"/>
    <mergeCell ref="Q656:Q658"/>
    <mergeCell ref="F656:F658"/>
    <mergeCell ref="G656:G658"/>
    <mergeCell ref="H656:H658"/>
    <mergeCell ref="I656:I658"/>
    <mergeCell ref="J656:J658"/>
    <mergeCell ref="K656:K658"/>
    <mergeCell ref="AU659:AU661"/>
    <mergeCell ref="AV659:AV661"/>
    <mergeCell ref="AU653:AU655"/>
    <mergeCell ref="AV653:AV655"/>
    <mergeCell ref="AW653:AW655"/>
    <mergeCell ref="A656:A658"/>
    <mergeCell ref="B656:B658"/>
    <mergeCell ref="C656:C658"/>
    <mergeCell ref="D656:D658"/>
    <mergeCell ref="E656:E658"/>
    <mergeCell ref="AM653:AM655"/>
    <mergeCell ref="AN653:AN655"/>
    <mergeCell ref="AO653:AO655"/>
    <mergeCell ref="AP653:AP655"/>
    <mergeCell ref="AQ653:AQ655"/>
    <mergeCell ref="AR653:AR655"/>
    <mergeCell ref="AG653:AG655"/>
    <mergeCell ref="AH653:AH655"/>
    <mergeCell ref="AI653:AI655"/>
    <mergeCell ref="AJ653:AJ655"/>
    <mergeCell ref="AK653:AK655"/>
    <mergeCell ref="AL653:AL655"/>
    <mergeCell ref="AA653:AA655"/>
    <mergeCell ref="AB653:AB655"/>
    <mergeCell ref="AC653:AC655"/>
    <mergeCell ref="AD653:AD655"/>
    <mergeCell ref="AE653:AE655"/>
    <mergeCell ref="AF653:AF655"/>
    <mergeCell ref="T653:T655"/>
    <mergeCell ref="U653:U655"/>
    <mergeCell ref="V653:V655"/>
    <mergeCell ref="W653:W655"/>
    <mergeCell ref="X653:X655"/>
    <mergeCell ref="Z653:Z655"/>
    <mergeCell ref="N653:N655"/>
    <mergeCell ref="O653:O655"/>
    <mergeCell ref="P653:P655"/>
    <mergeCell ref="Q653:Q655"/>
    <mergeCell ref="R653:R655"/>
    <mergeCell ref="S653:S655"/>
    <mergeCell ref="H653:H655"/>
    <mergeCell ref="I653:I655"/>
    <mergeCell ref="J653:J655"/>
    <mergeCell ref="K653:K655"/>
    <mergeCell ref="L653:L655"/>
    <mergeCell ref="M653:M655"/>
    <mergeCell ref="AW656:AW658"/>
    <mergeCell ref="A653:A655"/>
    <mergeCell ref="B653:B655"/>
    <mergeCell ref="C653:C655"/>
    <mergeCell ref="D653:D655"/>
    <mergeCell ref="E653:E655"/>
    <mergeCell ref="F653:F655"/>
    <mergeCell ref="G653:G655"/>
    <mergeCell ref="AS653:AS655"/>
    <mergeCell ref="AT653:AT655"/>
    <mergeCell ref="AQ656:AQ658"/>
    <mergeCell ref="AR656:AR658"/>
    <mergeCell ref="T647:T649"/>
    <mergeCell ref="U647:U649"/>
    <mergeCell ref="V647:V649"/>
    <mergeCell ref="W647:W649"/>
    <mergeCell ref="L647:L649"/>
    <mergeCell ref="M647:M649"/>
    <mergeCell ref="N647:N649"/>
    <mergeCell ref="O647:O649"/>
    <mergeCell ref="P647:P649"/>
    <mergeCell ref="Q647:Q649"/>
    <mergeCell ref="F647:F649"/>
    <mergeCell ref="G647:G649"/>
    <mergeCell ref="H647:H649"/>
    <mergeCell ref="I647:I649"/>
    <mergeCell ref="J647:J649"/>
    <mergeCell ref="K647:K649"/>
    <mergeCell ref="AU650:AU652"/>
    <mergeCell ref="AV650:AV652"/>
    <mergeCell ref="AW650:AW652"/>
    <mergeCell ref="A647:A649"/>
    <mergeCell ref="B647:B649"/>
    <mergeCell ref="C647:C649"/>
    <mergeCell ref="D647:D649"/>
    <mergeCell ref="E647:E649"/>
    <mergeCell ref="AO650:AO652"/>
    <mergeCell ref="AP650:AP652"/>
    <mergeCell ref="AQ650:AQ652"/>
    <mergeCell ref="AR650:AR652"/>
    <mergeCell ref="AS650:AS652"/>
    <mergeCell ref="AT650:AT652"/>
    <mergeCell ref="AI650:AI652"/>
    <mergeCell ref="AJ650:AJ652"/>
    <mergeCell ref="AK650:AK652"/>
    <mergeCell ref="AL650:AL652"/>
    <mergeCell ref="AM650:AM652"/>
    <mergeCell ref="AN650:AN652"/>
    <mergeCell ref="AC650:AC652"/>
    <mergeCell ref="AD650:AD652"/>
    <mergeCell ref="AE650:AE652"/>
    <mergeCell ref="AF650:AF652"/>
    <mergeCell ref="AG650:AG652"/>
    <mergeCell ref="AH650:AH652"/>
    <mergeCell ref="V650:V652"/>
    <mergeCell ref="W650:W652"/>
    <mergeCell ref="X650:X652"/>
    <mergeCell ref="Z650:Z652"/>
    <mergeCell ref="AA650:AA652"/>
    <mergeCell ref="AB650:AB652"/>
    <mergeCell ref="P650:P652"/>
    <mergeCell ref="Q650:Q652"/>
    <mergeCell ref="R650:R652"/>
    <mergeCell ref="S650:S652"/>
    <mergeCell ref="T650:T652"/>
    <mergeCell ref="U650:U652"/>
    <mergeCell ref="J650:J652"/>
    <mergeCell ref="K650:K652"/>
    <mergeCell ref="L650:L652"/>
    <mergeCell ref="M650:M652"/>
    <mergeCell ref="N650:N652"/>
    <mergeCell ref="O650:O652"/>
    <mergeCell ref="AI644:AI646"/>
    <mergeCell ref="AJ644:AJ646"/>
    <mergeCell ref="AK644:AK646"/>
    <mergeCell ref="AL644:AL646"/>
    <mergeCell ref="AA644:AA646"/>
    <mergeCell ref="AB644:AB646"/>
    <mergeCell ref="AC644:AC646"/>
    <mergeCell ref="AD644:AD646"/>
    <mergeCell ref="AE644:AE646"/>
    <mergeCell ref="AF644:AF646"/>
    <mergeCell ref="T644:T646"/>
    <mergeCell ref="U644:U646"/>
    <mergeCell ref="V644:V646"/>
    <mergeCell ref="W644:W646"/>
    <mergeCell ref="X644:X646"/>
    <mergeCell ref="Z644:Z646"/>
    <mergeCell ref="N644:N646"/>
    <mergeCell ref="O644:O646"/>
    <mergeCell ref="P644:P646"/>
    <mergeCell ref="Q644:Q646"/>
    <mergeCell ref="R644:R646"/>
    <mergeCell ref="S644:S646"/>
    <mergeCell ref="H644:H646"/>
    <mergeCell ref="I644:I646"/>
    <mergeCell ref="J644:J646"/>
    <mergeCell ref="K644:K646"/>
    <mergeCell ref="L644:L646"/>
    <mergeCell ref="M644:M646"/>
    <mergeCell ref="AW647:AW649"/>
    <mergeCell ref="A650:A652"/>
    <mergeCell ref="B650:B652"/>
    <mergeCell ref="C650:C652"/>
    <mergeCell ref="D650:D652"/>
    <mergeCell ref="E650:E652"/>
    <mergeCell ref="F650:F652"/>
    <mergeCell ref="G650:G652"/>
    <mergeCell ref="H650:H652"/>
    <mergeCell ref="I650:I652"/>
    <mergeCell ref="AQ647:AQ649"/>
    <mergeCell ref="AR647:AR649"/>
    <mergeCell ref="AS647:AS649"/>
    <mergeCell ref="AT647:AT649"/>
    <mergeCell ref="AU647:AU649"/>
    <mergeCell ref="AV647:AV649"/>
    <mergeCell ref="AK647:AK649"/>
    <mergeCell ref="AL647:AL649"/>
    <mergeCell ref="AM647:AM649"/>
    <mergeCell ref="AN647:AN649"/>
    <mergeCell ref="AO647:AO649"/>
    <mergeCell ref="AP647:AP649"/>
    <mergeCell ref="AE647:AE649"/>
    <mergeCell ref="AF647:AF649"/>
    <mergeCell ref="AG647:AG649"/>
    <mergeCell ref="AH647:AH649"/>
    <mergeCell ref="AI647:AI649"/>
    <mergeCell ref="AJ647:AJ649"/>
    <mergeCell ref="X647:X649"/>
    <mergeCell ref="Z647:Z649"/>
    <mergeCell ref="AA647:AA649"/>
    <mergeCell ref="AB647:AB649"/>
    <mergeCell ref="AC647:AC649"/>
    <mergeCell ref="AD647:AD649"/>
    <mergeCell ref="R647:R649"/>
    <mergeCell ref="S647:S649"/>
    <mergeCell ref="B643:X643"/>
    <mergeCell ref="AA643:AW643"/>
    <mergeCell ref="A644:A646"/>
    <mergeCell ref="B644:B646"/>
    <mergeCell ref="C644:C646"/>
    <mergeCell ref="D644:D646"/>
    <mergeCell ref="E644:E646"/>
    <mergeCell ref="F644:F646"/>
    <mergeCell ref="G644:G646"/>
    <mergeCell ref="AQ639:AQ641"/>
    <mergeCell ref="AR639:AR641"/>
    <mergeCell ref="AS639:AS641"/>
    <mergeCell ref="AT639:AT641"/>
    <mergeCell ref="AU639:AU641"/>
    <mergeCell ref="AV639:AV641"/>
    <mergeCell ref="AK639:AK641"/>
    <mergeCell ref="AL639:AL641"/>
    <mergeCell ref="AM639:AM641"/>
    <mergeCell ref="AN639:AN641"/>
    <mergeCell ref="AO639:AO641"/>
    <mergeCell ref="AP639:AP641"/>
    <mergeCell ref="AE639:AE641"/>
    <mergeCell ref="AF639:AF641"/>
    <mergeCell ref="AG639:AG641"/>
    <mergeCell ref="AH639:AH641"/>
    <mergeCell ref="AI639:AI641"/>
    <mergeCell ref="AJ639:AJ641"/>
    <mergeCell ref="X639:X641"/>
    <mergeCell ref="Z639:Z641"/>
    <mergeCell ref="AA639:AA641"/>
    <mergeCell ref="AB639:AB641"/>
    <mergeCell ref="AC639:AC641"/>
    <mergeCell ref="AD639:AD641"/>
    <mergeCell ref="R639:R641"/>
    <mergeCell ref="S639:S641"/>
    <mergeCell ref="T639:T641"/>
    <mergeCell ref="U639:U641"/>
    <mergeCell ref="V639:V641"/>
    <mergeCell ref="W639:W641"/>
    <mergeCell ref="L639:L641"/>
    <mergeCell ref="M639:M641"/>
    <mergeCell ref="N639:N641"/>
    <mergeCell ref="O639:O641"/>
    <mergeCell ref="P639:P641"/>
    <mergeCell ref="Q639:Q641"/>
    <mergeCell ref="F639:F641"/>
    <mergeCell ref="G639:G641"/>
    <mergeCell ref="H639:H641"/>
    <mergeCell ref="I639:I641"/>
    <mergeCell ref="J639:J641"/>
    <mergeCell ref="K639:K641"/>
    <mergeCell ref="AS644:AS646"/>
    <mergeCell ref="AT644:AT646"/>
    <mergeCell ref="AU644:AU646"/>
    <mergeCell ref="AV644:AV646"/>
    <mergeCell ref="AW644:AW646"/>
    <mergeCell ref="AM644:AM646"/>
    <mergeCell ref="AN644:AN646"/>
    <mergeCell ref="AO644:AO646"/>
    <mergeCell ref="AP644:AP646"/>
    <mergeCell ref="AQ644:AQ646"/>
    <mergeCell ref="AR644:AR646"/>
    <mergeCell ref="AG644:AG646"/>
    <mergeCell ref="AH644:AH646"/>
    <mergeCell ref="AU636:AU638"/>
    <mergeCell ref="AV636:AV638"/>
    <mergeCell ref="AW636:AW638"/>
    <mergeCell ref="A639:A641"/>
    <mergeCell ref="B639:B641"/>
    <mergeCell ref="C639:C641"/>
    <mergeCell ref="D639:D641"/>
    <mergeCell ref="E639:E641"/>
    <mergeCell ref="AM636:AM638"/>
    <mergeCell ref="AN636:AN638"/>
    <mergeCell ref="AO636:AO638"/>
    <mergeCell ref="AP636:AP638"/>
    <mergeCell ref="AQ636:AQ638"/>
    <mergeCell ref="AR636:AR638"/>
    <mergeCell ref="AG636:AG638"/>
    <mergeCell ref="AH636:AH638"/>
    <mergeCell ref="AI636:AI638"/>
    <mergeCell ref="AJ636:AJ638"/>
    <mergeCell ref="AK636:AK638"/>
    <mergeCell ref="AL636:AL638"/>
    <mergeCell ref="AA636:AA638"/>
    <mergeCell ref="AB636:AB638"/>
    <mergeCell ref="AC636:AC638"/>
    <mergeCell ref="AD636:AD638"/>
    <mergeCell ref="AE636:AE638"/>
    <mergeCell ref="AF636:AF638"/>
    <mergeCell ref="T636:T638"/>
    <mergeCell ref="U636:U638"/>
    <mergeCell ref="V636:V638"/>
    <mergeCell ref="W636:W638"/>
    <mergeCell ref="X636:X638"/>
    <mergeCell ref="Z636:Z638"/>
    <mergeCell ref="N636:N638"/>
    <mergeCell ref="O636:O638"/>
    <mergeCell ref="P636:P638"/>
    <mergeCell ref="Q636:Q638"/>
    <mergeCell ref="R636:R638"/>
    <mergeCell ref="S636:S638"/>
    <mergeCell ref="H636:H638"/>
    <mergeCell ref="I636:I638"/>
    <mergeCell ref="J636:J638"/>
    <mergeCell ref="K636:K638"/>
    <mergeCell ref="L636:L638"/>
    <mergeCell ref="M636:M638"/>
    <mergeCell ref="AW639:AW641"/>
    <mergeCell ref="A636:A638"/>
    <mergeCell ref="B636:B638"/>
    <mergeCell ref="C636:C638"/>
    <mergeCell ref="D636:D638"/>
    <mergeCell ref="E636:E638"/>
    <mergeCell ref="F636:F638"/>
    <mergeCell ref="G636:G638"/>
    <mergeCell ref="AS636:AS638"/>
    <mergeCell ref="AT636:AT638"/>
    <mergeCell ref="R630:R632"/>
    <mergeCell ref="S630:S632"/>
    <mergeCell ref="T630:T632"/>
    <mergeCell ref="U630:U632"/>
    <mergeCell ref="V630:V632"/>
    <mergeCell ref="W630:W632"/>
    <mergeCell ref="L630:L632"/>
    <mergeCell ref="M630:M632"/>
    <mergeCell ref="N630:N632"/>
    <mergeCell ref="O630:O632"/>
    <mergeCell ref="P630:P632"/>
    <mergeCell ref="Q630:Q632"/>
    <mergeCell ref="F630:F632"/>
    <mergeCell ref="G630:G632"/>
    <mergeCell ref="H630:H632"/>
    <mergeCell ref="I630:I632"/>
    <mergeCell ref="J630:J632"/>
    <mergeCell ref="K630:K632"/>
    <mergeCell ref="AU633:AU635"/>
    <mergeCell ref="AV633:AV635"/>
    <mergeCell ref="AW633:AW635"/>
    <mergeCell ref="A630:A632"/>
    <mergeCell ref="B630:B632"/>
    <mergeCell ref="C630:C632"/>
    <mergeCell ref="D630:D632"/>
    <mergeCell ref="E630:E632"/>
    <mergeCell ref="AO633:AO635"/>
    <mergeCell ref="AP633:AP635"/>
    <mergeCell ref="AQ633:AQ635"/>
    <mergeCell ref="AR633:AR635"/>
    <mergeCell ref="AS633:AS635"/>
    <mergeCell ref="AT633:AT635"/>
    <mergeCell ref="AI633:AI635"/>
    <mergeCell ref="AJ633:AJ635"/>
    <mergeCell ref="AK633:AK635"/>
    <mergeCell ref="AL633:AL635"/>
    <mergeCell ref="AM633:AM635"/>
    <mergeCell ref="AN633:AN635"/>
    <mergeCell ref="AC633:AC635"/>
    <mergeCell ref="AD633:AD635"/>
    <mergeCell ref="AE633:AE635"/>
    <mergeCell ref="AF633:AF635"/>
    <mergeCell ref="AG633:AG635"/>
    <mergeCell ref="AH633:AH635"/>
    <mergeCell ref="V633:V635"/>
    <mergeCell ref="W633:W635"/>
    <mergeCell ref="X633:X635"/>
    <mergeCell ref="Z633:Z635"/>
    <mergeCell ref="AA633:AA635"/>
    <mergeCell ref="AB633:AB635"/>
    <mergeCell ref="P633:P635"/>
    <mergeCell ref="Q633:Q635"/>
    <mergeCell ref="R633:R635"/>
    <mergeCell ref="S633:S635"/>
    <mergeCell ref="T633:T635"/>
    <mergeCell ref="U633:U635"/>
    <mergeCell ref="J633:J635"/>
    <mergeCell ref="K633:K635"/>
    <mergeCell ref="L633:L635"/>
    <mergeCell ref="M633:M635"/>
    <mergeCell ref="N633:N635"/>
    <mergeCell ref="O633:O635"/>
    <mergeCell ref="AG627:AG629"/>
    <mergeCell ref="AH627:AH629"/>
    <mergeCell ref="AI627:AI629"/>
    <mergeCell ref="AJ627:AJ629"/>
    <mergeCell ref="AK627:AK629"/>
    <mergeCell ref="AL627:AL629"/>
    <mergeCell ref="AA627:AA629"/>
    <mergeCell ref="AB627:AB629"/>
    <mergeCell ref="AC627:AC629"/>
    <mergeCell ref="AD627:AD629"/>
    <mergeCell ref="AE627:AE629"/>
    <mergeCell ref="AF627:AF629"/>
    <mergeCell ref="T627:T629"/>
    <mergeCell ref="U627:U629"/>
    <mergeCell ref="V627:V629"/>
    <mergeCell ref="W627:W629"/>
    <mergeCell ref="X627:X629"/>
    <mergeCell ref="Z627:Z629"/>
    <mergeCell ref="N627:N629"/>
    <mergeCell ref="O627:O629"/>
    <mergeCell ref="P627:P629"/>
    <mergeCell ref="Q627:Q629"/>
    <mergeCell ref="R627:R629"/>
    <mergeCell ref="S627:S629"/>
    <mergeCell ref="H627:H629"/>
    <mergeCell ref="I627:I629"/>
    <mergeCell ref="J627:J629"/>
    <mergeCell ref="K627:K629"/>
    <mergeCell ref="L627:L629"/>
    <mergeCell ref="M627:M629"/>
    <mergeCell ref="AW630:AW632"/>
    <mergeCell ref="A633:A635"/>
    <mergeCell ref="B633:B635"/>
    <mergeCell ref="C633:C635"/>
    <mergeCell ref="D633:D635"/>
    <mergeCell ref="E633:E635"/>
    <mergeCell ref="F633:F635"/>
    <mergeCell ref="G633:G635"/>
    <mergeCell ref="H633:H635"/>
    <mergeCell ref="I633:I635"/>
    <mergeCell ref="AQ630:AQ632"/>
    <mergeCell ref="AR630:AR632"/>
    <mergeCell ref="AS630:AS632"/>
    <mergeCell ref="AT630:AT632"/>
    <mergeCell ref="AU630:AU632"/>
    <mergeCell ref="AV630:AV632"/>
    <mergeCell ref="AK630:AK632"/>
    <mergeCell ref="AL630:AL632"/>
    <mergeCell ref="AM630:AM632"/>
    <mergeCell ref="AN630:AN632"/>
    <mergeCell ref="AO630:AO632"/>
    <mergeCell ref="AP630:AP632"/>
    <mergeCell ref="AE630:AE632"/>
    <mergeCell ref="AF630:AF632"/>
    <mergeCell ref="AG630:AG632"/>
    <mergeCell ref="AH630:AH632"/>
    <mergeCell ref="AI630:AI632"/>
    <mergeCell ref="AJ630:AJ632"/>
    <mergeCell ref="X630:X632"/>
    <mergeCell ref="Z630:Z632"/>
    <mergeCell ref="AA630:AA632"/>
    <mergeCell ref="AB630:AB632"/>
    <mergeCell ref="AC630:AC632"/>
    <mergeCell ref="AD630:AD632"/>
    <mergeCell ref="AW624:AW626"/>
    <mergeCell ref="A627:A629"/>
    <mergeCell ref="B627:B629"/>
    <mergeCell ref="C627:C629"/>
    <mergeCell ref="D627:D629"/>
    <mergeCell ref="E627:E629"/>
    <mergeCell ref="F627:F629"/>
    <mergeCell ref="G627:G629"/>
    <mergeCell ref="AO624:AO626"/>
    <mergeCell ref="AP624:AP626"/>
    <mergeCell ref="AQ624:AQ626"/>
    <mergeCell ref="AR624:AR626"/>
    <mergeCell ref="AS624:AS626"/>
    <mergeCell ref="AT624:AT626"/>
    <mergeCell ref="AI624:AI626"/>
    <mergeCell ref="AJ624:AJ626"/>
    <mergeCell ref="AK624:AK626"/>
    <mergeCell ref="AL624:AL626"/>
    <mergeCell ref="AM624:AM626"/>
    <mergeCell ref="AN624:AN626"/>
    <mergeCell ref="AC624:AC626"/>
    <mergeCell ref="AD624:AD626"/>
    <mergeCell ref="AE624:AE626"/>
    <mergeCell ref="AF624:AF626"/>
    <mergeCell ref="AG624:AG626"/>
    <mergeCell ref="AH624:AH626"/>
    <mergeCell ref="V624:V626"/>
    <mergeCell ref="W624:W626"/>
    <mergeCell ref="X624:X626"/>
    <mergeCell ref="Z624:Z626"/>
    <mergeCell ref="AA624:AA626"/>
    <mergeCell ref="AB624:AB626"/>
    <mergeCell ref="P624:P626"/>
    <mergeCell ref="Q624:Q626"/>
    <mergeCell ref="R624:R626"/>
    <mergeCell ref="S624:S626"/>
    <mergeCell ref="T624:T626"/>
    <mergeCell ref="U624:U626"/>
    <mergeCell ref="J624:J626"/>
    <mergeCell ref="K624:K626"/>
    <mergeCell ref="L624:L626"/>
    <mergeCell ref="M624:M626"/>
    <mergeCell ref="N624:N626"/>
    <mergeCell ref="O624:O626"/>
    <mergeCell ref="AS627:AS629"/>
    <mergeCell ref="AT627:AT629"/>
    <mergeCell ref="AU627:AU629"/>
    <mergeCell ref="AV627:AV629"/>
    <mergeCell ref="AW627:AW629"/>
    <mergeCell ref="A624:A626"/>
    <mergeCell ref="B624:B626"/>
    <mergeCell ref="C624:C626"/>
    <mergeCell ref="D624:D626"/>
    <mergeCell ref="E624:E626"/>
    <mergeCell ref="F624:F626"/>
    <mergeCell ref="G624:G626"/>
    <mergeCell ref="H624:H626"/>
    <mergeCell ref="I624:I626"/>
    <mergeCell ref="AM627:AM629"/>
    <mergeCell ref="AN627:AN629"/>
    <mergeCell ref="AO627:AO629"/>
    <mergeCell ref="AP627:AP629"/>
    <mergeCell ref="AQ627:AQ629"/>
    <mergeCell ref="AR627:AR629"/>
    <mergeCell ref="AS621:AS623"/>
    <mergeCell ref="AT621:AT623"/>
    <mergeCell ref="AU621:AU623"/>
    <mergeCell ref="AV621:AV623"/>
    <mergeCell ref="AK621:AK623"/>
    <mergeCell ref="AL621:AL623"/>
    <mergeCell ref="AM621:AM623"/>
    <mergeCell ref="AN621:AN623"/>
    <mergeCell ref="AO621:AO623"/>
    <mergeCell ref="AP621:AP623"/>
    <mergeCell ref="AE621:AE623"/>
    <mergeCell ref="AF621:AF623"/>
    <mergeCell ref="AG621:AG623"/>
    <mergeCell ref="AH621:AH623"/>
    <mergeCell ref="AI621:AI623"/>
    <mergeCell ref="AJ621:AJ623"/>
    <mergeCell ref="X621:X623"/>
    <mergeCell ref="Z621:Z623"/>
    <mergeCell ref="AA621:AA623"/>
    <mergeCell ref="AB621:AB623"/>
    <mergeCell ref="AC621:AC623"/>
    <mergeCell ref="AD621:AD623"/>
    <mergeCell ref="R621:R623"/>
    <mergeCell ref="S621:S623"/>
    <mergeCell ref="T621:T623"/>
    <mergeCell ref="U621:U623"/>
    <mergeCell ref="V621:V623"/>
    <mergeCell ref="W621:W623"/>
    <mergeCell ref="L621:L623"/>
    <mergeCell ref="M621:M623"/>
    <mergeCell ref="N621:N623"/>
    <mergeCell ref="O621:O623"/>
    <mergeCell ref="P621:P623"/>
    <mergeCell ref="Q621:Q623"/>
    <mergeCell ref="F621:F623"/>
    <mergeCell ref="G621:G623"/>
    <mergeCell ref="H621:H623"/>
    <mergeCell ref="I621:I623"/>
    <mergeCell ref="J621:J623"/>
    <mergeCell ref="K621:K623"/>
    <mergeCell ref="AU624:AU626"/>
    <mergeCell ref="AV624:AV626"/>
    <mergeCell ref="AU618:AU620"/>
    <mergeCell ref="AV618:AV620"/>
    <mergeCell ref="AW618:AW620"/>
    <mergeCell ref="A621:A623"/>
    <mergeCell ref="B621:B623"/>
    <mergeCell ref="C621:C623"/>
    <mergeCell ref="D621:D623"/>
    <mergeCell ref="E621:E623"/>
    <mergeCell ref="AM618:AM620"/>
    <mergeCell ref="AN618:AN620"/>
    <mergeCell ref="AO618:AO620"/>
    <mergeCell ref="AP618:AP620"/>
    <mergeCell ref="AQ618:AQ620"/>
    <mergeCell ref="AR618:AR620"/>
    <mergeCell ref="AG618:AG620"/>
    <mergeCell ref="AH618:AH620"/>
    <mergeCell ref="AI618:AI620"/>
    <mergeCell ref="AJ618:AJ620"/>
    <mergeCell ref="AK618:AK620"/>
    <mergeCell ref="AL618:AL620"/>
    <mergeCell ref="AA618:AA620"/>
    <mergeCell ref="AB618:AB620"/>
    <mergeCell ref="AC618:AC620"/>
    <mergeCell ref="AD618:AD620"/>
    <mergeCell ref="AE618:AE620"/>
    <mergeCell ref="AF618:AF620"/>
    <mergeCell ref="T618:T620"/>
    <mergeCell ref="U618:U620"/>
    <mergeCell ref="V618:V620"/>
    <mergeCell ref="W618:W620"/>
    <mergeCell ref="X618:X620"/>
    <mergeCell ref="Z618:Z620"/>
    <mergeCell ref="N618:N620"/>
    <mergeCell ref="O618:O620"/>
    <mergeCell ref="P618:P620"/>
    <mergeCell ref="Q618:Q620"/>
    <mergeCell ref="R618:R620"/>
    <mergeCell ref="S618:S620"/>
    <mergeCell ref="H618:H620"/>
    <mergeCell ref="I618:I620"/>
    <mergeCell ref="J618:J620"/>
    <mergeCell ref="K618:K620"/>
    <mergeCell ref="L618:L620"/>
    <mergeCell ref="M618:M620"/>
    <mergeCell ref="AW621:AW623"/>
    <mergeCell ref="A618:A620"/>
    <mergeCell ref="B618:B620"/>
    <mergeCell ref="C618:C620"/>
    <mergeCell ref="D618:D620"/>
    <mergeCell ref="E618:E620"/>
    <mergeCell ref="F618:F620"/>
    <mergeCell ref="G618:G620"/>
    <mergeCell ref="AS618:AS620"/>
    <mergeCell ref="AT618:AT620"/>
    <mergeCell ref="AQ621:AQ623"/>
    <mergeCell ref="AR621:AR623"/>
    <mergeCell ref="R612:R614"/>
    <mergeCell ref="S612:S614"/>
    <mergeCell ref="T612:T614"/>
    <mergeCell ref="U612:U614"/>
    <mergeCell ref="V612:V614"/>
    <mergeCell ref="W612:W614"/>
    <mergeCell ref="L612:L614"/>
    <mergeCell ref="M612:M614"/>
    <mergeCell ref="N612:N614"/>
    <mergeCell ref="O612:O614"/>
    <mergeCell ref="P612:P614"/>
    <mergeCell ref="Q612:Q614"/>
    <mergeCell ref="F612:F614"/>
    <mergeCell ref="G612:G614"/>
    <mergeCell ref="H612:H614"/>
    <mergeCell ref="I612:I614"/>
    <mergeCell ref="J612:J614"/>
    <mergeCell ref="K612:K614"/>
    <mergeCell ref="AU615:AU617"/>
    <mergeCell ref="AV615:AV617"/>
    <mergeCell ref="AW615:AW617"/>
    <mergeCell ref="A612:A614"/>
    <mergeCell ref="B612:B614"/>
    <mergeCell ref="C612:C614"/>
    <mergeCell ref="D612:D614"/>
    <mergeCell ref="E612:E614"/>
    <mergeCell ref="AO615:AO617"/>
    <mergeCell ref="AP615:AP617"/>
    <mergeCell ref="AQ615:AQ617"/>
    <mergeCell ref="AR615:AR617"/>
    <mergeCell ref="AS615:AS617"/>
    <mergeCell ref="AT615:AT617"/>
    <mergeCell ref="AI615:AI617"/>
    <mergeCell ref="AJ615:AJ617"/>
    <mergeCell ref="AK615:AK617"/>
    <mergeCell ref="AL615:AL617"/>
    <mergeCell ref="AM615:AM617"/>
    <mergeCell ref="AN615:AN617"/>
    <mergeCell ref="AC615:AC617"/>
    <mergeCell ref="AD615:AD617"/>
    <mergeCell ref="AE615:AE617"/>
    <mergeCell ref="AF615:AF617"/>
    <mergeCell ref="AG615:AG617"/>
    <mergeCell ref="AH615:AH617"/>
    <mergeCell ref="V615:V617"/>
    <mergeCell ref="W615:W617"/>
    <mergeCell ref="X615:X617"/>
    <mergeCell ref="Z615:Z617"/>
    <mergeCell ref="AA615:AA617"/>
    <mergeCell ref="AB615:AB617"/>
    <mergeCell ref="P615:P617"/>
    <mergeCell ref="Q615:Q617"/>
    <mergeCell ref="R615:R617"/>
    <mergeCell ref="S615:S617"/>
    <mergeCell ref="T615:T617"/>
    <mergeCell ref="U615:U617"/>
    <mergeCell ref="J615:J617"/>
    <mergeCell ref="K615:K617"/>
    <mergeCell ref="L615:L617"/>
    <mergeCell ref="M615:M617"/>
    <mergeCell ref="N615:N617"/>
    <mergeCell ref="O615:O617"/>
    <mergeCell ref="AG609:AG611"/>
    <mergeCell ref="AH609:AH611"/>
    <mergeCell ref="AI609:AI611"/>
    <mergeCell ref="AJ609:AJ611"/>
    <mergeCell ref="AK609:AK611"/>
    <mergeCell ref="AL609:AL611"/>
    <mergeCell ref="AA609:AA611"/>
    <mergeCell ref="AB609:AB611"/>
    <mergeCell ref="AC609:AC611"/>
    <mergeCell ref="AD609:AD611"/>
    <mergeCell ref="AE609:AE611"/>
    <mergeCell ref="AF609:AF611"/>
    <mergeCell ref="T609:T611"/>
    <mergeCell ref="U609:U611"/>
    <mergeCell ref="V609:V611"/>
    <mergeCell ref="W609:W611"/>
    <mergeCell ref="X609:X611"/>
    <mergeCell ref="Z609:Z611"/>
    <mergeCell ref="N609:N611"/>
    <mergeCell ref="O609:O611"/>
    <mergeCell ref="P609:P611"/>
    <mergeCell ref="Q609:Q611"/>
    <mergeCell ref="R609:R611"/>
    <mergeCell ref="S609:S611"/>
    <mergeCell ref="H609:H611"/>
    <mergeCell ref="I609:I611"/>
    <mergeCell ref="J609:J611"/>
    <mergeCell ref="K609:K611"/>
    <mergeCell ref="L609:L611"/>
    <mergeCell ref="M609:M611"/>
    <mergeCell ref="AW612:AW614"/>
    <mergeCell ref="A615:A617"/>
    <mergeCell ref="B615:B617"/>
    <mergeCell ref="C615:C617"/>
    <mergeCell ref="D615:D617"/>
    <mergeCell ref="E615:E617"/>
    <mergeCell ref="F615:F617"/>
    <mergeCell ref="G615:G617"/>
    <mergeCell ref="H615:H617"/>
    <mergeCell ref="I615:I617"/>
    <mergeCell ref="AQ612:AQ614"/>
    <mergeCell ref="AR612:AR614"/>
    <mergeCell ref="AS612:AS614"/>
    <mergeCell ref="AT612:AT614"/>
    <mergeCell ref="AU612:AU614"/>
    <mergeCell ref="AV612:AV614"/>
    <mergeCell ref="AK612:AK614"/>
    <mergeCell ref="AL612:AL614"/>
    <mergeCell ref="AM612:AM614"/>
    <mergeCell ref="AN612:AN614"/>
    <mergeCell ref="AO612:AO614"/>
    <mergeCell ref="AP612:AP614"/>
    <mergeCell ref="AE612:AE614"/>
    <mergeCell ref="AF612:AF614"/>
    <mergeCell ref="AG612:AG614"/>
    <mergeCell ref="AH612:AH614"/>
    <mergeCell ref="AI612:AI614"/>
    <mergeCell ref="AJ612:AJ614"/>
    <mergeCell ref="X612:X614"/>
    <mergeCell ref="Z612:Z614"/>
    <mergeCell ref="AA612:AA614"/>
    <mergeCell ref="AB612:AB614"/>
    <mergeCell ref="AC612:AC614"/>
    <mergeCell ref="AD612:AD614"/>
    <mergeCell ref="AW606:AW608"/>
    <mergeCell ref="A609:A611"/>
    <mergeCell ref="B609:B611"/>
    <mergeCell ref="C609:C611"/>
    <mergeCell ref="D609:D611"/>
    <mergeCell ref="E609:E611"/>
    <mergeCell ref="F609:F611"/>
    <mergeCell ref="G609:G611"/>
    <mergeCell ref="AO606:AO608"/>
    <mergeCell ref="AP606:AP608"/>
    <mergeCell ref="AQ606:AQ608"/>
    <mergeCell ref="AR606:AR608"/>
    <mergeCell ref="AS606:AS608"/>
    <mergeCell ref="AT606:AT608"/>
    <mergeCell ref="AI606:AI608"/>
    <mergeCell ref="AJ606:AJ608"/>
    <mergeCell ref="AK606:AK608"/>
    <mergeCell ref="AL606:AL608"/>
    <mergeCell ref="AM606:AM608"/>
    <mergeCell ref="AN606:AN608"/>
    <mergeCell ref="AC606:AC608"/>
    <mergeCell ref="AD606:AD608"/>
    <mergeCell ref="AE606:AE608"/>
    <mergeCell ref="AF606:AF608"/>
    <mergeCell ref="AG606:AG608"/>
    <mergeCell ref="AH606:AH608"/>
    <mergeCell ref="V606:V608"/>
    <mergeCell ref="W606:W608"/>
    <mergeCell ref="X606:X608"/>
    <mergeCell ref="Z606:Z608"/>
    <mergeCell ref="AA606:AA608"/>
    <mergeCell ref="AB606:AB608"/>
    <mergeCell ref="P606:P608"/>
    <mergeCell ref="Q606:Q608"/>
    <mergeCell ref="R606:R608"/>
    <mergeCell ref="S606:S608"/>
    <mergeCell ref="T606:T608"/>
    <mergeCell ref="U606:U608"/>
    <mergeCell ref="J606:J608"/>
    <mergeCell ref="K606:K608"/>
    <mergeCell ref="L606:L608"/>
    <mergeCell ref="M606:M608"/>
    <mergeCell ref="N606:N608"/>
    <mergeCell ref="O606:O608"/>
    <mergeCell ref="AS609:AS611"/>
    <mergeCell ref="AT609:AT611"/>
    <mergeCell ref="AU609:AU611"/>
    <mergeCell ref="AV609:AV611"/>
    <mergeCell ref="AW609:AW611"/>
    <mergeCell ref="A606:A608"/>
    <mergeCell ref="B606:B608"/>
    <mergeCell ref="C606:C608"/>
    <mergeCell ref="D606:D608"/>
    <mergeCell ref="E606:E608"/>
    <mergeCell ref="F606:F608"/>
    <mergeCell ref="G606:G608"/>
    <mergeCell ref="H606:H608"/>
    <mergeCell ref="I606:I608"/>
    <mergeCell ref="AM609:AM611"/>
    <mergeCell ref="AN609:AN611"/>
    <mergeCell ref="AO609:AO611"/>
    <mergeCell ref="AP609:AP611"/>
    <mergeCell ref="AQ609:AQ611"/>
    <mergeCell ref="AR609:AR611"/>
    <mergeCell ref="AS603:AS605"/>
    <mergeCell ref="AT603:AT605"/>
    <mergeCell ref="AU603:AU605"/>
    <mergeCell ref="AV603:AV605"/>
    <mergeCell ref="AK603:AK605"/>
    <mergeCell ref="AL603:AL605"/>
    <mergeCell ref="AM603:AM605"/>
    <mergeCell ref="AN603:AN605"/>
    <mergeCell ref="AO603:AO605"/>
    <mergeCell ref="AP603:AP605"/>
    <mergeCell ref="AE603:AE605"/>
    <mergeCell ref="AF603:AF605"/>
    <mergeCell ref="AG603:AG605"/>
    <mergeCell ref="AH603:AH605"/>
    <mergeCell ref="AI603:AI605"/>
    <mergeCell ref="AJ603:AJ605"/>
    <mergeCell ref="X603:X605"/>
    <mergeCell ref="Z603:Z605"/>
    <mergeCell ref="AA603:AA605"/>
    <mergeCell ref="AB603:AB605"/>
    <mergeCell ref="AC603:AC605"/>
    <mergeCell ref="AD603:AD605"/>
    <mergeCell ref="R603:R605"/>
    <mergeCell ref="S603:S605"/>
    <mergeCell ref="T603:T605"/>
    <mergeCell ref="U603:U605"/>
    <mergeCell ref="V603:V605"/>
    <mergeCell ref="W603:W605"/>
    <mergeCell ref="L603:L605"/>
    <mergeCell ref="M603:M605"/>
    <mergeCell ref="N603:N605"/>
    <mergeCell ref="O603:O605"/>
    <mergeCell ref="P603:P605"/>
    <mergeCell ref="Q603:Q605"/>
    <mergeCell ref="F603:F605"/>
    <mergeCell ref="G603:G605"/>
    <mergeCell ref="H603:H605"/>
    <mergeCell ref="I603:I605"/>
    <mergeCell ref="J603:J605"/>
    <mergeCell ref="K603:K605"/>
    <mergeCell ref="AU606:AU608"/>
    <mergeCell ref="AV606:AV608"/>
    <mergeCell ref="AU600:AU602"/>
    <mergeCell ref="AV600:AV602"/>
    <mergeCell ref="AW600:AW602"/>
    <mergeCell ref="A603:A605"/>
    <mergeCell ref="B603:B605"/>
    <mergeCell ref="C603:C605"/>
    <mergeCell ref="D603:D605"/>
    <mergeCell ref="E603:E605"/>
    <mergeCell ref="AM600:AM602"/>
    <mergeCell ref="AN600:AN602"/>
    <mergeCell ref="AO600:AO602"/>
    <mergeCell ref="AP600:AP602"/>
    <mergeCell ref="AQ600:AQ602"/>
    <mergeCell ref="AR600:AR602"/>
    <mergeCell ref="AG600:AG602"/>
    <mergeCell ref="AH600:AH602"/>
    <mergeCell ref="AI600:AI602"/>
    <mergeCell ref="AJ600:AJ602"/>
    <mergeCell ref="AK600:AK602"/>
    <mergeCell ref="AL600:AL602"/>
    <mergeCell ref="AA600:AA602"/>
    <mergeCell ref="AB600:AB602"/>
    <mergeCell ref="AC600:AC602"/>
    <mergeCell ref="AD600:AD602"/>
    <mergeCell ref="AE600:AE602"/>
    <mergeCell ref="AF600:AF602"/>
    <mergeCell ref="T600:T602"/>
    <mergeCell ref="U600:U602"/>
    <mergeCell ref="V600:V602"/>
    <mergeCell ref="W600:W602"/>
    <mergeCell ref="X600:X602"/>
    <mergeCell ref="Z600:Z602"/>
    <mergeCell ref="N600:N602"/>
    <mergeCell ref="O600:O602"/>
    <mergeCell ref="P600:P602"/>
    <mergeCell ref="Q600:Q602"/>
    <mergeCell ref="R600:R602"/>
    <mergeCell ref="S600:S602"/>
    <mergeCell ref="H600:H602"/>
    <mergeCell ref="I600:I602"/>
    <mergeCell ref="J600:J602"/>
    <mergeCell ref="K600:K602"/>
    <mergeCell ref="L600:L602"/>
    <mergeCell ref="M600:M602"/>
    <mergeCell ref="AW603:AW605"/>
    <mergeCell ref="A600:A602"/>
    <mergeCell ref="B600:B602"/>
    <mergeCell ref="C600:C602"/>
    <mergeCell ref="D600:D602"/>
    <mergeCell ref="E600:E602"/>
    <mergeCell ref="F600:F602"/>
    <mergeCell ref="G600:G602"/>
    <mergeCell ref="AS600:AS602"/>
    <mergeCell ref="AT600:AT602"/>
    <mergeCell ref="AQ603:AQ605"/>
    <mergeCell ref="AR603:AR605"/>
    <mergeCell ref="R594:R596"/>
    <mergeCell ref="S594:S596"/>
    <mergeCell ref="T594:T596"/>
    <mergeCell ref="U594:U596"/>
    <mergeCell ref="V594:V596"/>
    <mergeCell ref="W594:W596"/>
    <mergeCell ref="L594:L596"/>
    <mergeCell ref="M594:M596"/>
    <mergeCell ref="N594:N596"/>
    <mergeCell ref="O594:O596"/>
    <mergeCell ref="P594:P596"/>
    <mergeCell ref="Q594:Q596"/>
    <mergeCell ref="F594:F596"/>
    <mergeCell ref="G594:G596"/>
    <mergeCell ref="H594:H596"/>
    <mergeCell ref="I594:I596"/>
    <mergeCell ref="J594:J596"/>
    <mergeCell ref="K594:K596"/>
    <mergeCell ref="AU597:AU599"/>
    <mergeCell ref="AV597:AV599"/>
    <mergeCell ref="AW597:AW599"/>
    <mergeCell ref="A594:A596"/>
    <mergeCell ref="B594:B596"/>
    <mergeCell ref="C594:C596"/>
    <mergeCell ref="D594:D596"/>
    <mergeCell ref="E594:E596"/>
    <mergeCell ref="AO597:AO599"/>
    <mergeCell ref="AP597:AP599"/>
    <mergeCell ref="AQ597:AQ599"/>
    <mergeCell ref="AR597:AR599"/>
    <mergeCell ref="AS597:AS599"/>
    <mergeCell ref="AT597:AT599"/>
    <mergeCell ref="AI597:AI599"/>
    <mergeCell ref="AJ597:AJ599"/>
    <mergeCell ref="AK597:AK599"/>
    <mergeCell ref="AL597:AL599"/>
    <mergeCell ref="AM597:AM599"/>
    <mergeCell ref="AN597:AN599"/>
    <mergeCell ref="AC597:AC599"/>
    <mergeCell ref="AD597:AD599"/>
    <mergeCell ref="AE597:AE599"/>
    <mergeCell ref="AF597:AF599"/>
    <mergeCell ref="AG597:AG599"/>
    <mergeCell ref="AH597:AH599"/>
    <mergeCell ref="V597:V599"/>
    <mergeCell ref="W597:W599"/>
    <mergeCell ref="X597:X599"/>
    <mergeCell ref="Z597:Z599"/>
    <mergeCell ref="AA597:AA599"/>
    <mergeCell ref="AB597:AB599"/>
    <mergeCell ref="P597:P599"/>
    <mergeCell ref="Q597:Q599"/>
    <mergeCell ref="R597:R599"/>
    <mergeCell ref="S597:S599"/>
    <mergeCell ref="T597:T599"/>
    <mergeCell ref="U597:U599"/>
    <mergeCell ref="J597:J599"/>
    <mergeCell ref="K597:K599"/>
    <mergeCell ref="L597:L599"/>
    <mergeCell ref="M597:M599"/>
    <mergeCell ref="N597:N599"/>
    <mergeCell ref="O597:O599"/>
    <mergeCell ref="AG591:AG593"/>
    <mergeCell ref="AH591:AH593"/>
    <mergeCell ref="AI591:AI593"/>
    <mergeCell ref="AJ591:AJ593"/>
    <mergeCell ref="AK591:AK593"/>
    <mergeCell ref="AL591:AL593"/>
    <mergeCell ref="AA591:AA593"/>
    <mergeCell ref="AB591:AB593"/>
    <mergeCell ref="AC591:AC593"/>
    <mergeCell ref="AD591:AD593"/>
    <mergeCell ref="AE591:AE593"/>
    <mergeCell ref="AF591:AF593"/>
    <mergeCell ref="T591:T593"/>
    <mergeCell ref="U591:U593"/>
    <mergeCell ref="V591:V593"/>
    <mergeCell ref="W591:W593"/>
    <mergeCell ref="X591:X593"/>
    <mergeCell ref="Z591:Z593"/>
    <mergeCell ref="N591:N593"/>
    <mergeCell ref="O591:O593"/>
    <mergeCell ref="P591:P593"/>
    <mergeCell ref="Q591:Q593"/>
    <mergeCell ref="R591:R593"/>
    <mergeCell ref="S591:S593"/>
    <mergeCell ref="H591:H593"/>
    <mergeCell ref="I591:I593"/>
    <mergeCell ref="J591:J593"/>
    <mergeCell ref="K591:K593"/>
    <mergeCell ref="L591:L593"/>
    <mergeCell ref="M591:M593"/>
    <mergeCell ref="AW594:AW596"/>
    <mergeCell ref="A597:A599"/>
    <mergeCell ref="B597:B599"/>
    <mergeCell ref="C597:C599"/>
    <mergeCell ref="D597:D599"/>
    <mergeCell ref="E597:E599"/>
    <mergeCell ref="F597:F599"/>
    <mergeCell ref="G597:G599"/>
    <mergeCell ref="H597:H599"/>
    <mergeCell ref="I597:I599"/>
    <mergeCell ref="AQ594:AQ596"/>
    <mergeCell ref="AR594:AR596"/>
    <mergeCell ref="AS594:AS596"/>
    <mergeCell ref="AT594:AT596"/>
    <mergeCell ref="AU594:AU596"/>
    <mergeCell ref="AV594:AV596"/>
    <mergeCell ref="AK594:AK596"/>
    <mergeCell ref="AL594:AL596"/>
    <mergeCell ref="AM594:AM596"/>
    <mergeCell ref="AN594:AN596"/>
    <mergeCell ref="AO594:AO596"/>
    <mergeCell ref="AP594:AP596"/>
    <mergeCell ref="AE594:AE596"/>
    <mergeCell ref="AF594:AF596"/>
    <mergeCell ref="AG594:AG596"/>
    <mergeCell ref="AH594:AH596"/>
    <mergeCell ref="AI594:AI596"/>
    <mergeCell ref="AJ594:AJ596"/>
    <mergeCell ref="X594:X596"/>
    <mergeCell ref="Z594:Z596"/>
    <mergeCell ref="AA594:AA596"/>
    <mergeCell ref="AB594:AB596"/>
    <mergeCell ref="AC594:AC596"/>
    <mergeCell ref="AD594:AD596"/>
    <mergeCell ref="AW588:AW590"/>
    <mergeCell ref="A591:A593"/>
    <mergeCell ref="B591:B593"/>
    <mergeCell ref="C591:C593"/>
    <mergeCell ref="D591:D593"/>
    <mergeCell ref="E591:E593"/>
    <mergeCell ref="F591:F593"/>
    <mergeCell ref="G591:G593"/>
    <mergeCell ref="AO588:AO590"/>
    <mergeCell ref="AP588:AP590"/>
    <mergeCell ref="AQ588:AQ590"/>
    <mergeCell ref="AR588:AR590"/>
    <mergeCell ref="AS588:AS590"/>
    <mergeCell ref="AT588:AT590"/>
    <mergeCell ref="AI588:AI590"/>
    <mergeCell ref="AJ588:AJ590"/>
    <mergeCell ref="AK588:AK590"/>
    <mergeCell ref="AL588:AL590"/>
    <mergeCell ref="AM588:AM590"/>
    <mergeCell ref="AN588:AN590"/>
    <mergeCell ref="AC588:AC590"/>
    <mergeCell ref="AD588:AD590"/>
    <mergeCell ref="AE588:AE590"/>
    <mergeCell ref="AF588:AF590"/>
    <mergeCell ref="AG588:AG590"/>
    <mergeCell ref="AH588:AH590"/>
    <mergeCell ref="V588:V590"/>
    <mergeCell ref="W588:W590"/>
    <mergeCell ref="X588:X590"/>
    <mergeCell ref="Z588:Z590"/>
    <mergeCell ref="AA588:AA590"/>
    <mergeCell ref="AB588:AB590"/>
    <mergeCell ref="P588:P590"/>
    <mergeCell ref="Q588:Q590"/>
    <mergeCell ref="R588:R590"/>
    <mergeCell ref="S588:S590"/>
    <mergeCell ref="T588:T590"/>
    <mergeCell ref="U588:U590"/>
    <mergeCell ref="J588:J590"/>
    <mergeCell ref="K588:K590"/>
    <mergeCell ref="L588:L590"/>
    <mergeCell ref="M588:M590"/>
    <mergeCell ref="N588:N590"/>
    <mergeCell ref="O588:O590"/>
    <mergeCell ref="AS591:AS593"/>
    <mergeCell ref="AT591:AT593"/>
    <mergeCell ref="AU591:AU593"/>
    <mergeCell ref="AV591:AV593"/>
    <mergeCell ref="AW591:AW593"/>
    <mergeCell ref="A588:A590"/>
    <mergeCell ref="B588:B590"/>
    <mergeCell ref="C588:C590"/>
    <mergeCell ref="D588:D590"/>
    <mergeCell ref="E588:E590"/>
    <mergeCell ref="F588:F590"/>
    <mergeCell ref="G588:G590"/>
    <mergeCell ref="H588:H590"/>
    <mergeCell ref="I588:I590"/>
    <mergeCell ref="AM591:AM593"/>
    <mergeCell ref="AN591:AN593"/>
    <mergeCell ref="AO591:AO593"/>
    <mergeCell ref="AP591:AP593"/>
    <mergeCell ref="AQ591:AQ593"/>
    <mergeCell ref="AR591:AR593"/>
    <mergeCell ref="AS585:AS587"/>
    <mergeCell ref="AT585:AT587"/>
    <mergeCell ref="AU585:AU587"/>
    <mergeCell ref="AV585:AV587"/>
    <mergeCell ref="AK585:AK587"/>
    <mergeCell ref="AL585:AL587"/>
    <mergeCell ref="AM585:AM587"/>
    <mergeCell ref="AN585:AN587"/>
    <mergeCell ref="AO585:AO587"/>
    <mergeCell ref="AP585:AP587"/>
    <mergeCell ref="AE585:AE587"/>
    <mergeCell ref="AF585:AF587"/>
    <mergeCell ref="AG585:AG587"/>
    <mergeCell ref="AH585:AH587"/>
    <mergeCell ref="AI585:AI587"/>
    <mergeCell ref="AJ585:AJ587"/>
    <mergeCell ref="X585:X587"/>
    <mergeCell ref="Z585:Z587"/>
    <mergeCell ref="AA585:AA587"/>
    <mergeCell ref="AB585:AB587"/>
    <mergeCell ref="AC585:AC587"/>
    <mergeCell ref="AD585:AD587"/>
    <mergeCell ref="R585:R587"/>
    <mergeCell ref="S585:S587"/>
    <mergeCell ref="T585:T587"/>
    <mergeCell ref="U585:U587"/>
    <mergeCell ref="V585:V587"/>
    <mergeCell ref="W585:W587"/>
    <mergeCell ref="L585:L587"/>
    <mergeCell ref="M585:M587"/>
    <mergeCell ref="N585:N587"/>
    <mergeCell ref="O585:O587"/>
    <mergeCell ref="P585:P587"/>
    <mergeCell ref="Q585:Q587"/>
    <mergeCell ref="F585:F587"/>
    <mergeCell ref="G585:G587"/>
    <mergeCell ref="H585:H587"/>
    <mergeCell ref="I585:I587"/>
    <mergeCell ref="J585:J587"/>
    <mergeCell ref="K585:K587"/>
    <mergeCell ref="AU588:AU590"/>
    <mergeCell ref="AV588:AV590"/>
    <mergeCell ref="AU582:AU584"/>
    <mergeCell ref="AV582:AV584"/>
    <mergeCell ref="AW582:AW584"/>
    <mergeCell ref="A585:A587"/>
    <mergeCell ref="B585:B587"/>
    <mergeCell ref="C585:C587"/>
    <mergeCell ref="D585:D587"/>
    <mergeCell ref="E585:E587"/>
    <mergeCell ref="AM582:AM584"/>
    <mergeCell ref="AN582:AN584"/>
    <mergeCell ref="AO582:AO584"/>
    <mergeCell ref="AP582:AP584"/>
    <mergeCell ref="AQ582:AQ584"/>
    <mergeCell ref="AR582:AR584"/>
    <mergeCell ref="AG582:AG584"/>
    <mergeCell ref="AH582:AH584"/>
    <mergeCell ref="AI582:AI584"/>
    <mergeCell ref="AJ582:AJ584"/>
    <mergeCell ref="AK582:AK584"/>
    <mergeCell ref="AL582:AL584"/>
    <mergeCell ref="AA582:AA584"/>
    <mergeCell ref="AB582:AB584"/>
    <mergeCell ref="AC582:AC584"/>
    <mergeCell ref="AD582:AD584"/>
    <mergeCell ref="AE582:AE584"/>
    <mergeCell ref="AF582:AF584"/>
    <mergeCell ref="T582:T584"/>
    <mergeCell ref="U582:U584"/>
    <mergeCell ref="V582:V584"/>
    <mergeCell ref="W582:W584"/>
    <mergeCell ref="X582:X584"/>
    <mergeCell ref="Z582:Z584"/>
    <mergeCell ref="N582:N584"/>
    <mergeCell ref="O582:O584"/>
    <mergeCell ref="P582:P584"/>
    <mergeCell ref="Q582:Q584"/>
    <mergeCell ref="R582:R584"/>
    <mergeCell ref="S582:S584"/>
    <mergeCell ref="H582:H584"/>
    <mergeCell ref="I582:I584"/>
    <mergeCell ref="J582:J584"/>
    <mergeCell ref="K582:K584"/>
    <mergeCell ref="L582:L584"/>
    <mergeCell ref="M582:M584"/>
    <mergeCell ref="AW585:AW587"/>
    <mergeCell ref="A582:A584"/>
    <mergeCell ref="B582:B584"/>
    <mergeCell ref="C582:C584"/>
    <mergeCell ref="D582:D584"/>
    <mergeCell ref="E582:E584"/>
    <mergeCell ref="F582:F584"/>
    <mergeCell ref="G582:G584"/>
    <mergeCell ref="AS582:AS584"/>
    <mergeCell ref="AT582:AT584"/>
    <mergeCell ref="AQ585:AQ587"/>
    <mergeCell ref="AR585:AR587"/>
    <mergeCell ref="R576:R578"/>
    <mergeCell ref="S576:S578"/>
    <mergeCell ref="T576:T578"/>
    <mergeCell ref="U576:U578"/>
    <mergeCell ref="V576:V578"/>
    <mergeCell ref="W576:W578"/>
    <mergeCell ref="L576:L578"/>
    <mergeCell ref="M576:M578"/>
    <mergeCell ref="N576:N578"/>
    <mergeCell ref="O576:O578"/>
    <mergeCell ref="P576:P578"/>
    <mergeCell ref="Q576:Q578"/>
    <mergeCell ref="F576:F578"/>
    <mergeCell ref="G576:G578"/>
    <mergeCell ref="H576:H578"/>
    <mergeCell ref="I576:I578"/>
    <mergeCell ref="J576:J578"/>
    <mergeCell ref="K576:K578"/>
    <mergeCell ref="AU579:AU581"/>
    <mergeCell ref="AV579:AV581"/>
    <mergeCell ref="AW579:AW581"/>
    <mergeCell ref="A576:A578"/>
    <mergeCell ref="B576:B578"/>
    <mergeCell ref="C576:C578"/>
    <mergeCell ref="D576:D578"/>
    <mergeCell ref="E576:E578"/>
    <mergeCell ref="AO579:AO581"/>
    <mergeCell ref="AP579:AP581"/>
    <mergeCell ref="AQ579:AQ581"/>
    <mergeCell ref="AR579:AR581"/>
    <mergeCell ref="AS579:AS581"/>
    <mergeCell ref="AT579:AT581"/>
    <mergeCell ref="AI579:AI581"/>
    <mergeCell ref="AJ579:AJ581"/>
    <mergeCell ref="AK579:AK581"/>
    <mergeCell ref="AL579:AL581"/>
    <mergeCell ref="AM579:AM581"/>
    <mergeCell ref="AN579:AN581"/>
    <mergeCell ref="AC579:AC581"/>
    <mergeCell ref="AD579:AD581"/>
    <mergeCell ref="AE579:AE581"/>
    <mergeCell ref="AF579:AF581"/>
    <mergeCell ref="AG579:AG581"/>
    <mergeCell ref="AH579:AH581"/>
    <mergeCell ref="V579:V581"/>
    <mergeCell ref="W579:W581"/>
    <mergeCell ref="X579:X581"/>
    <mergeCell ref="Z579:Z581"/>
    <mergeCell ref="AA579:AA581"/>
    <mergeCell ref="AB579:AB581"/>
    <mergeCell ref="P579:P581"/>
    <mergeCell ref="Q579:Q581"/>
    <mergeCell ref="R579:R581"/>
    <mergeCell ref="S579:S581"/>
    <mergeCell ref="T579:T581"/>
    <mergeCell ref="U579:U581"/>
    <mergeCell ref="J579:J581"/>
    <mergeCell ref="K579:K581"/>
    <mergeCell ref="L579:L581"/>
    <mergeCell ref="M579:M581"/>
    <mergeCell ref="N579:N581"/>
    <mergeCell ref="O579:O581"/>
    <mergeCell ref="AG573:AG575"/>
    <mergeCell ref="AH573:AH575"/>
    <mergeCell ref="AI573:AI575"/>
    <mergeCell ref="AJ573:AJ575"/>
    <mergeCell ref="AK573:AK575"/>
    <mergeCell ref="AL573:AL575"/>
    <mergeCell ref="AA573:AA575"/>
    <mergeCell ref="AB573:AB575"/>
    <mergeCell ref="AC573:AC575"/>
    <mergeCell ref="AD573:AD575"/>
    <mergeCell ref="AE573:AE575"/>
    <mergeCell ref="AF573:AF575"/>
    <mergeCell ref="T573:T575"/>
    <mergeCell ref="U573:U575"/>
    <mergeCell ref="V573:V575"/>
    <mergeCell ref="W573:W575"/>
    <mergeCell ref="X573:X575"/>
    <mergeCell ref="Z573:Z575"/>
    <mergeCell ref="N573:N575"/>
    <mergeCell ref="O573:O575"/>
    <mergeCell ref="P573:P575"/>
    <mergeCell ref="Q573:Q575"/>
    <mergeCell ref="R573:R575"/>
    <mergeCell ref="S573:S575"/>
    <mergeCell ref="H573:H575"/>
    <mergeCell ref="I573:I575"/>
    <mergeCell ref="J573:J575"/>
    <mergeCell ref="K573:K575"/>
    <mergeCell ref="L573:L575"/>
    <mergeCell ref="M573:M575"/>
    <mergeCell ref="AW576:AW578"/>
    <mergeCell ref="A579:A581"/>
    <mergeCell ref="B579:B581"/>
    <mergeCell ref="C579:C581"/>
    <mergeCell ref="D579:D581"/>
    <mergeCell ref="E579:E581"/>
    <mergeCell ref="F579:F581"/>
    <mergeCell ref="G579:G581"/>
    <mergeCell ref="H579:H581"/>
    <mergeCell ref="I579:I581"/>
    <mergeCell ref="AQ576:AQ578"/>
    <mergeCell ref="AR576:AR578"/>
    <mergeCell ref="AS576:AS578"/>
    <mergeCell ref="AT576:AT578"/>
    <mergeCell ref="AU576:AU578"/>
    <mergeCell ref="AV576:AV578"/>
    <mergeCell ref="AK576:AK578"/>
    <mergeCell ref="AL576:AL578"/>
    <mergeCell ref="AM576:AM578"/>
    <mergeCell ref="AN576:AN578"/>
    <mergeCell ref="AO576:AO578"/>
    <mergeCell ref="AP576:AP578"/>
    <mergeCell ref="AE576:AE578"/>
    <mergeCell ref="AF576:AF578"/>
    <mergeCell ref="AG576:AG578"/>
    <mergeCell ref="AH576:AH578"/>
    <mergeCell ref="AI576:AI578"/>
    <mergeCell ref="AJ576:AJ578"/>
    <mergeCell ref="X576:X578"/>
    <mergeCell ref="Z576:Z578"/>
    <mergeCell ref="AA576:AA578"/>
    <mergeCell ref="AB576:AB578"/>
    <mergeCell ref="AC576:AC578"/>
    <mergeCell ref="AD576:AD578"/>
    <mergeCell ref="AW570:AW572"/>
    <mergeCell ref="A573:A575"/>
    <mergeCell ref="B573:B575"/>
    <mergeCell ref="C573:C575"/>
    <mergeCell ref="D573:D575"/>
    <mergeCell ref="E573:E575"/>
    <mergeCell ref="F573:F575"/>
    <mergeCell ref="G573:G575"/>
    <mergeCell ref="AO570:AO572"/>
    <mergeCell ref="AP570:AP572"/>
    <mergeCell ref="AQ570:AQ572"/>
    <mergeCell ref="AR570:AR572"/>
    <mergeCell ref="AS570:AS572"/>
    <mergeCell ref="AT570:AT572"/>
    <mergeCell ref="AI570:AI572"/>
    <mergeCell ref="AJ570:AJ572"/>
    <mergeCell ref="AK570:AK572"/>
    <mergeCell ref="AL570:AL572"/>
    <mergeCell ref="AM570:AM572"/>
    <mergeCell ref="AN570:AN572"/>
    <mergeCell ref="AC570:AC572"/>
    <mergeCell ref="AD570:AD572"/>
    <mergeCell ref="AE570:AE572"/>
    <mergeCell ref="AF570:AF572"/>
    <mergeCell ref="AG570:AG572"/>
    <mergeCell ref="AH570:AH572"/>
    <mergeCell ref="V570:V572"/>
    <mergeCell ref="W570:W572"/>
    <mergeCell ref="X570:X572"/>
    <mergeCell ref="Z570:Z572"/>
    <mergeCell ref="AA570:AA572"/>
    <mergeCell ref="AB570:AB572"/>
    <mergeCell ref="P570:P572"/>
    <mergeCell ref="Q570:Q572"/>
    <mergeCell ref="R570:R572"/>
    <mergeCell ref="S570:S572"/>
    <mergeCell ref="T570:T572"/>
    <mergeCell ref="U570:U572"/>
    <mergeCell ref="J570:J572"/>
    <mergeCell ref="K570:K572"/>
    <mergeCell ref="L570:L572"/>
    <mergeCell ref="M570:M572"/>
    <mergeCell ref="N570:N572"/>
    <mergeCell ref="O570:O572"/>
    <mergeCell ref="AS573:AS575"/>
    <mergeCell ref="AT573:AT575"/>
    <mergeCell ref="AU573:AU575"/>
    <mergeCell ref="AV573:AV575"/>
    <mergeCell ref="AW573:AW575"/>
    <mergeCell ref="A570:A572"/>
    <mergeCell ref="B570:B572"/>
    <mergeCell ref="C570:C572"/>
    <mergeCell ref="D570:D572"/>
    <mergeCell ref="E570:E572"/>
    <mergeCell ref="F570:F572"/>
    <mergeCell ref="G570:G572"/>
    <mergeCell ref="H570:H572"/>
    <mergeCell ref="I570:I572"/>
    <mergeCell ref="AM573:AM575"/>
    <mergeCell ref="AN573:AN575"/>
    <mergeCell ref="AO573:AO575"/>
    <mergeCell ref="AP573:AP575"/>
    <mergeCell ref="AQ573:AQ575"/>
    <mergeCell ref="AR573:AR575"/>
    <mergeCell ref="AS567:AS569"/>
    <mergeCell ref="AT567:AT569"/>
    <mergeCell ref="AU567:AU569"/>
    <mergeCell ref="AV567:AV569"/>
    <mergeCell ref="AK567:AK569"/>
    <mergeCell ref="AL567:AL569"/>
    <mergeCell ref="AM567:AM569"/>
    <mergeCell ref="AN567:AN569"/>
    <mergeCell ref="AO567:AO569"/>
    <mergeCell ref="AP567:AP569"/>
    <mergeCell ref="AE567:AE569"/>
    <mergeCell ref="AF567:AF569"/>
    <mergeCell ref="AG567:AG569"/>
    <mergeCell ref="AH567:AH569"/>
    <mergeCell ref="AI567:AI569"/>
    <mergeCell ref="AJ567:AJ569"/>
    <mergeCell ref="X567:X569"/>
    <mergeCell ref="Z567:Z569"/>
    <mergeCell ref="AA567:AA569"/>
    <mergeCell ref="AB567:AB569"/>
    <mergeCell ref="AC567:AC569"/>
    <mergeCell ref="AD567:AD569"/>
    <mergeCell ref="R567:R569"/>
    <mergeCell ref="S567:S569"/>
    <mergeCell ref="T567:T569"/>
    <mergeCell ref="U567:U569"/>
    <mergeCell ref="V567:V569"/>
    <mergeCell ref="W567:W569"/>
    <mergeCell ref="L567:L569"/>
    <mergeCell ref="M567:M569"/>
    <mergeCell ref="N567:N569"/>
    <mergeCell ref="O567:O569"/>
    <mergeCell ref="P567:P569"/>
    <mergeCell ref="Q567:Q569"/>
    <mergeCell ref="F567:F569"/>
    <mergeCell ref="G567:G569"/>
    <mergeCell ref="H567:H569"/>
    <mergeCell ref="I567:I569"/>
    <mergeCell ref="J567:J569"/>
    <mergeCell ref="K567:K569"/>
    <mergeCell ref="AU570:AU572"/>
    <mergeCell ref="AV570:AV572"/>
    <mergeCell ref="AU564:AU566"/>
    <mergeCell ref="AV564:AV566"/>
    <mergeCell ref="AW564:AW566"/>
    <mergeCell ref="A567:A569"/>
    <mergeCell ref="B567:B569"/>
    <mergeCell ref="C567:C569"/>
    <mergeCell ref="D567:D569"/>
    <mergeCell ref="E567:E569"/>
    <mergeCell ref="AM564:AM566"/>
    <mergeCell ref="AN564:AN566"/>
    <mergeCell ref="AO564:AO566"/>
    <mergeCell ref="AP564:AP566"/>
    <mergeCell ref="AQ564:AQ566"/>
    <mergeCell ref="AR564:AR566"/>
    <mergeCell ref="AG564:AG566"/>
    <mergeCell ref="AH564:AH566"/>
    <mergeCell ref="AI564:AI566"/>
    <mergeCell ref="AJ564:AJ566"/>
    <mergeCell ref="AK564:AK566"/>
    <mergeCell ref="AL564:AL566"/>
    <mergeCell ref="AA564:AA566"/>
    <mergeCell ref="AB564:AB566"/>
    <mergeCell ref="AC564:AC566"/>
    <mergeCell ref="AD564:AD566"/>
    <mergeCell ref="AE564:AE566"/>
    <mergeCell ref="AF564:AF566"/>
    <mergeCell ref="T564:T566"/>
    <mergeCell ref="U564:U566"/>
    <mergeCell ref="V564:V566"/>
    <mergeCell ref="W564:W566"/>
    <mergeCell ref="X564:X566"/>
    <mergeCell ref="Z564:Z566"/>
    <mergeCell ref="N564:N566"/>
    <mergeCell ref="O564:O566"/>
    <mergeCell ref="P564:P566"/>
    <mergeCell ref="Q564:Q566"/>
    <mergeCell ref="R564:R566"/>
    <mergeCell ref="S564:S566"/>
    <mergeCell ref="H564:H566"/>
    <mergeCell ref="I564:I566"/>
    <mergeCell ref="J564:J566"/>
    <mergeCell ref="K564:K566"/>
    <mergeCell ref="L564:L566"/>
    <mergeCell ref="M564:M566"/>
    <mergeCell ref="AW567:AW569"/>
    <mergeCell ref="A564:A566"/>
    <mergeCell ref="B564:B566"/>
    <mergeCell ref="C564:C566"/>
    <mergeCell ref="D564:D566"/>
    <mergeCell ref="E564:E566"/>
    <mergeCell ref="F564:F566"/>
    <mergeCell ref="G564:G566"/>
    <mergeCell ref="AS564:AS566"/>
    <mergeCell ref="AT564:AT566"/>
    <mergeCell ref="AQ567:AQ569"/>
    <mergeCell ref="AR567:AR569"/>
    <mergeCell ref="R558:R560"/>
    <mergeCell ref="S558:S560"/>
    <mergeCell ref="T558:T560"/>
    <mergeCell ref="U558:U560"/>
    <mergeCell ref="V558:V560"/>
    <mergeCell ref="W558:W560"/>
    <mergeCell ref="L558:L560"/>
    <mergeCell ref="M558:M560"/>
    <mergeCell ref="N558:N560"/>
    <mergeCell ref="O558:O560"/>
    <mergeCell ref="P558:P560"/>
    <mergeCell ref="Q558:Q560"/>
    <mergeCell ref="F558:F560"/>
    <mergeCell ref="G558:G560"/>
    <mergeCell ref="H558:H560"/>
    <mergeCell ref="I558:I560"/>
    <mergeCell ref="J558:J560"/>
    <mergeCell ref="K558:K560"/>
    <mergeCell ref="AU561:AU563"/>
    <mergeCell ref="AV561:AV563"/>
    <mergeCell ref="AW561:AW563"/>
    <mergeCell ref="A558:A560"/>
    <mergeCell ref="B558:B560"/>
    <mergeCell ref="C558:C560"/>
    <mergeCell ref="D558:D560"/>
    <mergeCell ref="E558:E560"/>
    <mergeCell ref="AO561:AO563"/>
    <mergeCell ref="AP561:AP563"/>
    <mergeCell ref="AQ561:AQ563"/>
    <mergeCell ref="AR561:AR563"/>
    <mergeCell ref="AS561:AS563"/>
    <mergeCell ref="AT561:AT563"/>
    <mergeCell ref="AI561:AI563"/>
    <mergeCell ref="AJ561:AJ563"/>
    <mergeCell ref="AK561:AK563"/>
    <mergeCell ref="AL561:AL563"/>
    <mergeCell ref="AM561:AM563"/>
    <mergeCell ref="AN561:AN563"/>
    <mergeCell ref="AC561:AC563"/>
    <mergeCell ref="AD561:AD563"/>
    <mergeCell ref="AE561:AE563"/>
    <mergeCell ref="AF561:AF563"/>
    <mergeCell ref="AG561:AG563"/>
    <mergeCell ref="AH561:AH563"/>
    <mergeCell ref="V561:V563"/>
    <mergeCell ref="W561:W563"/>
    <mergeCell ref="X561:X563"/>
    <mergeCell ref="Z561:Z563"/>
    <mergeCell ref="AA561:AA563"/>
    <mergeCell ref="AB561:AB563"/>
    <mergeCell ref="P561:P563"/>
    <mergeCell ref="Q561:Q563"/>
    <mergeCell ref="R561:R563"/>
    <mergeCell ref="S561:S563"/>
    <mergeCell ref="T561:T563"/>
    <mergeCell ref="U561:U563"/>
    <mergeCell ref="J561:J563"/>
    <mergeCell ref="K561:K563"/>
    <mergeCell ref="L561:L563"/>
    <mergeCell ref="M561:M563"/>
    <mergeCell ref="N561:N563"/>
    <mergeCell ref="O561:O563"/>
    <mergeCell ref="AG555:AG557"/>
    <mergeCell ref="AH555:AH557"/>
    <mergeCell ref="AI555:AI557"/>
    <mergeCell ref="AJ555:AJ557"/>
    <mergeCell ref="AK555:AK557"/>
    <mergeCell ref="AL555:AL557"/>
    <mergeCell ref="AA555:AA557"/>
    <mergeCell ref="AB555:AB557"/>
    <mergeCell ref="AC555:AC557"/>
    <mergeCell ref="AD555:AD557"/>
    <mergeCell ref="AE555:AE557"/>
    <mergeCell ref="AF555:AF557"/>
    <mergeCell ref="T555:T557"/>
    <mergeCell ref="U555:U557"/>
    <mergeCell ref="V555:V557"/>
    <mergeCell ref="W555:W557"/>
    <mergeCell ref="X555:X557"/>
    <mergeCell ref="Z555:Z557"/>
    <mergeCell ref="N555:N557"/>
    <mergeCell ref="O555:O557"/>
    <mergeCell ref="P555:P557"/>
    <mergeCell ref="Q555:Q557"/>
    <mergeCell ref="R555:R557"/>
    <mergeCell ref="S555:S557"/>
    <mergeCell ref="H555:H557"/>
    <mergeCell ref="I555:I557"/>
    <mergeCell ref="J555:J557"/>
    <mergeCell ref="K555:K557"/>
    <mergeCell ref="L555:L557"/>
    <mergeCell ref="M555:M557"/>
    <mergeCell ref="AW558:AW560"/>
    <mergeCell ref="A561:A563"/>
    <mergeCell ref="B561:B563"/>
    <mergeCell ref="C561:C563"/>
    <mergeCell ref="D561:D563"/>
    <mergeCell ref="E561:E563"/>
    <mergeCell ref="F561:F563"/>
    <mergeCell ref="G561:G563"/>
    <mergeCell ref="H561:H563"/>
    <mergeCell ref="I561:I563"/>
    <mergeCell ref="AQ558:AQ560"/>
    <mergeCell ref="AR558:AR560"/>
    <mergeCell ref="AS558:AS560"/>
    <mergeCell ref="AT558:AT560"/>
    <mergeCell ref="AU558:AU560"/>
    <mergeCell ref="AV558:AV560"/>
    <mergeCell ref="AK558:AK560"/>
    <mergeCell ref="AL558:AL560"/>
    <mergeCell ref="AM558:AM560"/>
    <mergeCell ref="AN558:AN560"/>
    <mergeCell ref="AO558:AO560"/>
    <mergeCell ref="AP558:AP560"/>
    <mergeCell ref="AE558:AE560"/>
    <mergeCell ref="AF558:AF560"/>
    <mergeCell ref="AG558:AG560"/>
    <mergeCell ref="AH558:AH560"/>
    <mergeCell ref="AI558:AI560"/>
    <mergeCell ref="AJ558:AJ560"/>
    <mergeCell ref="X558:X560"/>
    <mergeCell ref="Z558:Z560"/>
    <mergeCell ref="AA558:AA560"/>
    <mergeCell ref="AB558:AB560"/>
    <mergeCell ref="AC558:AC560"/>
    <mergeCell ref="AD558:AD560"/>
    <mergeCell ref="AW552:AW554"/>
    <mergeCell ref="A555:A557"/>
    <mergeCell ref="B555:B557"/>
    <mergeCell ref="C555:C557"/>
    <mergeCell ref="D555:D557"/>
    <mergeCell ref="E555:E557"/>
    <mergeCell ref="F555:F557"/>
    <mergeCell ref="G555:G557"/>
    <mergeCell ref="AO552:AO554"/>
    <mergeCell ref="AP552:AP554"/>
    <mergeCell ref="AQ552:AQ554"/>
    <mergeCell ref="AR552:AR554"/>
    <mergeCell ref="AS552:AS554"/>
    <mergeCell ref="AT552:AT554"/>
    <mergeCell ref="AI552:AI554"/>
    <mergeCell ref="AJ552:AJ554"/>
    <mergeCell ref="AK552:AK554"/>
    <mergeCell ref="AL552:AL554"/>
    <mergeCell ref="AM552:AM554"/>
    <mergeCell ref="AN552:AN554"/>
    <mergeCell ref="AC552:AC554"/>
    <mergeCell ref="AD552:AD554"/>
    <mergeCell ref="AE552:AE554"/>
    <mergeCell ref="AF552:AF554"/>
    <mergeCell ref="AG552:AG554"/>
    <mergeCell ref="AH552:AH554"/>
    <mergeCell ref="V552:V554"/>
    <mergeCell ref="W552:W554"/>
    <mergeCell ref="X552:X554"/>
    <mergeCell ref="Z552:Z554"/>
    <mergeCell ref="AA552:AA554"/>
    <mergeCell ref="AB552:AB554"/>
    <mergeCell ref="P552:P554"/>
    <mergeCell ref="Q552:Q554"/>
    <mergeCell ref="R552:R554"/>
    <mergeCell ref="S552:S554"/>
    <mergeCell ref="T552:T554"/>
    <mergeCell ref="U552:U554"/>
    <mergeCell ref="J552:J554"/>
    <mergeCell ref="K552:K554"/>
    <mergeCell ref="L552:L554"/>
    <mergeCell ref="M552:M554"/>
    <mergeCell ref="N552:N554"/>
    <mergeCell ref="O552:O554"/>
    <mergeCell ref="AS555:AS557"/>
    <mergeCell ref="AT555:AT557"/>
    <mergeCell ref="AU555:AU557"/>
    <mergeCell ref="AV555:AV557"/>
    <mergeCell ref="AW555:AW557"/>
    <mergeCell ref="A552:A554"/>
    <mergeCell ref="B552:B554"/>
    <mergeCell ref="C552:C554"/>
    <mergeCell ref="D552:D554"/>
    <mergeCell ref="E552:E554"/>
    <mergeCell ref="F552:F554"/>
    <mergeCell ref="G552:G554"/>
    <mergeCell ref="H552:H554"/>
    <mergeCell ref="I552:I554"/>
    <mergeCell ref="AM555:AM557"/>
    <mergeCell ref="AN555:AN557"/>
    <mergeCell ref="AO555:AO557"/>
    <mergeCell ref="AP555:AP557"/>
    <mergeCell ref="AQ555:AQ557"/>
    <mergeCell ref="AR555:AR557"/>
    <mergeCell ref="AS549:AS551"/>
    <mergeCell ref="AT549:AT551"/>
    <mergeCell ref="AU549:AU551"/>
    <mergeCell ref="AV549:AV551"/>
    <mergeCell ref="AK549:AK551"/>
    <mergeCell ref="AL549:AL551"/>
    <mergeCell ref="AM549:AM551"/>
    <mergeCell ref="AN549:AN551"/>
    <mergeCell ref="AO549:AO551"/>
    <mergeCell ref="AP549:AP551"/>
    <mergeCell ref="AE549:AE551"/>
    <mergeCell ref="AF549:AF551"/>
    <mergeCell ref="AG549:AG551"/>
    <mergeCell ref="AH549:AH551"/>
    <mergeCell ref="AI549:AI551"/>
    <mergeCell ref="AJ549:AJ551"/>
    <mergeCell ref="X549:X551"/>
    <mergeCell ref="Z549:Z551"/>
    <mergeCell ref="AA549:AA551"/>
    <mergeCell ref="AB549:AB551"/>
    <mergeCell ref="AC549:AC551"/>
    <mergeCell ref="AD549:AD551"/>
    <mergeCell ref="R549:R551"/>
    <mergeCell ref="S549:S551"/>
    <mergeCell ref="T549:T551"/>
    <mergeCell ref="U549:U551"/>
    <mergeCell ref="V549:V551"/>
    <mergeCell ref="W549:W551"/>
    <mergeCell ref="L549:L551"/>
    <mergeCell ref="M549:M551"/>
    <mergeCell ref="N549:N551"/>
    <mergeCell ref="O549:O551"/>
    <mergeCell ref="P549:P551"/>
    <mergeCell ref="Q549:Q551"/>
    <mergeCell ref="F549:F551"/>
    <mergeCell ref="G549:G551"/>
    <mergeCell ref="H549:H551"/>
    <mergeCell ref="I549:I551"/>
    <mergeCell ref="J549:J551"/>
    <mergeCell ref="K549:K551"/>
    <mergeCell ref="AU552:AU554"/>
    <mergeCell ref="AV552:AV554"/>
    <mergeCell ref="AU546:AU548"/>
    <mergeCell ref="AV546:AV548"/>
    <mergeCell ref="AW546:AW548"/>
    <mergeCell ref="A549:A551"/>
    <mergeCell ref="B549:B551"/>
    <mergeCell ref="C549:C551"/>
    <mergeCell ref="D549:D551"/>
    <mergeCell ref="E549:E551"/>
    <mergeCell ref="AM546:AM548"/>
    <mergeCell ref="AN546:AN548"/>
    <mergeCell ref="AO546:AO548"/>
    <mergeCell ref="AP546:AP548"/>
    <mergeCell ref="AQ546:AQ548"/>
    <mergeCell ref="AR546:AR548"/>
    <mergeCell ref="AG546:AG548"/>
    <mergeCell ref="AH546:AH548"/>
    <mergeCell ref="AI546:AI548"/>
    <mergeCell ref="AJ546:AJ548"/>
    <mergeCell ref="AK546:AK548"/>
    <mergeCell ref="AL546:AL548"/>
    <mergeCell ref="AA546:AA548"/>
    <mergeCell ref="AB546:AB548"/>
    <mergeCell ref="AC546:AC548"/>
    <mergeCell ref="AD546:AD548"/>
    <mergeCell ref="AE546:AE548"/>
    <mergeCell ref="AF546:AF548"/>
    <mergeCell ref="T546:T548"/>
    <mergeCell ref="U546:U548"/>
    <mergeCell ref="V546:V548"/>
    <mergeCell ref="W546:W548"/>
    <mergeCell ref="X546:X548"/>
    <mergeCell ref="Z546:Z548"/>
    <mergeCell ref="N546:N548"/>
    <mergeCell ref="O546:O548"/>
    <mergeCell ref="P546:P548"/>
    <mergeCell ref="Q546:Q548"/>
    <mergeCell ref="R546:R548"/>
    <mergeCell ref="S546:S548"/>
    <mergeCell ref="H546:H548"/>
    <mergeCell ref="I546:I548"/>
    <mergeCell ref="J546:J548"/>
    <mergeCell ref="K546:K548"/>
    <mergeCell ref="L546:L548"/>
    <mergeCell ref="M546:M548"/>
    <mergeCell ref="AW549:AW551"/>
    <mergeCell ref="A546:A548"/>
    <mergeCell ref="B546:B548"/>
    <mergeCell ref="C546:C548"/>
    <mergeCell ref="D546:D548"/>
    <mergeCell ref="E546:E548"/>
    <mergeCell ref="F546:F548"/>
    <mergeCell ref="G546:G548"/>
    <mergeCell ref="AS546:AS548"/>
    <mergeCell ref="AT546:AT548"/>
    <mergeCell ref="AQ549:AQ551"/>
    <mergeCell ref="AR549:AR551"/>
    <mergeCell ref="T540:T542"/>
    <mergeCell ref="U540:U542"/>
    <mergeCell ref="V540:V542"/>
    <mergeCell ref="W540:W542"/>
    <mergeCell ref="L540:L542"/>
    <mergeCell ref="M540:M542"/>
    <mergeCell ref="N540:N542"/>
    <mergeCell ref="O540:O542"/>
    <mergeCell ref="P540:P542"/>
    <mergeCell ref="Q540:Q542"/>
    <mergeCell ref="F540:F542"/>
    <mergeCell ref="G540:G542"/>
    <mergeCell ref="H540:H542"/>
    <mergeCell ref="I540:I542"/>
    <mergeCell ref="J540:J542"/>
    <mergeCell ref="K540:K542"/>
    <mergeCell ref="AU543:AU545"/>
    <mergeCell ref="AV543:AV545"/>
    <mergeCell ref="AW543:AW545"/>
    <mergeCell ref="A540:A542"/>
    <mergeCell ref="B540:B542"/>
    <mergeCell ref="C540:C542"/>
    <mergeCell ref="D540:D542"/>
    <mergeCell ref="E540:E542"/>
    <mergeCell ref="AO543:AO545"/>
    <mergeCell ref="AP543:AP545"/>
    <mergeCell ref="AQ543:AQ545"/>
    <mergeCell ref="AR543:AR545"/>
    <mergeCell ref="AS543:AS545"/>
    <mergeCell ref="AT543:AT545"/>
    <mergeCell ref="AI543:AI545"/>
    <mergeCell ref="AJ543:AJ545"/>
    <mergeCell ref="AK543:AK545"/>
    <mergeCell ref="AL543:AL545"/>
    <mergeCell ref="AM543:AM545"/>
    <mergeCell ref="AN543:AN545"/>
    <mergeCell ref="AC543:AC545"/>
    <mergeCell ref="AD543:AD545"/>
    <mergeCell ref="AE543:AE545"/>
    <mergeCell ref="AF543:AF545"/>
    <mergeCell ref="AG543:AG545"/>
    <mergeCell ref="AH543:AH545"/>
    <mergeCell ref="V543:V545"/>
    <mergeCell ref="W543:W545"/>
    <mergeCell ref="X543:X545"/>
    <mergeCell ref="Z543:Z545"/>
    <mergeCell ref="AA543:AA545"/>
    <mergeCell ref="AB543:AB545"/>
    <mergeCell ref="P543:P545"/>
    <mergeCell ref="Q543:Q545"/>
    <mergeCell ref="R543:R545"/>
    <mergeCell ref="S543:S545"/>
    <mergeCell ref="T543:T545"/>
    <mergeCell ref="U543:U545"/>
    <mergeCell ref="J543:J545"/>
    <mergeCell ref="K543:K545"/>
    <mergeCell ref="L543:L545"/>
    <mergeCell ref="M543:M545"/>
    <mergeCell ref="N543:N545"/>
    <mergeCell ref="O543:O545"/>
    <mergeCell ref="AI537:AI539"/>
    <mergeCell ref="AJ537:AJ539"/>
    <mergeCell ref="AK537:AK539"/>
    <mergeCell ref="AL537:AL539"/>
    <mergeCell ref="AA537:AA539"/>
    <mergeCell ref="AB537:AB539"/>
    <mergeCell ref="AC537:AC539"/>
    <mergeCell ref="AD537:AD539"/>
    <mergeCell ref="AE537:AE539"/>
    <mergeCell ref="AF537:AF539"/>
    <mergeCell ref="T537:T539"/>
    <mergeCell ref="U537:U539"/>
    <mergeCell ref="V537:V539"/>
    <mergeCell ref="W537:W539"/>
    <mergeCell ref="X537:X539"/>
    <mergeCell ref="Z537:Z539"/>
    <mergeCell ref="N537:N539"/>
    <mergeCell ref="O537:O539"/>
    <mergeCell ref="P537:P539"/>
    <mergeCell ref="Q537:Q539"/>
    <mergeCell ref="R537:R539"/>
    <mergeCell ref="S537:S539"/>
    <mergeCell ref="H537:H539"/>
    <mergeCell ref="I537:I539"/>
    <mergeCell ref="J537:J539"/>
    <mergeCell ref="K537:K539"/>
    <mergeCell ref="L537:L539"/>
    <mergeCell ref="M537:M539"/>
    <mergeCell ref="AW540:AW542"/>
    <mergeCell ref="A543:A545"/>
    <mergeCell ref="B543:B545"/>
    <mergeCell ref="C543:C545"/>
    <mergeCell ref="D543:D545"/>
    <mergeCell ref="E543:E545"/>
    <mergeCell ref="F543:F545"/>
    <mergeCell ref="G543:G545"/>
    <mergeCell ref="H543:H545"/>
    <mergeCell ref="I543:I545"/>
    <mergeCell ref="AQ540:AQ542"/>
    <mergeCell ref="AR540:AR542"/>
    <mergeCell ref="AS540:AS542"/>
    <mergeCell ref="AT540:AT542"/>
    <mergeCell ref="AU540:AU542"/>
    <mergeCell ref="AV540:AV542"/>
    <mergeCell ref="AK540:AK542"/>
    <mergeCell ref="AL540:AL542"/>
    <mergeCell ref="AM540:AM542"/>
    <mergeCell ref="AN540:AN542"/>
    <mergeCell ref="AO540:AO542"/>
    <mergeCell ref="AP540:AP542"/>
    <mergeCell ref="AE540:AE542"/>
    <mergeCell ref="AF540:AF542"/>
    <mergeCell ref="AG540:AG542"/>
    <mergeCell ref="AH540:AH542"/>
    <mergeCell ref="AI540:AI542"/>
    <mergeCell ref="AJ540:AJ542"/>
    <mergeCell ref="X540:X542"/>
    <mergeCell ref="Z540:Z542"/>
    <mergeCell ref="AA540:AA542"/>
    <mergeCell ref="AB540:AB542"/>
    <mergeCell ref="AC540:AC542"/>
    <mergeCell ref="AD540:AD542"/>
    <mergeCell ref="R540:R542"/>
    <mergeCell ref="S540:S542"/>
    <mergeCell ref="B536:X536"/>
    <mergeCell ref="AA536:AW536"/>
    <mergeCell ref="A537:A539"/>
    <mergeCell ref="B537:B539"/>
    <mergeCell ref="C537:C539"/>
    <mergeCell ref="D537:D539"/>
    <mergeCell ref="E537:E539"/>
    <mergeCell ref="F537:F539"/>
    <mergeCell ref="G537:G539"/>
    <mergeCell ref="AQ532:AQ534"/>
    <mergeCell ref="AR532:AR534"/>
    <mergeCell ref="AS532:AS534"/>
    <mergeCell ref="AT532:AT534"/>
    <mergeCell ref="AU532:AU534"/>
    <mergeCell ref="AV532:AV534"/>
    <mergeCell ref="AK532:AK534"/>
    <mergeCell ref="AL532:AL534"/>
    <mergeCell ref="AM532:AM534"/>
    <mergeCell ref="AN532:AN534"/>
    <mergeCell ref="AO532:AO534"/>
    <mergeCell ref="AP532:AP534"/>
    <mergeCell ref="AE532:AE534"/>
    <mergeCell ref="AF532:AF534"/>
    <mergeCell ref="AG532:AG534"/>
    <mergeCell ref="AH532:AH534"/>
    <mergeCell ref="AI532:AI534"/>
    <mergeCell ref="AJ532:AJ534"/>
    <mergeCell ref="X532:X534"/>
    <mergeCell ref="Z532:Z534"/>
    <mergeCell ref="AA532:AA534"/>
    <mergeCell ref="AB532:AB534"/>
    <mergeCell ref="AC532:AC534"/>
    <mergeCell ref="AD532:AD534"/>
    <mergeCell ref="R532:R534"/>
    <mergeCell ref="S532:S534"/>
    <mergeCell ref="T532:T534"/>
    <mergeCell ref="U532:U534"/>
    <mergeCell ref="V532:V534"/>
    <mergeCell ref="W532:W534"/>
    <mergeCell ref="L532:L534"/>
    <mergeCell ref="M532:M534"/>
    <mergeCell ref="N532:N534"/>
    <mergeCell ref="O532:O534"/>
    <mergeCell ref="P532:P534"/>
    <mergeCell ref="Q532:Q534"/>
    <mergeCell ref="F532:F534"/>
    <mergeCell ref="G532:G534"/>
    <mergeCell ref="H532:H534"/>
    <mergeCell ref="I532:I534"/>
    <mergeCell ref="J532:J534"/>
    <mergeCell ref="K532:K534"/>
    <mergeCell ref="AS537:AS539"/>
    <mergeCell ref="AT537:AT539"/>
    <mergeCell ref="AU537:AU539"/>
    <mergeCell ref="AV537:AV539"/>
    <mergeCell ref="AW537:AW539"/>
    <mergeCell ref="AM537:AM539"/>
    <mergeCell ref="AN537:AN539"/>
    <mergeCell ref="AO537:AO539"/>
    <mergeCell ref="AP537:AP539"/>
    <mergeCell ref="AQ537:AQ539"/>
    <mergeCell ref="AR537:AR539"/>
    <mergeCell ref="AG537:AG539"/>
    <mergeCell ref="AH537:AH539"/>
    <mergeCell ref="AU529:AU531"/>
    <mergeCell ref="AV529:AV531"/>
    <mergeCell ref="AW529:AW531"/>
    <mergeCell ref="A532:A534"/>
    <mergeCell ref="B532:B534"/>
    <mergeCell ref="C532:C534"/>
    <mergeCell ref="D532:D534"/>
    <mergeCell ref="E532:E534"/>
    <mergeCell ref="AM529:AM531"/>
    <mergeCell ref="AN529:AN531"/>
    <mergeCell ref="AO529:AO531"/>
    <mergeCell ref="AP529:AP531"/>
    <mergeCell ref="AQ529:AQ531"/>
    <mergeCell ref="AR529:AR531"/>
    <mergeCell ref="AG529:AG531"/>
    <mergeCell ref="AH529:AH531"/>
    <mergeCell ref="AI529:AI531"/>
    <mergeCell ref="AJ529:AJ531"/>
    <mergeCell ref="AK529:AK531"/>
    <mergeCell ref="AL529:AL531"/>
    <mergeCell ref="AA529:AA531"/>
    <mergeCell ref="AB529:AB531"/>
    <mergeCell ref="AC529:AC531"/>
    <mergeCell ref="AD529:AD531"/>
    <mergeCell ref="AE529:AE531"/>
    <mergeCell ref="AF529:AF531"/>
    <mergeCell ref="T529:T531"/>
    <mergeCell ref="U529:U531"/>
    <mergeCell ref="V529:V531"/>
    <mergeCell ref="W529:W531"/>
    <mergeCell ref="X529:X531"/>
    <mergeCell ref="Z529:Z531"/>
    <mergeCell ref="N529:N531"/>
    <mergeCell ref="O529:O531"/>
    <mergeCell ref="P529:P531"/>
    <mergeCell ref="Q529:Q531"/>
    <mergeCell ref="R529:R531"/>
    <mergeCell ref="S529:S531"/>
    <mergeCell ref="H529:H531"/>
    <mergeCell ref="I529:I531"/>
    <mergeCell ref="J529:J531"/>
    <mergeCell ref="K529:K531"/>
    <mergeCell ref="L529:L531"/>
    <mergeCell ref="M529:M531"/>
    <mergeCell ref="AW532:AW534"/>
    <mergeCell ref="A529:A531"/>
    <mergeCell ref="B529:B531"/>
    <mergeCell ref="C529:C531"/>
    <mergeCell ref="D529:D531"/>
    <mergeCell ref="E529:E531"/>
    <mergeCell ref="F529:F531"/>
    <mergeCell ref="G529:G531"/>
    <mergeCell ref="AS529:AS531"/>
    <mergeCell ref="AT529:AT531"/>
    <mergeCell ref="R523:R525"/>
    <mergeCell ref="S523:S525"/>
    <mergeCell ref="T523:T525"/>
    <mergeCell ref="U523:U525"/>
    <mergeCell ref="V523:V525"/>
    <mergeCell ref="W523:W525"/>
    <mergeCell ref="L523:L525"/>
    <mergeCell ref="M523:M525"/>
    <mergeCell ref="N523:N525"/>
    <mergeCell ref="O523:O525"/>
    <mergeCell ref="P523:P525"/>
    <mergeCell ref="Q523:Q525"/>
    <mergeCell ref="F523:F525"/>
    <mergeCell ref="G523:G525"/>
    <mergeCell ref="H523:H525"/>
    <mergeCell ref="I523:I525"/>
    <mergeCell ref="J523:J525"/>
    <mergeCell ref="K523:K525"/>
    <mergeCell ref="AU526:AU528"/>
    <mergeCell ref="AV526:AV528"/>
    <mergeCell ref="AW526:AW528"/>
    <mergeCell ref="A523:A525"/>
    <mergeCell ref="B523:B525"/>
    <mergeCell ref="C523:C525"/>
    <mergeCell ref="D523:D525"/>
    <mergeCell ref="E523:E525"/>
    <mergeCell ref="AO526:AO528"/>
    <mergeCell ref="AP526:AP528"/>
    <mergeCell ref="AQ526:AQ528"/>
    <mergeCell ref="AR526:AR528"/>
    <mergeCell ref="AS526:AS528"/>
    <mergeCell ref="AT526:AT528"/>
    <mergeCell ref="AI526:AI528"/>
    <mergeCell ref="AJ526:AJ528"/>
    <mergeCell ref="AK526:AK528"/>
    <mergeCell ref="AL526:AL528"/>
    <mergeCell ref="AM526:AM528"/>
    <mergeCell ref="AN526:AN528"/>
    <mergeCell ref="AC526:AC528"/>
    <mergeCell ref="AD526:AD528"/>
    <mergeCell ref="AE526:AE528"/>
    <mergeCell ref="AF526:AF528"/>
    <mergeCell ref="AG526:AG528"/>
    <mergeCell ref="AH526:AH528"/>
    <mergeCell ref="V526:V528"/>
    <mergeCell ref="W526:W528"/>
    <mergeCell ref="X526:X528"/>
    <mergeCell ref="Z526:Z528"/>
    <mergeCell ref="AA526:AA528"/>
    <mergeCell ref="AB526:AB528"/>
    <mergeCell ref="P526:P528"/>
    <mergeCell ref="Q526:Q528"/>
    <mergeCell ref="R526:R528"/>
    <mergeCell ref="S526:S528"/>
    <mergeCell ref="T526:T528"/>
    <mergeCell ref="U526:U528"/>
    <mergeCell ref="J526:J528"/>
    <mergeCell ref="K526:K528"/>
    <mergeCell ref="L526:L528"/>
    <mergeCell ref="M526:M528"/>
    <mergeCell ref="N526:N528"/>
    <mergeCell ref="O526:O528"/>
    <mergeCell ref="AG520:AG522"/>
    <mergeCell ref="AH520:AH522"/>
    <mergeCell ref="AI520:AI522"/>
    <mergeCell ref="AJ520:AJ522"/>
    <mergeCell ref="AK520:AK522"/>
    <mergeCell ref="AL520:AL522"/>
    <mergeCell ref="AA520:AA522"/>
    <mergeCell ref="AB520:AB522"/>
    <mergeCell ref="AC520:AC522"/>
    <mergeCell ref="AD520:AD522"/>
    <mergeCell ref="AE520:AE522"/>
    <mergeCell ref="AF520:AF522"/>
    <mergeCell ref="T520:T522"/>
    <mergeCell ref="U520:U522"/>
    <mergeCell ref="V520:V522"/>
    <mergeCell ref="W520:W522"/>
    <mergeCell ref="X520:X522"/>
    <mergeCell ref="Z520:Z522"/>
    <mergeCell ref="N520:N522"/>
    <mergeCell ref="O520:O522"/>
    <mergeCell ref="P520:P522"/>
    <mergeCell ref="Q520:Q522"/>
    <mergeCell ref="R520:R522"/>
    <mergeCell ref="S520:S522"/>
    <mergeCell ref="H520:H522"/>
    <mergeCell ref="I520:I522"/>
    <mergeCell ref="J520:J522"/>
    <mergeCell ref="K520:K522"/>
    <mergeCell ref="L520:L522"/>
    <mergeCell ref="M520:M522"/>
    <mergeCell ref="AW523:AW525"/>
    <mergeCell ref="A526:A528"/>
    <mergeCell ref="B526:B528"/>
    <mergeCell ref="C526:C528"/>
    <mergeCell ref="D526:D528"/>
    <mergeCell ref="E526:E528"/>
    <mergeCell ref="F526:F528"/>
    <mergeCell ref="G526:G528"/>
    <mergeCell ref="H526:H528"/>
    <mergeCell ref="I526:I528"/>
    <mergeCell ref="AQ523:AQ525"/>
    <mergeCell ref="AR523:AR525"/>
    <mergeCell ref="AS523:AS525"/>
    <mergeCell ref="AT523:AT525"/>
    <mergeCell ref="AU523:AU525"/>
    <mergeCell ref="AV523:AV525"/>
    <mergeCell ref="AK523:AK525"/>
    <mergeCell ref="AL523:AL525"/>
    <mergeCell ref="AM523:AM525"/>
    <mergeCell ref="AN523:AN525"/>
    <mergeCell ref="AO523:AO525"/>
    <mergeCell ref="AP523:AP525"/>
    <mergeCell ref="AE523:AE525"/>
    <mergeCell ref="AF523:AF525"/>
    <mergeCell ref="AG523:AG525"/>
    <mergeCell ref="AH523:AH525"/>
    <mergeCell ref="AI523:AI525"/>
    <mergeCell ref="AJ523:AJ525"/>
    <mergeCell ref="X523:X525"/>
    <mergeCell ref="Z523:Z525"/>
    <mergeCell ref="AA523:AA525"/>
    <mergeCell ref="AB523:AB525"/>
    <mergeCell ref="AC523:AC525"/>
    <mergeCell ref="AD523:AD525"/>
    <mergeCell ref="AW517:AW519"/>
    <mergeCell ref="A520:A522"/>
    <mergeCell ref="B520:B522"/>
    <mergeCell ref="C520:C522"/>
    <mergeCell ref="D520:D522"/>
    <mergeCell ref="E520:E522"/>
    <mergeCell ref="F520:F522"/>
    <mergeCell ref="G520:G522"/>
    <mergeCell ref="AO517:AO519"/>
    <mergeCell ref="AP517:AP519"/>
    <mergeCell ref="AQ517:AQ519"/>
    <mergeCell ref="AR517:AR519"/>
    <mergeCell ref="AS517:AS519"/>
    <mergeCell ref="AT517:AT519"/>
    <mergeCell ref="AI517:AI519"/>
    <mergeCell ref="AJ517:AJ519"/>
    <mergeCell ref="AK517:AK519"/>
    <mergeCell ref="AL517:AL519"/>
    <mergeCell ref="AM517:AM519"/>
    <mergeCell ref="AN517:AN519"/>
    <mergeCell ref="AC517:AC519"/>
    <mergeCell ref="AD517:AD519"/>
    <mergeCell ref="AE517:AE519"/>
    <mergeCell ref="AF517:AF519"/>
    <mergeCell ref="AG517:AG519"/>
    <mergeCell ref="AH517:AH519"/>
    <mergeCell ref="V517:V519"/>
    <mergeCell ref="W517:W519"/>
    <mergeCell ref="X517:X519"/>
    <mergeCell ref="Z517:Z519"/>
    <mergeCell ref="AA517:AA519"/>
    <mergeCell ref="AB517:AB519"/>
    <mergeCell ref="P517:P519"/>
    <mergeCell ref="Q517:Q519"/>
    <mergeCell ref="R517:R519"/>
    <mergeCell ref="S517:S519"/>
    <mergeCell ref="T517:T519"/>
    <mergeCell ref="U517:U519"/>
    <mergeCell ref="J517:J519"/>
    <mergeCell ref="K517:K519"/>
    <mergeCell ref="L517:L519"/>
    <mergeCell ref="M517:M519"/>
    <mergeCell ref="N517:N519"/>
    <mergeCell ref="O517:O519"/>
    <mergeCell ref="AS520:AS522"/>
    <mergeCell ref="AT520:AT522"/>
    <mergeCell ref="AU520:AU522"/>
    <mergeCell ref="AV520:AV522"/>
    <mergeCell ref="AW520:AW522"/>
    <mergeCell ref="A517:A519"/>
    <mergeCell ref="B517:B519"/>
    <mergeCell ref="C517:C519"/>
    <mergeCell ref="D517:D519"/>
    <mergeCell ref="E517:E519"/>
    <mergeCell ref="F517:F519"/>
    <mergeCell ref="G517:G519"/>
    <mergeCell ref="H517:H519"/>
    <mergeCell ref="I517:I519"/>
    <mergeCell ref="AM520:AM522"/>
    <mergeCell ref="AN520:AN522"/>
    <mergeCell ref="AO520:AO522"/>
    <mergeCell ref="AP520:AP522"/>
    <mergeCell ref="AQ520:AQ522"/>
    <mergeCell ref="AR520:AR522"/>
    <mergeCell ref="AS514:AS516"/>
    <mergeCell ref="AT514:AT516"/>
    <mergeCell ref="AU514:AU516"/>
    <mergeCell ref="AV514:AV516"/>
    <mergeCell ref="AK514:AK516"/>
    <mergeCell ref="AL514:AL516"/>
    <mergeCell ref="AM514:AM516"/>
    <mergeCell ref="AN514:AN516"/>
    <mergeCell ref="AO514:AO516"/>
    <mergeCell ref="AP514:AP516"/>
    <mergeCell ref="AE514:AE516"/>
    <mergeCell ref="AF514:AF516"/>
    <mergeCell ref="AG514:AG516"/>
    <mergeCell ref="AH514:AH516"/>
    <mergeCell ref="AI514:AI516"/>
    <mergeCell ref="AJ514:AJ516"/>
    <mergeCell ref="X514:X516"/>
    <mergeCell ref="Z514:Z516"/>
    <mergeCell ref="AA514:AA516"/>
    <mergeCell ref="AB514:AB516"/>
    <mergeCell ref="AC514:AC516"/>
    <mergeCell ref="AD514:AD516"/>
    <mergeCell ref="R514:R516"/>
    <mergeCell ref="S514:S516"/>
    <mergeCell ref="T514:T516"/>
    <mergeCell ref="U514:U516"/>
    <mergeCell ref="V514:V516"/>
    <mergeCell ref="W514:W516"/>
    <mergeCell ref="L514:L516"/>
    <mergeCell ref="M514:M516"/>
    <mergeCell ref="N514:N516"/>
    <mergeCell ref="O514:O516"/>
    <mergeCell ref="P514:P516"/>
    <mergeCell ref="Q514:Q516"/>
    <mergeCell ref="F514:F516"/>
    <mergeCell ref="G514:G516"/>
    <mergeCell ref="H514:H516"/>
    <mergeCell ref="I514:I516"/>
    <mergeCell ref="J514:J516"/>
    <mergeCell ref="K514:K516"/>
    <mergeCell ref="AU517:AU519"/>
    <mergeCell ref="AV517:AV519"/>
    <mergeCell ref="AU511:AU513"/>
    <mergeCell ref="AV511:AV513"/>
    <mergeCell ref="AW511:AW513"/>
    <mergeCell ref="A514:A516"/>
    <mergeCell ref="B514:B516"/>
    <mergeCell ref="C514:C516"/>
    <mergeCell ref="D514:D516"/>
    <mergeCell ref="E514:E516"/>
    <mergeCell ref="AM511:AM513"/>
    <mergeCell ref="AN511:AN513"/>
    <mergeCell ref="AO511:AO513"/>
    <mergeCell ref="AP511:AP513"/>
    <mergeCell ref="AQ511:AQ513"/>
    <mergeCell ref="AR511:AR513"/>
    <mergeCell ref="AG511:AG513"/>
    <mergeCell ref="AH511:AH513"/>
    <mergeCell ref="AI511:AI513"/>
    <mergeCell ref="AJ511:AJ513"/>
    <mergeCell ref="AK511:AK513"/>
    <mergeCell ref="AL511:AL513"/>
    <mergeCell ref="AA511:AA513"/>
    <mergeCell ref="AB511:AB513"/>
    <mergeCell ref="AC511:AC513"/>
    <mergeCell ref="AD511:AD513"/>
    <mergeCell ref="AE511:AE513"/>
    <mergeCell ref="AF511:AF513"/>
    <mergeCell ref="T511:T513"/>
    <mergeCell ref="U511:U513"/>
    <mergeCell ref="V511:V513"/>
    <mergeCell ref="W511:W513"/>
    <mergeCell ref="X511:X513"/>
    <mergeCell ref="Z511:Z513"/>
    <mergeCell ref="N511:N513"/>
    <mergeCell ref="O511:O513"/>
    <mergeCell ref="P511:P513"/>
    <mergeCell ref="Q511:Q513"/>
    <mergeCell ref="R511:R513"/>
    <mergeCell ref="S511:S513"/>
    <mergeCell ref="H511:H513"/>
    <mergeCell ref="I511:I513"/>
    <mergeCell ref="J511:J513"/>
    <mergeCell ref="K511:K513"/>
    <mergeCell ref="L511:L513"/>
    <mergeCell ref="M511:M513"/>
    <mergeCell ref="AW514:AW516"/>
    <mergeCell ref="A511:A513"/>
    <mergeCell ref="B511:B513"/>
    <mergeCell ref="C511:C513"/>
    <mergeCell ref="D511:D513"/>
    <mergeCell ref="E511:E513"/>
    <mergeCell ref="F511:F513"/>
    <mergeCell ref="G511:G513"/>
    <mergeCell ref="AS511:AS513"/>
    <mergeCell ref="AT511:AT513"/>
    <mergeCell ref="AQ514:AQ516"/>
    <mergeCell ref="AR514:AR516"/>
    <mergeCell ref="R505:R507"/>
    <mergeCell ref="S505:S507"/>
    <mergeCell ref="T505:T507"/>
    <mergeCell ref="U505:U507"/>
    <mergeCell ref="V505:V507"/>
    <mergeCell ref="W505:W507"/>
    <mergeCell ref="L505:L507"/>
    <mergeCell ref="M505:M507"/>
    <mergeCell ref="N505:N507"/>
    <mergeCell ref="O505:O507"/>
    <mergeCell ref="P505:P507"/>
    <mergeCell ref="Q505:Q507"/>
    <mergeCell ref="F505:F507"/>
    <mergeCell ref="G505:G507"/>
    <mergeCell ref="H505:H507"/>
    <mergeCell ref="I505:I507"/>
    <mergeCell ref="J505:J507"/>
    <mergeCell ref="K505:K507"/>
    <mergeCell ref="AU508:AU510"/>
    <mergeCell ref="AV508:AV510"/>
    <mergeCell ref="AW508:AW510"/>
    <mergeCell ref="A505:A507"/>
    <mergeCell ref="B505:B507"/>
    <mergeCell ref="C505:C507"/>
    <mergeCell ref="D505:D507"/>
    <mergeCell ref="E505:E507"/>
    <mergeCell ref="AO508:AO510"/>
    <mergeCell ref="AP508:AP510"/>
    <mergeCell ref="AQ508:AQ510"/>
    <mergeCell ref="AR508:AR510"/>
    <mergeCell ref="AS508:AS510"/>
    <mergeCell ref="AT508:AT510"/>
    <mergeCell ref="AI508:AI510"/>
    <mergeCell ref="AJ508:AJ510"/>
    <mergeCell ref="AK508:AK510"/>
    <mergeCell ref="AL508:AL510"/>
    <mergeCell ref="AM508:AM510"/>
    <mergeCell ref="AN508:AN510"/>
    <mergeCell ref="AC508:AC510"/>
    <mergeCell ref="AD508:AD510"/>
    <mergeCell ref="AE508:AE510"/>
    <mergeCell ref="AF508:AF510"/>
    <mergeCell ref="AG508:AG510"/>
    <mergeCell ref="AH508:AH510"/>
    <mergeCell ref="V508:V510"/>
    <mergeCell ref="W508:W510"/>
    <mergeCell ref="X508:X510"/>
    <mergeCell ref="Z508:Z510"/>
    <mergeCell ref="AA508:AA510"/>
    <mergeCell ref="AB508:AB510"/>
    <mergeCell ref="P508:P510"/>
    <mergeCell ref="Q508:Q510"/>
    <mergeCell ref="R508:R510"/>
    <mergeCell ref="S508:S510"/>
    <mergeCell ref="T508:T510"/>
    <mergeCell ref="U508:U510"/>
    <mergeCell ref="J508:J510"/>
    <mergeCell ref="K508:K510"/>
    <mergeCell ref="L508:L510"/>
    <mergeCell ref="M508:M510"/>
    <mergeCell ref="N508:N510"/>
    <mergeCell ref="O508:O510"/>
    <mergeCell ref="AG502:AG504"/>
    <mergeCell ref="AH502:AH504"/>
    <mergeCell ref="AI502:AI504"/>
    <mergeCell ref="AJ502:AJ504"/>
    <mergeCell ref="AK502:AK504"/>
    <mergeCell ref="AL502:AL504"/>
    <mergeCell ref="AA502:AA504"/>
    <mergeCell ref="AB502:AB504"/>
    <mergeCell ref="AC502:AC504"/>
    <mergeCell ref="AD502:AD504"/>
    <mergeCell ref="AE502:AE504"/>
    <mergeCell ref="AF502:AF504"/>
    <mergeCell ref="T502:T504"/>
    <mergeCell ref="U502:U504"/>
    <mergeCell ref="V502:V504"/>
    <mergeCell ref="W502:W504"/>
    <mergeCell ref="X502:X504"/>
    <mergeCell ref="Z502:Z504"/>
    <mergeCell ref="N502:N504"/>
    <mergeCell ref="O502:O504"/>
    <mergeCell ref="P502:P504"/>
    <mergeCell ref="Q502:Q504"/>
    <mergeCell ref="R502:R504"/>
    <mergeCell ref="S502:S504"/>
    <mergeCell ref="H502:H504"/>
    <mergeCell ref="I502:I504"/>
    <mergeCell ref="J502:J504"/>
    <mergeCell ref="K502:K504"/>
    <mergeCell ref="L502:L504"/>
    <mergeCell ref="M502:M504"/>
    <mergeCell ref="AW505:AW507"/>
    <mergeCell ref="A508:A510"/>
    <mergeCell ref="B508:B510"/>
    <mergeCell ref="C508:C510"/>
    <mergeCell ref="D508:D510"/>
    <mergeCell ref="E508:E510"/>
    <mergeCell ref="F508:F510"/>
    <mergeCell ref="G508:G510"/>
    <mergeCell ref="H508:H510"/>
    <mergeCell ref="I508:I510"/>
    <mergeCell ref="AQ505:AQ507"/>
    <mergeCell ref="AR505:AR507"/>
    <mergeCell ref="AS505:AS507"/>
    <mergeCell ref="AT505:AT507"/>
    <mergeCell ref="AU505:AU507"/>
    <mergeCell ref="AV505:AV507"/>
    <mergeCell ref="AK505:AK507"/>
    <mergeCell ref="AL505:AL507"/>
    <mergeCell ref="AM505:AM507"/>
    <mergeCell ref="AN505:AN507"/>
    <mergeCell ref="AO505:AO507"/>
    <mergeCell ref="AP505:AP507"/>
    <mergeCell ref="AE505:AE507"/>
    <mergeCell ref="AF505:AF507"/>
    <mergeCell ref="AG505:AG507"/>
    <mergeCell ref="AH505:AH507"/>
    <mergeCell ref="AI505:AI507"/>
    <mergeCell ref="AJ505:AJ507"/>
    <mergeCell ref="X505:X507"/>
    <mergeCell ref="Z505:Z507"/>
    <mergeCell ref="AA505:AA507"/>
    <mergeCell ref="AB505:AB507"/>
    <mergeCell ref="AC505:AC507"/>
    <mergeCell ref="AD505:AD507"/>
    <mergeCell ref="AW499:AW501"/>
    <mergeCell ref="A502:A504"/>
    <mergeCell ref="B502:B504"/>
    <mergeCell ref="C502:C504"/>
    <mergeCell ref="D502:D504"/>
    <mergeCell ref="E502:E504"/>
    <mergeCell ref="F502:F504"/>
    <mergeCell ref="G502:G504"/>
    <mergeCell ref="AO499:AO501"/>
    <mergeCell ref="AP499:AP501"/>
    <mergeCell ref="AQ499:AQ501"/>
    <mergeCell ref="AR499:AR501"/>
    <mergeCell ref="AS499:AS501"/>
    <mergeCell ref="AT499:AT501"/>
    <mergeCell ref="AI499:AI501"/>
    <mergeCell ref="AJ499:AJ501"/>
    <mergeCell ref="AK499:AK501"/>
    <mergeCell ref="AL499:AL501"/>
    <mergeCell ref="AM499:AM501"/>
    <mergeCell ref="AN499:AN501"/>
    <mergeCell ref="AC499:AC501"/>
    <mergeCell ref="AD499:AD501"/>
    <mergeCell ref="AE499:AE501"/>
    <mergeCell ref="AF499:AF501"/>
    <mergeCell ref="AG499:AG501"/>
    <mergeCell ref="AH499:AH501"/>
    <mergeCell ref="V499:V501"/>
    <mergeCell ref="W499:W501"/>
    <mergeCell ref="X499:X501"/>
    <mergeCell ref="Z499:Z501"/>
    <mergeCell ref="AA499:AA501"/>
    <mergeCell ref="AB499:AB501"/>
    <mergeCell ref="P499:P501"/>
    <mergeCell ref="Q499:Q501"/>
    <mergeCell ref="R499:R501"/>
    <mergeCell ref="S499:S501"/>
    <mergeCell ref="T499:T501"/>
    <mergeCell ref="U499:U501"/>
    <mergeCell ref="J499:J501"/>
    <mergeCell ref="K499:K501"/>
    <mergeCell ref="L499:L501"/>
    <mergeCell ref="M499:M501"/>
    <mergeCell ref="N499:N501"/>
    <mergeCell ref="O499:O501"/>
    <mergeCell ref="AS502:AS504"/>
    <mergeCell ref="AT502:AT504"/>
    <mergeCell ref="AU502:AU504"/>
    <mergeCell ref="AV502:AV504"/>
    <mergeCell ref="AW502:AW504"/>
    <mergeCell ref="A499:A501"/>
    <mergeCell ref="B499:B501"/>
    <mergeCell ref="C499:C501"/>
    <mergeCell ref="D499:D501"/>
    <mergeCell ref="E499:E501"/>
    <mergeCell ref="F499:F501"/>
    <mergeCell ref="G499:G501"/>
    <mergeCell ref="H499:H501"/>
    <mergeCell ref="I499:I501"/>
    <mergeCell ref="AM502:AM504"/>
    <mergeCell ref="AN502:AN504"/>
    <mergeCell ref="AO502:AO504"/>
    <mergeCell ref="AP502:AP504"/>
    <mergeCell ref="AQ502:AQ504"/>
    <mergeCell ref="AR502:AR504"/>
    <mergeCell ref="AS496:AS498"/>
    <mergeCell ref="AT496:AT498"/>
    <mergeCell ref="AU496:AU498"/>
    <mergeCell ref="AV496:AV498"/>
    <mergeCell ref="AK496:AK498"/>
    <mergeCell ref="AL496:AL498"/>
    <mergeCell ref="AM496:AM498"/>
    <mergeCell ref="AN496:AN498"/>
    <mergeCell ref="AO496:AO498"/>
    <mergeCell ref="AP496:AP498"/>
    <mergeCell ref="AE496:AE498"/>
    <mergeCell ref="AF496:AF498"/>
    <mergeCell ref="AG496:AG498"/>
    <mergeCell ref="AH496:AH498"/>
    <mergeCell ref="AI496:AI498"/>
    <mergeCell ref="AJ496:AJ498"/>
    <mergeCell ref="X496:X498"/>
    <mergeCell ref="Z496:Z498"/>
    <mergeCell ref="AA496:AA498"/>
    <mergeCell ref="AB496:AB498"/>
    <mergeCell ref="AC496:AC498"/>
    <mergeCell ref="AD496:AD498"/>
    <mergeCell ref="R496:R498"/>
    <mergeCell ref="S496:S498"/>
    <mergeCell ref="T496:T498"/>
    <mergeCell ref="U496:U498"/>
    <mergeCell ref="V496:V498"/>
    <mergeCell ref="W496:W498"/>
    <mergeCell ref="L496:L498"/>
    <mergeCell ref="M496:M498"/>
    <mergeCell ref="N496:N498"/>
    <mergeCell ref="O496:O498"/>
    <mergeCell ref="P496:P498"/>
    <mergeCell ref="Q496:Q498"/>
    <mergeCell ref="F496:F498"/>
    <mergeCell ref="G496:G498"/>
    <mergeCell ref="H496:H498"/>
    <mergeCell ref="I496:I498"/>
    <mergeCell ref="J496:J498"/>
    <mergeCell ref="K496:K498"/>
    <mergeCell ref="AU499:AU501"/>
    <mergeCell ref="AV499:AV501"/>
    <mergeCell ref="AU493:AU495"/>
    <mergeCell ref="AV493:AV495"/>
    <mergeCell ref="AW493:AW495"/>
    <mergeCell ref="A496:A498"/>
    <mergeCell ref="B496:B498"/>
    <mergeCell ref="C496:C498"/>
    <mergeCell ref="D496:D498"/>
    <mergeCell ref="E496:E498"/>
    <mergeCell ref="AM493:AM495"/>
    <mergeCell ref="AN493:AN495"/>
    <mergeCell ref="AO493:AO495"/>
    <mergeCell ref="AP493:AP495"/>
    <mergeCell ref="AQ493:AQ495"/>
    <mergeCell ref="AR493:AR495"/>
    <mergeCell ref="AG493:AG495"/>
    <mergeCell ref="AH493:AH495"/>
    <mergeCell ref="AI493:AI495"/>
    <mergeCell ref="AJ493:AJ495"/>
    <mergeCell ref="AK493:AK495"/>
    <mergeCell ref="AL493:AL495"/>
    <mergeCell ref="AA493:AA495"/>
    <mergeCell ref="AB493:AB495"/>
    <mergeCell ref="AC493:AC495"/>
    <mergeCell ref="AD493:AD495"/>
    <mergeCell ref="AE493:AE495"/>
    <mergeCell ref="AF493:AF495"/>
    <mergeCell ref="T493:T495"/>
    <mergeCell ref="U493:U495"/>
    <mergeCell ref="V493:V495"/>
    <mergeCell ref="W493:W495"/>
    <mergeCell ref="X493:X495"/>
    <mergeCell ref="Z493:Z495"/>
    <mergeCell ref="N493:N495"/>
    <mergeCell ref="O493:O495"/>
    <mergeCell ref="P493:P495"/>
    <mergeCell ref="Q493:Q495"/>
    <mergeCell ref="R493:R495"/>
    <mergeCell ref="S493:S495"/>
    <mergeCell ref="H493:H495"/>
    <mergeCell ref="I493:I495"/>
    <mergeCell ref="J493:J495"/>
    <mergeCell ref="K493:K495"/>
    <mergeCell ref="L493:L495"/>
    <mergeCell ref="M493:M495"/>
    <mergeCell ref="AW496:AW498"/>
    <mergeCell ref="A493:A495"/>
    <mergeCell ref="B493:B495"/>
    <mergeCell ref="C493:C495"/>
    <mergeCell ref="D493:D495"/>
    <mergeCell ref="E493:E495"/>
    <mergeCell ref="F493:F495"/>
    <mergeCell ref="G493:G495"/>
    <mergeCell ref="AS493:AS495"/>
    <mergeCell ref="AT493:AT495"/>
    <mergeCell ref="AQ496:AQ498"/>
    <mergeCell ref="AR496:AR498"/>
    <mergeCell ref="R487:R489"/>
    <mergeCell ref="S487:S489"/>
    <mergeCell ref="T487:T489"/>
    <mergeCell ref="U487:U489"/>
    <mergeCell ref="V487:V489"/>
    <mergeCell ref="W487:W489"/>
    <mergeCell ref="L487:L489"/>
    <mergeCell ref="M487:M489"/>
    <mergeCell ref="N487:N489"/>
    <mergeCell ref="O487:O489"/>
    <mergeCell ref="P487:P489"/>
    <mergeCell ref="Q487:Q489"/>
    <mergeCell ref="F487:F489"/>
    <mergeCell ref="G487:G489"/>
    <mergeCell ref="H487:H489"/>
    <mergeCell ref="I487:I489"/>
    <mergeCell ref="J487:J489"/>
    <mergeCell ref="K487:K489"/>
    <mergeCell ref="AU490:AU492"/>
    <mergeCell ref="AV490:AV492"/>
    <mergeCell ref="AW490:AW492"/>
    <mergeCell ref="A487:A489"/>
    <mergeCell ref="B487:B489"/>
    <mergeCell ref="C487:C489"/>
    <mergeCell ref="D487:D489"/>
    <mergeCell ref="E487:E489"/>
    <mergeCell ref="AO490:AO492"/>
    <mergeCell ref="AP490:AP492"/>
    <mergeCell ref="AQ490:AQ492"/>
    <mergeCell ref="AR490:AR492"/>
    <mergeCell ref="AS490:AS492"/>
    <mergeCell ref="AT490:AT492"/>
    <mergeCell ref="AI490:AI492"/>
    <mergeCell ref="AJ490:AJ492"/>
    <mergeCell ref="AK490:AK492"/>
    <mergeCell ref="AL490:AL492"/>
    <mergeCell ref="AM490:AM492"/>
    <mergeCell ref="AN490:AN492"/>
    <mergeCell ref="AC490:AC492"/>
    <mergeCell ref="AD490:AD492"/>
    <mergeCell ref="AE490:AE492"/>
    <mergeCell ref="AF490:AF492"/>
    <mergeCell ref="AG490:AG492"/>
    <mergeCell ref="AH490:AH492"/>
    <mergeCell ref="V490:V492"/>
    <mergeCell ref="W490:W492"/>
    <mergeCell ref="X490:X492"/>
    <mergeCell ref="Z490:Z492"/>
    <mergeCell ref="AA490:AA492"/>
    <mergeCell ref="AB490:AB492"/>
    <mergeCell ref="P490:P492"/>
    <mergeCell ref="Q490:Q492"/>
    <mergeCell ref="R490:R492"/>
    <mergeCell ref="S490:S492"/>
    <mergeCell ref="T490:T492"/>
    <mergeCell ref="U490:U492"/>
    <mergeCell ref="J490:J492"/>
    <mergeCell ref="K490:K492"/>
    <mergeCell ref="L490:L492"/>
    <mergeCell ref="M490:M492"/>
    <mergeCell ref="N490:N492"/>
    <mergeCell ref="O490:O492"/>
    <mergeCell ref="AG484:AG486"/>
    <mergeCell ref="AH484:AH486"/>
    <mergeCell ref="AI484:AI486"/>
    <mergeCell ref="AJ484:AJ486"/>
    <mergeCell ref="AK484:AK486"/>
    <mergeCell ref="AL484:AL486"/>
    <mergeCell ref="AA484:AA486"/>
    <mergeCell ref="AB484:AB486"/>
    <mergeCell ref="AC484:AC486"/>
    <mergeCell ref="AD484:AD486"/>
    <mergeCell ref="AE484:AE486"/>
    <mergeCell ref="AF484:AF486"/>
    <mergeCell ref="T484:T486"/>
    <mergeCell ref="U484:U486"/>
    <mergeCell ref="V484:V486"/>
    <mergeCell ref="W484:W486"/>
    <mergeCell ref="X484:X486"/>
    <mergeCell ref="Z484:Z486"/>
    <mergeCell ref="N484:N486"/>
    <mergeCell ref="O484:O486"/>
    <mergeCell ref="P484:P486"/>
    <mergeCell ref="Q484:Q486"/>
    <mergeCell ref="R484:R486"/>
    <mergeCell ref="S484:S486"/>
    <mergeCell ref="H484:H486"/>
    <mergeCell ref="I484:I486"/>
    <mergeCell ref="J484:J486"/>
    <mergeCell ref="K484:K486"/>
    <mergeCell ref="L484:L486"/>
    <mergeCell ref="M484:M486"/>
    <mergeCell ref="AW487:AW489"/>
    <mergeCell ref="A490:A492"/>
    <mergeCell ref="B490:B492"/>
    <mergeCell ref="C490:C492"/>
    <mergeCell ref="D490:D492"/>
    <mergeCell ref="E490:E492"/>
    <mergeCell ref="F490:F492"/>
    <mergeCell ref="G490:G492"/>
    <mergeCell ref="H490:H492"/>
    <mergeCell ref="I490:I492"/>
    <mergeCell ref="AQ487:AQ489"/>
    <mergeCell ref="AR487:AR489"/>
    <mergeCell ref="AS487:AS489"/>
    <mergeCell ref="AT487:AT489"/>
    <mergeCell ref="AU487:AU489"/>
    <mergeCell ref="AV487:AV489"/>
    <mergeCell ref="AK487:AK489"/>
    <mergeCell ref="AL487:AL489"/>
    <mergeCell ref="AM487:AM489"/>
    <mergeCell ref="AN487:AN489"/>
    <mergeCell ref="AO487:AO489"/>
    <mergeCell ref="AP487:AP489"/>
    <mergeCell ref="AE487:AE489"/>
    <mergeCell ref="AF487:AF489"/>
    <mergeCell ref="AG487:AG489"/>
    <mergeCell ref="AH487:AH489"/>
    <mergeCell ref="AI487:AI489"/>
    <mergeCell ref="AJ487:AJ489"/>
    <mergeCell ref="X487:X489"/>
    <mergeCell ref="Z487:Z489"/>
    <mergeCell ref="AA487:AA489"/>
    <mergeCell ref="AB487:AB489"/>
    <mergeCell ref="AC487:AC489"/>
    <mergeCell ref="AD487:AD489"/>
    <mergeCell ref="AW481:AW483"/>
    <mergeCell ref="A484:A486"/>
    <mergeCell ref="B484:B486"/>
    <mergeCell ref="C484:C486"/>
    <mergeCell ref="D484:D486"/>
    <mergeCell ref="E484:E486"/>
    <mergeCell ref="F484:F486"/>
    <mergeCell ref="G484:G486"/>
    <mergeCell ref="AO481:AO483"/>
    <mergeCell ref="AP481:AP483"/>
    <mergeCell ref="AQ481:AQ483"/>
    <mergeCell ref="AR481:AR483"/>
    <mergeCell ref="AS481:AS483"/>
    <mergeCell ref="AT481:AT483"/>
    <mergeCell ref="AI481:AI483"/>
    <mergeCell ref="AJ481:AJ483"/>
    <mergeCell ref="AK481:AK483"/>
    <mergeCell ref="AL481:AL483"/>
    <mergeCell ref="AM481:AM483"/>
    <mergeCell ref="AN481:AN483"/>
    <mergeCell ref="AC481:AC483"/>
    <mergeCell ref="AD481:AD483"/>
    <mergeCell ref="AE481:AE483"/>
    <mergeCell ref="AF481:AF483"/>
    <mergeCell ref="AG481:AG483"/>
    <mergeCell ref="AH481:AH483"/>
    <mergeCell ref="V481:V483"/>
    <mergeCell ref="W481:W483"/>
    <mergeCell ref="X481:X483"/>
    <mergeCell ref="Z481:Z483"/>
    <mergeCell ref="AA481:AA483"/>
    <mergeCell ref="AB481:AB483"/>
    <mergeCell ref="P481:P483"/>
    <mergeCell ref="Q481:Q483"/>
    <mergeCell ref="R481:R483"/>
    <mergeCell ref="S481:S483"/>
    <mergeCell ref="T481:T483"/>
    <mergeCell ref="U481:U483"/>
    <mergeCell ref="J481:J483"/>
    <mergeCell ref="K481:K483"/>
    <mergeCell ref="L481:L483"/>
    <mergeCell ref="M481:M483"/>
    <mergeCell ref="N481:N483"/>
    <mergeCell ref="O481:O483"/>
    <mergeCell ref="AS484:AS486"/>
    <mergeCell ref="AT484:AT486"/>
    <mergeCell ref="AU484:AU486"/>
    <mergeCell ref="AV484:AV486"/>
    <mergeCell ref="AW484:AW486"/>
    <mergeCell ref="A481:A483"/>
    <mergeCell ref="B481:B483"/>
    <mergeCell ref="C481:C483"/>
    <mergeCell ref="D481:D483"/>
    <mergeCell ref="E481:E483"/>
    <mergeCell ref="F481:F483"/>
    <mergeCell ref="G481:G483"/>
    <mergeCell ref="H481:H483"/>
    <mergeCell ref="I481:I483"/>
    <mergeCell ref="AM484:AM486"/>
    <mergeCell ref="AN484:AN486"/>
    <mergeCell ref="AO484:AO486"/>
    <mergeCell ref="AP484:AP486"/>
    <mergeCell ref="AQ484:AQ486"/>
    <mergeCell ref="AR484:AR486"/>
    <mergeCell ref="AS478:AS480"/>
    <mergeCell ref="AT478:AT480"/>
    <mergeCell ref="AU478:AU480"/>
    <mergeCell ref="AV478:AV480"/>
    <mergeCell ref="AK478:AK480"/>
    <mergeCell ref="AL478:AL480"/>
    <mergeCell ref="AM478:AM480"/>
    <mergeCell ref="AN478:AN480"/>
    <mergeCell ref="AO478:AO480"/>
    <mergeCell ref="AP478:AP480"/>
    <mergeCell ref="AE478:AE480"/>
    <mergeCell ref="AF478:AF480"/>
    <mergeCell ref="AG478:AG480"/>
    <mergeCell ref="AH478:AH480"/>
    <mergeCell ref="AI478:AI480"/>
    <mergeCell ref="AJ478:AJ480"/>
    <mergeCell ref="X478:X480"/>
    <mergeCell ref="Z478:Z480"/>
    <mergeCell ref="AA478:AA480"/>
    <mergeCell ref="AB478:AB480"/>
    <mergeCell ref="AC478:AC480"/>
    <mergeCell ref="AD478:AD480"/>
    <mergeCell ref="R478:R480"/>
    <mergeCell ref="S478:S480"/>
    <mergeCell ref="T478:T480"/>
    <mergeCell ref="U478:U480"/>
    <mergeCell ref="V478:V480"/>
    <mergeCell ref="W478:W480"/>
    <mergeCell ref="L478:L480"/>
    <mergeCell ref="M478:M480"/>
    <mergeCell ref="N478:N480"/>
    <mergeCell ref="O478:O480"/>
    <mergeCell ref="P478:P480"/>
    <mergeCell ref="Q478:Q480"/>
    <mergeCell ref="F478:F480"/>
    <mergeCell ref="G478:G480"/>
    <mergeCell ref="H478:H480"/>
    <mergeCell ref="I478:I480"/>
    <mergeCell ref="J478:J480"/>
    <mergeCell ref="K478:K480"/>
    <mergeCell ref="AU481:AU483"/>
    <mergeCell ref="AV481:AV483"/>
    <mergeCell ref="AU475:AU477"/>
    <mergeCell ref="AV475:AV477"/>
    <mergeCell ref="AW475:AW477"/>
    <mergeCell ref="A478:A480"/>
    <mergeCell ref="B478:B480"/>
    <mergeCell ref="C478:C480"/>
    <mergeCell ref="D478:D480"/>
    <mergeCell ref="E478:E480"/>
    <mergeCell ref="AM475:AM477"/>
    <mergeCell ref="AN475:AN477"/>
    <mergeCell ref="AO475:AO477"/>
    <mergeCell ref="AP475:AP477"/>
    <mergeCell ref="AQ475:AQ477"/>
    <mergeCell ref="AR475:AR477"/>
    <mergeCell ref="AG475:AG477"/>
    <mergeCell ref="AH475:AH477"/>
    <mergeCell ref="AI475:AI477"/>
    <mergeCell ref="AJ475:AJ477"/>
    <mergeCell ref="AK475:AK477"/>
    <mergeCell ref="AL475:AL477"/>
    <mergeCell ref="AA475:AA477"/>
    <mergeCell ref="AB475:AB477"/>
    <mergeCell ref="AC475:AC477"/>
    <mergeCell ref="AD475:AD477"/>
    <mergeCell ref="AE475:AE477"/>
    <mergeCell ref="AF475:AF477"/>
    <mergeCell ref="T475:T477"/>
    <mergeCell ref="U475:U477"/>
    <mergeCell ref="V475:V477"/>
    <mergeCell ref="W475:W477"/>
    <mergeCell ref="X475:X477"/>
    <mergeCell ref="Z475:Z477"/>
    <mergeCell ref="N475:N477"/>
    <mergeCell ref="O475:O477"/>
    <mergeCell ref="P475:P477"/>
    <mergeCell ref="Q475:Q477"/>
    <mergeCell ref="R475:R477"/>
    <mergeCell ref="S475:S477"/>
    <mergeCell ref="H475:H477"/>
    <mergeCell ref="I475:I477"/>
    <mergeCell ref="J475:J477"/>
    <mergeCell ref="K475:K477"/>
    <mergeCell ref="L475:L477"/>
    <mergeCell ref="M475:M477"/>
    <mergeCell ref="AW478:AW480"/>
    <mergeCell ref="A475:A477"/>
    <mergeCell ref="B475:B477"/>
    <mergeCell ref="C475:C477"/>
    <mergeCell ref="D475:D477"/>
    <mergeCell ref="E475:E477"/>
    <mergeCell ref="F475:F477"/>
    <mergeCell ref="G475:G477"/>
    <mergeCell ref="AS475:AS477"/>
    <mergeCell ref="AT475:AT477"/>
    <mergeCell ref="AQ478:AQ480"/>
    <mergeCell ref="AR478:AR480"/>
    <mergeCell ref="R469:R471"/>
    <mergeCell ref="S469:S471"/>
    <mergeCell ref="T469:T471"/>
    <mergeCell ref="U469:U471"/>
    <mergeCell ref="V469:V471"/>
    <mergeCell ref="W469:W471"/>
    <mergeCell ref="L469:L471"/>
    <mergeCell ref="M469:M471"/>
    <mergeCell ref="N469:N471"/>
    <mergeCell ref="O469:O471"/>
    <mergeCell ref="P469:P471"/>
    <mergeCell ref="Q469:Q471"/>
    <mergeCell ref="F469:F471"/>
    <mergeCell ref="G469:G471"/>
    <mergeCell ref="H469:H471"/>
    <mergeCell ref="I469:I471"/>
    <mergeCell ref="J469:J471"/>
    <mergeCell ref="K469:K471"/>
    <mergeCell ref="AU472:AU474"/>
    <mergeCell ref="AV472:AV474"/>
    <mergeCell ref="AW472:AW474"/>
    <mergeCell ref="A469:A471"/>
    <mergeCell ref="B469:B471"/>
    <mergeCell ref="C469:C471"/>
    <mergeCell ref="D469:D471"/>
    <mergeCell ref="E469:E471"/>
    <mergeCell ref="AO472:AO474"/>
    <mergeCell ref="AP472:AP474"/>
    <mergeCell ref="AQ472:AQ474"/>
    <mergeCell ref="AR472:AR474"/>
    <mergeCell ref="AS472:AS474"/>
    <mergeCell ref="AT472:AT474"/>
    <mergeCell ref="AI472:AI474"/>
    <mergeCell ref="AJ472:AJ474"/>
    <mergeCell ref="AK472:AK474"/>
    <mergeCell ref="AL472:AL474"/>
    <mergeCell ref="AM472:AM474"/>
    <mergeCell ref="AN472:AN474"/>
    <mergeCell ref="AC472:AC474"/>
    <mergeCell ref="AD472:AD474"/>
    <mergeCell ref="AE472:AE474"/>
    <mergeCell ref="AF472:AF474"/>
    <mergeCell ref="AG472:AG474"/>
    <mergeCell ref="AH472:AH474"/>
    <mergeCell ref="V472:V474"/>
    <mergeCell ref="W472:W474"/>
    <mergeCell ref="X472:X474"/>
    <mergeCell ref="Z472:Z474"/>
    <mergeCell ref="AA472:AA474"/>
    <mergeCell ref="AB472:AB474"/>
    <mergeCell ref="P472:P474"/>
    <mergeCell ref="Q472:Q474"/>
    <mergeCell ref="R472:R474"/>
    <mergeCell ref="S472:S474"/>
    <mergeCell ref="T472:T474"/>
    <mergeCell ref="U472:U474"/>
    <mergeCell ref="J472:J474"/>
    <mergeCell ref="K472:K474"/>
    <mergeCell ref="L472:L474"/>
    <mergeCell ref="M472:M474"/>
    <mergeCell ref="N472:N474"/>
    <mergeCell ref="O472:O474"/>
    <mergeCell ref="AG466:AG468"/>
    <mergeCell ref="AH466:AH468"/>
    <mergeCell ref="AI466:AI468"/>
    <mergeCell ref="AJ466:AJ468"/>
    <mergeCell ref="AK466:AK468"/>
    <mergeCell ref="AL466:AL468"/>
    <mergeCell ref="AA466:AA468"/>
    <mergeCell ref="AB466:AB468"/>
    <mergeCell ref="AC466:AC468"/>
    <mergeCell ref="AD466:AD468"/>
    <mergeCell ref="AE466:AE468"/>
    <mergeCell ref="AF466:AF468"/>
    <mergeCell ref="T466:T468"/>
    <mergeCell ref="U466:U468"/>
    <mergeCell ref="V466:V468"/>
    <mergeCell ref="W466:W468"/>
    <mergeCell ref="X466:X468"/>
    <mergeCell ref="Z466:Z468"/>
    <mergeCell ref="N466:N468"/>
    <mergeCell ref="O466:O468"/>
    <mergeCell ref="P466:P468"/>
    <mergeCell ref="Q466:Q468"/>
    <mergeCell ref="R466:R468"/>
    <mergeCell ref="S466:S468"/>
    <mergeCell ref="H466:H468"/>
    <mergeCell ref="I466:I468"/>
    <mergeCell ref="J466:J468"/>
    <mergeCell ref="K466:K468"/>
    <mergeCell ref="L466:L468"/>
    <mergeCell ref="M466:M468"/>
    <mergeCell ref="AW469:AW471"/>
    <mergeCell ref="A472:A474"/>
    <mergeCell ref="B472:B474"/>
    <mergeCell ref="C472:C474"/>
    <mergeCell ref="D472:D474"/>
    <mergeCell ref="E472:E474"/>
    <mergeCell ref="F472:F474"/>
    <mergeCell ref="G472:G474"/>
    <mergeCell ref="H472:H474"/>
    <mergeCell ref="I472:I474"/>
    <mergeCell ref="AQ469:AQ471"/>
    <mergeCell ref="AR469:AR471"/>
    <mergeCell ref="AS469:AS471"/>
    <mergeCell ref="AT469:AT471"/>
    <mergeCell ref="AU469:AU471"/>
    <mergeCell ref="AV469:AV471"/>
    <mergeCell ref="AK469:AK471"/>
    <mergeCell ref="AL469:AL471"/>
    <mergeCell ref="AM469:AM471"/>
    <mergeCell ref="AN469:AN471"/>
    <mergeCell ref="AO469:AO471"/>
    <mergeCell ref="AP469:AP471"/>
    <mergeCell ref="AE469:AE471"/>
    <mergeCell ref="AF469:AF471"/>
    <mergeCell ref="AG469:AG471"/>
    <mergeCell ref="AH469:AH471"/>
    <mergeCell ref="AI469:AI471"/>
    <mergeCell ref="AJ469:AJ471"/>
    <mergeCell ref="X469:X471"/>
    <mergeCell ref="Z469:Z471"/>
    <mergeCell ref="AA469:AA471"/>
    <mergeCell ref="AB469:AB471"/>
    <mergeCell ref="AC469:AC471"/>
    <mergeCell ref="AD469:AD471"/>
    <mergeCell ref="AW463:AW465"/>
    <mergeCell ref="A466:A468"/>
    <mergeCell ref="B466:B468"/>
    <mergeCell ref="C466:C468"/>
    <mergeCell ref="D466:D468"/>
    <mergeCell ref="E466:E468"/>
    <mergeCell ref="F466:F468"/>
    <mergeCell ref="G466:G468"/>
    <mergeCell ref="AO463:AO465"/>
    <mergeCell ref="AP463:AP465"/>
    <mergeCell ref="AQ463:AQ465"/>
    <mergeCell ref="AR463:AR465"/>
    <mergeCell ref="AS463:AS465"/>
    <mergeCell ref="AT463:AT465"/>
    <mergeCell ref="AI463:AI465"/>
    <mergeCell ref="AJ463:AJ465"/>
    <mergeCell ref="AK463:AK465"/>
    <mergeCell ref="AL463:AL465"/>
    <mergeCell ref="AM463:AM465"/>
    <mergeCell ref="AN463:AN465"/>
    <mergeCell ref="AC463:AC465"/>
    <mergeCell ref="AD463:AD465"/>
    <mergeCell ref="AE463:AE465"/>
    <mergeCell ref="AF463:AF465"/>
    <mergeCell ref="AG463:AG465"/>
    <mergeCell ref="AH463:AH465"/>
    <mergeCell ref="V463:V465"/>
    <mergeCell ref="W463:W465"/>
    <mergeCell ref="X463:X465"/>
    <mergeCell ref="Z463:Z465"/>
    <mergeCell ref="AA463:AA465"/>
    <mergeCell ref="AB463:AB465"/>
    <mergeCell ref="P463:P465"/>
    <mergeCell ref="Q463:Q465"/>
    <mergeCell ref="R463:R465"/>
    <mergeCell ref="S463:S465"/>
    <mergeCell ref="T463:T465"/>
    <mergeCell ref="U463:U465"/>
    <mergeCell ref="J463:J465"/>
    <mergeCell ref="K463:K465"/>
    <mergeCell ref="L463:L465"/>
    <mergeCell ref="M463:M465"/>
    <mergeCell ref="N463:N465"/>
    <mergeCell ref="O463:O465"/>
    <mergeCell ref="AS466:AS468"/>
    <mergeCell ref="AT466:AT468"/>
    <mergeCell ref="AU466:AU468"/>
    <mergeCell ref="AV466:AV468"/>
    <mergeCell ref="AW466:AW468"/>
    <mergeCell ref="A463:A465"/>
    <mergeCell ref="B463:B465"/>
    <mergeCell ref="C463:C465"/>
    <mergeCell ref="D463:D465"/>
    <mergeCell ref="E463:E465"/>
    <mergeCell ref="F463:F465"/>
    <mergeCell ref="G463:G465"/>
    <mergeCell ref="H463:H465"/>
    <mergeCell ref="I463:I465"/>
    <mergeCell ref="AM466:AM468"/>
    <mergeCell ref="AN466:AN468"/>
    <mergeCell ref="AO466:AO468"/>
    <mergeCell ref="AP466:AP468"/>
    <mergeCell ref="AQ466:AQ468"/>
    <mergeCell ref="AR466:AR468"/>
    <mergeCell ref="AS460:AS462"/>
    <mergeCell ref="AT460:AT462"/>
    <mergeCell ref="AU460:AU462"/>
    <mergeCell ref="AV460:AV462"/>
    <mergeCell ref="AK460:AK462"/>
    <mergeCell ref="AL460:AL462"/>
    <mergeCell ref="AM460:AM462"/>
    <mergeCell ref="AN460:AN462"/>
    <mergeCell ref="AO460:AO462"/>
    <mergeCell ref="AP460:AP462"/>
    <mergeCell ref="AE460:AE462"/>
    <mergeCell ref="AF460:AF462"/>
    <mergeCell ref="AG460:AG462"/>
    <mergeCell ref="AH460:AH462"/>
    <mergeCell ref="AI460:AI462"/>
    <mergeCell ref="AJ460:AJ462"/>
    <mergeCell ref="X460:X462"/>
    <mergeCell ref="Z460:Z462"/>
    <mergeCell ref="AA460:AA462"/>
    <mergeCell ref="AB460:AB462"/>
    <mergeCell ref="AC460:AC462"/>
    <mergeCell ref="AD460:AD462"/>
    <mergeCell ref="R460:R462"/>
    <mergeCell ref="S460:S462"/>
    <mergeCell ref="T460:T462"/>
    <mergeCell ref="U460:U462"/>
    <mergeCell ref="V460:V462"/>
    <mergeCell ref="W460:W462"/>
    <mergeCell ref="L460:L462"/>
    <mergeCell ref="M460:M462"/>
    <mergeCell ref="N460:N462"/>
    <mergeCell ref="O460:O462"/>
    <mergeCell ref="P460:P462"/>
    <mergeCell ref="Q460:Q462"/>
    <mergeCell ref="F460:F462"/>
    <mergeCell ref="G460:G462"/>
    <mergeCell ref="H460:H462"/>
    <mergeCell ref="I460:I462"/>
    <mergeCell ref="J460:J462"/>
    <mergeCell ref="K460:K462"/>
    <mergeCell ref="AU463:AU465"/>
    <mergeCell ref="AV463:AV465"/>
    <mergeCell ref="AU457:AU459"/>
    <mergeCell ref="AV457:AV459"/>
    <mergeCell ref="AW457:AW459"/>
    <mergeCell ref="A460:A462"/>
    <mergeCell ref="B460:B462"/>
    <mergeCell ref="C460:C462"/>
    <mergeCell ref="D460:D462"/>
    <mergeCell ref="E460:E462"/>
    <mergeCell ref="AM457:AM459"/>
    <mergeCell ref="AN457:AN459"/>
    <mergeCell ref="AO457:AO459"/>
    <mergeCell ref="AP457:AP459"/>
    <mergeCell ref="AQ457:AQ459"/>
    <mergeCell ref="AR457:AR459"/>
    <mergeCell ref="AG457:AG459"/>
    <mergeCell ref="AH457:AH459"/>
    <mergeCell ref="AI457:AI459"/>
    <mergeCell ref="AJ457:AJ459"/>
    <mergeCell ref="AK457:AK459"/>
    <mergeCell ref="AL457:AL459"/>
    <mergeCell ref="AA457:AA459"/>
    <mergeCell ref="AB457:AB459"/>
    <mergeCell ref="AC457:AC459"/>
    <mergeCell ref="AD457:AD459"/>
    <mergeCell ref="AE457:AE459"/>
    <mergeCell ref="AF457:AF459"/>
    <mergeCell ref="T457:T459"/>
    <mergeCell ref="U457:U459"/>
    <mergeCell ref="V457:V459"/>
    <mergeCell ref="W457:W459"/>
    <mergeCell ref="X457:X459"/>
    <mergeCell ref="Z457:Z459"/>
    <mergeCell ref="N457:N459"/>
    <mergeCell ref="O457:O459"/>
    <mergeCell ref="P457:P459"/>
    <mergeCell ref="Q457:Q459"/>
    <mergeCell ref="R457:R459"/>
    <mergeCell ref="S457:S459"/>
    <mergeCell ref="H457:H459"/>
    <mergeCell ref="I457:I459"/>
    <mergeCell ref="J457:J459"/>
    <mergeCell ref="K457:K459"/>
    <mergeCell ref="L457:L459"/>
    <mergeCell ref="M457:M459"/>
    <mergeCell ref="AW460:AW462"/>
    <mergeCell ref="A457:A459"/>
    <mergeCell ref="B457:B459"/>
    <mergeCell ref="C457:C459"/>
    <mergeCell ref="D457:D459"/>
    <mergeCell ref="E457:E459"/>
    <mergeCell ref="F457:F459"/>
    <mergeCell ref="G457:G459"/>
    <mergeCell ref="AS457:AS459"/>
    <mergeCell ref="AT457:AT459"/>
    <mergeCell ref="AQ460:AQ462"/>
    <mergeCell ref="AR460:AR462"/>
    <mergeCell ref="R451:R453"/>
    <mergeCell ref="S451:S453"/>
    <mergeCell ref="T451:T453"/>
    <mergeCell ref="U451:U453"/>
    <mergeCell ref="V451:V453"/>
    <mergeCell ref="W451:W453"/>
    <mergeCell ref="L451:L453"/>
    <mergeCell ref="M451:M453"/>
    <mergeCell ref="N451:N453"/>
    <mergeCell ref="O451:O453"/>
    <mergeCell ref="P451:P453"/>
    <mergeCell ref="Q451:Q453"/>
    <mergeCell ref="F451:F453"/>
    <mergeCell ref="G451:G453"/>
    <mergeCell ref="H451:H453"/>
    <mergeCell ref="I451:I453"/>
    <mergeCell ref="J451:J453"/>
    <mergeCell ref="K451:K453"/>
    <mergeCell ref="AU454:AU456"/>
    <mergeCell ref="AV454:AV456"/>
    <mergeCell ref="AW454:AW456"/>
    <mergeCell ref="A451:A453"/>
    <mergeCell ref="B451:B453"/>
    <mergeCell ref="C451:C453"/>
    <mergeCell ref="D451:D453"/>
    <mergeCell ref="E451:E453"/>
    <mergeCell ref="AO454:AO456"/>
    <mergeCell ref="AP454:AP456"/>
    <mergeCell ref="AQ454:AQ456"/>
    <mergeCell ref="AR454:AR456"/>
    <mergeCell ref="AS454:AS456"/>
    <mergeCell ref="AT454:AT456"/>
    <mergeCell ref="AI454:AI456"/>
    <mergeCell ref="AJ454:AJ456"/>
    <mergeCell ref="AK454:AK456"/>
    <mergeCell ref="AL454:AL456"/>
    <mergeCell ref="AM454:AM456"/>
    <mergeCell ref="AN454:AN456"/>
    <mergeCell ref="AC454:AC456"/>
    <mergeCell ref="AD454:AD456"/>
    <mergeCell ref="AE454:AE456"/>
    <mergeCell ref="AF454:AF456"/>
    <mergeCell ref="AG454:AG456"/>
    <mergeCell ref="AH454:AH456"/>
    <mergeCell ref="V454:V456"/>
    <mergeCell ref="W454:W456"/>
    <mergeCell ref="X454:X456"/>
    <mergeCell ref="Z454:Z456"/>
    <mergeCell ref="AA454:AA456"/>
    <mergeCell ref="AB454:AB456"/>
    <mergeCell ref="P454:P456"/>
    <mergeCell ref="Q454:Q456"/>
    <mergeCell ref="R454:R456"/>
    <mergeCell ref="S454:S456"/>
    <mergeCell ref="T454:T456"/>
    <mergeCell ref="U454:U456"/>
    <mergeCell ref="J454:J456"/>
    <mergeCell ref="K454:K456"/>
    <mergeCell ref="L454:L456"/>
    <mergeCell ref="M454:M456"/>
    <mergeCell ref="N454:N456"/>
    <mergeCell ref="O454:O456"/>
    <mergeCell ref="AG448:AG450"/>
    <mergeCell ref="AH448:AH450"/>
    <mergeCell ref="AI448:AI450"/>
    <mergeCell ref="AJ448:AJ450"/>
    <mergeCell ref="AK448:AK450"/>
    <mergeCell ref="AL448:AL450"/>
    <mergeCell ref="AA448:AA450"/>
    <mergeCell ref="AB448:AB450"/>
    <mergeCell ref="AC448:AC450"/>
    <mergeCell ref="AD448:AD450"/>
    <mergeCell ref="AE448:AE450"/>
    <mergeCell ref="AF448:AF450"/>
    <mergeCell ref="T448:T450"/>
    <mergeCell ref="U448:U450"/>
    <mergeCell ref="V448:V450"/>
    <mergeCell ref="W448:W450"/>
    <mergeCell ref="X448:X450"/>
    <mergeCell ref="Z448:Z450"/>
    <mergeCell ref="N448:N450"/>
    <mergeCell ref="O448:O450"/>
    <mergeCell ref="P448:P450"/>
    <mergeCell ref="Q448:Q450"/>
    <mergeCell ref="R448:R450"/>
    <mergeCell ref="S448:S450"/>
    <mergeCell ref="H448:H450"/>
    <mergeCell ref="I448:I450"/>
    <mergeCell ref="J448:J450"/>
    <mergeCell ref="K448:K450"/>
    <mergeCell ref="L448:L450"/>
    <mergeCell ref="M448:M450"/>
    <mergeCell ref="AW451:AW453"/>
    <mergeCell ref="A454:A456"/>
    <mergeCell ref="B454:B456"/>
    <mergeCell ref="C454:C456"/>
    <mergeCell ref="D454:D456"/>
    <mergeCell ref="E454:E456"/>
    <mergeCell ref="F454:F456"/>
    <mergeCell ref="G454:G456"/>
    <mergeCell ref="H454:H456"/>
    <mergeCell ref="I454:I456"/>
    <mergeCell ref="AQ451:AQ453"/>
    <mergeCell ref="AR451:AR453"/>
    <mergeCell ref="AS451:AS453"/>
    <mergeCell ref="AT451:AT453"/>
    <mergeCell ref="AU451:AU453"/>
    <mergeCell ref="AV451:AV453"/>
    <mergeCell ref="AK451:AK453"/>
    <mergeCell ref="AL451:AL453"/>
    <mergeCell ref="AM451:AM453"/>
    <mergeCell ref="AN451:AN453"/>
    <mergeCell ref="AO451:AO453"/>
    <mergeCell ref="AP451:AP453"/>
    <mergeCell ref="AE451:AE453"/>
    <mergeCell ref="AF451:AF453"/>
    <mergeCell ref="AG451:AG453"/>
    <mergeCell ref="AH451:AH453"/>
    <mergeCell ref="AI451:AI453"/>
    <mergeCell ref="AJ451:AJ453"/>
    <mergeCell ref="X451:X453"/>
    <mergeCell ref="Z451:Z453"/>
    <mergeCell ref="AA451:AA453"/>
    <mergeCell ref="AB451:AB453"/>
    <mergeCell ref="AC451:AC453"/>
    <mergeCell ref="AD451:AD453"/>
    <mergeCell ref="AW445:AW447"/>
    <mergeCell ref="A448:A450"/>
    <mergeCell ref="B448:B450"/>
    <mergeCell ref="C448:C450"/>
    <mergeCell ref="D448:D450"/>
    <mergeCell ref="E448:E450"/>
    <mergeCell ref="F448:F450"/>
    <mergeCell ref="G448:G450"/>
    <mergeCell ref="AO445:AO447"/>
    <mergeCell ref="AP445:AP447"/>
    <mergeCell ref="AQ445:AQ447"/>
    <mergeCell ref="AR445:AR447"/>
    <mergeCell ref="AS445:AS447"/>
    <mergeCell ref="AT445:AT447"/>
    <mergeCell ref="AI445:AI447"/>
    <mergeCell ref="AJ445:AJ447"/>
    <mergeCell ref="AK445:AK447"/>
    <mergeCell ref="AL445:AL447"/>
    <mergeCell ref="AM445:AM447"/>
    <mergeCell ref="AN445:AN447"/>
    <mergeCell ref="AC445:AC447"/>
    <mergeCell ref="AD445:AD447"/>
    <mergeCell ref="AE445:AE447"/>
    <mergeCell ref="AF445:AF447"/>
    <mergeCell ref="AG445:AG447"/>
    <mergeCell ref="AH445:AH447"/>
    <mergeCell ref="V445:V447"/>
    <mergeCell ref="W445:W447"/>
    <mergeCell ref="X445:X447"/>
    <mergeCell ref="Z445:Z447"/>
    <mergeCell ref="AA445:AA447"/>
    <mergeCell ref="AB445:AB447"/>
    <mergeCell ref="P445:P447"/>
    <mergeCell ref="Q445:Q447"/>
    <mergeCell ref="R445:R447"/>
    <mergeCell ref="S445:S447"/>
    <mergeCell ref="T445:T447"/>
    <mergeCell ref="U445:U447"/>
    <mergeCell ref="J445:J447"/>
    <mergeCell ref="K445:K447"/>
    <mergeCell ref="L445:L447"/>
    <mergeCell ref="M445:M447"/>
    <mergeCell ref="N445:N447"/>
    <mergeCell ref="O445:O447"/>
    <mergeCell ref="AS448:AS450"/>
    <mergeCell ref="AT448:AT450"/>
    <mergeCell ref="AU448:AU450"/>
    <mergeCell ref="AV448:AV450"/>
    <mergeCell ref="AW448:AW450"/>
    <mergeCell ref="A445:A447"/>
    <mergeCell ref="B445:B447"/>
    <mergeCell ref="C445:C447"/>
    <mergeCell ref="D445:D447"/>
    <mergeCell ref="E445:E447"/>
    <mergeCell ref="F445:F447"/>
    <mergeCell ref="G445:G447"/>
    <mergeCell ref="H445:H447"/>
    <mergeCell ref="I445:I447"/>
    <mergeCell ref="AM448:AM450"/>
    <mergeCell ref="AN448:AN450"/>
    <mergeCell ref="AO448:AO450"/>
    <mergeCell ref="AP448:AP450"/>
    <mergeCell ref="AQ448:AQ450"/>
    <mergeCell ref="AR448:AR450"/>
    <mergeCell ref="AS442:AS444"/>
    <mergeCell ref="AT442:AT444"/>
    <mergeCell ref="AU442:AU444"/>
    <mergeCell ref="AV442:AV444"/>
    <mergeCell ref="AK442:AK444"/>
    <mergeCell ref="AL442:AL444"/>
    <mergeCell ref="AM442:AM444"/>
    <mergeCell ref="AN442:AN444"/>
    <mergeCell ref="AO442:AO444"/>
    <mergeCell ref="AP442:AP444"/>
    <mergeCell ref="AE442:AE444"/>
    <mergeCell ref="AF442:AF444"/>
    <mergeCell ref="AG442:AG444"/>
    <mergeCell ref="AH442:AH444"/>
    <mergeCell ref="AI442:AI444"/>
    <mergeCell ref="AJ442:AJ444"/>
    <mergeCell ref="X442:X444"/>
    <mergeCell ref="Z442:Z444"/>
    <mergeCell ref="AA442:AA444"/>
    <mergeCell ref="AB442:AB444"/>
    <mergeCell ref="AC442:AC444"/>
    <mergeCell ref="AD442:AD444"/>
    <mergeCell ref="R442:R444"/>
    <mergeCell ref="S442:S444"/>
    <mergeCell ref="T442:T444"/>
    <mergeCell ref="U442:U444"/>
    <mergeCell ref="V442:V444"/>
    <mergeCell ref="W442:W444"/>
    <mergeCell ref="L442:L444"/>
    <mergeCell ref="M442:M444"/>
    <mergeCell ref="N442:N444"/>
    <mergeCell ref="O442:O444"/>
    <mergeCell ref="P442:P444"/>
    <mergeCell ref="Q442:Q444"/>
    <mergeCell ref="F442:F444"/>
    <mergeCell ref="G442:G444"/>
    <mergeCell ref="H442:H444"/>
    <mergeCell ref="I442:I444"/>
    <mergeCell ref="J442:J444"/>
    <mergeCell ref="K442:K444"/>
    <mergeCell ref="AU445:AU447"/>
    <mergeCell ref="AV445:AV447"/>
    <mergeCell ref="AU439:AU441"/>
    <mergeCell ref="AV439:AV441"/>
    <mergeCell ref="AW439:AW441"/>
    <mergeCell ref="A442:A444"/>
    <mergeCell ref="B442:B444"/>
    <mergeCell ref="C442:C444"/>
    <mergeCell ref="D442:D444"/>
    <mergeCell ref="E442:E444"/>
    <mergeCell ref="AM439:AM441"/>
    <mergeCell ref="AN439:AN441"/>
    <mergeCell ref="AO439:AO441"/>
    <mergeCell ref="AP439:AP441"/>
    <mergeCell ref="AQ439:AQ441"/>
    <mergeCell ref="AR439:AR441"/>
    <mergeCell ref="AG439:AG441"/>
    <mergeCell ref="AH439:AH441"/>
    <mergeCell ref="AI439:AI441"/>
    <mergeCell ref="AJ439:AJ441"/>
    <mergeCell ref="AK439:AK441"/>
    <mergeCell ref="AL439:AL441"/>
    <mergeCell ref="AA439:AA441"/>
    <mergeCell ref="AB439:AB441"/>
    <mergeCell ref="AC439:AC441"/>
    <mergeCell ref="AD439:AD441"/>
    <mergeCell ref="AE439:AE441"/>
    <mergeCell ref="AF439:AF441"/>
    <mergeCell ref="T439:T441"/>
    <mergeCell ref="U439:U441"/>
    <mergeCell ref="V439:V441"/>
    <mergeCell ref="W439:W441"/>
    <mergeCell ref="X439:X441"/>
    <mergeCell ref="Z439:Z441"/>
    <mergeCell ref="N439:N441"/>
    <mergeCell ref="O439:O441"/>
    <mergeCell ref="P439:P441"/>
    <mergeCell ref="Q439:Q441"/>
    <mergeCell ref="R439:R441"/>
    <mergeCell ref="S439:S441"/>
    <mergeCell ref="H439:H441"/>
    <mergeCell ref="I439:I441"/>
    <mergeCell ref="J439:J441"/>
    <mergeCell ref="K439:K441"/>
    <mergeCell ref="L439:L441"/>
    <mergeCell ref="M439:M441"/>
    <mergeCell ref="AW442:AW444"/>
    <mergeCell ref="A439:A441"/>
    <mergeCell ref="B439:B441"/>
    <mergeCell ref="C439:C441"/>
    <mergeCell ref="D439:D441"/>
    <mergeCell ref="E439:E441"/>
    <mergeCell ref="F439:F441"/>
    <mergeCell ref="G439:G441"/>
    <mergeCell ref="AS439:AS441"/>
    <mergeCell ref="AT439:AT441"/>
    <mergeCell ref="AQ442:AQ444"/>
    <mergeCell ref="AR442:AR444"/>
    <mergeCell ref="T433:T435"/>
    <mergeCell ref="U433:U435"/>
    <mergeCell ref="V433:V435"/>
    <mergeCell ref="W433:W435"/>
    <mergeCell ref="L433:L435"/>
    <mergeCell ref="M433:M435"/>
    <mergeCell ref="N433:N435"/>
    <mergeCell ref="O433:O435"/>
    <mergeCell ref="P433:P435"/>
    <mergeCell ref="Q433:Q435"/>
    <mergeCell ref="F433:F435"/>
    <mergeCell ref="G433:G435"/>
    <mergeCell ref="H433:H435"/>
    <mergeCell ref="I433:I435"/>
    <mergeCell ref="J433:J435"/>
    <mergeCell ref="K433:K435"/>
    <mergeCell ref="AU436:AU438"/>
    <mergeCell ref="AV436:AV438"/>
    <mergeCell ref="AW436:AW438"/>
    <mergeCell ref="A433:A435"/>
    <mergeCell ref="B433:B435"/>
    <mergeCell ref="C433:C435"/>
    <mergeCell ref="D433:D435"/>
    <mergeCell ref="E433:E435"/>
    <mergeCell ref="AO436:AO438"/>
    <mergeCell ref="AP436:AP438"/>
    <mergeCell ref="AQ436:AQ438"/>
    <mergeCell ref="AR436:AR438"/>
    <mergeCell ref="AS436:AS438"/>
    <mergeCell ref="AT436:AT438"/>
    <mergeCell ref="AI436:AI438"/>
    <mergeCell ref="AJ436:AJ438"/>
    <mergeCell ref="AK436:AK438"/>
    <mergeCell ref="AL436:AL438"/>
    <mergeCell ref="AM436:AM438"/>
    <mergeCell ref="AN436:AN438"/>
    <mergeCell ref="AC436:AC438"/>
    <mergeCell ref="AD436:AD438"/>
    <mergeCell ref="AE436:AE438"/>
    <mergeCell ref="AF436:AF438"/>
    <mergeCell ref="AG436:AG438"/>
    <mergeCell ref="AH436:AH438"/>
    <mergeCell ref="V436:V438"/>
    <mergeCell ref="W436:W438"/>
    <mergeCell ref="X436:X438"/>
    <mergeCell ref="Z436:Z438"/>
    <mergeCell ref="AA436:AA438"/>
    <mergeCell ref="AB436:AB438"/>
    <mergeCell ref="P436:P438"/>
    <mergeCell ref="Q436:Q438"/>
    <mergeCell ref="R436:R438"/>
    <mergeCell ref="S436:S438"/>
    <mergeCell ref="T436:T438"/>
    <mergeCell ref="U436:U438"/>
    <mergeCell ref="J436:J438"/>
    <mergeCell ref="K436:K438"/>
    <mergeCell ref="L436:L438"/>
    <mergeCell ref="M436:M438"/>
    <mergeCell ref="N436:N438"/>
    <mergeCell ref="O436:O438"/>
    <mergeCell ref="AI430:AI432"/>
    <mergeCell ref="AJ430:AJ432"/>
    <mergeCell ref="AK430:AK432"/>
    <mergeCell ref="AL430:AL432"/>
    <mergeCell ref="AA430:AA432"/>
    <mergeCell ref="AB430:AB432"/>
    <mergeCell ref="AC430:AC432"/>
    <mergeCell ref="AD430:AD432"/>
    <mergeCell ref="AE430:AE432"/>
    <mergeCell ref="AF430:AF432"/>
    <mergeCell ref="T430:T432"/>
    <mergeCell ref="U430:U432"/>
    <mergeCell ref="V430:V432"/>
    <mergeCell ref="W430:W432"/>
    <mergeCell ref="X430:X432"/>
    <mergeCell ref="Z430:Z432"/>
    <mergeCell ref="N430:N432"/>
    <mergeCell ref="O430:O432"/>
    <mergeCell ref="P430:P432"/>
    <mergeCell ref="Q430:Q432"/>
    <mergeCell ref="R430:R432"/>
    <mergeCell ref="S430:S432"/>
    <mergeCell ref="H430:H432"/>
    <mergeCell ref="I430:I432"/>
    <mergeCell ref="J430:J432"/>
    <mergeCell ref="K430:K432"/>
    <mergeCell ref="L430:L432"/>
    <mergeCell ref="M430:M432"/>
    <mergeCell ref="AW433:AW435"/>
    <mergeCell ref="A436:A438"/>
    <mergeCell ref="B436:B438"/>
    <mergeCell ref="C436:C438"/>
    <mergeCell ref="D436:D438"/>
    <mergeCell ref="E436:E438"/>
    <mergeCell ref="F436:F438"/>
    <mergeCell ref="G436:G438"/>
    <mergeCell ref="H436:H438"/>
    <mergeCell ref="I436:I438"/>
    <mergeCell ref="AQ433:AQ435"/>
    <mergeCell ref="AR433:AR435"/>
    <mergeCell ref="AS433:AS435"/>
    <mergeCell ref="AT433:AT435"/>
    <mergeCell ref="AU433:AU435"/>
    <mergeCell ref="AV433:AV435"/>
    <mergeCell ref="AK433:AK435"/>
    <mergeCell ref="AL433:AL435"/>
    <mergeCell ref="AM433:AM435"/>
    <mergeCell ref="AN433:AN435"/>
    <mergeCell ref="AO433:AO435"/>
    <mergeCell ref="AP433:AP435"/>
    <mergeCell ref="AE433:AE435"/>
    <mergeCell ref="AF433:AF435"/>
    <mergeCell ref="AG433:AG435"/>
    <mergeCell ref="AH433:AH435"/>
    <mergeCell ref="AI433:AI435"/>
    <mergeCell ref="AJ433:AJ435"/>
    <mergeCell ref="X433:X435"/>
    <mergeCell ref="Z433:Z435"/>
    <mergeCell ref="AA433:AA435"/>
    <mergeCell ref="AB433:AB435"/>
    <mergeCell ref="AC433:AC435"/>
    <mergeCell ref="AD433:AD435"/>
    <mergeCell ref="R433:R435"/>
    <mergeCell ref="S433:S435"/>
    <mergeCell ref="B429:X429"/>
    <mergeCell ref="AA429:AW429"/>
    <mergeCell ref="A430:A432"/>
    <mergeCell ref="B430:B432"/>
    <mergeCell ref="C430:C432"/>
    <mergeCell ref="D430:D432"/>
    <mergeCell ref="E430:E432"/>
    <mergeCell ref="F430:F432"/>
    <mergeCell ref="G430:G432"/>
    <mergeCell ref="AQ425:AQ427"/>
    <mergeCell ref="AR425:AR427"/>
    <mergeCell ref="AS425:AS427"/>
    <mergeCell ref="AT425:AT427"/>
    <mergeCell ref="AU425:AU427"/>
    <mergeCell ref="AV425:AV427"/>
    <mergeCell ref="AK425:AK427"/>
    <mergeCell ref="AL425:AL427"/>
    <mergeCell ref="AM425:AM427"/>
    <mergeCell ref="AN425:AN427"/>
    <mergeCell ref="AO425:AO427"/>
    <mergeCell ref="AP425:AP427"/>
    <mergeCell ref="AE425:AE427"/>
    <mergeCell ref="AF425:AF427"/>
    <mergeCell ref="AG425:AG427"/>
    <mergeCell ref="AH425:AH427"/>
    <mergeCell ref="AI425:AI427"/>
    <mergeCell ref="AJ425:AJ427"/>
    <mergeCell ref="X425:X427"/>
    <mergeCell ref="Z425:Z427"/>
    <mergeCell ref="AA425:AA427"/>
    <mergeCell ref="AB425:AB427"/>
    <mergeCell ref="AC425:AC427"/>
    <mergeCell ref="AD425:AD427"/>
    <mergeCell ref="R425:R427"/>
    <mergeCell ref="S425:S427"/>
    <mergeCell ref="T425:T427"/>
    <mergeCell ref="U425:U427"/>
    <mergeCell ref="V425:V427"/>
    <mergeCell ref="W425:W427"/>
    <mergeCell ref="L425:L427"/>
    <mergeCell ref="M425:M427"/>
    <mergeCell ref="N425:N427"/>
    <mergeCell ref="O425:O427"/>
    <mergeCell ref="P425:P427"/>
    <mergeCell ref="Q425:Q427"/>
    <mergeCell ref="F425:F427"/>
    <mergeCell ref="G425:G427"/>
    <mergeCell ref="H425:H427"/>
    <mergeCell ref="I425:I427"/>
    <mergeCell ref="J425:J427"/>
    <mergeCell ref="K425:K427"/>
    <mergeCell ref="AS430:AS432"/>
    <mergeCell ref="AT430:AT432"/>
    <mergeCell ref="AU430:AU432"/>
    <mergeCell ref="AV430:AV432"/>
    <mergeCell ref="AW430:AW432"/>
    <mergeCell ref="AM430:AM432"/>
    <mergeCell ref="AN430:AN432"/>
    <mergeCell ref="AO430:AO432"/>
    <mergeCell ref="AP430:AP432"/>
    <mergeCell ref="AQ430:AQ432"/>
    <mergeCell ref="AR430:AR432"/>
    <mergeCell ref="AG430:AG432"/>
    <mergeCell ref="AH430:AH432"/>
    <mergeCell ref="AU422:AU424"/>
    <mergeCell ref="AV422:AV424"/>
    <mergeCell ref="AW422:AW424"/>
    <mergeCell ref="A425:A427"/>
    <mergeCell ref="B425:B427"/>
    <mergeCell ref="C425:C427"/>
    <mergeCell ref="D425:D427"/>
    <mergeCell ref="E425:E427"/>
    <mergeCell ref="AM422:AM424"/>
    <mergeCell ref="AN422:AN424"/>
    <mergeCell ref="AO422:AO424"/>
    <mergeCell ref="AP422:AP424"/>
    <mergeCell ref="AQ422:AQ424"/>
    <mergeCell ref="AR422:AR424"/>
    <mergeCell ref="AG422:AG424"/>
    <mergeCell ref="AH422:AH424"/>
    <mergeCell ref="AI422:AI424"/>
    <mergeCell ref="AJ422:AJ424"/>
    <mergeCell ref="AK422:AK424"/>
    <mergeCell ref="AL422:AL424"/>
    <mergeCell ref="AA422:AA424"/>
    <mergeCell ref="AB422:AB424"/>
    <mergeCell ref="AC422:AC424"/>
    <mergeCell ref="AD422:AD424"/>
    <mergeCell ref="AE422:AE424"/>
    <mergeCell ref="AF422:AF424"/>
    <mergeCell ref="T422:T424"/>
    <mergeCell ref="U422:U424"/>
    <mergeCell ref="V422:V424"/>
    <mergeCell ref="W422:W424"/>
    <mergeCell ref="X422:X424"/>
    <mergeCell ref="Z422:Z424"/>
    <mergeCell ref="N422:N424"/>
    <mergeCell ref="O422:O424"/>
    <mergeCell ref="P422:P424"/>
    <mergeCell ref="Q422:Q424"/>
    <mergeCell ref="R422:R424"/>
    <mergeCell ref="S422:S424"/>
    <mergeCell ref="H422:H424"/>
    <mergeCell ref="I422:I424"/>
    <mergeCell ref="J422:J424"/>
    <mergeCell ref="K422:K424"/>
    <mergeCell ref="L422:L424"/>
    <mergeCell ref="M422:M424"/>
    <mergeCell ref="AW425:AW427"/>
    <mergeCell ref="A422:A424"/>
    <mergeCell ref="B422:B424"/>
    <mergeCell ref="C422:C424"/>
    <mergeCell ref="D422:D424"/>
    <mergeCell ref="E422:E424"/>
    <mergeCell ref="F422:F424"/>
    <mergeCell ref="G422:G424"/>
    <mergeCell ref="AS422:AS424"/>
    <mergeCell ref="AT422:AT424"/>
    <mergeCell ref="R416:R418"/>
    <mergeCell ref="S416:S418"/>
    <mergeCell ref="T416:T418"/>
    <mergeCell ref="U416:U418"/>
    <mergeCell ref="V416:V418"/>
    <mergeCell ref="W416:W418"/>
    <mergeCell ref="L416:L418"/>
    <mergeCell ref="M416:M418"/>
    <mergeCell ref="N416:N418"/>
    <mergeCell ref="O416:O418"/>
    <mergeCell ref="P416:P418"/>
    <mergeCell ref="Q416:Q418"/>
    <mergeCell ref="F416:F418"/>
    <mergeCell ref="G416:G418"/>
    <mergeCell ref="H416:H418"/>
    <mergeCell ref="I416:I418"/>
    <mergeCell ref="J416:J418"/>
    <mergeCell ref="K416:K418"/>
    <mergeCell ref="AU419:AU421"/>
    <mergeCell ref="AV419:AV421"/>
    <mergeCell ref="AW419:AW421"/>
    <mergeCell ref="A416:A418"/>
    <mergeCell ref="B416:B418"/>
    <mergeCell ref="C416:C418"/>
    <mergeCell ref="D416:D418"/>
    <mergeCell ref="E416:E418"/>
    <mergeCell ref="AO419:AO421"/>
    <mergeCell ref="AP419:AP421"/>
    <mergeCell ref="AQ419:AQ421"/>
    <mergeCell ref="AR419:AR421"/>
    <mergeCell ref="AS419:AS421"/>
    <mergeCell ref="AT419:AT421"/>
    <mergeCell ref="AI419:AI421"/>
    <mergeCell ref="AJ419:AJ421"/>
    <mergeCell ref="AK419:AK421"/>
    <mergeCell ref="AL419:AL421"/>
    <mergeCell ref="AM419:AM421"/>
    <mergeCell ref="AN419:AN421"/>
    <mergeCell ref="AC419:AC421"/>
    <mergeCell ref="AD419:AD421"/>
    <mergeCell ref="AE419:AE421"/>
    <mergeCell ref="AF419:AF421"/>
    <mergeCell ref="AG419:AG421"/>
    <mergeCell ref="AH419:AH421"/>
    <mergeCell ref="V419:V421"/>
    <mergeCell ref="W419:W421"/>
    <mergeCell ref="X419:X421"/>
    <mergeCell ref="Z419:Z421"/>
    <mergeCell ref="AA419:AA421"/>
    <mergeCell ref="AB419:AB421"/>
    <mergeCell ref="P419:P421"/>
    <mergeCell ref="Q419:Q421"/>
    <mergeCell ref="R419:R421"/>
    <mergeCell ref="S419:S421"/>
    <mergeCell ref="T419:T421"/>
    <mergeCell ref="U419:U421"/>
    <mergeCell ref="J419:J421"/>
    <mergeCell ref="K419:K421"/>
    <mergeCell ref="L419:L421"/>
    <mergeCell ref="M419:M421"/>
    <mergeCell ref="N419:N421"/>
    <mergeCell ref="O419:O421"/>
    <mergeCell ref="AG413:AG415"/>
    <mergeCell ref="AH413:AH415"/>
    <mergeCell ref="AI413:AI415"/>
    <mergeCell ref="AJ413:AJ415"/>
    <mergeCell ref="AK413:AK415"/>
    <mergeCell ref="AL413:AL415"/>
    <mergeCell ref="AA413:AA415"/>
    <mergeCell ref="AB413:AB415"/>
    <mergeCell ref="AC413:AC415"/>
    <mergeCell ref="AD413:AD415"/>
    <mergeCell ref="AE413:AE415"/>
    <mergeCell ref="AF413:AF415"/>
    <mergeCell ref="T413:T415"/>
    <mergeCell ref="U413:U415"/>
    <mergeCell ref="V413:V415"/>
    <mergeCell ref="W413:W415"/>
    <mergeCell ref="X413:X415"/>
    <mergeCell ref="Z413:Z415"/>
    <mergeCell ref="N413:N415"/>
    <mergeCell ref="O413:O415"/>
    <mergeCell ref="P413:P415"/>
    <mergeCell ref="Q413:Q415"/>
    <mergeCell ref="R413:R415"/>
    <mergeCell ref="S413:S415"/>
    <mergeCell ref="H413:H415"/>
    <mergeCell ref="I413:I415"/>
    <mergeCell ref="J413:J415"/>
    <mergeCell ref="K413:K415"/>
    <mergeCell ref="L413:L415"/>
    <mergeCell ref="M413:M415"/>
    <mergeCell ref="AW416:AW418"/>
    <mergeCell ref="A419:A421"/>
    <mergeCell ref="B419:B421"/>
    <mergeCell ref="C419:C421"/>
    <mergeCell ref="D419:D421"/>
    <mergeCell ref="E419:E421"/>
    <mergeCell ref="F419:F421"/>
    <mergeCell ref="G419:G421"/>
    <mergeCell ref="H419:H421"/>
    <mergeCell ref="I419:I421"/>
    <mergeCell ref="AQ416:AQ418"/>
    <mergeCell ref="AR416:AR418"/>
    <mergeCell ref="AS416:AS418"/>
    <mergeCell ref="AT416:AT418"/>
    <mergeCell ref="AU416:AU418"/>
    <mergeCell ref="AV416:AV418"/>
    <mergeCell ref="AK416:AK418"/>
    <mergeCell ref="AL416:AL418"/>
    <mergeCell ref="AM416:AM418"/>
    <mergeCell ref="AN416:AN418"/>
    <mergeCell ref="AO416:AO418"/>
    <mergeCell ref="AP416:AP418"/>
    <mergeCell ref="AE416:AE418"/>
    <mergeCell ref="AF416:AF418"/>
    <mergeCell ref="AG416:AG418"/>
    <mergeCell ref="AH416:AH418"/>
    <mergeCell ref="AI416:AI418"/>
    <mergeCell ref="AJ416:AJ418"/>
    <mergeCell ref="X416:X418"/>
    <mergeCell ref="Z416:Z418"/>
    <mergeCell ref="AA416:AA418"/>
    <mergeCell ref="AB416:AB418"/>
    <mergeCell ref="AC416:AC418"/>
    <mergeCell ref="AD416:AD418"/>
    <mergeCell ref="AW410:AW412"/>
    <mergeCell ref="A413:A415"/>
    <mergeCell ref="B413:B415"/>
    <mergeCell ref="C413:C415"/>
    <mergeCell ref="D413:D415"/>
    <mergeCell ref="E413:E415"/>
    <mergeCell ref="F413:F415"/>
    <mergeCell ref="G413:G415"/>
    <mergeCell ref="AO410:AO412"/>
    <mergeCell ref="AP410:AP412"/>
    <mergeCell ref="AQ410:AQ412"/>
    <mergeCell ref="AR410:AR412"/>
    <mergeCell ref="AS410:AS412"/>
    <mergeCell ref="AT410:AT412"/>
    <mergeCell ref="AI410:AI412"/>
    <mergeCell ref="AJ410:AJ412"/>
    <mergeCell ref="AK410:AK412"/>
    <mergeCell ref="AL410:AL412"/>
    <mergeCell ref="AM410:AM412"/>
    <mergeCell ref="AN410:AN412"/>
    <mergeCell ref="AC410:AC412"/>
    <mergeCell ref="AD410:AD412"/>
    <mergeCell ref="AE410:AE412"/>
    <mergeCell ref="AF410:AF412"/>
    <mergeCell ref="AG410:AG412"/>
    <mergeCell ref="AH410:AH412"/>
    <mergeCell ref="V410:V412"/>
    <mergeCell ref="W410:W412"/>
    <mergeCell ref="X410:X412"/>
    <mergeCell ref="Z410:Z412"/>
    <mergeCell ref="AA410:AA412"/>
    <mergeCell ref="AB410:AB412"/>
    <mergeCell ref="P410:P412"/>
    <mergeCell ref="Q410:Q412"/>
    <mergeCell ref="R410:R412"/>
    <mergeCell ref="S410:S412"/>
    <mergeCell ref="T410:T412"/>
    <mergeCell ref="U410:U412"/>
    <mergeCell ref="J410:J412"/>
    <mergeCell ref="K410:K412"/>
    <mergeCell ref="L410:L412"/>
    <mergeCell ref="M410:M412"/>
    <mergeCell ref="N410:N412"/>
    <mergeCell ref="O410:O412"/>
    <mergeCell ref="AS413:AS415"/>
    <mergeCell ref="AT413:AT415"/>
    <mergeCell ref="AU413:AU415"/>
    <mergeCell ref="AV413:AV415"/>
    <mergeCell ref="AW413:AW415"/>
    <mergeCell ref="A410:A412"/>
    <mergeCell ref="B410:B412"/>
    <mergeCell ref="C410:C412"/>
    <mergeCell ref="D410:D412"/>
    <mergeCell ref="E410:E412"/>
    <mergeCell ref="F410:F412"/>
    <mergeCell ref="G410:G412"/>
    <mergeCell ref="H410:H412"/>
    <mergeCell ref="I410:I412"/>
    <mergeCell ref="AM413:AM415"/>
    <mergeCell ref="AN413:AN415"/>
    <mergeCell ref="AO413:AO415"/>
    <mergeCell ref="AP413:AP415"/>
    <mergeCell ref="AQ413:AQ415"/>
    <mergeCell ref="AR413:AR415"/>
    <mergeCell ref="AS407:AS409"/>
    <mergeCell ref="AT407:AT409"/>
    <mergeCell ref="AU407:AU409"/>
    <mergeCell ref="AV407:AV409"/>
    <mergeCell ref="AK407:AK409"/>
    <mergeCell ref="AL407:AL409"/>
    <mergeCell ref="AM407:AM409"/>
    <mergeCell ref="AN407:AN409"/>
    <mergeCell ref="AO407:AO409"/>
    <mergeCell ref="AP407:AP409"/>
    <mergeCell ref="AE407:AE409"/>
    <mergeCell ref="AF407:AF409"/>
    <mergeCell ref="AG407:AG409"/>
    <mergeCell ref="AH407:AH409"/>
    <mergeCell ref="AI407:AI409"/>
    <mergeCell ref="AJ407:AJ409"/>
    <mergeCell ref="X407:X409"/>
    <mergeCell ref="Z407:Z409"/>
    <mergeCell ref="AA407:AA409"/>
    <mergeCell ref="AB407:AB409"/>
    <mergeCell ref="AC407:AC409"/>
    <mergeCell ref="AD407:AD409"/>
    <mergeCell ref="R407:R409"/>
    <mergeCell ref="S407:S409"/>
    <mergeCell ref="T407:T409"/>
    <mergeCell ref="U407:U409"/>
    <mergeCell ref="V407:V409"/>
    <mergeCell ref="W407:W409"/>
    <mergeCell ref="L407:L409"/>
    <mergeCell ref="M407:M409"/>
    <mergeCell ref="N407:N409"/>
    <mergeCell ref="O407:O409"/>
    <mergeCell ref="P407:P409"/>
    <mergeCell ref="Q407:Q409"/>
    <mergeCell ref="F407:F409"/>
    <mergeCell ref="G407:G409"/>
    <mergeCell ref="H407:H409"/>
    <mergeCell ref="I407:I409"/>
    <mergeCell ref="J407:J409"/>
    <mergeCell ref="K407:K409"/>
    <mergeCell ref="AU410:AU412"/>
    <mergeCell ref="AV410:AV412"/>
    <mergeCell ref="AU404:AU406"/>
    <mergeCell ref="AV404:AV406"/>
    <mergeCell ref="AW404:AW406"/>
    <mergeCell ref="A407:A409"/>
    <mergeCell ref="B407:B409"/>
    <mergeCell ref="C407:C409"/>
    <mergeCell ref="D407:D409"/>
    <mergeCell ref="E407:E409"/>
    <mergeCell ref="AM404:AM406"/>
    <mergeCell ref="AN404:AN406"/>
    <mergeCell ref="AO404:AO406"/>
    <mergeCell ref="AP404:AP406"/>
    <mergeCell ref="AQ404:AQ406"/>
    <mergeCell ref="AR404:AR406"/>
    <mergeCell ref="AG404:AG406"/>
    <mergeCell ref="AH404:AH406"/>
    <mergeCell ref="AI404:AI406"/>
    <mergeCell ref="AJ404:AJ406"/>
    <mergeCell ref="AK404:AK406"/>
    <mergeCell ref="AL404:AL406"/>
    <mergeCell ref="AA404:AA406"/>
    <mergeCell ref="AB404:AB406"/>
    <mergeCell ref="AC404:AC406"/>
    <mergeCell ref="AD404:AD406"/>
    <mergeCell ref="AE404:AE406"/>
    <mergeCell ref="AF404:AF406"/>
    <mergeCell ref="T404:T406"/>
    <mergeCell ref="U404:U406"/>
    <mergeCell ref="V404:V406"/>
    <mergeCell ref="W404:W406"/>
    <mergeCell ref="X404:X406"/>
    <mergeCell ref="Z404:Z406"/>
    <mergeCell ref="N404:N406"/>
    <mergeCell ref="O404:O406"/>
    <mergeCell ref="P404:P406"/>
    <mergeCell ref="Q404:Q406"/>
    <mergeCell ref="R404:R406"/>
    <mergeCell ref="S404:S406"/>
    <mergeCell ref="H404:H406"/>
    <mergeCell ref="I404:I406"/>
    <mergeCell ref="J404:J406"/>
    <mergeCell ref="K404:K406"/>
    <mergeCell ref="L404:L406"/>
    <mergeCell ref="M404:M406"/>
    <mergeCell ref="AW407:AW409"/>
    <mergeCell ref="A404:A406"/>
    <mergeCell ref="B404:B406"/>
    <mergeCell ref="C404:C406"/>
    <mergeCell ref="D404:D406"/>
    <mergeCell ref="E404:E406"/>
    <mergeCell ref="F404:F406"/>
    <mergeCell ref="G404:G406"/>
    <mergeCell ref="AS404:AS406"/>
    <mergeCell ref="AT404:AT406"/>
    <mergeCell ref="AQ407:AQ409"/>
    <mergeCell ref="AR407:AR409"/>
    <mergeCell ref="R398:R400"/>
    <mergeCell ref="S398:S400"/>
    <mergeCell ref="T398:T400"/>
    <mergeCell ref="U398:U400"/>
    <mergeCell ref="V398:V400"/>
    <mergeCell ref="W398:W400"/>
    <mergeCell ref="L398:L400"/>
    <mergeCell ref="M398:M400"/>
    <mergeCell ref="N398:N400"/>
    <mergeCell ref="O398:O400"/>
    <mergeCell ref="P398:P400"/>
    <mergeCell ref="Q398:Q400"/>
    <mergeCell ref="F398:F400"/>
    <mergeCell ref="G398:G400"/>
    <mergeCell ref="H398:H400"/>
    <mergeCell ref="I398:I400"/>
    <mergeCell ref="J398:J400"/>
    <mergeCell ref="K398:K400"/>
    <mergeCell ref="AU401:AU403"/>
    <mergeCell ref="AV401:AV403"/>
    <mergeCell ref="AW401:AW403"/>
    <mergeCell ref="A398:A400"/>
    <mergeCell ref="B398:B400"/>
    <mergeCell ref="C398:C400"/>
    <mergeCell ref="D398:D400"/>
    <mergeCell ref="E398:E400"/>
    <mergeCell ref="AO401:AO403"/>
    <mergeCell ref="AP401:AP403"/>
    <mergeCell ref="AQ401:AQ403"/>
    <mergeCell ref="AR401:AR403"/>
    <mergeCell ref="AS401:AS403"/>
    <mergeCell ref="AT401:AT403"/>
    <mergeCell ref="AI401:AI403"/>
    <mergeCell ref="AJ401:AJ403"/>
    <mergeCell ref="AK401:AK403"/>
    <mergeCell ref="AL401:AL403"/>
    <mergeCell ref="AM401:AM403"/>
    <mergeCell ref="AN401:AN403"/>
    <mergeCell ref="AC401:AC403"/>
    <mergeCell ref="AD401:AD403"/>
    <mergeCell ref="AE401:AE403"/>
    <mergeCell ref="AF401:AF403"/>
    <mergeCell ref="AG401:AG403"/>
    <mergeCell ref="AH401:AH403"/>
    <mergeCell ref="V401:V403"/>
    <mergeCell ref="W401:W403"/>
    <mergeCell ref="X401:X403"/>
    <mergeCell ref="Z401:Z403"/>
    <mergeCell ref="AA401:AA403"/>
    <mergeCell ref="AB401:AB403"/>
    <mergeCell ref="P401:P403"/>
    <mergeCell ref="Q401:Q403"/>
    <mergeCell ref="R401:R403"/>
    <mergeCell ref="S401:S403"/>
    <mergeCell ref="T401:T403"/>
    <mergeCell ref="U401:U403"/>
    <mergeCell ref="J401:J403"/>
    <mergeCell ref="K401:K403"/>
    <mergeCell ref="L401:L403"/>
    <mergeCell ref="M401:M403"/>
    <mergeCell ref="N401:N403"/>
    <mergeCell ref="O401:O403"/>
    <mergeCell ref="AG395:AG397"/>
    <mergeCell ref="AH395:AH397"/>
    <mergeCell ref="AI395:AI397"/>
    <mergeCell ref="AJ395:AJ397"/>
    <mergeCell ref="AK395:AK397"/>
    <mergeCell ref="AL395:AL397"/>
    <mergeCell ref="AA395:AA397"/>
    <mergeCell ref="AB395:AB397"/>
    <mergeCell ref="AC395:AC397"/>
    <mergeCell ref="AD395:AD397"/>
    <mergeCell ref="AE395:AE397"/>
    <mergeCell ref="AF395:AF397"/>
    <mergeCell ref="T395:T397"/>
    <mergeCell ref="U395:U397"/>
    <mergeCell ref="V395:V397"/>
    <mergeCell ref="W395:W397"/>
    <mergeCell ref="X395:X397"/>
    <mergeCell ref="Z395:Z397"/>
    <mergeCell ref="N395:N397"/>
    <mergeCell ref="O395:O397"/>
    <mergeCell ref="P395:P397"/>
    <mergeCell ref="Q395:Q397"/>
    <mergeCell ref="R395:R397"/>
    <mergeCell ref="S395:S397"/>
    <mergeCell ref="H395:H397"/>
    <mergeCell ref="I395:I397"/>
    <mergeCell ref="J395:J397"/>
    <mergeCell ref="K395:K397"/>
    <mergeCell ref="L395:L397"/>
    <mergeCell ref="M395:M397"/>
    <mergeCell ref="AW398:AW400"/>
    <mergeCell ref="A401:A403"/>
    <mergeCell ref="B401:B403"/>
    <mergeCell ref="C401:C403"/>
    <mergeCell ref="D401:D403"/>
    <mergeCell ref="E401:E403"/>
    <mergeCell ref="F401:F403"/>
    <mergeCell ref="G401:G403"/>
    <mergeCell ref="H401:H403"/>
    <mergeCell ref="I401:I403"/>
    <mergeCell ref="AQ398:AQ400"/>
    <mergeCell ref="AR398:AR400"/>
    <mergeCell ref="AS398:AS400"/>
    <mergeCell ref="AT398:AT400"/>
    <mergeCell ref="AU398:AU400"/>
    <mergeCell ref="AV398:AV400"/>
    <mergeCell ref="AK398:AK400"/>
    <mergeCell ref="AL398:AL400"/>
    <mergeCell ref="AM398:AM400"/>
    <mergeCell ref="AN398:AN400"/>
    <mergeCell ref="AO398:AO400"/>
    <mergeCell ref="AP398:AP400"/>
    <mergeCell ref="AE398:AE400"/>
    <mergeCell ref="AF398:AF400"/>
    <mergeCell ref="AG398:AG400"/>
    <mergeCell ref="AH398:AH400"/>
    <mergeCell ref="AI398:AI400"/>
    <mergeCell ref="AJ398:AJ400"/>
    <mergeCell ref="X398:X400"/>
    <mergeCell ref="Z398:Z400"/>
    <mergeCell ref="AA398:AA400"/>
    <mergeCell ref="AB398:AB400"/>
    <mergeCell ref="AC398:AC400"/>
    <mergeCell ref="AD398:AD400"/>
    <mergeCell ref="AW392:AW394"/>
    <mergeCell ref="A395:A397"/>
    <mergeCell ref="B395:B397"/>
    <mergeCell ref="C395:C397"/>
    <mergeCell ref="D395:D397"/>
    <mergeCell ref="E395:E397"/>
    <mergeCell ref="F395:F397"/>
    <mergeCell ref="G395:G397"/>
    <mergeCell ref="AO392:AO394"/>
    <mergeCell ref="AP392:AP394"/>
    <mergeCell ref="AQ392:AQ394"/>
    <mergeCell ref="AR392:AR394"/>
    <mergeCell ref="AS392:AS394"/>
    <mergeCell ref="AT392:AT394"/>
    <mergeCell ref="AI392:AI394"/>
    <mergeCell ref="AJ392:AJ394"/>
    <mergeCell ref="AK392:AK394"/>
    <mergeCell ref="AL392:AL394"/>
    <mergeCell ref="AM392:AM394"/>
    <mergeCell ref="AN392:AN394"/>
    <mergeCell ref="AC392:AC394"/>
    <mergeCell ref="AD392:AD394"/>
    <mergeCell ref="AE392:AE394"/>
    <mergeCell ref="AF392:AF394"/>
    <mergeCell ref="AG392:AG394"/>
    <mergeCell ref="AH392:AH394"/>
    <mergeCell ref="V392:V394"/>
    <mergeCell ref="W392:W394"/>
    <mergeCell ref="X392:X394"/>
    <mergeCell ref="Z392:Z394"/>
    <mergeCell ref="AA392:AA394"/>
    <mergeCell ref="AB392:AB394"/>
    <mergeCell ref="P392:P394"/>
    <mergeCell ref="Q392:Q394"/>
    <mergeCell ref="R392:R394"/>
    <mergeCell ref="S392:S394"/>
    <mergeCell ref="T392:T394"/>
    <mergeCell ref="U392:U394"/>
    <mergeCell ref="J392:J394"/>
    <mergeCell ref="K392:K394"/>
    <mergeCell ref="L392:L394"/>
    <mergeCell ref="M392:M394"/>
    <mergeCell ref="N392:N394"/>
    <mergeCell ref="O392:O394"/>
    <mergeCell ref="AS395:AS397"/>
    <mergeCell ref="AT395:AT397"/>
    <mergeCell ref="AU395:AU397"/>
    <mergeCell ref="AV395:AV397"/>
    <mergeCell ref="AW395:AW397"/>
    <mergeCell ref="A392:A394"/>
    <mergeCell ref="B392:B394"/>
    <mergeCell ref="C392:C394"/>
    <mergeCell ref="D392:D394"/>
    <mergeCell ref="E392:E394"/>
    <mergeCell ref="F392:F394"/>
    <mergeCell ref="G392:G394"/>
    <mergeCell ref="H392:H394"/>
    <mergeCell ref="I392:I394"/>
    <mergeCell ref="AM395:AM397"/>
    <mergeCell ref="AN395:AN397"/>
    <mergeCell ref="AO395:AO397"/>
    <mergeCell ref="AP395:AP397"/>
    <mergeCell ref="AQ395:AQ397"/>
    <mergeCell ref="AR395:AR397"/>
    <mergeCell ref="AS389:AS391"/>
    <mergeCell ref="AT389:AT391"/>
    <mergeCell ref="AU389:AU391"/>
    <mergeCell ref="AV389:AV391"/>
    <mergeCell ref="AK389:AK391"/>
    <mergeCell ref="AL389:AL391"/>
    <mergeCell ref="AM389:AM391"/>
    <mergeCell ref="AN389:AN391"/>
    <mergeCell ref="AO389:AO391"/>
    <mergeCell ref="AP389:AP391"/>
    <mergeCell ref="AE389:AE391"/>
    <mergeCell ref="AF389:AF391"/>
    <mergeCell ref="AG389:AG391"/>
    <mergeCell ref="AH389:AH391"/>
    <mergeCell ref="AI389:AI391"/>
    <mergeCell ref="AJ389:AJ391"/>
    <mergeCell ref="X389:X391"/>
    <mergeCell ref="Z389:Z391"/>
    <mergeCell ref="AA389:AA391"/>
    <mergeCell ref="AB389:AB391"/>
    <mergeCell ref="AC389:AC391"/>
    <mergeCell ref="AD389:AD391"/>
    <mergeCell ref="R389:R391"/>
    <mergeCell ref="S389:S391"/>
    <mergeCell ref="T389:T391"/>
    <mergeCell ref="U389:U391"/>
    <mergeCell ref="V389:V391"/>
    <mergeCell ref="W389:W391"/>
    <mergeCell ref="L389:L391"/>
    <mergeCell ref="M389:M391"/>
    <mergeCell ref="N389:N391"/>
    <mergeCell ref="O389:O391"/>
    <mergeCell ref="P389:P391"/>
    <mergeCell ref="Q389:Q391"/>
    <mergeCell ref="F389:F391"/>
    <mergeCell ref="G389:G391"/>
    <mergeCell ref="H389:H391"/>
    <mergeCell ref="I389:I391"/>
    <mergeCell ref="J389:J391"/>
    <mergeCell ref="K389:K391"/>
    <mergeCell ref="AU392:AU394"/>
    <mergeCell ref="AV392:AV394"/>
    <mergeCell ref="AU386:AU388"/>
    <mergeCell ref="AV386:AV388"/>
    <mergeCell ref="AW386:AW388"/>
    <mergeCell ref="A389:A391"/>
    <mergeCell ref="B389:B391"/>
    <mergeCell ref="C389:C391"/>
    <mergeCell ref="D389:D391"/>
    <mergeCell ref="E389:E391"/>
    <mergeCell ref="AM386:AM388"/>
    <mergeCell ref="AN386:AN388"/>
    <mergeCell ref="AO386:AO388"/>
    <mergeCell ref="AP386:AP388"/>
    <mergeCell ref="AQ386:AQ388"/>
    <mergeCell ref="AR386:AR388"/>
    <mergeCell ref="AG386:AG388"/>
    <mergeCell ref="AH386:AH388"/>
    <mergeCell ref="AI386:AI388"/>
    <mergeCell ref="AJ386:AJ388"/>
    <mergeCell ref="AK386:AK388"/>
    <mergeCell ref="AL386:AL388"/>
    <mergeCell ref="AA386:AA388"/>
    <mergeCell ref="AB386:AB388"/>
    <mergeCell ref="AC386:AC388"/>
    <mergeCell ref="AD386:AD388"/>
    <mergeCell ref="AE386:AE388"/>
    <mergeCell ref="AF386:AF388"/>
    <mergeCell ref="T386:T388"/>
    <mergeCell ref="U386:U388"/>
    <mergeCell ref="V386:V388"/>
    <mergeCell ref="W386:W388"/>
    <mergeCell ref="X386:X388"/>
    <mergeCell ref="Z386:Z388"/>
    <mergeCell ref="N386:N388"/>
    <mergeCell ref="O386:O388"/>
    <mergeCell ref="P386:P388"/>
    <mergeCell ref="Q386:Q388"/>
    <mergeCell ref="R386:R388"/>
    <mergeCell ref="S386:S388"/>
    <mergeCell ref="H386:H388"/>
    <mergeCell ref="I386:I388"/>
    <mergeCell ref="J386:J388"/>
    <mergeCell ref="K386:K388"/>
    <mergeCell ref="L386:L388"/>
    <mergeCell ref="M386:M388"/>
    <mergeCell ref="AW389:AW391"/>
    <mergeCell ref="A386:A388"/>
    <mergeCell ref="B386:B388"/>
    <mergeCell ref="C386:C388"/>
    <mergeCell ref="D386:D388"/>
    <mergeCell ref="E386:E388"/>
    <mergeCell ref="F386:F388"/>
    <mergeCell ref="G386:G388"/>
    <mergeCell ref="AS386:AS388"/>
    <mergeCell ref="AT386:AT388"/>
    <mergeCell ref="AQ389:AQ391"/>
    <mergeCell ref="AR389:AR391"/>
    <mergeCell ref="R380:R382"/>
    <mergeCell ref="S380:S382"/>
    <mergeCell ref="T380:T382"/>
    <mergeCell ref="U380:U382"/>
    <mergeCell ref="V380:V382"/>
    <mergeCell ref="W380:W382"/>
    <mergeCell ref="L380:L382"/>
    <mergeCell ref="M380:M382"/>
    <mergeCell ref="N380:N382"/>
    <mergeCell ref="O380:O382"/>
    <mergeCell ref="P380:P382"/>
    <mergeCell ref="Q380:Q382"/>
    <mergeCell ref="F380:F382"/>
    <mergeCell ref="G380:G382"/>
    <mergeCell ref="H380:H382"/>
    <mergeCell ref="I380:I382"/>
    <mergeCell ref="J380:J382"/>
    <mergeCell ref="K380:K382"/>
    <mergeCell ref="AU383:AU385"/>
    <mergeCell ref="AV383:AV385"/>
    <mergeCell ref="AW383:AW385"/>
    <mergeCell ref="A380:A382"/>
    <mergeCell ref="B380:B382"/>
    <mergeCell ref="C380:C382"/>
    <mergeCell ref="D380:D382"/>
    <mergeCell ref="E380:E382"/>
    <mergeCell ref="AO383:AO385"/>
    <mergeCell ref="AP383:AP385"/>
    <mergeCell ref="AQ383:AQ385"/>
    <mergeCell ref="AR383:AR385"/>
    <mergeCell ref="AS383:AS385"/>
    <mergeCell ref="AT383:AT385"/>
    <mergeCell ref="AI383:AI385"/>
    <mergeCell ref="AJ383:AJ385"/>
    <mergeCell ref="AK383:AK385"/>
    <mergeCell ref="AL383:AL385"/>
    <mergeCell ref="AM383:AM385"/>
    <mergeCell ref="AN383:AN385"/>
    <mergeCell ref="AC383:AC385"/>
    <mergeCell ref="AD383:AD385"/>
    <mergeCell ref="AE383:AE385"/>
    <mergeCell ref="AF383:AF385"/>
    <mergeCell ref="AG383:AG385"/>
    <mergeCell ref="AH383:AH385"/>
    <mergeCell ref="V383:V385"/>
    <mergeCell ref="W383:W385"/>
    <mergeCell ref="X383:X385"/>
    <mergeCell ref="Z383:Z385"/>
    <mergeCell ref="AA383:AA385"/>
    <mergeCell ref="AB383:AB385"/>
    <mergeCell ref="P383:P385"/>
    <mergeCell ref="Q383:Q385"/>
    <mergeCell ref="R383:R385"/>
    <mergeCell ref="S383:S385"/>
    <mergeCell ref="T383:T385"/>
    <mergeCell ref="U383:U385"/>
    <mergeCell ref="J383:J385"/>
    <mergeCell ref="K383:K385"/>
    <mergeCell ref="L383:L385"/>
    <mergeCell ref="M383:M385"/>
    <mergeCell ref="N383:N385"/>
    <mergeCell ref="O383:O385"/>
    <mergeCell ref="AG377:AG379"/>
    <mergeCell ref="AH377:AH379"/>
    <mergeCell ref="AI377:AI379"/>
    <mergeCell ref="AJ377:AJ379"/>
    <mergeCell ref="AK377:AK379"/>
    <mergeCell ref="AL377:AL379"/>
    <mergeCell ref="AA377:AA379"/>
    <mergeCell ref="AB377:AB379"/>
    <mergeCell ref="AC377:AC379"/>
    <mergeCell ref="AD377:AD379"/>
    <mergeCell ref="AE377:AE379"/>
    <mergeCell ref="AF377:AF379"/>
    <mergeCell ref="T377:T379"/>
    <mergeCell ref="U377:U379"/>
    <mergeCell ref="V377:V379"/>
    <mergeCell ref="W377:W379"/>
    <mergeCell ref="X377:X379"/>
    <mergeCell ref="Z377:Z379"/>
    <mergeCell ref="N377:N379"/>
    <mergeCell ref="O377:O379"/>
    <mergeCell ref="P377:P379"/>
    <mergeCell ref="Q377:Q379"/>
    <mergeCell ref="R377:R379"/>
    <mergeCell ref="S377:S379"/>
    <mergeCell ref="H377:H379"/>
    <mergeCell ref="I377:I379"/>
    <mergeCell ref="J377:J379"/>
    <mergeCell ref="K377:K379"/>
    <mergeCell ref="L377:L379"/>
    <mergeCell ref="M377:M379"/>
    <mergeCell ref="AW380:AW382"/>
    <mergeCell ref="A383:A385"/>
    <mergeCell ref="B383:B385"/>
    <mergeCell ref="C383:C385"/>
    <mergeCell ref="D383:D385"/>
    <mergeCell ref="E383:E385"/>
    <mergeCell ref="F383:F385"/>
    <mergeCell ref="G383:G385"/>
    <mergeCell ref="H383:H385"/>
    <mergeCell ref="I383:I385"/>
    <mergeCell ref="AQ380:AQ382"/>
    <mergeCell ref="AR380:AR382"/>
    <mergeCell ref="AS380:AS382"/>
    <mergeCell ref="AT380:AT382"/>
    <mergeCell ref="AU380:AU382"/>
    <mergeCell ref="AV380:AV382"/>
    <mergeCell ref="AK380:AK382"/>
    <mergeCell ref="AL380:AL382"/>
    <mergeCell ref="AM380:AM382"/>
    <mergeCell ref="AN380:AN382"/>
    <mergeCell ref="AO380:AO382"/>
    <mergeCell ref="AP380:AP382"/>
    <mergeCell ref="AE380:AE382"/>
    <mergeCell ref="AF380:AF382"/>
    <mergeCell ref="AG380:AG382"/>
    <mergeCell ref="AH380:AH382"/>
    <mergeCell ref="AI380:AI382"/>
    <mergeCell ref="AJ380:AJ382"/>
    <mergeCell ref="X380:X382"/>
    <mergeCell ref="Z380:Z382"/>
    <mergeCell ref="AA380:AA382"/>
    <mergeCell ref="AB380:AB382"/>
    <mergeCell ref="AC380:AC382"/>
    <mergeCell ref="AD380:AD382"/>
    <mergeCell ref="AW374:AW376"/>
    <mergeCell ref="A377:A379"/>
    <mergeCell ref="B377:B379"/>
    <mergeCell ref="C377:C379"/>
    <mergeCell ref="D377:D379"/>
    <mergeCell ref="E377:E379"/>
    <mergeCell ref="F377:F379"/>
    <mergeCell ref="G377:G379"/>
    <mergeCell ref="AO374:AO376"/>
    <mergeCell ref="AP374:AP376"/>
    <mergeCell ref="AQ374:AQ376"/>
    <mergeCell ref="AR374:AR376"/>
    <mergeCell ref="AS374:AS376"/>
    <mergeCell ref="AT374:AT376"/>
    <mergeCell ref="AI374:AI376"/>
    <mergeCell ref="AJ374:AJ376"/>
    <mergeCell ref="AK374:AK376"/>
    <mergeCell ref="AL374:AL376"/>
    <mergeCell ref="AM374:AM376"/>
    <mergeCell ref="AN374:AN376"/>
    <mergeCell ref="AC374:AC376"/>
    <mergeCell ref="AD374:AD376"/>
    <mergeCell ref="AE374:AE376"/>
    <mergeCell ref="AF374:AF376"/>
    <mergeCell ref="AG374:AG376"/>
    <mergeCell ref="AH374:AH376"/>
    <mergeCell ref="V374:V376"/>
    <mergeCell ref="W374:W376"/>
    <mergeCell ref="X374:X376"/>
    <mergeCell ref="Z374:Z376"/>
    <mergeCell ref="AA374:AA376"/>
    <mergeCell ref="AB374:AB376"/>
    <mergeCell ref="P374:P376"/>
    <mergeCell ref="Q374:Q376"/>
    <mergeCell ref="R374:R376"/>
    <mergeCell ref="S374:S376"/>
    <mergeCell ref="T374:T376"/>
    <mergeCell ref="U374:U376"/>
    <mergeCell ref="J374:J376"/>
    <mergeCell ref="K374:K376"/>
    <mergeCell ref="L374:L376"/>
    <mergeCell ref="M374:M376"/>
    <mergeCell ref="N374:N376"/>
    <mergeCell ref="O374:O376"/>
    <mergeCell ref="AS377:AS379"/>
    <mergeCell ref="AT377:AT379"/>
    <mergeCell ref="AU377:AU379"/>
    <mergeCell ref="AV377:AV379"/>
    <mergeCell ref="AW377:AW379"/>
    <mergeCell ref="A374:A376"/>
    <mergeCell ref="B374:B376"/>
    <mergeCell ref="C374:C376"/>
    <mergeCell ref="D374:D376"/>
    <mergeCell ref="E374:E376"/>
    <mergeCell ref="F374:F376"/>
    <mergeCell ref="G374:G376"/>
    <mergeCell ref="H374:H376"/>
    <mergeCell ref="I374:I376"/>
    <mergeCell ref="AM377:AM379"/>
    <mergeCell ref="AN377:AN379"/>
    <mergeCell ref="AO377:AO379"/>
    <mergeCell ref="AP377:AP379"/>
    <mergeCell ref="AQ377:AQ379"/>
    <mergeCell ref="AR377:AR379"/>
    <mergeCell ref="AS371:AS373"/>
    <mergeCell ref="AT371:AT373"/>
    <mergeCell ref="AU371:AU373"/>
    <mergeCell ref="AV371:AV373"/>
    <mergeCell ref="AK371:AK373"/>
    <mergeCell ref="AL371:AL373"/>
    <mergeCell ref="AM371:AM373"/>
    <mergeCell ref="AN371:AN373"/>
    <mergeCell ref="AO371:AO373"/>
    <mergeCell ref="AP371:AP373"/>
    <mergeCell ref="AE371:AE373"/>
    <mergeCell ref="AF371:AF373"/>
    <mergeCell ref="AG371:AG373"/>
    <mergeCell ref="AH371:AH373"/>
    <mergeCell ref="AI371:AI373"/>
    <mergeCell ref="AJ371:AJ373"/>
    <mergeCell ref="X371:X373"/>
    <mergeCell ref="Z371:Z373"/>
    <mergeCell ref="AA371:AA373"/>
    <mergeCell ref="AB371:AB373"/>
    <mergeCell ref="AC371:AC373"/>
    <mergeCell ref="AD371:AD373"/>
    <mergeCell ref="R371:R373"/>
    <mergeCell ref="S371:S373"/>
    <mergeCell ref="T371:T373"/>
    <mergeCell ref="U371:U373"/>
    <mergeCell ref="V371:V373"/>
    <mergeCell ref="W371:W373"/>
    <mergeCell ref="L371:L373"/>
    <mergeCell ref="M371:M373"/>
    <mergeCell ref="N371:N373"/>
    <mergeCell ref="O371:O373"/>
    <mergeCell ref="P371:P373"/>
    <mergeCell ref="Q371:Q373"/>
    <mergeCell ref="F371:F373"/>
    <mergeCell ref="G371:G373"/>
    <mergeCell ref="H371:H373"/>
    <mergeCell ref="I371:I373"/>
    <mergeCell ref="J371:J373"/>
    <mergeCell ref="K371:K373"/>
    <mergeCell ref="AU374:AU376"/>
    <mergeCell ref="AV374:AV376"/>
    <mergeCell ref="AU368:AU370"/>
    <mergeCell ref="AV368:AV370"/>
    <mergeCell ref="AW368:AW370"/>
    <mergeCell ref="A371:A373"/>
    <mergeCell ref="B371:B373"/>
    <mergeCell ref="C371:C373"/>
    <mergeCell ref="D371:D373"/>
    <mergeCell ref="E371:E373"/>
    <mergeCell ref="AM368:AM370"/>
    <mergeCell ref="AN368:AN370"/>
    <mergeCell ref="AO368:AO370"/>
    <mergeCell ref="AP368:AP370"/>
    <mergeCell ref="AQ368:AQ370"/>
    <mergeCell ref="AR368:AR370"/>
    <mergeCell ref="AG368:AG370"/>
    <mergeCell ref="AH368:AH370"/>
    <mergeCell ref="AI368:AI370"/>
    <mergeCell ref="AJ368:AJ370"/>
    <mergeCell ref="AK368:AK370"/>
    <mergeCell ref="AL368:AL370"/>
    <mergeCell ref="AA368:AA370"/>
    <mergeCell ref="AB368:AB370"/>
    <mergeCell ref="AC368:AC370"/>
    <mergeCell ref="AD368:AD370"/>
    <mergeCell ref="AE368:AE370"/>
    <mergeCell ref="AF368:AF370"/>
    <mergeCell ref="T368:T370"/>
    <mergeCell ref="U368:U370"/>
    <mergeCell ref="V368:V370"/>
    <mergeCell ref="W368:W370"/>
    <mergeCell ref="X368:X370"/>
    <mergeCell ref="Z368:Z370"/>
    <mergeCell ref="N368:N370"/>
    <mergeCell ref="O368:O370"/>
    <mergeCell ref="P368:P370"/>
    <mergeCell ref="Q368:Q370"/>
    <mergeCell ref="R368:R370"/>
    <mergeCell ref="S368:S370"/>
    <mergeCell ref="H368:H370"/>
    <mergeCell ref="I368:I370"/>
    <mergeCell ref="J368:J370"/>
    <mergeCell ref="K368:K370"/>
    <mergeCell ref="L368:L370"/>
    <mergeCell ref="M368:M370"/>
    <mergeCell ref="AW371:AW373"/>
    <mergeCell ref="A368:A370"/>
    <mergeCell ref="B368:B370"/>
    <mergeCell ref="C368:C370"/>
    <mergeCell ref="D368:D370"/>
    <mergeCell ref="E368:E370"/>
    <mergeCell ref="F368:F370"/>
    <mergeCell ref="G368:G370"/>
    <mergeCell ref="AS368:AS370"/>
    <mergeCell ref="AT368:AT370"/>
    <mergeCell ref="AQ371:AQ373"/>
    <mergeCell ref="AR371:AR373"/>
    <mergeCell ref="R362:R364"/>
    <mergeCell ref="S362:S364"/>
    <mergeCell ref="T362:T364"/>
    <mergeCell ref="U362:U364"/>
    <mergeCell ref="V362:V364"/>
    <mergeCell ref="W362:W364"/>
    <mergeCell ref="L362:L364"/>
    <mergeCell ref="M362:M364"/>
    <mergeCell ref="N362:N364"/>
    <mergeCell ref="O362:O364"/>
    <mergeCell ref="P362:P364"/>
    <mergeCell ref="Q362:Q364"/>
    <mergeCell ref="F362:F364"/>
    <mergeCell ref="G362:G364"/>
    <mergeCell ref="H362:H364"/>
    <mergeCell ref="I362:I364"/>
    <mergeCell ref="J362:J364"/>
    <mergeCell ref="K362:K364"/>
    <mergeCell ref="AU365:AU367"/>
    <mergeCell ref="AV365:AV367"/>
    <mergeCell ref="AW365:AW367"/>
    <mergeCell ref="A362:A364"/>
    <mergeCell ref="B362:B364"/>
    <mergeCell ref="C362:C364"/>
    <mergeCell ref="D362:D364"/>
    <mergeCell ref="E362:E364"/>
    <mergeCell ref="AO365:AO367"/>
    <mergeCell ref="AP365:AP367"/>
    <mergeCell ref="AQ365:AQ367"/>
    <mergeCell ref="AR365:AR367"/>
    <mergeCell ref="AS365:AS367"/>
    <mergeCell ref="AT365:AT367"/>
    <mergeCell ref="AI365:AI367"/>
    <mergeCell ref="AJ365:AJ367"/>
    <mergeCell ref="AK365:AK367"/>
    <mergeCell ref="AL365:AL367"/>
    <mergeCell ref="AM365:AM367"/>
    <mergeCell ref="AN365:AN367"/>
    <mergeCell ref="AC365:AC367"/>
    <mergeCell ref="AD365:AD367"/>
    <mergeCell ref="AE365:AE367"/>
    <mergeCell ref="AF365:AF367"/>
    <mergeCell ref="AG365:AG367"/>
    <mergeCell ref="AH365:AH367"/>
    <mergeCell ref="V365:V367"/>
    <mergeCell ref="W365:W367"/>
    <mergeCell ref="X365:X367"/>
    <mergeCell ref="Z365:Z367"/>
    <mergeCell ref="AA365:AA367"/>
    <mergeCell ref="AB365:AB367"/>
    <mergeCell ref="P365:P367"/>
    <mergeCell ref="Q365:Q367"/>
    <mergeCell ref="R365:R367"/>
    <mergeCell ref="S365:S367"/>
    <mergeCell ref="T365:T367"/>
    <mergeCell ref="U365:U367"/>
    <mergeCell ref="J365:J367"/>
    <mergeCell ref="K365:K367"/>
    <mergeCell ref="L365:L367"/>
    <mergeCell ref="M365:M367"/>
    <mergeCell ref="N365:N367"/>
    <mergeCell ref="O365:O367"/>
    <mergeCell ref="AG359:AG361"/>
    <mergeCell ref="AH359:AH361"/>
    <mergeCell ref="AI359:AI361"/>
    <mergeCell ref="AJ359:AJ361"/>
    <mergeCell ref="AK359:AK361"/>
    <mergeCell ref="AL359:AL361"/>
    <mergeCell ref="AA359:AA361"/>
    <mergeCell ref="AB359:AB361"/>
    <mergeCell ref="AC359:AC361"/>
    <mergeCell ref="AD359:AD361"/>
    <mergeCell ref="AE359:AE361"/>
    <mergeCell ref="AF359:AF361"/>
    <mergeCell ref="T359:T361"/>
    <mergeCell ref="U359:U361"/>
    <mergeCell ref="V359:V361"/>
    <mergeCell ref="W359:W361"/>
    <mergeCell ref="X359:X361"/>
    <mergeCell ref="Z359:Z361"/>
    <mergeCell ref="N359:N361"/>
    <mergeCell ref="O359:O361"/>
    <mergeCell ref="P359:P361"/>
    <mergeCell ref="Q359:Q361"/>
    <mergeCell ref="R359:R361"/>
    <mergeCell ref="S359:S361"/>
    <mergeCell ref="H359:H361"/>
    <mergeCell ref="I359:I361"/>
    <mergeCell ref="J359:J361"/>
    <mergeCell ref="K359:K361"/>
    <mergeCell ref="L359:L361"/>
    <mergeCell ref="M359:M361"/>
    <mergeCell ref="AW362:AW364"/>
    <mergeCell ref="A365:A367"/>
    <mergeCell ref="B365:B367"/>
    <mergeCell ref="C365:C367"/>
    <mergeCell ref="D365:D367"/>
    <mergeCell ref="E365:E367"/>
    <mergeCell ref="F365:F367"/>
    <mergeCell ref="G365:G367"/>
    <mergeCell ref="H365:H367"/>
    <mergeCell ref="I365:I367"/>
    <mergeCell ref="AQ362:AQ364"/>
    <mergeCell ref="AR362:AR364"/>
    <mergeCell ref="AS362:AS364"/>
    <mergeCell ref="AT362:AT364"/>
    <mergeCell ref="AU362:AU364"/>
    <mergeCell ref="AV362:AV364"/>
    <mergeCell ref="AK362:AK364"/>
    <mergeCell ref="AL362:AL364"/>
    <mergeCell ref="AM362:AM364"/>
    <mergeCell ref="AN362:AN364"/>
    <mergeCell ref="AO362:AO364"/>
    <mergeCell ref="AP362:AP364"/>
    <mergeCell ref="AE362:AE364"/>
    <mergeCell ref="AF362:AF364"/>
    <mergeCell ref="AG362:AG364"/>
    <mergeCell ref="AH362:AH364"/>
    <mergeCell ref="AI362:AI364"/>
    <mergeCell ref="AJ362:AJ364"/>
    <mergeCell ref="X362:X364"/>
    <mergeCell ref="Z362:Z364"/>
    <mergeCell ref="AA362:AA364"/>
    <mergeCell ref="AB362:AB364"/>
    <mergeCell ref="AC362:AC364"/>
    <mergeCell ref="AD362:AD364"/>
    <mergeCell ref="AW356:AW358"/>
    <mergeCell ref="A359:A361"/>
    <mergeCell ref="B359:B361"/>
    <mergeCell ref="C359:C361"/>
    <mergeCell ref="D359:D361"/>
    <mergeCell ref="E359:E361"/>
    <mergeCell ref="F359:F361"/>
    <mergeCell ref="G359:G361"/>
    <mergeCell ref="AO356:AO358"/>
    <mergeCell ref="AP356:AP358"/>
    <mergeCell ref="AQ356:AQ358"/>
    <mergeCell ref="AR356:AR358"/>
    <mergeCell ref="AS356:AS358"/>
    <mergeCell ref="AT356:AT358"/>
    <mergeCell ref="AI356:AI358"/>
    <mergeCell ref="AJ356:AJ358"/>
    <mergeCell ref="AK356:AK358"/>
    <mergeCell ref="AL356:AL358"/>
    <mergeCell ref="AM356:AM358"/>
    <mergeCell ref="AN356:AN358"/>
    <mergeCell ref="AC356:AC358"/>
    <mergeCell ref="AD356:AD358"/>
    <mergeCell ref="AE356:AE358"/>
    <mergeCell ref="AF356:AF358"/>
    <mergeCell ref="AG356:AG358"/>
    <mergeCell ref="AH356:AH358"/>
    <mergeCell ref="V356:V358"/>
    <mergeCell ref="W356:W358"/>
    <mergeCell ref="X356:X358"/>
    <mergeCell ref="Z356:Z358"/>
    <mergeCell ref="AA356:AA358"/>
    <mergeCell ref="AB356:AB358"/>
    <mergeCell ref="P356:P358"/>
    <mergeCell ref="Q356:Q358"/>
    <mergeCell ref="R356:R358"/>
    <mergeCell ref="S356:S358"/>
    <mergeCell ref="T356:T358"/>
    <mergeCell ref="U356:U358"/>
    <mergeCell ref="J356:J358"/>
    <mergeCell ref="K356:K358"/>
    <mergeCell ref="L356:L358"/>
    <mergeCell ref="M356:M358"/>
    <mergeCell ref="N356:N358"/>
    <mergeCell ref="O356:O358"/>
    <mergeCell ref="AS359:AS361"/>
    <mergeCell ref="AT359:AT361"/>
    <mergeCell ref="AU359:AU361"/>
    <mergeCell ref="AV359:AV361"/>
    <mergeCell ref="AW359:AW361"/>
    <mergeCell ref="A356:A358"/>
    <mergeCell ref="B356:B358"/>
    <mergeCell ref="C356:C358"/>
    <mergeCell ref="D356:D358"/>
    <mergeCell ref="E356:E358"/>
    <mergeCell ref="F356:F358"/>
    <mergeCell ref="G356:G358"/>
    <mergeCell ref="H356:H358"/>
    <mergeCell ref="I356:I358"/>
    <mergeCell ref="AM359:AM361"/>
    <mergeCell ref="AN359:AN361"/>
    <mergeCell ref="AO359:AO361"/>
    <mergeCell ref="AP359:AP361"/>
    <mergeCell ref="AQ359:AQ361"/>
    <mergeCell ref="AR359:AR361"/>
    <mergeCell ref="AS353:AS355"/>
    <mergeCell ref="AT353:AT355"/>
    <mergeCell ref="AU353:AU355"/>
    <mergeCell ref="AV353:AV355"/>
    <mergeCell ref="AK353:AK355"/>
    <mergeCell ref="AL353:AL355"/>
    <mergeCell ref="AM353:AM355"/>
    <mergeCell ref="AN353:AN355"/>
    <mergeCell ref="AO353:AO355"/>
    <mergeCell ref="AP353:AP355"/>
    <mergeCell ref="AE353:AE355"/>
    <mergeCell ref="AF353:AF355"/>
    <mergeCell ref="AG353:AG355"/>
    <mergeCell ref="AH353:AH355"/>
    <mergeCell ref="AI353:AI355"/>
    <mergeCell ref="AJ353:AJ355"/>
    <mergeCell ref="X353:X355"/>
    <mergeCell ref="Z353:Z355"/>
    <mergeCell ref="AA353:AA355"/>
    <mergeCell ref="AB353:AB355"/>
    <mergeCell ref="AC353:AC355"/>
    <mergeCell ref="AD353:AD355"/>
    <mergeCell ref="R353:R355"/>
    <mergeCell ref="S353:S355"/>
    <mergeCell ref="T353:T355"/>
    <mergeCell ref="U353:U355"/>
    <mergeCell ref="V353:V355"/>
    <mergeCell ref="W353:W355"/>
    <mergeCell ref="L353:L355"/>
    <mergeCell ref="M353:M355"/>
    <mergeCell ref="N353:N355"/>
    <mergeCell ref="O353:O355"/>
    <mergeCell ref="P353:P355"/>
    <mergeCell ref="Q353:Q355"/>
    <mergeCell ref="F353:F355"/>
    <mergeCell ref="G353:G355"/>
    <mergeCell ref="H353:H355"/>
    <mergeCell ref="I353:I355"/>
    <mergeCell ref="J353:J355"/>
    <mergeCell ref="K353:K355"/>
    <mergeCell ref="AU356:AU358"/>
    <mergeCell ref="AV356:AV358"/>
    <mergeCell ref="AU350:AU352"/>
    <mergeCell ref="AV350:AV352"/>
    <mergeCell ref="AW350:AW352"/>
    <mergeCell ref="A353:A355"/>
    <mergeCell ref="B353:B355"/>
    <mergeCell ref="C353:C355"/>
    <mergeCell ref="D353:D355"/>
    <mergeCell ref="E353:E355"/>
    <mergeCell ref="AM350:AM352"/>
    <mergeCell ref="AN350:AN352"/>
    <mergeCell ref="AO350:AO352"/>
    <mergeCell ref="AP350:AP352"/>
    <mergeCell ref="AQ350:AQ352"/>
    <mergeCell ref="AR350:AR352"/>
    <mergeCell ref="AG350:AG352"/>
    <mergeCell ref="AH350:AH352"/>
    <mergeCell ref="AI350:AI352"/>
    <mergeCell ref="AJ350:AJ352"/>
    <mergeCell ref="AK350:AK352"/>
    <mergeCell ref="AL350:AL352"/>
    <mergeCell ref="AA350:AA352"/>
    <mergeCell ref="AB350:AB352"/>
    <mergeCell ref="AC350:AC352"/>
    <mergeCell ref="AD350:AD352"/>
    <mergeCell ref="AE350:AE352"/>
    <mergeCell ref="AF350:AF352"/>
    <mergeCell ref="T350:T352"/>
    <mergeCell ref="U350:U352"/>
    <mergeCell ref="V350:V352"/>
    <mergeCell ref="W350:W352"/>
    <mergeCell ref="X350:X352"/>
    <mergeCell ref="Z350:Z352"/>
    <mergeCell ref="N350:N352"/>
    <mergeCell ref="O350:O352"/>
    <mergeCell ref="P350:P352"/>
    <mergeCell ref="Q350:Q352"/>
    <mergeCell ref="R350:R352"/>
    <mergeCell ref="S350:S352"/>
    <mergeCell ref="H350:H352"/>
    <mergeCell ref="I350:I352"/>
    <mergeCell ref="J350:J352"/>
    <mergeCell ref="K350:K352"/>
    <mergeCell ref="L350:L352"/>
    <mergeCell ref="M350:M352"/>
    <mergeCell ref="AW353:AW355"/>
    <mergeCell ref="A350:A352"/>
    <mergeCell ref="B350:B352"/>
    <mergeCell ref="C350:C352"/>
    <mergeCell ref="D350:D352"/>
    <mergeCell ref="E350:E352"/>
    <mergeCell ref="F350:F352"/>
    <mergeCell ref="G350:G352"/>
    <mergeCell ref="AS350:AS352"/>
    <mergeCell ref="AT350:AT352"/>
    <mergeCell ref="AQ353:AQ355"/>
    <mergeCell ref="AR353:AR355"/>
    <mergeCell ref="R344:R346"/>
    <mergeCell ref="S344:S346"/>
    <mergeCell ref="T344:T346"/>
    <mergeCell ref="U344:U346"/>
    <mergeCell ref="V344:V346"/>
    <mergeCell ref="W344:W346"/>
    <mergeCell ref="L344:L346"/>
    <mergeCell ref="M344:M346"/>
    <mergeCell ref="N344:N346"/>
    <mergeCell ref="O344:O346"/>
    <mergeCell ref="P344:P346"/>
    <mergeCell ref="Q344:Q346"/>
    <mergeCell ref="F344:F346"/>
    <mergeCell ref="G344:G346"/>
    <mergeCell ref="H344:H346"/>
    <mergeCell ref="I344:I346"/>
    <mergeCell ref="J344:J346"/>
    <mergeCell ref="K344:K346"/>
    <mergeCell ref="AU347:AU349"/>
    <mergeCell ref="AV347:AV349"/>
    <mergeCell ref="AW347:AW349"/>
    <mergeCell ref="A344:A346"/>
    <mergeCell ref="B344:B346"/>
    <mergeCell ref="C344:C346"/>
    <mergeCell ref="D344:D346"/>
    <mergeCell ref="E344:E346"/>
    <mergeCell ref="AO347:AO349"/>
    <mergeCell ref="AP347:AP349"/>
    <mergeCell ref="AQ347:AQ349"/>
    <mergeCell ref="AR347:AR349"/>
    <mergeCell ref="AS347:AS349"/>
    <mergeCell ref="AT347:AT349"/>
    <mergeCell ref="AI347:AI349"/>
    <mergeCell ref="AJ347:AJ349"/>
    <mergeCell ref="AK347:AK349"/>
    <mergeCell ref="AL347:AL349"/>
    <mergeCell ref="AM347:AM349"/>
    <mergeCell ref="AN347:AN349"/>
    <mergeCell ref="AC347:AC349"/>
    <mergeCell ref="AD347:AD349"/>
    <mergeCell ref="AE347:AE349"/>
    <mergeCell ref="AF347:AF349"/>
    <mergeCell ref="AG347:AG349"/>
    <mergeCell ref="AH347:AH349"/>
    <mergeCell ref="V347:V349"/>
    <mergeCell ref="W347:W349"/>
    <mergeCell ref="X347:X349"/>
    <mergeCell ref="Z347:Z349"/>
    <mergeCell ref="AA347:AA349"/>
    <mergeCell ref="AB347:AB349"/>
    <mergeCell ref="P347:P349"/>
    <mergeCell ref="Q347:Q349"/>
    <mergeCell ref="R347:R349"/>
    <mergeCell ref="S347:S349"/>
    <mergeCell ref="T347:T349"/>
    <mergeCell ref="U347:U349"/>
    <mergeCell ref="J347:J349"/>
    <mergeCell ref="K347:K349"/>
    <mergeCell ref="L347:L349"/>
    <mergeCell ref="M347:M349"/>
    <mergeCell ref="N347:N349"/>
    <mergeCell ref="O347:O349"/>
    <mergeCell ref="AG341:AG343"/>
    <mergeCell ref="AH341:AH343"/>
    <mergeCell ref="AI341:AI343"/>
    <mergeCell ref="AJ341:AJ343"/>
    <mergeCell ref="AK341:AK343"/>
    <mergeCell ref="AL341:AL343"/>
    <mergeCell ref="AA341:AA343"/>
    <mergeCell ref="AB341:AB343"/>
    <mergeCell ref="AC341:AC343"/>
    <mergeCell ref="AD341:AD343"/>
    <mergeCell ref="AE341:AE343"/>
    <mergeCell ref="AF341:AF343"/>
    <mergeCell ref="T341:T343"/>
    <mergeCell ref="U341:U343"/>
    <mergeCell ref="V341:V343"/>
    <mergeCell ref="W341:W343"/>
    <mergeCell ref="X341:X343"/>
    <mergeCell ref="Z341:Z343"/>
    <mergeCell ref="N341:N343"/>
    <mergeCell ref="O341:O343"/>
    <mergeCell ref="P341:P343"/>
    <mergeCell ref="Q341:Q343"/>
    <mergeCell ref="R341:R343"/>
    <mergeCell ref="S341:S343"/>
    <mergeCell ref="H341:H343"/>
    <mergeCell ref="I341:I343"/>
    <mergeCell ref="J341:J343"/>
    <mergeCell ref="K341:K343"/>
    <mergeCell ref="L341:L343"/>
    <mergeCell ref="M341:M343"/>
    <mergeCell ref="AW344:AW346"/>
    <mergeCell ref="A347:A349"/>
    <mergeCell ref="B347:B349"/>
    <mergeCell ref="C347:C349"/>
    <mergeCell ref="D347:D349"/>
    <mergeCell ref="E347:E349"/>
    <mergeCell ref="F347:F349"/>
    <mergeCell ref="G347:G349"/>
    <mergeCell ref="H347:H349"/>
    <mergeCell ref="I347:I349"/>
    <mergeCell ref="AQ344:AQ346"/>
    <mergeCell ref="AR344:AR346"/>
    <mergeCell ref="AS344:AS346"/>
    <mergeCell ref="AT344:AT346"/>
    <mergeCell ref="AU344:AU346"/>
    <mergeCell ref="AV344:AV346"/>
    <mergeCell ref="AK344:AK346"/>
    <mergeCell ref="AL344:AL346"/>
    <mergeCell ref="AM344:AM346"/>
    <mergeCell ref="AN344:AN346"/>
    <mergeCell ref="AO344:AO346"/>
    <mergeCell ref="AP344:AP346"/>
    <mergeCell ref="AE344:AE346"/>
    <mergeCell ref="AF344:AF346"/>
    <mergeCell ref="AG344:AG346"/>
    <mergeCell ref="AH344:AH346"/>
    <mergeCell ref="AI344:AI346"/>
    <mergeCell ref="AJ344:AJ346"/>
    <mergeCell ref="X344:X346"/>
    <mergeCell ref="Z344:Z346"/>
    <mergeCell ref="AA344:AA346"/>
    <mergeCell ref="AB344:AB346"/>
    <mergeCell ref="AC344:AC346"/>
    <mergeCell ref="AD344:AD346"/>
    <mergeCell ref="AW338:AW340"/>
    <mergeCell ref="A341:A343"/>
    <mergeCell ref="B341:B343"/>
    <mergeCell ref="C341:C343"/>
    <mergeCell ref="D341:D343"/>
    <mergeCell ref="E341:E343"/>
    <mergeCell ref="F341:F343"/>
    <mergeCell ref="G341:G343"/>
    <mergeCell ref="AO338:AO340"/>
    <mergeCell ref="AP338:AP340"/>
    <mergeCell ref="AQ338:AQ340"/>
    <mergeCell ref="AR338:AR340"/>
    <mergeCell ref="AS338:AS340"/>
    <mergeCell ref="AT338:AT340"/>
    <mergeCell ref="AI338:AI340"/>
    <mergeCell ref="AJ338:AJ340"/>
    <mergeCell ref="AK338:AK340"/>
    <mergeCell ref="AL338:AL340"/>
    <mergeCell ref="AM338:AM340"/>
    <mergeCell ref="AN338:AN340"/>
    <mergeCell ref="AC338:AC340"/>
    <mergeCell ref="AD338:AD340"/>
    <mergeCell ref="AE338:AE340"/>
    <mergeCell ref="AF338:AF340"/>
    <mergeCell ref="AG338:AG340"/>
    <mergeCell ref="AH338:AH340"/>
    <mergeCell ref="V338:V340"/>
    <mergeCell ref="W338:W340"/>
    <mergeCell ref="X338:X340"/>
    <mergeCell ref="Z338:Z340"/>
    <mergeCell ref="AA338:AA340"/>
    <mergeCell ref="AB338:AB340"/>
    <mergeCell ref="P338:P340"/>
    <mergeCell ref="Q338:Q340"/>
    <mergeCell ref="R338:R340"/>
    <mergeCell ref="S338:S340"/>
    <mergeCell ref="T338:T340"/>
    <mergeCell ref="U338:U340"/>
    <mergeCell ref="J338:J340"/>
    <mergeCell ref="K338:K340"/>
    <mergeCell ref="L338:L340"/>
    <mergeCell ref="M338:M340"/>
    <mergeCell ref="N338:N340"/>
    <mergeCell ref="O338:O340"/>
    <mergeCell ref="AS341:AS343"/>
    <mergeCell ref="AT341:AT343"/>
    <mergeCell ref="AU341:AU343"/>
    <mergeCell ref="AV341:AV343"/>
    <mergeCell ref="AW341:AW343"/>
    <mergeCell ref="A338:A340"/>
    <mergeCell ref="B338:B340"/>
    <mergeCell ref="C338:C340"/>
    <mergeCell ref="D338:D340"/>
    <mergeCell ref="E338:E340"/>
    <mergeCell ref="F338:F340"/>
    <mergeCell ref="G338:G340"/>
    <mergeCell ref="H338:H340"/>
    <mergeCell ref="I338:I340"/>
    <mergeCell ref="AM341:AM343"/>
    <mergeCell ref="AN341:AN343"/>
    <mergeCell ref="AO341:AO343"/>
    <mergeCell ref="AP341:AP343"/>
    <mergeCell ref="AQ341:AQ343"/>
    <mergeCell ref="AR341:AR343"/>
    <mergeCell ref="AS335:AS337"/>
    <mergeCell ref="AT335:AT337"/>
    <mergeCell ref="AU335:AU337"/>
    <mergeCell ref="AV335:AV337"/>
    <mergeCell ref="AK335:AK337"/>
    <mergeCell ref="AL335:AL337"/>
    <mergeCell ref="AM335:AM337"/>
    <mergeCell ref="AN335:AN337"/>
    <mergeCell ref="AO335:AO337"/>
    <mergeCell ref="AP335:AP337"/>
    <mergeCell ref="AE335:AE337"/>
    <mergeCell ref="AF335:AF337"/>
    <mergeCell ref="AG335:AG337"/>
    <mergeCell ref="AH335:AH337"/>
    <mergeCell ref="AI335:AI337"/>
    <mergeCell ref="AJ335:AJ337"/>
    <mergeCell ref="X335:X337"/>
    <mergeCell ref="Z335:Z337"/>
    <mergeCell ref="AA335:AA337"/>
    <mergeCell ref="AB335:AB337"/>
    <mergeCell ref="AC335:AC337"/>
    <mergeCell ref="AD335:AD337"/>
    <mergeCell ref="R335:R337"/>
    <mergeCell ref="S335:S337"/>
    <mergeCell ref="T335:T337"/>
    <mergeCell ref="U335:U337"/>
    <mergeCell ref="V335:V337"/>
    <mergeCell ref="W335:W337"/>
    <mergeCell ref="L335:L337"/>
    <mergeCell ref="M335:M337"/>
    <mergeCell ref="N335:N337"/>
    <mergeCell ref="O335:O337"/>
    <mergeCell ref="P335:P337"/>
    <mergeCell ref="Q335:Q337"/>
    <mergeCell ref="F335:F337"/>
    <mergeCell ref="G335:G337"/>
    <mergeCell ref="H335:H337"/>
    <mergeCell ref="I335:I337"/>
    <mergeCell ref="J335:J337"/>
    <mergeCell ref="K335:K337"/>
    <mergeCell ref="AU338:AU340"/>
    <mergeCell ref="AV338:AV340"/>
    <mergeCell ref="AU332:AU334"/>
    <mergeCell ref="AV332:AV334"/>
    <mergeCell ref="AW332:AW334"/>
    <mergeCell ref="A335:A337"/>
    <mergeCell ref="B335:B337"/>
    <mergeCell ref="C335:C337"/>
    <mergeCell ref="D335:D337"/>
    <mergeCell ref="E335:E337"/>
    <mergeCell ref="AM332:AM334"/>
    <mergeCell ref="AN332:AN334"/>
    <mergeCell ref="AO332:AO334"/>
    <mergeCell ref="AP332:AP334"/>
    <mergeCell ref="AQ332:AQ334"/>
    <mergeCell ref="AR332:AR334"/>
    <mergeCell ref="AG332:AG334"/>
    <mergeCell ref="AH332:AH334"/>
    <mergeCell ref="AI332:AI334"/>
    <mergeCell ref="AJ332:AJ334"/>
    <mergeCell ref="AK332:AK334"/>
    <mergeCell ref="AL332:AL334"/>
    <mergeCell ref="AA332:AA334"/>
    <mergeCell ref="AB332:AB334"/>
    <mergeCell ref="AC332:AC334"/>
    <mergeCell ref="AD332:AD334"/>
    <mergeCell ref="AE332:AE334"/>
    <mergeCell ref="AF332:AF334"/>
    <mergeCell ref="T332:T334"/>
    <mergeCell ref="U332:U334"/>
    <mergeCell ref="V332:V334"/>
    <mergeCell ref="W332:W334"/>
    <mergeCell ref="X332:X334"/>
    <mergeCell ref="Z332:Z334"/>
    <mergeCell ref="N332:N334"/>
    <mergeCell ref="O332:O334"/>
    <mergeCell ref="P332:P334"/>
    <mergeCell ref="Q332:Q334"/>
    <mergeCell ref="R332:R334"/>
    <mergeCell ref="S332:S334"/>
    <mergeCell ref="H332:H334"/>
    <mergeCell ref="I332:I334"/>
    <mergeCell ref="J332:J334"/>
    <mergeCell ref="K332:K334"/>
    <mergeCell ref="L332:L334"/>
    <mergeCell ref="M332:M334"/>
    <mergeCell ref="AW335:AW337"/>
    <mergeCell ref="A332:A334"/>
    <mergeCell ref="B332:B334"/>
    <mergeCell ref="C332:C334"/>
    <mergeCell ref="D332:D334"/>
    <mergeCell ref="E332:E334"/>
    <mergeCell ref="F332:F334"/>
    <mergeCell ref="G332:G334"/>
    <mergeCell ref="AS332:AS334"/>
    <mergeCell ref="AT332:AT334"/>
    <mergeCell ref="AQ335:AQ337"/>
    <mergeCell ref="AR335:AR337"/>
    <mergeCell ref="T326:T328"/>
    <mergeCell ref="U326:U328"/>
    <mergeCell ref="V326:V328"/>
    <mergeCell ref="W326:W328"/>
    <mergeCell ref="L326:L328"/>
    <mergeCell ref="M326:M328"/>
    <mergeCell ref="N326:N328"/>
    <mergeCell ref="O326:O328"/>
    <mergeCell ref="P326:P328"/>
    <mergeCell ref="Q326:Q328"/>
    <mergeCell ref="F326:F328"/>
    <mergeCell ref="G326:G328"/>
    <mergeCell ref="H326:H328"/>
    <mergeCell ref="I326:I328"/>
    <mergeCell ref="J326:J328"/>
    <mergeCell ref="K326:K328"/>
    <mergeCell ref="AU329:AU331"/>
    <mergeCell ref="AV329:AV331"/>
    <mergeCell ref="AW329:AW331"/>
    <mergeCell ref="A326:A328"/>
    <mergeCell ref="B326:B328"/>
    <mergeCell ref="C326:C328"/>
    <mergeCell ref="D326:D328"/>
    <mergeCell ref="E326:E328"/>
    <mergeCell ref="AO329:AO331"/>
    <mergeCell ref="AP329:AP331"/>
    <mergeCell ref="AQ329:AQ331"/>
    <mergeCell ref="AR329:AR331"/>
    <mergeCell ref="AS329:AS331"/>
    <mergeCell ref="AT329:AT331"/>
    <mergeCell ref="AI329:AI331"/>
    <mergeCell ref="AJ329:AJ331"/>
    <mergeCell ref="AK329:AK331"/>
    <mergeCell ref="AL329:AL331"/>
    <mergeCell ref="AM329:AM331"/>
    <mergeCell ref="AN329:AN331"/>
    <mergeCell ref="AC329:AC331"/>
    <mergeCell ref="AD329:AD331"/>
    <mergeCell ref="AE329:AE331"/>
    <mergeCell ref="AF329:AF331"/>
    <mergeCell ref="AG329:AG331"/>
    <mergeCell ref="AH329:AH331"/>
    <mergeCell ref="V329:V331"/>
    <mergeCell ref="W329:W331"/>
    <mergeCell ref="X329:X331"/>
    <mergeCell ref="Z329:Z331"/>
    <mergeCell ref="AA329:AA331"/>
    <mergeCell ref="AB329:AB331"/>
    <mergeCell ref="P329:P331"/>
    <mergeCell ref="Q329:Q331"/>
    <mergeCell ref="R329:R331"/>
    <mergeCell ref="S329:S331"/>
    <mergeCell ref="T329:T331"/>
    <mergeCell ref="U329:U331"/>
    <mergeCell ref="J329:J331"/>
    <mergeCell ref="K329:K331"/>
    <mergeCell ref="L329:L331"/>
    <mergeCell ref="M329:M331"/>
    <mergeCell ref="N329:N331"/>
    <mergeCell ref="O329:O331"/>
    <mergeCell ref="AI323:AI325"/>
    <mergeCell ref="AJ323:AJ325"/>
    <mergeCell ref="AK323:AK325"/>
    <mergeCell ref="AL323:AL325"/>
    <mergeCell ref="AA323:AA325"/>
    <mergeCell ref="AB323:AB325"/>
    <mergeCell ref="AC323:AC325"/>
    <mergeCell ref="AD323:AD325"/>
    <mergeCell ref="AE323:AE325"/>
    <mergeCell ref="AF323:AF325"/>
    <mergeCell ref="T323:T325"/>
    <mergeCell ref="U323:U325"/>
    <mergeCell ref="V323:V325"/>
    <mergeCell ref="W323:W325"/>
    <mergeCell ref="X323:X325"/>
    <mergeCell ref="Z323:Z325"/>
    <mergeCell ref="N323:N325"/>
    <mergeCell ref="O323:O325"/>
    <mergeCell ref="P323:P325"/>
    <mergeCell ref="Q323:Q325"/>
    <mergeCell ref="R323:R325"/>
    <mergeCell ref="S323:S325"/>
    <mergeCell ref="H323:H325"/>
    <mergeCell ref="I323:I325"/>
    <mergeCell ref="J323:J325"/>
    <mergeCell ref="K323:K325"/>
    <mergeCell ref="L323:L325"/>
    <mergeCell ref="M323:M325"/>
    <mergeCell ref="AW326:AW328"/>
    <mergeCell ref="A329:A331"/>
    <mergeCell ref="B329:B331"/>
    <mergeCell ref="C329:C331"/>
    <mergeCell ref="D329:D331"/>
    <mergeCell ref="E329:E331"/>
    <mergeCell ref="F329:F331"/>
    <mergeCell ref="G329:G331"/>
    <mergeCell ref="H329:H331"/>
    <mergeCell ref="I329:I331"/>
    <mergeCell ref="AQ326:AQ328"/>
    <mergeCell ref="AR326:AR328"/>
    <mergeCell ref="AS326:AS328"/>
    <mergeCell ref="AT326:AT328"/>
    <mergeCell ref="AU326:AU328"/>
    <mergeCell ref="AV326:AV328"/>
    <mergeCell ref="AK326:AK328"/>
    <mergeCell ref="AL326:AL328"/>
    <mergeCell ref="AM326:AM328"/>
    <mergeCell ref="AN326:AN328"/>
    <mergeCell ref="AO326:AO328"/>
    <mergeCell ref="AP326:AP328"/>
    <mergeCell ref="AE326:AE328"/>
    <mergeCell ref="AF326:AF328"/>
    <mergeCell ref="AG326:AG328"/>
    <mergeCell ref="AH326:AH328"/>
    <mergeCell ref="AI326:AI328"/>
    <mergeCell ref="AJ326:AJ328"/>
    <mergeCell ref="X326:X328"/>
    <mergeCell ref="Z326:Z328"/>
    <mergeCell ref="AA326:AA328"/>
    <mergeCell ref="AB326:AB328"/>
    <mergeCell ref="AC326:AC328"/>
    <mergeCell ref="AD326:AD328"/>
    <mergeCell ref="R326:R328"/>
    <mergeCell ref="S326:S328"/>
    <mergeCell ref="B322:X322"/>
    <mergeCell ref="AA322:AW322"/>
    <mergeCell ref="A323:A325"/>
    <mergeCell ref="B323:B325"/>
    <mergeCell ref="C323:C325"/>
    <mergeCell ref="D323:D325"/>
    <mergeCell ref="E323:E325"/>
    <mergeCell ref="F323:F325"/>
    <mergeCell ref="G323:G325"/>
    <mergeCell ref="AQ318:AQ320"/>
    <mergeCell ref="AR318:AR320"/>
    <mergeCell ref="AS318:AS320"/>
    <mergeCell ref="AT318:AT320"/>
    <mergeCell ref="AU318:AU320"/>
    <mergeCell ref="AV318:AV320"/>
    <mergeCell ref="AK318:AK320"/>
    <mergeCell ref="AL318:AL320"/>
    <mergeCell ref="AM318:AM320"/>
    <mergeCell ref="AN318:AN320"/>
    <mergeCell ref="AO318:AO320"/>
    <mergeCell ref="AP318:AP320"/>
    <mergeCell ref="AE318:AE320"/>
    <mergeCell ref="AF318:AF320"/>
    <mergeCell ref="AG318:AG320"/>
    <mergeCell ref="AH318:AH320"/>
    <mergeCell ref="AI318:AI320"/>
    <mergeCell ref="AJ318:AJ320"/>
    <mergeCell ref="X318:X320"/>
    <mergeCell ref="Z318:Z320"/>
    <mergeCell ref="AA318:AA320"/>
    <mergeCell ref="AB318:AB320"/>
    <mergeCell ref="AC318:AC320"/>
    <mergeCell ref="AD318:AD320"/>
    <mergeCell ref="R318:R320"/>
    <mergeCell ref="S318:S320"/>
    <mergeCell ref="T318:T320"/>
    <mergeCell ref="U318:U320"/>
    <mergeCell ref="V318:V320"/>
    <mergeCell ref="W318:W320"/>
    <mergeCell ref="L318:L320"/>
    <mergeCell ref="M318:M320"/>
    <mergeCell ref="N318:N320"/>
    <mergeCell ref="O318:O320"/>
    <mergeCell ref="P318:P320"/>
    <mergeCell ref="Q318:Q320"/>
    <mergeCell ref="F318:F320"/>
    <mergeCell ref="G318:G320"/>
    <mergeCell ref="H318:H320"/>
    <mergeCell ref="I318:I320"/>
    <mergeCell ref="J318:J320"/>
    <mergeCell ref="K318:K320"/>
    <mergeCell ref="AS323:AS325"/>
    <mergeCell ref="AT323:AT325"/>
    <mergeCell ref="AU323:AU325"/>
    <mergeCell ref="AV323:AV325"/>
    <mergeCell ref="AW323:AW325"/>
    <mergeCell ref="AM323:AM325"/>
    <mergeCell ref="AN323:AN325"/>
    <mergeCell ref="AO323:AO325"/>
    <mergeCell ref="AP323:AP325"/>
    <mergeCell ref="AQ323:AQ325"/>
    <mergeCell ref="AR323:AR325"/>
    <mergeCell ref="AG323:AG325"/>
    <mergeCell ref="AH323:AH325"/>
    <mergeCell ref="AU315:AU317"/>
    <mergeCell ref="AV315:AV317"/>
    <mergeCell ref="AW315:AW317"/>
    <mergeCell ref="A318:A320"/>
    <mergeCell ref="B318:B320"/>
    <mergeCell ref="C318:C320"/>
    <mergeCell ref="D318:D320"/>
    <mergeCell ref="E318:E320"/>
    <mergeCell ref="AM315:AM317"/>
    <mergeCell ref="AN315:AN317"/>
    <mergeCell ref="AO315:AO317"/>
    <mergeCell ref="AP315:AP317"/>
    <mergeCell ref="AQ315:AQ317"/>
    <mergeCell ref="AR315:AR317"/>
    <mergeCell ref="AG315:AG317"/>
    <mergeCell ref="AH315:AH317"/>
    <mergeCell ref="AI315:AI317"/>
    <mergeCell ref="AJ315:AJ317"/>
    <mergeCell ref="AK315:AK317"/>
    <mergeCell ref="AL315:AL317"/>
    <mergeCell ref="AA315:AA317"/>
    <mergeCell ref="AB315:AB317"/>
    <mergeCell ref="AC315:AC317"/>
    <mergeCell ref="AD315:AD317"/>
    <mergeCell ref="AE315:AE317"/>
    <mergeCell ref="AF315:AF317"/>
    <mergeCell ref="T315:T317"/>
    <mergeCell ref="U315:U317"/>
    <mergeCell ref="V315:V317"/>
    <mergeCell ref="W315:W317"/>
    <mergeCell ref="X315:X317"/>
    <mergeCell ref="Z315:Z317"/>
    <mergeCell ref="N315:N317"/>
    <mergeCell ref="O315:O317"/>
    <mergeCell ref="P315:P317"/>
    <mergeCell ref="Q315:Q317"/>
    <mergeCell ref="R315:R317"/>
    <mergeCell ref="S315:S317"/>
    <mergeCell ref="H315:H317"/>
    <mergeCell ref="I315:I317"/>
    <mergeCell ref="J315:J317"/>
    <mergeCell ref="K315:K317"/>
    <mergeCell ref="L315:L317"/>
    <mergeCell ref="M315:M317"/>
    <mergeCell ref="AW318:AW320"/>
    <mergeCell ref="A315:A317"/>
    <mergeCell ref="B315:B317"/>
    <mergeCell ref="C315:C317"/>
    <mergeCell ref="D315:D317"/>
    <mergeCell ref="E315:E317"/>
    <mergeCell ref="F315:F317"/>
    <mergeCell ref="G315:G317"/>
    <mergeCell ref="AS315:AS317"/>
    <mergeCell ref="AT315:AT317"/>
    <mergeCell ref="R309:R311"/>
    <mergeCell ref="S309:S311"/>
    <mergeCell ref="T309:T311"/>
    <mergeCell ref="U309:U311"/>
    <mergeCell ref="V309:V311"/>
    <mergeCell ref="W309:W311"/>
    <mergeCell ref="L309:L311"/>
    <mergeCell ref="M309:M311"/>
    <mergeCell ref="N309:N311"/>
    <mergeCell ref="O309:O311"/>
    <mergeCell ref="P309:P311"/>
    <mergeCell ref="Q309:Q311"/>
    <mergeCell ref="F309:F311"/>
    <mergeCell ref="G309:G311"/>
    <mergeCell ref="H309:H311"/>
    <mergeCell ref="I309:I311"/>
    <mergeCell ref="J309:J311"/>
    <mergeCell ref="K309:K311"/>
    <mergeCell ref="AU312:AU314"/>
    <mergeCell ref="AV312:AV314"/>
    <mergeCell ref="AW312:AW314"/>
    <mergeCell ref="A309:A311"/>
    <mergeCell ref="B309:B311"/>
    <mergeCell ref="C309:C311"/>
    <mergeCell ref="D309:D311"/>
    <mergeCell ref="E309:E311"/>
    <mergeCell ref="AO312:AO314"/>
    <mergeCell ref="AP312:AP314"/>
    <mergeCell ref="AQ312:AQ314"/>
    <mergeCell ref="AR312:AR314"/>
    <mergeCell ref="AS312:AS314"/>
    <mergeCell ref="AT312:AT314"/>
    <mergeCell ref="AI312:AI314"/>
    <mergeCell ref="AJ312:AJ314"/>
    <mergeCell ref="AK312:AK314"/>
    <mergeCell ref="AL312:AL314"/>
    <mergeCell ref="AM312:AM314"/>
    <mergeCell ref="AN312:AN314"/>
    <mergeCell ref="AC312:AC314"/>
    <mergeCell ref="AD312:AD314"/>
    <mergeCell ref="AE312:AE314"/>
    <mergeCell ref="AF312:AF314"/>
    <mergeCell ref="AG312:AG314"/>
    <mergeCell ref="AH312:AH314"/>
    <mergeCell ref="V312:V314"/>
    <mergeCell ref="W312:W314"/>
    <mergeCell ref="X312:X314"/>
    <mergeCell ref="Z312:Z314"/>
    <mergeCell ref="AA312:AA314"/>
    <mergeCell ref="AB312:AB314"/>
    <mergeCell ref="P312:P314"/>
    <mergeCell ref="Q312:Q314"/>
    <mergeCell ref="R312:R314"/>
    <mergeCell ref="S312:S314"/>
    <mergeCell ref="T312:T314"/>
    <mergeCell ref="U312:U314"/>
    <mergeCell ref="J312:J314"/>
    <mergeCell ref="K312:K314"/>
    <mergeCell ref="L312:L314"/>
    <mergeCell ref="M312:M314"/>
    <mergeCell ref="N312:N314"/>
    <mergeCell ref="O312:O314"/>
    <mergeCell ref="AG306:AG308"/>
    <mergeCell ref="AH306:AH308"/>
    <mergeCell ref="AI306:AI308"/>
    <mergeCell ref="AJ306:AJ308"/>
    <mergeCell ref="AK306:AK308"/>
    <mergeCell ref="AL306:AL308"/>
    <mergeCell ref="AA306:AA308"/>
    <mergeCell ref="AB306:AB308"/>
    <mergeCell ref="AC306:AC308"/>
    <mergeCell ref="AD306:AD308"/>
    <mergeCell ref="AE306:AE308"/>
    <mergeCell ref="AF306:AF308"/>
    <mergeCell ref="T306:T308"/>
    <mergeCell ref="U306:U308"/>
    <mergeCell ref="V306:V308"/>
    <mergeCell ref="W306:W308"/>
    <mergeCell ref="X306:X308"/>
    <mergeCell ref="Z306:Z308"/>
    <mergeCell ref="N306:N308"/>
    <mergeCell ref="O306:O308"/>
    <mergeCell ref="P306:P308"/>
    <mergeCell ref="Q306:Q308"/>
    <mergeCell ref="R306:R308"/>
    <mergeCell ref="S306:S308"/>
    <mergeCell ref="H306:H308"/>
    <mergeCell ref="I306:I308"/>
    <mergeCell ref="J306:J308"/>
    <mergeCell ref="K306:K308"/>
    <mergeCell ref="L306:L308"/>
    <mergeCell ref="M306:M308"/>
    <mergeCell ref="AW309:AW311"/>
    <mergeCell ref="A312:A314"/>
    <mergeCell ref="B312:B314"/>
    <mergeCell ref="C312:C314"/>
    <mergeCell ref="D312:D314"/>
    <mergeCell ref="E312:E314"/>
    <mergeCell ref="F312:F314"/>
    <mergeCell ref="G312:G314"/>
    <mergeCell ref="H312:H314"/>
    <mergeCell ref="I312:I314"/>
    <mergeCell ref="AQ309:AQ311"/>
    <mergeCell ref="AR309:AR311"/>
    <mergeCell ref="AS309:AS311"/>
    <mergeCell ref="AT309:AT311"/>
    <mergeCell ref="AU309:AU311"/>
    <mergeCell ref="AV309:AV311"/>
    <mergeCell ref="AK309:AK311"/>
    <mergeCell ref="AL309:AL311"/>
    <mergeCell ref="AM309:AM311"/>
    <mergeCell ref="AN309:AN311"/>
    <mergeCell ref="AO309:AO311"/>
    <mergeCell ref="AP309:AP311"/>
    <mergeCell ref="AE309:AE311"/>
    <mergeCell ref="AF309:AF311"/>
    <mergeCell ref="AG309:AG311"/>
    <mergeCell ref="AH309:AH311"/>
    <mergeCell ref="AI309:AI311"/>
    <mergeCell ref="AJ309:AJ311"/>
    <mergeCell ref="X309:X311"/>
    <mergeCell ref="Z309:Z311"/>
    <mergeCell ref="AA309:AA311"/>
    <mergeCell ref="AB309:AB311"/>
    <mergeCell ref="AC309:AC311"/>
    <mergeCell ref="AD309:AD311"/>
    <mergeCell ref="AW303:AW305"/>
    <mergeCell ref="A306:A308"/>
    <mergeCell ref="B306:B308"/>
    <mergeCell ref="C306:C308"/>
    <mergeCell ref="D306:D308"/>
    <mergeCell ref="E306:E308"/>
    <mergeCell ref="F306:F308"/>
    <mergeCell ref="G306:G308"/>
    <mergeCell ref="AO303:AO305"/>
    <mergeCell ref="AP303:AP305"/>
    <mergeCell ref="AQ303:AQ305"/>
    <mergeCell ref="AR303:AR305"/>
    <mergeCell ref="AS303:AS305"/>
    <mergeCell ref="AT303:AT305"/>
    <mergeCell ref="AI303:AI305"/>
    <mergeCell ref="AJ303:AJ305"/>
    <mergeCell ref="AK303:AK305"/>
    <mergeCell ref="AL303:AL305"/>
    <mergeCell ref="AM303:AM305"/>
    <mergeCell ref="AN303:AN305"/>
    <mergeCell ref="AC303:AC305"/>
    <mergeCell ref="AD303:AD305"/>
    <mergeCell ref="AE303:AE305"/>
    <mergeCell ref="AF303:AF305"/>
    <mergeCell ref="AG303:AG305"/>
    <mergeCell ref="AH303:AH305"/>
    <mergeCell ref="V303:V305"/>
    <mergeCell ref="W303:W305"/>
    <mergeCell ref="X303:X305"/>
    <mergeCell ref="Z303:Z305"/>
    <mergeCell ref="AA303:AA305"/>
    <mergeCell ref="AB303:AB305"/>
    <mergeCell ref="P303:P305"/>
    <mergeCell ref="Q303:Q305"/>
    <mergeCell ref="R303:R305"/>
    <mergeCell ref="S303:S305"/>
    <mergeCell ref="T303:T305"/>
    <mergeCell ref="U303:U305"/>
    <mergeCell ref="J303:J305"/>
    <mergeCell ref="K303:K305"/>
    <mergeCell ref="L303:L305"/>
    <mergeCell ref="M303:M305"/>
    <mergeCell ref="N303:N305"/>
    <mergeCell ref="O303:O305"/>
    <mergeCell ref="AS306:AS308"/>
    <mergeCell ref="AT306:AT308"/>
    <mergeCell ref="AU306:AU308"/>
    <mergeCell ref="AV306:AV308"/>
    <mergeCell ref="AW306:AW308"/>
    <mergeCell ref="A303:A305"/>
    <mergeCell ref="B303:B305"/>
    <mergeCell ref="C303:C305"/>
    <mergeCell ref="D303:D305"/>
    <mergeCell ref="E303:E305"/>
    <mergeCell ref="F303:F305"/>
    <mergeCell ref="G303:G305"/>
    <mergeCell ref="H303:H305"/>
    <mergeCell ref="I303:I305"/>
    <mergeCell ref="AM306:AM308"/>
    <mergeCell ref="AN306:AN308"/>
    <mergeCell ref="AO306:AO308"/>
    <mergeCell ref="AP306:AP308"/>
    <mergeCell ref="AQ306:AQ308"/>
    <mergeCell ref="AR306:AR308"/>
    <mergeCell ref="AS300:AS302"/>
    <mergeCell ref="AT300:AT302"/>
    <mergeCell ref="AU300:AU302"/>
    <mergeCell ref="AV300:AV302"/>
    <mergeCell ref="AK300:AK302"/>
    <mergeCell ref="AL300:AL302"/>
    <mergeCell ref="AM300:AM302"/>
    <mergeCell ref="AN300:AN302"/>
    <mergeCell ref="AO300:AO302"/>
    <mergeCell ref="AP300:AP302"/>
    <mergeCell ref="AE300:AE302"/>
    <mergeCell ref="AF300:AF302"/>
    <mergeCell ref="AG300:AG302"/>
    <mergeCell ref="AH300:AH302"/>
    <mergeCell ref="AI300:AI302"/>
    <mergeCell ref="AJ300:AJ302"/>
    <mergeCell ref="X300:X302"/>
    <mergeCell ref="Z300:Z302"/>
    <mergeCell ref="AA300:AA302"/>
    <mergeCell ref="AB300:AB302"/>
    <mergeCell ref="AC300:AC302"/>
    <mergeCell ref="AD300:AD302"/>
    <mergeCell ref="R300:R302"/>
    <mergeCell ref="S300:S302"/>
    <mergeCell ref="T300:T302"/>
    <mergeCell ref="U300:U302"/>
    <mergeCell ref="V300:V302"/>
    <mergeCell ref="W300:W302"/>
    <mergeCell ref="L300:L302"/>
    <mergeCell ref="M300:M302"/>
    <mergeCell ref="N300:N302"/>
    <mergeCell ref="O300:O302"/>
    <mergeCell ref="P300:P302"/>
    <mergeCell ref="Q300:Q302"/>
    <mergeCell ref="F300:F302"/>
    <mergeCell ref="G300:G302"/>
    <mergeCell ref="H300:H302"/>
    <mergeCell ref="I300:I302"/>
    <mergeCell ref="J300:J302"/>
    <mergeCell ref="K300:K302"/>
    <mergeCell ref="AU303:AU305"/>
    <mergeCell ref="AV303:AV305"/>
    <mergeCell ref="AU297:AU299"/>
    <mergeCell ref="AV297:AV299"/>
    <mergeCell ref="AW297:AW299"/>
    <mergeCell ref="A300:A302"/>
    <mergeCell ref="B300:B302"/>
    <mergeCell ref="C300:C302"/>
    <mergeCell ref="D300:D302"/>
    <mergeCell ref="E300:E302"/>
    <mergeCell ref="AM297:AM299"/>
    <mergeCell ref="AN297:AN299"/>
    <mergeCell ref="AO297:AO299"/>
    <mergeCell ref="AP297:AP299"/>
    <mergeCell ref="AQ297:AQ299"/>
    <mergeCell ref="AR297:AR299"/>
    <mergeCell ref="AG297:AG299"/>
    <mergeCell ref="AH297:AH299"/>
    <mergeCell ref="AI297:AI299"/>
    <mergeCell ref="AJ297:AJ299"/>
    <mergeCell ref="AK297:AK299"/>
    <mergeCell ref="AL297:AL299"/>
    <mergeCell ref="AA297:AA299"/>
    <mergeCell ref="AB297:AB299"/>
    <mergeCell ref="AC297:AC299"/>
    <mergeCell ref="AD297:AD299"/>
    <mergeCell ref="AE297:AE299"/>
    <mergeCell ref="AF297:AF299"/>
    <mergeCell ref="T297:T299"/>
    <mergeCell ref="U297:U299"/>
    <mergeCell ref="V297:V299"/>
    <mergeCell ref="W297:W299"/>
    <mergeCell ref="X297:X299"/>
    <mergeCell ref="Z297:Z299"/>
    <mergeCell ref="N297:N299"/>
    <mergeCell ref="O297:O299"/>
    <mergeCell ref="P297:P299"/>
    <mergeCell ref="Q297:Q299"/>
    <mergeCell ref="R297:R299"/>
    <mergeCell ref="S297:S299"/>
    <mergeCell ref="H297:H299"/>
    <mergeCell ref="I297:I299"/>
    <mergeCell ref="J297:J299"/>
    <mergeCell ref="K297:K299"/>
    <mergeCell ref="L297:L299"/>
    <mergeCell ref="M297:M299"/>
    <mergeCell ref="AW300:AW302"/>
    <mergeCell ref="A297:A299"/>
    <mergeCell ref="B297:B299"/>
    <mergeCell ref="C297:C299"/>
    <mergeCell ref="D297:D299"/>
    <mergeCell ref="E297:E299"/>
    <mergeCell ref="F297:F299"/>
    <mergeCell ref="G297:G299"/>
    <mergeCell ref="AS297:AS299"/>
    <mergeCell ref="AT297:AT299"/>
    <mergeCell ref="AQ300:AQ302"/>
    <mergeCell ref="AR300:AR302"/>
    <mergeCell ref="R291:R293"/>
    <mergeCell ref="S291:S293"/>
    <mergeCell ref="T291:T293"/>
    <mergeCell ref="U291:U293"/>
    <mergeCell ref="V291:V293"/>
    <mergeCell ref="W291:W293"/>
    <mergeCell ref="L291:L293"/>
    <mergeCell ref="M291:M293"/>
    <mergeCell ref="N291:N293"/>
    <mergeCell ref="O291:O293"/>
    <mergeCell ref="P291:P293"/>
    <mergeCell ref="Q291:Q293"/>
    <mergeCell ref="F291:F293"/>
    <mergeCell ref="G291:G293"/>
    <mergeCell ref="H291:H293"/>
    <mergeCell ref="I291:I293"/>
    <mergeCell ref="J291:J293"/>
    <mergeCell ref="K291:K293"/>
    <mergeCell ref="AU294:AU296"/>
    <mergeCell ref="AV294:AV296"/>
    <mergeCell ref="AW294:AW296"/>
    <mergeCell ref="A291:A293"/>
    <mergeCell ref="B291:B293"/>
    <mergeCell ref="C291:C293"/>
    <mergeCell ref="D291:D293"/>
    <mergeCell ref="E291:E293"/>
    <mergeCell ref="AO294:AO296"/>
    <mergeCell ref="AP294:AP296"/>
    <mergeCell ref="AQ294:AQ296"/>
    <mergeCell ref="AR294:AR296"/>
    <mergeCell ref="AS294:AS296"/>
    <mergeCell ref="AT294:AT296"/>
    <mergeCell ref="AI294:AI296"/>
    <mergeCell ref="AJ294:AJ296"/>
    <mergeCell ref="AK294:AK296"/>
    <mergeCell ref="AL294:AL296"/>
    <mergeCell ref="AM294:AM296"/>
    <mergeCell ref="AN294:AN296"/>
    <mergeCell ref="AC294:AC296"/>
    <mergeCell ref="AD294:AD296"/>
    <mergeCell ref="AE294:AE296"/>
    <mergeCell ref="AF294:AF296"/>
    <mergeCell ref="AG294:AG296"/>
    <mergeCell ref="AH294:AH296"/>
    <mergeCell ref="V294:V296"/>
    <mergeCell ref="W294:W296"/>
    <mergeCell ref="X294:X296"/>
    <mergeCell ref="Z294:Z296"/>
    <mergeCell ref="AA294:AA296"/>
    <mergeCell ref="AB294:AB296"/>
    <mergeCell ref="P294:P296"/>
    <mergeCell ref="Q294:Q296"/>
    <mergeCell ref="R294:R296"/>
    <mergeCell ref="S294:S296"/>
    <mergeCell ref="T294:T296"/>
    <mergeCell ref="U294:U296"/>
    <mergeCell ref="J294:J296"/>
    <mergeCell ref="K294:K296"/>
    <mergeCell ref="L294:L296"/>
    <mergeCell ref="M294:M296"/>
    <mergeCell ref="N294:N296"/>
    <mergeCell ref="O294:O296"/>
    <mergeCell ref="AG288:AG290"/>
    <mergeCell ref="AH288:AH290"/>
    <mergeCell ref="AI288:AI290"/>
    <mergeCell ref="AJ288:AJ290"/>
    <mergeCell ref="AK288:AK290"/>
    <mergeCell ref="AL288:AL290"/>
    <mergeCell ref="AA288:AA290"/>
    <mergeCell ref="AB288:AB290"/>
    <mergeCell ref="AC288:AC290"/>
    <mergeCell ref="AD288:AD290"/>
    <mergeCell ref="AE288:AE290"/>
    <mergeCell ref="AF288:AF290"/>
    <mergeCell ref="T288:T290"/>
    <mergeCell ref="U288:U290"/>
    <mergeCell ref="V288:V290"/>
    <mergeCell ref="W288:W290"/>
    <mergeCell ref="X288:X290"/>
    <mergeCell ref="Z288:Z290"/>
    <mergeCell ref="N288:N290"/>
    <mergeCell ref="O288:O290"/>
    <mergeCell ref="P288:P290"/>
    <mergeCell ref="Q288:Q290"/>
    <mergeCell ref="R288:R290"/>
    <mergeCell ref="S288:S290"/>
    <mergeCell ref="H288:H290"/>
    <mergeCell ref="I288:I290"/>
    <mergeCell ref="J288:J290"/>
    <mergeCell ref="K288:K290"/>
    <mergeCell ref="L288:L290"/>
    <mergeCell ref="M288:M290"/>
    <mergeCell ref="AW291:AW293"/>
    <mergeCell ref="A294:A296"/>
    <mergeCell ref="B294:B296"/>
    <mergeCell ref="C294:C296"/>
    <mergeCell ref="D294:D296"/>
    <mergeCell ref="E294:E296"/>
    <mergeCell ref="F294:F296"/>
    <mergeCell ref="G294:G296"/>
    <mergeCell ref="H294:H296"/>
    <mergeCell ref="I294:I296"/>
    <mergeCell ref="AQ291:AQ293"/>
    <mergeCell ref="AR291:AR293"/>
    <mergeCell ref="AS291:AS293"/>
    <mergeCell ref="AT291:AT293"/>
    <mergeCell ref="AU291:AU293"/>
    <mergeCell ref="AV291:AV293"/>
    <mergeCell ref="AK291:AK293"/>
    <mergeCell ref="AL291:AL293"/>
    <mergeCell ref="AM291:AM293"/>
    <mergeCell ref="AN291:AN293"/>
    <mergeCell ref="AO291:AO293"/>
    <mergeCell ref="AP291:AP293"/>
    <mergeCell ref="AE291:AE293"/>
    <mergeCell ref="AF291:AF293"/>
    <mergeCell ref="AG291:AG293"/>
    <mergeCell ref="AH291:AH293"/>
    <mergeCell ref="AI291:AI293"/>
    <mergeCell ref="AJ291:AJ293"/>
    <mergeCell ref="X291:X293"/>
    <mergeCell ref="Z291:Z293"/>
    <mergeCell ref="AA291:AA293"/>
    <mergeCell ref="AB291:AB293"/>
    <mergeCell ref="AC291:AC293"/>
    <mergeCell ref="AD291:AD293"/>
    <mergeCell ref="AW285:AW287"/>
    <mergeCell ref="A288:A290"/>
    <mergeCell ref="B288:B290"/>
    <mergeCell ref="C288:C290"/>
    <mergeCell ref="D288:D290"/>
    <mergeCell ref="E288:E290"/>
    <mergeCell ref="F288:F290"/>
    <mergeCell ref="G288:G290"/>
    <mergeCell ref="AO285:AO287"/>
    <mergeCell ref="AP285:AP287"/>
    <mergeCell ref="AQ285:AQ287"/>
    <mergeCell ref="AR285:AR287"/>
    <mergeCell ref="AS285:AS287"/>
    <mergeCell ref="AT285:AT287"/>
    <mergeCell ref="AI285:AI287"/>
    <mergeCell ref="AJ285:AJ287"/>
    <mergeCell ref="AK285:AK287"/>
    <mergeCell ref="AL285:AL287"/>
    <mergeCell ref="AM285:AM287"/>
    <mergeCell ref="AN285:AN287"/>
    <mergeCell ref="AC285:AC287"/>
    <mergeCell ref="AD285:AD287"/>
    <mergeCell ref="AE285:AE287"/>
    <mergeCell ref="AF285:AF287"/>
    <mergeCell ref="AG285:AG287"/>
    <mergeCell ref="AH285:AH287"/>
    <mergeCell ref="V285:V287"/>
    <mergeCell ref="W285:W287"/>
    <mergeCell ref="X285:X287"/>
    <mergeCell ref="Z285:Z287"/>
    <mergeCell ref="AA285:AA287"/>
    <mergeCell ref="AB285:AB287"/>
    <mergeCell ref="P285:P287"/>
    <mergeCell ref="Q285:Q287"/>
    <mergeCell ref="R285:R287"/>
    <mergeCell ref="S285:S287"/>
    <mergeCell ref="T285:T287"/>
    <mergeCell ref="U285:U287"/>
    <mergeCell ref="J285:J287"/>
    <mergeCell ref="K285:K287"/>
    <mergeCell ref="L285:L287"/>
    <mergeCell ref="M285:M287"/>
    <mergeCell ref="N285:N287"/>
    <mergeCell ref="O285:O287"/>
    <mergeCell ref="AS288:AS290"/>
    <mergeCell ref="AT288:AT290"/>
    <mergeCell ref="AU288:AU290"/>
    <mergeCell ref="AV288:AV290"/>
    <mergeCell ref="AW288:AW290"/>
    <mergeCell ref="A285:A287"/>
    <mergeCell ref="B285:B287"/>
    <mergeCell ref="C285:C287"/>
    <mergeCell ref="D285:D287"/>
    <mergeCell ref="E285:E287"/>
    <mergeCell ref="F285:F287"/>
    <mergeCell ref="G285:G287"/>
    <mergeCell ref="H285:H287"/>
    <mergeCell ref="I285:I287"/>
    <mergeCell ref="AM288:AM290"/>
    <mergeCell ref="AN288:AN290"/>
    <mergeCell ref="AO288:AO290"/>
    <mergeCell ref="AP288:AP290"/>
    <mergeCell ref="AQ288:AQ290"/>
    <mergeCell ref="AR288:AR290"/>
    <mergeCell ref="AS282:AS284"/>
    <mergeCell ref="AT282:AT284"/>
    <mergeCell ref="AU282:AU284"/>
    <mergeCell ref="AV282:AV284"/>
    <mergeCell ref="AK282:AK284"/>
    <mergeCell ref="AL282:AL284"/>
    <mergeCell ref="AM282:AM284"/>
    <mergeCell ref="AN282:AN284"/>
    <mergeCell ref="AO282:AO284"/>
    <mergeCell ref="AP282:AP284"/>
    <mergeCell ref="AE282:AE284"/>
    <mergeCell ref="AF282:AF284"/>
    <mergeCell ref="AG282:AG284"/>
    <mergeCell ref="AH282:AH284"/>
    <mergeCell ref="AI282:AI284"/>
    <mergeCell ref="AJ282:AJ284"/>
    <mergeCell ref="X282:X284"/>
    <mergeCell ref="Z282:Z284"/>
    <mergeCell ref="AA282:AA284"/>
    <mergeCell ref="AB282:AB284"/>
    <mergeCell ref="AC282:AC284"/>
    <mergeCell ref="AD282:AD284"/>
    <mergeCell ref="R282:R284"/>
    <mergeCell ref="S282:S284"/>
    <mergeCell ref="T282:T284"/>
    <mergeCell ref="U282:U284"/>
    <mergeCell ref="V282:V284"/>
    <mergeCell ref="W282:W284"/>
    <mergeCell ref="L282:L284"/>
    <mergeCell ref="M282:M284"/>
    <mergeCell ref="N282:N284"/>
    <mergeCell ref="O282:O284"/>
    <mergeCell ref="P282:P284"/>
    <mergeCell ref="Q282:Q284"/>
    <mergeCell ref="F282:F284"/>
    <mergeCell ref="G282:G284"/>
    <mergeCell ref="H282:H284"/>
    <mergeCell ref="I282:I284"/>
    <mergeCell ref="J282:J284"/>
    <mergeCell ref="K282:K284"/>
    <mergeCell ref="AU285:AU287"/>
    <mergeCell ref="AV285:AV287"/>
    <mergeCell ref="AU279:AU281"/>
    <mergeCell ref="AV279:AV281"/>
    <mergeCell ref="AW279:AW281"/>
    <mergeCell ref="A282:A284"/>
    <mergeCell ref="B282:B284"/>
    <mergeCell ref="C282:C284"/>
    <mergeCell ref="D282:D284"/>
    <mergeCell ref="E282:E284"/>
    <mergeCell ref="AM279:AM281"/>
    <mergeCell ref="AN279:AN281"/>
    <mergeCell ref="AO279:AO281"/>
    <mergeCell ref="AP279:AP281"/>
    <mergeCell ref="AQ279:AQ281"/>
    <mergeCell ref="AR279:AR281"/>
    <mergeCell ref="AG279:AG281"/>
    <mergeCell ref="AH279:AH281"/>
    <mergeCell ref="AI279:AI281"/>
    <mergeCell ref="AJ279:AJ281"/>
    <mergeCell ref="AK279:AK281"/>
    <mergeCell ref="AL279:AL281"/>
    <mergeCell ref="AA279:AA281"/>
    <mergeCell ref="AB279:AB281"/>
    <mergeCell ref="AC279:AC281"/>
    <mergeCell ref="AD279:AD281"/>
    <mergeCell ref="AE279:AE281"/>
    <mergeCell ref="AF279:AF281"/>
    <mergeCell ref="T279:T281"/>
    <mergeCell ref="U279:U281"/>
    <mergeCell ref="V279:V281"/>
    <mergeCell ref="W279:W281"/>
    <mergeCell ref="X279:X281"/>
    <mergeCell ref="Z279:Z281"/>
    <mergeCell ref="N279:N281"/>
    <mergeCell ref="O279:O281"/>
    <mergeCell ref="P279:P281"/>
    <mergeCell ref="Q279:Q281"/>
    <mergeCell ref="R279:R281"/>
    <mergeCell ref="S279:S281"/>
    <mergeCell ref="H279:H281"/>
    <mergeCell ref="I279:I281"/>
    <mergeCell ref="J279:J281"/>
    <mergeCell ref="K279:K281"/>
    <mergeCell ref="L279:L281"/>
    <mergeCell ref="M279:M281"/>
    <mergeCell ref="AW282:AW284"/>
    <mergeCell ref="A279:A281"/>
    <mergeCell ref="B279:B281"/>
    <mergeCell ref="C279:C281"/>
    <mergeCell ref="D279:D281"/>
    <mergeCell ref="E279:E281"/>
    <mergeCell ref="F279:F281"/>
    <mergeCell ref="G279:G281"/>
    <mergeCell ref="AS279:AS281"/>
    <mergeCell ref="AT279:AT281"/>
    <mergeCell ref="AQ282:AQ284"/>
    <mergeCell ref="AR282:AR284"/>
    <mergeCell ref="R273:R275"/>
    <mergeCell ref="S273:S275"/>
    <mergeCell ref="T273:T275"/>
    <mergeCell ref="U273:U275"/>
    <mergeCell ref="V273:V275"/>
    <mergeCell ref="W273:W275"/>
    <mergeCell ref="L273:L275"/>
    <mergeCell ref="M273:M275"/>
    <mergeCell ref="N273:N275"/>
    <mergeCell ref="O273:O275"/>
    <mergeCell ref="P273:P275"/>
    <mergeCell ref="Q273:Q275"/>
    <mergeCell ref="F273:F275"/>
    <mergeCell ref="G273:G275"/>
    <mergeCell ref="H273:H275"/>
    <mergeCell ref="I273:I275"/>
    <mergeCell ref="J273:J275"/>
    <mergeCell ref="K273:K275"/>
    <mergeCell ref="AU276:AU278"/>
    <mergeCell ref="AV276:AV278"/>
    <mergeCell ref="AW276:AW278"/>
    <mergeCell ref="A273:A275"/>
    <mergeCell ref="B273:B275"/>
    <mergeCell ref="C273:C275"/>
    <mergeCell ref="D273:D275"/>
    <mergeCell ref="E273:E275"/>
    <mergeCell ref="AO276:AO278"/>
    <mergeCell ref="AP276:AP278"/>
    <mergeCell ref="AQ276:AQ278"/>
    <mergeCell ref="AR276:AR278"/>
    <mergeCell ref="AS276:AS278"/>
    <mergeCell ref="AT276:AT278"/>
    <mergeCell ref="AI276:AI278"/>
    <mergeCell ref="AJ276:AJ278"/>
    <mergeCell ref="AK276:AK278"/>
    <mergeCell ref="AL276:AL278"/>
    <mergeCell ref="AM276:AM278"/>
    <mergeCell ref="AN276:AN278"/>
    <mergeCell ref="AC276:AC278"/>
    <mergeCell ref="AD276:AD278"/>
    <mergeCell ref="AE276:AE278"/>
    <mergeCell ref="AF276:AF278"/>
    <mergeCell ref="AG276:AG278"/>
    <mergeCell ref="AH276:AH278"/>
    <mergeCell ref="V276:V278"/>
    <mergeCell ref="W276:W278"/>
    <mergeCell ref="X276:X278"/>
    <mergeCell ref="Z276:Z278"/>
    <mergeCell ref="AA276:AA278"/>
    <mergeCell ref="AB276:AB278"/>
    <mergeCell ref="P276:P278"/>
    <mergeCell ref="Q276:Q278"/>
    <mergeCell ref="R276:R278"/>
    <mergeCell ref="S276:S278"/>
    <mergeCell ref="T276:T278"/>
    <mergeCell ref="U276:U278"/>
    <mergeCell ref="J276:J278"/>
    <mergeCell ref="K276:K278"/>
    <mergeCell ref="L276:L278"/>
    <mergeCell ref="M276:M278"/>
    <mergeCell ref="N276:N278"/>
    <mergeCell ref="O276:O278"/>
    <mergeCell ref="AG270:AG272"/>
    <mergeCell ref="AH270:AH272"/>
    <mergeCell ref="AI270:AI272"/>
    <mergeCell ref="AJ270:AJ272"/>
    <mergeCell ref="AK270:AK272"/>
    <mergeCell ref="AL270:AL272"/>
    <mergeCell ref="AA270:AA272"/>
    <mergeCell ref="AB270:AB272"/>
    <mergeCell ref="AC270:AC272"/>
    <mergeCell ref="AD270:AD272"/>
    <mergeCell ref="AE270:AE272"/>
    <mergeCell ref="AF270:AF272"/>
    <mergeCell ref="T270:T272"/>
    <mergeCell ref="U270:U272"/>
    <mergeCell ref="V270:V272"/>
    <mergeCell ref="W270:W272"/>
    <mergeCell ref="X270:X272"/>
    <mergeCell ref="Z270:Z272"/>
    <mergeCell ref="N270:N272"/>
    <mergeCell ref="O270:O272"/>
    <mergeCell ref="P270:P272"/>
    <mergeCell ref="Q270:Q272"/>
    <mergeCell ref="R270:R272"/>
    <mergeCell ref="S270:S272"/>
    <mergeCell ref="H270:H272"/>
    <mergeCell ref="I270:I272"/>
    <mergeCell ref="J270:J272"/>
    <mergeCell ref="K270:K272"/>
    <mergeCell ref="L270:L272"/>
    <mergeCell ref="M270:M272"/>
    <mergeCell ref="AW273:AW275"/>
    <mergeCell ref="A276:A278"/>
    <mergeCell ref="B276:B278"/>
    <mergeCell ref="C276:C278"/>
    <mergeCell ref="D276:D278"/>
    <mergeCell ref="E276:E278"/>
    <mergeCell ref="F276:F278"/>
    <mergeCell ref="G276:G278"/>
    <mergeCell ref="H276:H278"/>
    <mergeCell ref="I276:I278"/>
    <mergeCell ref="AQ273:AQ275"/>
    <mergeCell ref="AR273:AR275"/>
    <mergeCell ref="AS273:AS275"/>
    <mergeCell ref="AT273:AT275"/>
    <mergeCell ref="AU273:AU275"/>
    <mergeCell ref="AV273:AV275"/>
    <mergeCell ref="AK273:AK275"/>
    <mergeCell ref="AL273:AL275"/>
    <mergeCell ref="AM273:AM275"/>
    <mergeCell ref="AN273:AN275"/>
    <mergeCell ref="AO273:AO275"/>
    <mergeCell ref="AP273:AP275"/>
    <mergeCell ref="AE273:AE275"/>
    <mergeCell ref="AF273:AF275"/>
    <mergeCell ref="AG273:AG275"/>
    <mergeCell ref="AH273:AH275"/>
    <mergeCell ref="AI273:AI275"/>
    <mergeCell ref="AJ273:AJ275"/>
    <mergeCell ref="X273:X275"/>
    <mergeCell ref="Z273:Z275"/>
    <mergeCell ref="AA273:AA275"/>
    <mergeCell ref="AB273:AB275"/>
    <mergeCell ref="AC273:AC275"/>
    <mergeCell ref="AD273:AD275"/>
    <mergeCell ref="AW267:AW269"/>
    <mergeCell ref="A270:A272"/>
    <mergeCell ref="B270:B272"/>
    <mergeCell ref="C270:C272"/>
    <mergeCell ref="D270:D272"/>
    <mergeCell ref="E270:E272"/>
    <mergeCell ref="F270:F272"/>
    <mergeCell ref="G270:G272"/>
    <mergeCell ref="AO267:AO269"/>
    <mergeCell ref="AP267:AP269"/>
    <mergeCell ref="AQ267:AQ269"/>
    <mergeCell ref="AR267:AR269"/>
    <mergeCell ref="AS267:AS269"/>
    <mergeCell ref="AT267:AT269"/>
    <mergeCell ref="AI267:AI269"/>
    <mergeCell ref="AJ267:AJ269"/>
    <mergeCell ref="AK267:AK269"/>
    <mergeCell ref="AL267:AL269"/>
    <mergeCell ref="AM267:AM269"/>
    <mergeCell ref="AN267:AN269"/>
    <mergeCell ref="AC267:AC269"/>
    <mergeCell ref="AD267:AD269"/>
    <mergeCell ref="AE267:AE269"/>
    <mergeCell ref="AF267:AF269"/>
    <mergeCell ref="AG267:AG269"/>
    <mergeCell ref="AH267:AH269"/>
    <mergeCell ref="V267:V269"/>
    <mergeCell ref="W267:W269"/>
    <mergeCell ref="X267:X269"/>
    <mergeCell ref="Z267:Z269"/>
    <mergeCell ref="AA267:AA269"/>
    <mergeCell ref="AB267:AB269"/>
    <mergeCell ref="P267:P269"/>
    <mergeCell ref="Q267:Q269"/>
    <mergeCell ref="R267:R269"/>
    <mergeCell ref="S267:S269"/>
    <mergeCell ref="T267:T269"/>
    <mergeCell ref="U267:U269"/>
    <mergeCell ref="J267:J269"/>
    <mergeCell ref="K267:K269"/>
    <mergeCell ref="L267:L269"/>
    <mergeCell ref="M267:M269"/>
    <mergeCell ref="N267:N269"/>
    <mergeCell ref="O267:O269"/>
    <mergeCell ref="AS270:AS272"/>
    <mergeCell ref="AT270:AT272"/>
    <mergeCell ref="AU270:AU272"/>
    <mergeCell ref="AV270:AV272"/>
    <mergeCell ref="AW270:AW272"/>
    <mergeCell ref="A267:A269"/>
    <mergeCell ref="B267:B269"/>
    <mergeCell ref="C267:C269"/>
    <mergeCell ref="D267:D269"/>
    <mergeCell ref="E267:E269"/>
    <mergeCell ref="F267:F269"/>
    <mergeCell ref="G267:G269"/>
    <mergeCell ref="H267:H269"/>
    <mergeCell ref="I267:I269"/>
    <mergeCell ref="AM270:AM272"/>
    <mergeCell ref="AN270:AN272"/>
    <mergeCell ref="AO270:AO272"/>
    <mergeCell ref="AP270:AP272"/>
    <mergeCell ref="AQ270:AQ272"/>
    <mergeCell ref="AR270:AR272"/>
    <mergeCell ref="AS264:AS266"/>
    <mergeCell ref="AT264:AT266"/>
    <mergeCell ref="AU264:AU266"/>
    <mergeCell ref="AV264:AV266"/>
    <mergeCell ref="AK264:AK266"/>
    <mergeCell ref="AL264:AL266"/>
    <mergeCell ref="AM264:AM266"/>
    <mergeCell ref="AN264:AN266"/>
    <mergeCell ref="AO264:AO266"/>
    <mergeCell ref="AP264:AP266"/>
    <mergeCell ref="AE264:AE266"/>
    <mergeCell ref="AF264:AF266"/>
    <mergeCell ref="AG264:AG266"/>
    <mergeCell ref="AH264:AH266"/>
    <mergeCell ref="AI264:AI266"/>
    <mergeCell ref="AJ264:AJ266"/>
    <mergeCell ref="X264:X266"/>
    <mergeCell ref="Z264:Z266"/>
    <mergeCell ref="AA264:AA266"/>
    <mergeCell ref="AB264:AB266"/>
    <mergeCell ref="AC264:AC266"/>
    <mergeCell ref="AD264:AD266"/>
    <mergeCell ref="R264:R266"/>
    <mergeCell ref="S264:S266"/>
    <mergeCell ref="T264:T266"/>
    <mergeCell ref="U264:U266"/>
    <mergeCell ref="V264:V266"/>
    <mergeCell ref="W264:W266"/>
    <mergeCell ref="L264:L266"/>
    <mergeCell ref="M264:M266"/>
    <mergeCell ref="N264:N266"/>
    <mergeCell ref="O264:O266"/>
    <mergeCell ref="P264:P266"/>
    <mergeCell ref="Q264:Q266"/>
    <mergeCell ref="F264:F266"/>
    <mergeCell ref="G264:G266"/>
    <mergeCell ref="H264:H266"/>
    <mergeCell ref="I264:I266"/>
    <mergeCell ref="J264:J266"/>
    <mergeCell ref="K264:K266"/>
    <mergeCell ref="AU267:AU269"/>
    <mergeCell ref="AV267:AV269"/>
    <mergeCell ref="AU261:AU263"/>
    <mergeCell ref="AV261:AV263"/>
    <mergeCell ref="AW261:AW263"/>
    <mergeCell ref="A264:A266"/>
    <mergeCell ref="B264:B266"/>
    <mergeCell ref="C264:C266"/>
    <mergeCell ref="D264:D266"/>
    <mergeCell ref="E264:E266"/>
    <mergeCell ref="AM261:AM263"/>
    <mergeCell ref="AN261:AN263"/>
    <mergeCell ref="AO261:AO263"/>
    <mergeCell ref="AP261:AP263"/>
    <mergeCell ref="AQ261:AQ263"/>
    <mergeCell ref="AR261:AR263"/>
    <mergeCell ref="AG261:AG263"/>
    <mergeCell ref="AH261:AH263"/>
    <mergeCell ref="AI261:AI263"/>
    <mergeCell ref="AJ261:AJ263"/>
    <mergeCell ref="AK261:AK263"/>
    <mergeCell ref="AL261:AL263"/>
    <mergeCell ref="AA261:AA263"/>
    <mergeCell ref="AB261:AB263"/>
    <mergeCell ref="AC261:AC263"/>
    <mergeCell ref="AD261:AD263"/>
    <mergeCell ref="AE261:AE263"/>
    <mergeCell ref="AF261:AF263"/>
    <mergeCell ref="T261:T263"/>
    <mergeCell ref="U261:U263"/>
    <mergeCell ref="V261:V263"/>
    <mergeCell ref="W261:W263"/>
    <mergeCell ref="X261:X263"/>
    <mergeCell ref="Z261:Z263"/>
    <mergeCell ref="N261:N263"/>
    <mergeCell ref="O261:O263"/>
    <mergeCell ref="P261:P263"/>
    <mergeCell ref="Q261:Q263"/>
    <mergeCell ref="R261:R263"/>
    <mergeCell ref="S261:S263"/>
    <mergeCell ref="H261:H263"/>
    <mergeCell ref="I261:I263"/>
    <mergeCell ref="J261:J263"/>
    <mergeCell ref="K261:K263"/>
    <mergeCell ref="L261:L263"/>
    <mergeCell ref="M261:M263"/>
    <mergeCell ref="AW264:AW266"/>
    <mergeCell ref="A261:A263"/>
    <mergeCell ref="B261:B263"/>
    <mergeCell ref="C261:C263"/>
    <mergeCell ref="D261:D263"/>
    <mergeCell ref="E261:E263"/>
    <mergeCell ref="F261:F263"/>
    <mergeCell ref="G261:G263"/>
    <mergeCell ref="AS261:AS263"/>
    <mergeCell ref="AT261:AT263"/>
    <mergeCell ref="AQ264:AQ266"/>
    <mergeCell ref="AR264:AR266"/>
    <mergeCell ref="R255:R257"/>
    <mergeCell ref="S255:S257"/>
    <mergeCell ref="T255:T257"/>
    <mergeCell ref="U255:U257"/>
    <mergeCell ref="V255:V257"/>
    <mergeCell ref="W255:W257"/>
    <mergeCell ref="L255:L257"/>
    <mergeCell ref="M255:M257"/>
    <mergeCell ref="N255:N257"/>
    <mergeCell ref="O255:O257"/>
    <mergeCell ref="P255:P257"/>
    <mergeCell ref="Q255:Q257"/>
    <mergeCell ref="F255:F257"/>
    <mergeCell ref="G255:G257"/>
    <mergeCell ref="H255:H257"/>
    <mergeCell ref="I255:I257"/>
    <mergeCell ref="J255:J257"/>
    <mergeCell ref="K255:K257"/>
    <mergeCell ref="AU258:AU260"/>
    <mergeCell ref="AV258:AV260"/>
    <mergeCell ref="AW258:AW260"/>
    <mergeCell ref="A255:A257"/>
    <mergeCell ref="B255:B257"/>
    <mergeCell ref="C255:C257"/>
    <mergeCell ref="D255:D257"/>
    <mergeCell ref="E255:E257"/>
    <mergeCell ref="AO258:AO260"/>
    <mergeCell ref="AP258:AP260"/>
    <mergeCell ref="AQ258:AQ260"/>
    <mergeCell ref="AR258:AR260"/>
    <mergeCell ref="AS258:AS260"/>
    <mergeCell ref="AT258:AT260"/>
    <mergeCell ref="AI258:AI260"/>
    <mergeCell ref="AJ258:AJ260"/>
    <mergeCell ref="AK258:AK260"/>
    <mergeCell ref="AL258:AL260"/>
    <mergeCell ref="AM258:AM260"/>
    <mergeCell ref="AN258:AN260"/>
    <mergeCell ref="AC258:AC260"/>
    <mergeCell ref="AD258:AD260"/>
    <mergeCell ref="AE258:AE260"/>
    <mergeCell ref="AF258:AF260"/>
    <mergeCell ref="AG258:AG260"/>
    <mergeCell ref="AH258:AH260"/>
    <mergeCell ref="V258:V260"/>
    <mergeCell ref="W258:W260"/>
    <mergeCell ref="X258:X260"/>
    <mergeCell ref="Z258:Z260"/>
    <mergeCell ref="AA258:AA260"/>
    <mergeCell ref="AB258:AB260"/>
    <mergeCell ref="P258:P260"/>
    <mergeCell ref="Q258:Q260"/>
    <mergeCell ref="R258:R260"/>
    <mergeCell ref="S258:S260"/>
    <mergeCell ref="T258:T260"/>
    <mergeCell ref="U258:U260"/>
    <mergeCell ref="J258:J260"/>
    <mergeCell ref="K258:K260"/>
    <mergeCell ref="L258:L260"/>
    <mergeCell ref="M258:M260"/>
    <mergeCell ref="N258:N260"/>
    <mergeCell ref="O258:O260"/>
    <mergeCell ref="AG252:AG254"/>
    <mergeCell ref="AH252:AH254"/>
    <mergeCell ref="AI252:AI254"/>
    <mergeCell ref="AJ252:AJ254"/>
    <mergeCell ref="AK252:AK254"/>
    <mergeCell ref="AL252:AL254"/>
    <mergeCell ref="AA252:AA254"/>
    <mergeCell ref="AB252:AB254"/>
    <mergeCell ref="AC252:AC254"/>
    <mergeCell ref="AD252:AD254"/>
    <mergeCell ref="AE252:AE254"/>
    <mergeCell ref="AF252:AF254"/>
    <mergeCell ref="T252:T254"/>
    <mergeCell ref="U252:U254"/>
    <mergeCell ref="V252:V254"/>
    <mergeCell ref="W252:W254"/>
    <mergeCell ref="X252:X254"/>
    <mergeCell ref="Z252:Z254"/>
    <mergeCell ref="N252:N254"/>
    <mergeCell ref="O252:O254"/>
    <mergeCell ref="P252:P254"/>
    <mergeCell ref="Q252:Q254"/>
    <mergeCell ref="R252:R254"/>
    <mergeCell ref="S252:S254"/>
    <mergeCell ref="H252:H254"/>
    <mergeCell ref="I252:I254"/>
    <mergeCell ref="J252:J254"/>
    <mergeCell ref="K252:K254"/>
    <mergeCell ref="L252:L254"/>
    <mergeCell ref="M252:M254"/>
    <mergeCell ref="AW255:AW257"/>
    <mergeCell ref="A258:A260"/>
    <mergeCell ref="B258:B260"/>
    <mergeCell ref="C258:C260"/>
    <mergeCell ref="D258:D260"/>
    <mergeCell ref="E258:E260"/>
    <mergeCell ref="F258:F260"/>
    <mergeCell ref="G258:G260"/>
    <mergeCell ref="H258:H260"/>
    <mergeCell ref="I258:I260"/>
    <mergeCell ref="AQ255:AQ257"/>
    <mergeCell ref="AR255:AR257"/>
    <mergeCell ref="AS255:AS257"/>
    <mergeCell ref="AT255:AT257"/>
    <mergeCell ref="AU255:AU257"/>
    <mergeCell ref="AV255:AV257"/>
    <mergeCell ref="AK255:AK257"/>
    <mergeCell ref="AL255:AL257"/>
    <mergeCell ref="AM255:AM257"/>
    <mergeCell ref="AN255:AN257"/>
    <mergeCell ref="AO255:AO257"/>
    <mergeCell ref="AP255:AP257"/>
    <mergeCell ref="AE255:AE257"/>
    <mergeCell ref="AF255:AF257"/>
    <mergeCell ref="AG255:AG257"/>
    <mergeCell ref="AH255:AH257"/>
    <mergeCell ref="AI255:AI257"/>
    <mergeCell ref="AJ255:AJ257"/>
    <mergeCell ref="X255:X257"/>
    <mergeCell ref="Z255:Z257"/>
    <mergeCell ref="AA255:AA257"/>
    <mergeCell ref="AB255:AB257"/>
    <mergeCell ref="AC255:AC257"/>
    <mergeCell ref="AD255:AD257"/>
    <mergeCell ref="AW249:AW251"/>
    <mergeCell ref="A252:A254"/>
    <mergeCell ref="B252:B254"/>
    <mergeCell ref="C252:C254"/>
    <mergeCell ref="D252:D254"/>
    <mergeCell ref="E252:E254"/>
    <mergeCell ref="F252:F254"/>
    <mergeCell ref="G252:G254"/>
    <mergeCell ref="AO249:AO251"/>
    <mergeCell ref="AP249:AP251"/>
    <mergeCell ref="AQ249:AQ251"/>
    <mergeCell ref="AR249:AR251"/>
    <mergeCell ref="AS249:AS251"/>
    <mergeCell ref="AT249:AT251"/>
    <mergeCell ref="AI249:AI251"/>
    <mergeCell ref="AJ249:AJ251"/>
    <mergeCell ref="AK249:AK251"/>
    <mergeCell ref="AL249:AL251"/>
    <mergeCell ref="AM249:AM251"/>
    <mergeCell ref="AN249:AN251"/>
    <mergeCell ref="AC249:AC251"/>
    <mergeCell ref="AD249:AD251"/>
    <mergeCell ref="AE249:AE251"/>
    <mergeCell ref="AF249:AF251"/>
    <mergeCell ref="AG249:AG251"/>
    <mergeCell ref="AH249:AH251"/>
    <mergeCell ref="V249:V251"/>
    <mergeCell ref="W249:W251"/>
    <mergeCell ref="X249:X251"/>
    <mergeCell ref="Z249:Z251"/>
    <mergeCell ref="AA249:AA251"/>
    <mergeCell ref="AB249:AB251"/>
    <mergeCell ref="P249:P251"/>
    <mergeCell ref="Q249:Q251"/>
    <mergeCell ref="R249:R251"/>
    <mergeCell ref="S249:S251"/>
    <mergeCell ref="T249:T251"/>
    <mergeCell ref="U249:U251"/>
    <mergeCell ref="J249:J251"/>
    <mergeCell ref="K249:K251"/>
    <mergeCell ref="L249:L251"/>
    <mergeCell ref="M249:M251"/>
    <mergeCell ref="N249:N251"/>
    <mergeCell ref="O249:O251"/>
    <mergeCell ref="AS252:AS254"/>
    <mergeCell ref="AT252:AT254"/>
    <mergeCell ref="AU252:AU254"/>
    <mergeCell ref="AV252:AV254"/>
    <mergeCell ref="AW252:AW254"/>
    <mergeCell ref="A249:A251"/>
    <mergeCell ref="B249:B251"/>
    <mergeCell ref="C249:C251"/>
    <mergeCell ref="D249:D251"/>
    <mergeCell ref="E249:E251"/>
    <mergeCell ref="F249:F251"/>
    <mergeCell ref="G249:G251"/>
    <mergeCell ref="H249:H251"/>
    <mergeCell ref="I249:I251"/>
    <mergeCell ref="AM252:AM254"/>
    <mergeCell ref="AN252:AN254"/>
    <mergeCell ref="AO252:AO254"/>
    <mergeCell ref="AP252:AP254"/>
    <mergeCell ref="AQ252:AQ254"/>
    <mergeCell ref="AR252:AR254"/>
    <mergeCell ref="AS246:AS248"/>
    <mergeCell ref="AT246:AT248"/>
    <mergeCell ref="AU246:AU248"/>
    <mergeCell ref="AV246:AV248"/>
    <mergeCell ref="AK246:AK248"/>
    <mergeCell ref="AL246:AL248"/>
    <mergeCell ref="AM246:AM248"/>
    <mergeCell ref="AN246:AN248"/>
    <mergeCell ref="AO246:AO248"/>
    <mergeCell ref="AP246:AP248"/>
    <mergeCell ref="AE246:AE248"/>
    <mergeCell ref="AF246:AF248"/>
    <mergeCell ref="AG246:AG248"/>
    <mergeCell ref="AH246:AH248"/>
    <mergeCell ref="AI246:AI248"/>
    <mergeCell ref="AJ246:AJ248"/>
    <mergeCell ref="X246:X248"/>
    <mergeCell ref="Z246:Z248"/>
    <mergeCell ref="AA246:AA248"/>
    <mergeCell ref="AB246:AB248"/>
    <mergeCell ref="AC246:AC248"/>
    <mergeCell ref="AD246:AD248"/>
    <mergeCell ref="R246:R248"/>
    <mergeCell ref="S246:S248"/>
    <mergeCell ref="T246:T248"/>
    <mergeCell ref="U246:U248"/>
    <mergeCell ref="V246:V248"/>
    <mergeCell ref="W246:W248"/>
    <mergeCell ref="L246:L248"/>
    <mergeCell ref="M246:M248"/>
    <mergeCell ref="N246:N248"/>
    <mergeCell ref="O246:O248"/>
    <mergeCell ref="P246:P248"/>
    <mergeCell ref="Q246:Q248"/>
    <mergeCell ref="F246:F248"/>
    <mergeCell ref="G246:G248"/>
    <mergeCell ref="H246:H248"/>
    <mergeCell ref="I246:I248"/>
    <mergeCell ref="J246:J248"/>
    <mergeCell ref="K246:K248"/>
    <mergeCell ref="AU249:AU251"/>
    <mergeCell ref="AV249:AV251"/>
    <mergeCell ref="AU243:AU245"/>
    <mergeCell ref="AV243:AV245"/>
    <mergeCell ref="AW243:AW245"/>
    <mergeCell ref="A246:A248"/>
    <mergeCell ref="B246:B248"/>
    <mergeCell ref="C246:C248"/>
    <mergeCell ref="D246:D248"/>
    <mergeCell ref="E246:E248"/>
    <mergeCell ref="AM243:AM245"/>
    <mergeCell ref="AN243:AN245"/>
    <mergeCell ref="AO243:AO245"/>
    <mergeCell ref="AP243:AP245"/>
    <mergeCell ref="AQ243:AQ245"/>
    <mergeCell ref="AR243:AR245"/>
    <mergeCell ref="AG243:AG245"/>
    <mergeCell ref="AH243:AH245"/>
    <mergeCell ref="AI243:AI245"/>
    <mergeCell ref="AJ243:AJ245"/>
    <mergeCell ref="AK243:AK245"/>
    <mergeCell ref="AL243:AL245"/>
    <mergeCell ref="AA243:AA245"/>
    <mergeCell ref="AB243:AB245"/>
    <mergeCell ref="AC243:AC245"/>
    <mergeCell ref="AD243:AD245"/>
    <mergeCell ref="AE243:AE245"/>
    <mergeCell ref="AF243:AF245"/>
    <mergeCell ref="T243:T245"/>
    <mergeCell ref="U243:U245"/>
    <mergeCell ref="V243:V245"/>
    <mergeCell ref="W243:W245"/>
    <mergeCell ref="X243:X245"/>
    <mergeCell ref="Z243:Z245"/>
    <mergeCell ref="N243:N245"/>
    <mergeCell ref="O243:O245"/>
    <mergeCell ref="P243:P245"/>
    <mergeCell ref="Q243:Q245"/>
    <mergeCell ref="R243:R245"/>
    <mergeCell ref="S243:S245"/>
    <mergeCell ref="H243:H245"/>
    <mergeCell ref="I243:I245"/>
    <mergeCell ref="J243:J245"/>
    <mergeCell ref="K243:K245"/>
    <mergeCell ref="L243:L245"/>
    <mergeCell ref="M243:M245"/>
    <mergeCell ref="AW246:AW248"/>
    <mergeCell ref="A243:A245"/>
    <mergeCell ref="B243:B245"/>
    <mergeCell ref="C243:C245"/>
    <mergeCell ref="D243:D245"/>
    <mergeCell ref="E243:E245"/>
    <mergeCell ref="F243:F245"/>
    <mergeCell ref="G243:G245"/>
    <mergeCell ref="AS243:AS245"/>
    <mergeCell ref="AT243:AT245"/>
    <mergeCell ref="AQ246:AQ248"/>
    <mergeCell ref="AR246:AR248"/>
    <mergeCell ref="R237:R239"/>
    <mergeCell ref="S237:S239"/>
    <mergeCell ref="T237:T239"/>
    <mergeCell ref="U237:U239"/>
    <mergeCell ref="V237:V239"/>
    <mergeCell ref="W237:W239"/>
    <mergeCell ref="L237:L239"/>
    <mergeCell ref="M237:M239"/>
    <mergeCell ref="N237:N239"/>
    <mergeCell ref="O237:O239"/>
    <mergeCell ref="P237:P239"/>
    <mergeCell ref="Q237:Q239"/>
    <mergeCell ref="F237:F239"/>
    <mergeCell ref="G237:G239"/>
    <mergeCell ref="H237:H239"/>
    <mergeCell ref="I237:I239"/>
    <mergeCell ref="J237:J239"/>
    <mergeCell ref="K237:K239"/>
    <mergeCell ref="AU240:AU242"/>
    <mergeCell ref="AV240:AV242"/>
    <mergeCell ref="AW240:AW242"/>
    <mergeCell ref="A237:A239"/>
    <mergeCell ref="B237:B239"/>
    <mergeCell ref="C237:C239"/>
    <mergeCell ref="D237:D239"/>
    <mergeCell ref="E237:E239"/>
    <mergeCell ref="AO240:AO242"/>
    <mergeCell ref="AP240:AP242"/>
    <mergeCell ref="AQ240:AQ242"/>
    <mergeCell ref="AR240:AR242"/>
    <mergeCell ref="AS240:AS242"/>
    <mergeCell ref="AT240:AT242"/>
    <mergeCell ref="AI240:AI242"/>
    <mergeCell ref="AJ240:AJ242"/>
    <mergeCell ref="AK240:AK242"/>
    <mergeCell ref="AL240:AL242"/>
    <mergeCell ref="AM240:AM242"/>
    <mergeCell ref="AN240:AN242"/>
    <mergeCell ref="AC240:AC242"/>
    <mergeCell ref="AD240:AD242"/>
    <mergeCell ref="AE240:AE242"/>
    <mergeCell ref="AF240:AF242"/>
    <mergeCell ref="AG240:AG242"/>
    <mergeCell ref="AH240:AH242"/>
    <mergeCell ref="V240:V242"/>
    <mergeCell ref="W240:W242"/>
    <mergeCell ref="X240:X242"/>
    <mergeCell ref="Z240:Z242"/>
    <mergeCell ref="AA240:AA242"/>
    <mergeCell ref="AB240:AB242"/>
    <mergeCell ref="P240:P242"/>
    <mergeCell ref="Q240:Q242"/>
    <mergeCell ref="R240:R242"/>
    <mergeCell ref="S240:S242"/>
    <mergeCell ref="T240:T242"/>
    <mergeCell ref="U240:U242"/>
    <mergeCell ref="J240:J242"/>
    <mergeCell ref="K240:K242"/>
    <mergeCell ref="L240:L242"/>
    <mergeCell ref="M240:M242"/>
    <mergeCell ref="N240:N242"/>
    <mergeCell ref="O240:O242"/>
    <mergeCell ref="AG234:AG236"/>
    <mergeCell ref="AH234:AH236"/>
    <mergeCell ref="AI234:AI236"/>
    <mergeCell ref="AJ234:AJ236"/>
    <mergeCell ref="AK234:AK236"/>
    <mergeCell ref="AL234:AL236"/>
    <mergeCell ref="AA234:AA236"/>
    <mergeCell ref="AB234:AB236"/>
    <mergeCell ref="AC234:AC236"/>
    <mergeCell ref="AD234:AD236"/>
    <mergeCell ref="AE234:AE236"/>
    <mergeCell ref="AF234:AF236"/>
    <mergeCell ref="T234:T236"/>
    <mergeCell ref="U234:U236"/>
    <mergeCell ref="V234:V236"/>
    <mergeCell ref="W234:W236"/>
    <mergeCell ref="X234:X236"/>
    <mergeCell ref="Z234:Z236"/>
    <mergeCell ref="N234:N236"/>
    <mergeCell ref="O234:O236"/>
    <mergeCell ref="P234:P236"/>
    <mergeCell ref="Q234:Q236"/>
    <mergeCell ref="R234:R236"/>
    <mergeCell ref="S234:S236"/>
    <mergeCell ref="H234:H236"/>
    <mergeCell ref="I234:I236"/>
    <mergeCell ref="J234:J236"/>
    <mergeCell ref="K234:K236"/>
    <mergeCell ref="L234:L236"/>
    <mergeCell ref="M234:M236"/>
    <mergeCell ref="AW237:AW239"/>
    <mergeCell ref="A240:A242"/>
    <mergeCell ref="B240:B242"/>
    <mergeCell ref="C240:C242"/>
    <mergeCell ref="D240:D242"/>
    <mergeCell ref="E240:E242"/>
    <mergeCell ref="F240:F242"/>
    <mergeCell ref="G240:G242"/>
    <mergeCell ref="H240:H242"/>
    <mergeCell ref="I240:I242"/>
    <mergeCell ref="AQ237:AQ239"/>
    <mergeCell ref="AR237:AR239"/>
    <mergeCell ref="AS237:AS239"/>
    <mergeCell ref="AT237:AT239"/>
    <mergeCell ref="AU237:AU239"/>
    <mergeCell ref="AV237:AV239"/>
    <mergeCell ref="AK237:AK239"/>
    <mergeCell ref="AL237:AL239"/>
    <mergeCell ref="AM237:AM239"/>
    <mergeCell ref="AN237:AN239"/>
    <mergeCell ref="AO237:AO239"/>
    <mergeCell ref="AP237:AP239"/>
    <mergeCell ref="AE237:AE239"/>
    <mergeCell ref="AF237:AF239"/>
    <mergeCell ref="AG237:AG239"/>
    <mergeCell ref="AH237:AH239"/>
    <mergeCell ref="AI237:AI239"/>
    <mergeCell ref="AJ237:AJ239"/>
    <mergeCell ref="X237:X239"/>
    <mergeCell ref="Z237:Z239"/>
    <mergeCell ref="AA237:AA239"/>
    <mergeCell ref="AB237:AB239"/>
    <mergeCell ref="AC237:AC239"/>
    <mergeCell ref="AD237:AD239"/>
    <mergeCell ref="AW231:AW233"/>
    <mergeCell ref="A234:A236"/>
    <mergeCell ref="B234:B236"/>
    <mergeCell ref="C234:C236"/>
    <mergeCell ref="D234:D236"/>
    <mergeCell ref="E234:E236"/>
    <mergeCell ref="F234:F236"/>
    <mergeCell ref="G234:G236"/>
    <mergeCell ref="AO231:AO233"/>
    <mergeCell ref="AP231:AP233"/>
    <mergeCell ref="AQ231:AQ233"/>
    <mergeCell ref="AR231:AR233"/>
    <mergeCell ref="AS231:AS233"/>
    <mergeCell ref="AT231:AT233"/>
    <mergeCell ref="AI231:AI233"/>
    <mergeCell ref="AJ231:AJ233"/>
    <mergeCell ref="AK231:AK233"/>
    <mergeCell ref="AL231:AL233"/>
    <mergeCell ref="AM231:AM233"/>
    <mergeCell ref="AN231:AN233"/>
    <mergeCell ref="AC231:AC233"/>
    <mergeCell ref="AD231:AD233"/>
    <mergeCell ref="AE231:AE233"/>
    <mergeCell ref="AF231:AF233"/>
    <mergeCell ref="AG231:AG233"/>
    <mergeCell ref="AH231:AH233"/>
    <mergeCell ref="V231:V233"/>
    <mergeCell ref="W231:W233"/>
    <mergeCell ref="X231:X233"/>
    <mergeCell ref="Z231:Z233"/>
    <mergeCell ref="AA231:AA233"/>
    <mergeCell ref="AB231:AB233"/>
    <mergeCell ref="P231:P233"/>
    <mergeCell ref="Q231:Q233"/>
    <mergeCell ref="R231:R233"/>
    <mergeCell ref="S231:S233"/>
    <mergeCell ref="T231:T233"/>
    <mergeCell ref="U231:U233"/>
    <mergeCell ref="J231:J233"/>
    <mergeCell ref="K231:K233"/>
    <mergeCell ref="L231:L233"/>
    <mergeCell ref="M231:M233"/>
    <mergeCell ref="N231:N233"/>
    <mergeCell ref="O231:O233"/>
    <mergeCell ref="AS234:AS236"/>
    <mergeCell ref="AT234:AT236"/>
    <mergeCell ref="AU234:AU236"/>
    <mergeCell ref="AV234:AV236"/>
    <mergeCell ref="AW234:AW236"/>
    <mergeCell ref="A231:A233"/>
    <mergeCell ref="B231:B233"/>
    <mergeCell ref="C231:C233"/>
    <mergeCell ref="D231:D233"/>
    <mergeCell ref="E231:E233"/>
    <mergeCell ref="F231:F233"/>
    <mergeCell ref="G231:G233"/>
    <mergeCell ref="H231:H233"/>
    <mergeCell ref="I231:I233"/>
    <mergeCell ref="AM234:AM236"/>
    <mergeCell ref="AN234:AN236"/>
    <mergeCell ref="AO234:AO236"/>
    <mergeCell ref="AP234:AP236"/>
    <mergeCell ref="AQ234:AQ236"/>
    <mergeCell ref="AR234:AR236"/>
    <mergeCell ref="AS228:AS230"/>
    <mergeCell ref="AT228:AT230"/>
    <mergeCell ref="AU228:AU230"/>
    <mergeCell ref="AV228:AV230"/>
    <mergeCell ref="AK228:AK230"/>
    <mergeCell ref="AL228:AL230"/>
    <mergeCell ref="AM228:AM230"/>
    <mergeCell ref="AN228:AN230"/>
    <mergeCell ref="AO228:AO230"/>
    <mergeCell ref="AP228:AP230"/>
    <mergeCell ref="AE228:AE230"/>
    <mergeCell ref="AF228:AF230"/>
    <mergeCell ref="AG228:AG230"/>
    <mergeCell ref="AH228:AH230"/>
    <mergeCell ref="AI228:AI230"/>
    <mergeCell ref="AJ228:AJ230"/>
    <mergeCell ref="X228:X230"/>
    <mergeCell ref="Z228:Z230"/>
    <mergeCell ref="AA228:AA230"/>
    <mergeCell ref="AB228:AB230"/>
    <mergeCell ref="AC228:AC230"/>
    <mergeCell ref="AD228:AD230"/>
    <mergeCell ref="R228:R230"/>
    <mergeCell ref="S228:S230"/>
    <mergeCell ref="T228:T230"/>
    <mergeCell ref="U228:U230"/>
    <mergeCell ref="V228:V230"/>
    <mergeCell ref="W228:W230"/>
    <mergeCell ref="L228:L230"/>
    <mergeCell ref="M228:M230"/>
    <mergeCell ref="N228:N230"/>
    <mergeCell ref="O228:O230"/>
    <mergeCell ref="P228:P230"/>
    <mergeCell ref="Q228:Q230"/>
    <mergeCell ref="F228:F230"/>
    <mergeCell ref="G228:G230"/>
    <mergeCell ref="H228:H230"/>
    <mergeCell ref="I228:I230"/>
    <mergeCell ref="J228:J230"/>
    <mergeCell ref="K228:K230"/>
    <mergeCell ref="AU231:AU233"/>
    <mergeCell ref="AV231:AV233"/>
    <mergeCell ref="AU225:AU227"/>
    <mergeCell ref="AV225:AV227"/>
    <mergeCell ref="AW225:AW227"/>
    <mergeCell ref="A228:A230"/>
    <mergeCell ref="B228:B230"/>
    <mergeCell ref="C228:C230"/>
    <mergeCell ref="D228:D230"/>
    <mergeCell ref="E228:E230"/>
    <mergeCell ref="AM225:AM227"/>
    <mergeCell ref="AN225:AN227"/>
    <mergeCell ref="AO225:AO227"/>
    <mergeCell ref="AP225:AP227"/>
    <mergeCell ref="AQ225:AQ227"/>
    <mergeCell ref="AR225:AR227"/>
    <mergeCell ref="AG225:AG227"/>
    <mergeCell ref="AH225:AH227"/>
    <mergeCell ref="AI225:AI227"/>
    <mergeCell ref="AJ225:AJ227"/>
    <mergeCell ref="AK225:AK227"/>
    <mergeCell ref="AL225:AL227"/>
    <mergeCell ref="AA225:AA227"/>
    <mergeCell ref="AB225:AB227"/>
    <mergeCell ref="AC225:AC227"/>
    <mergeCell ref="AD225:AD227"/>
    <mergeCell ref="AE225:AE227"/>
    <mergeCell ref="AF225:AF227"/>
    <mergeCell ref="T225:T227"/>
    <mergeCell ref="U225:U227"/>
    <mergeCell ref="V225:V227"/>
    <mergeCell ref="W225:W227"/>
    <mergeCell ref="X225:X227"/>
    <mergeCell ref="Z225:Z227"/>
    <mergeCell ref="N225:N227"/>
    <mergeCell ref="O225:O227"/>
    <mergeCell ref="P225:P227"/>
    <mergeCell ref="Q225:Q227"/>
    <mergeCell ref="R225:R227"/>
    <mergeCell ref="S225:S227"/>
    <mergeCell ref="H225:H227"/>
    <mergeCell ref="I225:I227"/>
    <mergeCell ref="J225:J227"/>
    <mergeCell ref="K225:K227"/>
    <mergeCell ref="L225:L227"/>
    <mergeCell ref="M225:M227"/>
    <mergeCell ref="AW228:AW230"/>
    <mergeCell ref="A225:A227"/>
    <mergeCell ref="B225:B227"/>
    <mergeCell ref="C225:C227"/>
    <mergeCell ref="D225:D227"/>
    <mergeCell ref="E225:E227"/>
    <mergeCell ref="F225:F227"/>
    <mergeCell ref="G225:G227"/>
    <mergeCell ref="AS225:AS227"/>
    <mergeCell ref="AT225:AT227"/>
    <mergeCell ref="AQ228:AQ230"/>
    <mergeCell ref="AR228:AR230"/>
    <mergeCell ref="AP222:AP224"/>
    <mergeCell ref="AQ222:AQ224"/>
    <mergeCell ref="AR222:AR224"/>
    <mergeCell ref="AS222:AS224"/>
    <mergeCell ref="AT222:AT224"/>
    <mergeCell ref="AI222:AI224"/>
    <mergeCell ref="AJ222:AJ224"/>
    <mergeCell ref="AK222:AK224"/>
    <mergeCell ref="AL222:AL224"/>
    <mergeCell ref="AM222:AM224"/>
    <mergeCell ref="AN222:AN224"/>
    <mergeCell ref="AC222:AC224"/>
    <mergeCell ref="AD222:AD224"/>
    <mergeCell ref="AE222:AE224"/>
    <mergeCell ref="AF222:AF224"/>
    <mergeCell ref="AG222:AG224"/>
    <mergeCell ref="AH222:AH224"/>
    <mergeCell ref="V222:V224"/>
    <mergeCell ref="W222:W224"/>
    <mergeCell ref="X222:X224"/>
    <mergeCell ref="Z222:Z224"/>
    <mergeCell ref="AA222:AA224"/>
    <mergeCell ref="AB222:AB224"/>
    <mergeCell ref="P222:P224"/>
    <mergeCell ref="Q222:Q224"/>
    <mergeCell ref="R222:R224"/>
    <mergeCell ref="S222:S224"/>
    <mergeCell ref="T222:T224"/>
    <mergeCell ref="U222:U224"/>
    <mergeCell ref="J222:J224"/>
    <mergeCell ref="K222:K224"/>
    <mergeCell ref="L222:L224"/>
    <mergeCell ref="M222:M224"/>
    <mergeCell ref="N222:N224"/>
    <mergeCell ref="O222:O224"/>
    <mergeCell ref="R216:R218"/>
    <mergeCell ref="S216:S218"/>
    <mergeCell ref="H216:H218"/>
    <mergeCell ref="I216:I218"/>
    <mergeCell ref="J216:J218"/>
    <mergeCell ref="K216:K218"/>
    <mergeCell ref="L216:L218"/>
    <mergeCell ref="M216:M218"/>
    <mergeCell ref="AW219:AW221"/>
    <mergeCell ref="A222:A224"/>
    <mergeCell ref="B222:B224"/>
    <mergeCell ref="C222:C224"/>
    <mergeCell ref="D222:D224"/>
    <mergeCell ref="E222:E224"/>
    <mergeCell ref="F222:F224"/>
    <mergeCell ref="G222:G224"/>
    <mergeCell ref="H222:H224"/>
    <mergeCell ref="I222:I224"/>
    <mergeCell ref="AQ219:AQ221"/>
    <mergeCell ref="AR219:AR221"/>
    <mergeCell ref="AS219:AS221"/>
    <mergeCell ref="AT219:AT221"/>
    <mergeCell ref="AU219:AU221"/>
    <mergeCell ref="AV219:AV221"/>
    <mergeCell ref="AK219:AK221"/>
    <mergeCell ref="AL219:AL221"/>
    <mergeCell ref="AM219:AM221"/>
    <mergeCell ref="AN219:AN221"/>
    <mergeCell ref="AO219:AO221"/>
    <mergeCell ref="AP219:AP221"/>
    <mergeCell ref="AE219:AE221"/>
    <mergeCell ref="AF219:AF221"/>
    <mergeCell ref="AG219:AG221"/>
    <mergeCell ref="AH219:AH221"/>
    <mergeCell ref="AI219:AI221"/>
    <mergeCell ref="AJ219:AJ221"/>
    <mergeCell ref="X219:X221"/>
    <mergeCell ref="Z219:Z221"/>
    <mergeCell ref="AA219:AA221"/>
    <mergeCell ref="AB219:AB221"/>
    <mergeCell ref="AC219:AC221"/>
    <mergeCell ref="AD219:AD221"/>
    <mergeCell ref="R219:R221"/>
    <mergeCell ref="S219:S221"/>
    <mergeCell ref="T219:T221"/>
    <mergeCell ref="U219:U221"/>
    <mergeCell ref="V219:V221"/>
    <mergeCell ref="W219:W221"/>
    <mergeCell ref="L219:L221"/>
    <mergeCell ref="M219:M221"/>
    <mergeCell ref="N219:N221"/>
    <mergeCell ref="O219:O221"/>
    <mergeCell ref="P219:P221"/>
    <mergeCell ref="Q219:Q221"/>
    <mergeCell ref="F219:F221"/>
    <mergeCell ref="G219:G221"/>
    <mergeCell ref="H219:H221"/>
    <mergeCell ref="I219:I221"/>
    <mergeCell ref="J219:J221"/>
    <mergeCell ref="K219:K221"/>
    <mergeCell ref="AU222:AU224"/>
    <mergeCell ref="AV222:AV224"/>
    <mergeCell ref="AW222:AW224"/>
    <mergeCell ref="AO222:AO224"/>
    <mergeCell ref="W211:W213"/>
    <mergeCell ref="X211:X213"/>
    <mergeCell ref="M211:M213"/>
    <mergeCell ref="N211:N213"/>
    <mergeCell ref="O211:O213"/>
    <mergeCell ref="P211:P213"/>
    <mergeCell ref="Q211:Q213"/>
    <mergeCell ref="R211:R213"/>
    <mergeCell ref="G211:G213"/>
    <mergeCell ref="H211:H213"/>
    <mergeCell ref="I211:I213"/>
    <mergeCell ref="J211:J213"/>
    <mergeCell ref="K211:K213"/>
    <mergeCell ref="L211:L213"/>
    <mergeCell ref="A211:A213"/>
    <mergeCell ref="B211:B213"/>
    <mergeCell ref="C211:C213"/>
    <mergeCell ref="D211:D213"/>
    <mergeCell ref="E211:E213"/>
    <mergeCell ref="F211:F213"/>
    <mergeCell ref="AR208:AR210"/>
    <mergeCell ref="AS208:AS210"/>
    <mergeCell ref="AT208:AT210"/>
    <mergeCell ref="AU208:AU210"/>
    <mergeCell ref="AV208:AV210"/>
    <mergeCell ref="AW208:AW210"/>
    <mergeCell ref="AS216:AS218"/>
    <mergeCell ref="AT216:AT218"/>
    <mergeCell ref="AU216:AU218"/>
    <mergeCell ref="AV216:AV218"/>
    <mergeCell ref="AW216:AW218"/>
    <mergeCell ref="A219:A221"/>
    <mergeCell ref="B219:B221"/>
    <mergeCell ref="C219:C221"/>
    <mergeCell ref="D219:D221"/>
    <mergeCell ref="E219:E221"/>
    <mergeCell ref="AM216:AM218"/>
    <mergeCell ref="AN216:AN218"/>
    <mergeCell ref="AO216:AO218"/>
    <mergeCell ref="AP216:AP218"/>
    <mergeCell ref="AQ216:AQ218"/>
    <mergeCell ref="AR216:AR218"/>
    <mergeCell ref="AG216:AG218"/>
    <mergeCell ref="AH216:AH218"/>
    <mergeCell ref="AI216:AI218"/>
    <mergeCell ref="AJ216:AJ218"/>
    <mergeCell ref="AK216:AK218"/>
    <mergeCell ref="AL216:AL218"/>
    <mergeCell ref="AA216:AA218"/>
    <mergeCell ref="AB216:AB218"/>
    <mergeCell ref="AC216:AC218"/>
    <mergeCell ref="AD216:AD218"/>
    <mergeCell ref="AE216:AE218"/>
    <mergeCell ref="AF216:AF218"/>
    <mergeCell ref="T216:T218"/>
    <mergeCell ref="U216:U218"/>
    <mergeCell ref="V216:V218"/>
    <mergeCell ref="W216:W218"/>
    <mergeCell ref="X216:X218"/>
    <mergeCell ref="Z216:Z218"/>
    <mergeCell ref="N216:N218"/>
    <mergeCell ref="O216:O218"/>
    <mergeCell ref="P216:P218"/>
    <mergeCell ref="Q216:Q218"/>
    <mergeCell ref="AJ208:AJ210"/>
    <mergeCell ref="AK208:AK210"/>
    <mergeCell ref="Z208:Z210"/>
    <mergeCell ref="AA208:AA210"/>
    <mergeCell ref="AB208:AB210"/>
    <mergeCell ref="AC208:AC210"/>
    <mergeCell ref="AD208:AD210"/>
    <mergeCell ref="AE208:AE210"/>
    <mergeCell ref="S208:S210"/>
    <mergeCell ref="T208:T210"/>
    <mergeCell ref="U208:U210"/>
    <mergeCell ref="V208:V210"/>
    <mergeCell ref="W208:W210"/>
    <mergeCell ref="X208:X210"/>
    <mergeCell ref="M208:M210"/>
    <mergeCell ref="N208:N210"/>
    <mergeCell ref="O208:O210"/>
    <mergeCell ref="P208:P210"/>
    <mergeCell ref="Q208:Q210"/>
    <mergeCell ref="R208:R210"/>
    <mergeCell ref="G208:G210"/>
    <mergeCell ref="H208:H210"/>
    <mergeCell ref="I208:I210"/>
    <mergeCell ref="J208:J210"/>
    <mergeCell ref="K208:K210"/>
    <mergeCell ref="L208:L210"/>
    <mergeCell ref="AA108:AW108"/>
    <mergeCell ref="B215:X215"/>
    <mergeCell ref="AA215:AW215"/>
    <mergeCell ref="A216:A218"/>
    <mergeCell ref="B216:B218"/>
    <mergeCell ref="C216:C218"/>
    <mergeCell ref="D216:D218"/>
    <mergeCell ref="E216:E218"/>
    <mergeCell ref="F216:F218"/>
    <mergeCell ref="G216:G218"/>
    <mergeCell ref="AR211:AR213"/>
    <mergeCell ref="AS211:AS213"/>
    <mergeCell ref="AT211:AT213"/>
    <mergeCell ref="AU211:AU213"/>
    <mergeCell ref="AV211:AV213"/>
    <mergeCell ref="AW211:AW213"/>
    <mergeCell ref="AL211:AL213"/>
    <mergeCell ref="AM211:AM213"/>
    <mergeCell ref="AN211:AN213"/>
    <mergeCell ref="AO211:AO213"/>
    <mergeCell ref="AP211:AP213"/>
    <mergeCell ref="AQ211:AQ213"/>
    <mergeCell ref="AF211:AF213"/>
    <mergeCell ref="AG211:AG213"/>
    <mergeCell ref="AH211:AH213"/>
    <mergeCell ref="AI211:AI213"/>
    <mergeCell ref="AJ211:AJ213"/>
    <mergeCell ref="AK211:AK213"/>
    <mergeCell ref="Z211:Z213"/>
    <mergeCell ref="AA211:AA213"/>
    <mergeCell ref="AB211:AB213"/>
    <mergeCell ref="AC211:AC213"/>
    <mergeCell ref="AD211:AD213"/>
    <mergeCell ref="AE211:AE213"/>
    <mergeCell ref="S211:S213"/>
    <mergeCell ref="T211:T213"/>
    <mergeCell ref="U211:U213"/>
    <mergeCell ref="V211:V213"/>
    <mergeCell ref="A208:A210"/>
    <mergeCell ref="B208:B210"/>
    <mergeCell ref="C208:C210"/>
    <mergeCell ref="D208:D210"/>
    <mergeCell ref="E208:E210"/>
    <mergeCell ref="F208:F210"/>
    <mergeCell ref="AR205:AR207"/>
    <mergeCell ref="AS205:AS207"/>
    <mergeCell ref="AT205:AT207"/>
    <mergeCell ref="AU205:AU207"/>
    <mergeCell ref="AV205:AV207"/>
    <mergeCell ref="AW205:AW207"/>
    <mergeCell ref="AL205:AL207"/>
    <mergeCell ref="AM205:AM207"/>
    <mergeCell ref="AN205:AN207"/>
    <mergeCell ref="AO205:AO207"/>
    <mergeCell ref="AP205:AP207"/>
    <mergeCell ref="AQ205:AQ207"/>
    <mergeCell ref="AF205:AF207"/>
    <mergeCell ref="AG205:AG207"/>
    <mergeCell ref="AH205:AH207"/>
    <mergeCell ref="AI205:AI207"/>
    <mergeCell ref="AJ205:AJ207"/>
    <mergeCell ref="AK205:AK207"/>
    <mergeCell ref="Z205:Z207"/>
    <mergeCell ref="AA205:AA207"/>
    <mergeCell ref="AB205:AB207"/>
    <mergeCell ref="AC205:AC207"/>
    <mergeCell ref="AD205:AD207"/>
    <mergeCell ref="AE205:AE207"/>
    <mergeCell ref="S205:S207"/>
    <mergeCell ref="T205:T207"/>
    <mergeCell ref="U205:U207"/>
    <mergeCell ref="V205:V207"/>
    <mergeCell ref="W205:W207"/>
    <mergeCell ref="X205:X207"/>
    <mergeCell ref="M205:M207"/>
    <mergeCell ref="N205:N207"/>
    <mergeCell ref="O205:O207"/>
    <mergeCell ref="P205:P207"/>
    <mergeCell ref="Q205:Q207"/>
    <mergeCell ref="R205:R207"/>
    <mergeCell ref="G205:G207"/>
    <mergeCell ref="H205:H207"/>
    <mergeCell ref="I205:I207"/>
    <mergeCell ref="J205:J207"/>
    <mergeCell ref="K205:K207"/>
    <mergeCell ref="L205:L207"/>
    <mergeCell ref="A205:A207"/>
    <mergeCell ref="B205:B207"/>
    <mergeCell ref="C205:C207"/>
    <mergeCell ref="D205:D207"/>
    <mergeCell ref="E205:E207"/>
    <mergeCell ref="F205:F207"/>
    <mergeCell ref="AL208:AL210"/>
    <mergeCell ref="AM208:AM210"/>
    <mergeCell ref="AN208:AN210"/>
    <mergeCell ref="AO208:AO210"/>
    <mergeCell ref="AP208:AP210"/>
    <mergeCell ref="AQ208:AQ210"/>
    <mergeCell ref="AF208:AF210"/>
    <mergeCell ref="AG208:AG210"/>
    <mergeCell ref="AH208:AH210"/>
    <mergeCell ref="AI208:AI210"/>
    <mergeCell ref="A202:A204"/>
    <mergeCell ref="B202:B204"/>
    <mergeCell ref="C202:C204"/>
    <mergeCell ref="D202:D204"/>
    <mergeCell ref="E202:E204"/>
    <mergeCell ref="F202:F204"/>
    <mergeCell ref="AR199:AR201"/>
    <mergeCell ref="AS199:AS201"/>
    <mergeCell ref="AT199:AT201"/>
    <mergeCell ref="AU199:AU201"/>
    <mergeCell ref="AV199:AV201"/>
    <mergeCell ref="AW199:AW201"/>
    <mergeCell ref="AL199:AL201"/>
    <mergeCell ref="AM199:AM201"/>
    <mergeCell ref="AN199:AN201"/>
    <mergeCell ref="AO199:AO201"/>
    <mergeCell ref="AP199:AP201"/>
    <mergeCell ref="AQ199:AQ201"/>
    <mergeCell ref="AF199:AF201"/>
    <mergeCell ref="AG199:AG201"/>
    <mergeCell ref="AH199:AH201"/>
    <mergeCell ref="AI199:AI201"/>
    <mergeCell ref="AJ199:AJ201"/>
    <mergeCell ref="AK199:AK201"/>
    <mergeCell ref="Z199:Z201"/>
    <mergeCell ref="AA199:AA201"/>
    <mergeCell ref="AB199:AB201"/>
    <mergeCell ref="AC199:AC201"/>
    <mergeCell ref="AD199:AD201"/>
    <mergeCell ref="AE199:AE201"/>
    <mergeCell ref="S199:S201"/>
    <mergeCell ref="T199:T201"/>
    <mergeCell ref="U199:U201"/>
    <mergeCell ref="V199:V201"/>
    <mergeCell ref="W199:W201"/>
    <mergeCell ref="X199:X201"/>
    <mergeCell ref="M199:M201"/>
    <mergeCell ref="N199:N201"/>
    <mergeCell ref="O199:O201"/>
    <mergeCell ref="P199:P201"/>
    <mergeCell ref="Q199:Q201"/>
    <mergeCell ref="R199:R201"/>
    <mergeCell ref="G199:G201"/>
    <mergeCell ref="H199:H201"/>
    <mergeCell ref="I199:I201"/>
    <mergeCell ref="J199:J201"/>
    <mergeCell ref="K199:K201"/>
    <mergeCell ref="L199:L201"/>
    <mergeCell ref="A199:A201"/>
    <mergeCell ref="B199:B201"/>
    <mergeCell ref="C199:C201"/>
    <mergeCell ref="D199:D201"/>
    <mergeCell ref="E199:E201"/>
    <mergeCell ref="F199:F201"/>
    <mergeCell ref="AR202:AR204"/>
    <mergeCell ref="AS202:AS204"/>
    <mergeCell ref="AT202:AT204"/>
    <mergeCell ref="AU202:AU204"/>
    <mergeCell ref="AV202:AV204"/>
    <mergeCell ref="AW202:AW204"/>
    <mergeCell ref="AL202:AL204"/>
    <mergeCell ref="AM202:AM204"/>
    <mergeCell ref="AN202:AN204"/>
    <mergeCell ref="AO202:AO204"/>
    <mergeCell ref="AV196:AV198"/>
    <mergeCell ref="AW196:AW198"/>
    <mergeCell ref="AL196:AL198"/>
    <mergeCell ref="AM196:AM198"/>
    <mergeCell ref="AN196:AN198"/>
    <mergeCell ref="AO196:AO198"/>
    <mergeCell ref="AP196:AP198"/>
    <mergeCell ref="AQ196:AQ198"/>
    <mergeCell ref="AF196:AF198"/>
    <mergeCell ref="AG196:AG198"/>
    <mergeCell ref="AH196:AH198"/>
    <mergeCell ref="AI196:AI198"/>
    <mergeCell ref="AJ196:AJ198"/>
    <mergeCell ref="AK196:AK198"/>
    <mergeCell ref="Z196:Z198"/>
    <mergeCell ref="AA196:AA198"/>
    <mergeCell ref="AB196:AB198"/>
    <mergeCell ref="AC196:AC198"/>
    <mergeCell ref="AD196:AD198"/>
    <mergeCell ref="AE196:AE198"/>
    <mergeCell ref="S196:S198"/>
    <mergeCell ref="T196:T198"/>
    <mergeCell ref="U196:U198"/>
    <mergeCell ref="V196:V198"/>
    <mergeCell ref="W196:W198"/>
    <mergeCell ref="X196:X198"/>
    <mergeCell ref="M196:M198"/>
    <mergeCell ref="N196:N198"/>
    <mergeCell ref="O196:O198"/>
    <mergeCell ref="P196:P198"/>
    <mergeCell ref="Q196:Q198"/>
    <mergeCell ref="R196:R198"/>
    <mergeCell ref="G202:G204"/>
    <mergeCell ref="H202:H204"/>
    <mergeCell ref="I202:I204"/>
    <mergeCell ref="J202:J204"/>
    <mergeCell ref="K202:K204"/>
    <mergeCell ref="L202:L204"/>
    <mergeCell ref="AP202:AP204"/>
    <mergeCell ref="AQ202:AQ204"/>
    <mergeCell ref="AF202:AF204"/>
    <mergeCell ref="AG202:AG204"/>
    <mergeCell ref="AH202:AH204"/>
    <mergeCell ref="AI202:AI204"/>
    <mergeCell ref="AJ202:AJ204"/>
    <mergeCell ref="AK202:AK204"/>
    <mergeCell ref="Z202:Z204"/>
    <mergeCell ref="AA202:AA204"/>
    <mergeCell ref="AB202:AB204"/>
    <mergeCell ref="AC202:AC204"/>
    <mergeCell ref="AD202:AD204"/>
    <mergeCell ref="AE202:AE204"/>
    <mergeCell ref="S202:S204"/>
    <mergeCell ref="T202:T204"/>
    <mergeCell ref="U202:U204"/>
    <mergeCell ref="V202:V204"/>
    <mergeCell ref="W202:W204"/>
    <mergeCell ref="X202:X204"/>
    <mergeCell ref="M202:M204"/>
    <mergeCell ref="N202:N204"/>
    <mergeCell ref="O202:O204"/>
    <mergeCell ref="P202:P204"/>
    <mergeCell ref="Q202:Q204"/>
    <mergeCell ref="R202:R204"/>
    <mergeCell ref="G196:G198"/>
    <mergeCell ref="H196:H198"/>
    <mergeCell ref="I196:I198"/>
    <mergeCell ref="J196:J198"/>
    <mergeCell ref="K196:K198"/>
    <mergeCell ref="L196:L198"/>
    <mergeCell ref="A196:A198"/>
    <mergeCell ref="B196:B198"/>
    <mergeCell ref="C196:C198"/>
    <mergeCell ref="D196:D198"/>
    <mergeCell ref="E196:E198"/>
    <mergeCell ref="F196:F198"/>
    <mergeCell ref="AR193:AR195"/>
    <mergeCell ref="AS193:AS195"/>
    <mergeCell ref="AT193:AT195"/>
    <mergeCell ref="AU193:AU195"/>
    <mergeCell ref="AV193:AV195"/>
    <mergeCell ref="AW193:AW195"/>
    <mergeCell ref="AL193:AL195"/>
    <mergeCell ref="AM193:AM195"/>
    <mergeCell ref="AN193:AN195"/>
    <mergeCell ref="AO193:AO195"/>
    <mergeCell ref="AP193:AP195"/>
    <mergeCell ref="AQ193:AQ195"/>
    <mergeCell ref="AF193:AF195"/>
    <mergeCell ref="AG193:AG195"/>
    <mergeCell ref="AH193:AH195"/>
    <mergeCell ref="AI193:AI195"/>
    <mergeCell ref="AJ193:AJ195"/>
    <mergeCell ref="AK193:AK195"/>
    <mergeCell ref="Z193:Z195"/>
    <mergeCell ref="AA193:AA195"/>
    <mergeCell ref="AB193:AB195"/>
    <mergeCell ref="AC193:AC195"/>
    <mergeCell ref="AD193:AD195"/>
    <mergeCell ref="AE193:AE195"/>
    <mergeCell ref="S193:S195"/>
    <mergeCell ref="T193:T195"/>
    <mergeCell ref="U193:U195"/>
    <mergeCell ref="V193:V195"/>
    <mergeCell ref="W193:W195"/>
    <mergeCell ref="X193:X195"/>
    <mergeCell ref="M193:M195"/>
    <mergeCell ref="N193:N195"/>
    <mergeCell ref="O193:O195"/>
    <mergeCell ref="P193:P195"/>
    <mergeCell ref="Q193:Q195"/>
    <mergeCell ref="R193:R195"/>
    <mergeCell ref="G193:G195"/>
    <mergeCell ref="H193:H195"/>
    <mergeCell ref="I193:I195"/>
    <mergeCell ref="J193:J195"/>
    <mergeCell ref="K193:K195"/>
    <mergeCell ref="L193:L195"/>
    <mergeCell ref="A193:A195"/>
    <mergeCell ref="B193:B195"/>
    <mergeCell ref="C193:C195"/>
    <mergeCell ref="D193:D195"/>
    <mergeCell ref="E193:E195"/>
    <mergeCell ref="F193:F195"/>
    <mergeCell ref="AR196:AR198"/>
    <mergeCell ref="AS196:AS198"/>
    <mergeCell ref="AT196:AT198"/>
    <mergeCell ref="AU196:AU198"/>
    <mergeCell ref="A190:A192"/>
    <mergeCell ref="B190:B192"/>
    <mergeCell ref="C190:C192"/>
    <mergeCell ref="D190:D192"/>
    <mergeCell ref="E190:E192"/>
    <mergeCell ref="F190:F192"/>
    <mergeCell ref="AR187:AR189"/>
    <mergeCell ref="AS187:AS189"/>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S187:S189"/>
    <mergeCell ref="T187:T189"/>
    <mergeCell ref="U187:U189"/>
    <mergeCell ref="V187:V189"/>
    <mergeCell ref="W187:W189"/>
    <mergeCell ref="X187:X189"/>
    <mergeCell ref="M187:M189"/>
    <mergeCell ref="N187:N189"/>
    <mergeCell ref="O187:O189"/>
    <mergeCell ref="P187:P189"/>
    <mergeCell ref="Q187:Q189"/>
    <mergeCell ref="R187:R189"/>
    <mergeCell ref="G187:G189"/>
    <mergeCell ref="H187:H189"/>
    <mergeCell ref="I187:I189"/>
    <mergeCell ref="J187:J189"/>
    <mergeCell ref="K187:K189"/>
    <mergeCell ref="L187:L189"/>
    <mergeCell ref="A187:A189"/>
    <mergeCell ref="B187:B189"/>
    <mergeCell ref="C187:C189"/>
    <mergeCell ref="D187:D189"/>
    <mergeCell ref="E187:E189"/>
    <mergeCell ref="F187:F189"/>
    <mergeCell ref="AR190:AR192"/>
    <mergeCell ref="AS190:AS192"/>
    <mergeCell ref="AT190:AT192"/>
    <mergeCell ref="AU190:AU192"/>
    <mergeCell ref="AV190:AV192"/>
    <mergeCell ref="AW190:AW192"/>
    <mergeCell ref="AL190:AL192"/>
    <mergeCell ref="AM190:AM192"/>
    <mergeCell ref="AN190:AN192"/>
    <mergeCell ref="AO190:AO192"/>
    <mergeCell ref="AV184:AV186"/>
    <mergeCell ref="AW184:AW186"/>
    <mergeCell ref="AL184:AL186"/>
    <mergeCell ref="AM184:AM186"/>
    <mergeCell ref="AN184:AN186"/>
    <mergeCell ref="AO184:AO186"/>
    <mergeCell ref="AP184:AP186"/>
    <mergeCell ref="AQ184:AQ186"/>
    <mergeCell ref="AF184:AF186"/>
    <mergeCell ref="AG184:AG186"/>
    <mergeCell ref="AH184:AH186"/>
    <mergeCell ref="AI184:AI186"/>
    <mergeCell ref="AJ184:AJ186"/>
    <mergeCell ref="AK184:AK186"/>
    <mergeCell ref="Z184:Z186"/>
    <mergeCell ref="AA184:AA186"/>
    <mergeCell ref="AB184:AB186"/>
    <mergeCell ref="AC184:AC186"/>
    <mergeCell ref="AD184:AD186"/>
    <mergeCell ref="AE184:AE186"/>
    <mergeCell ref="S184:S186"/>
    <mergeCell ref="T184:T186"/>
    <mergeCell ref="U184:U186"/>
    <mergeCell ref="V184:V186"/>
    <mergeCell ref="W184:W186"/>
    <mergeCell ref="X184:X186"/>
    <mergeCell ref="M184:M186"/>
    <mergeCell ref="N184:N186"/>
    <mergeCell ref="O184:O186"/>
    <mergeCell ref="P184:P186"/>
    <mergeCell ref="Q184:Q186"/>
    <mergeCell ref="R184:R186"/>
    <mergeCell ref="G190:G192"/>
    <mergeCell ref="H190:H192"/>
    <mergeCell ref="I190:I192"/>
    <mergeCell ref="J190:J192"/>
    <mergeCell ref="K190:K192"/>
    <mergeCell ref="L190:L192"/>
    <mergeCell ref="AP190:AP192"/>
    <mergeCell ref="AQ190:AQ192"/>
    <mergeCell ref="AF190:AF192"/>
    <mergeCell ref="AG190:AG192"/>
    <mergeCell ref="AH190:AH192"/>
    <mergeCell ref="AI190:AI192"/>
    <mergeCell ref="AJ190:AJ192"/>
    <mergeCell ref="AK190:AK192"/>
    <mergeCell ref="Z190:Z192"/>
    <mergeCell ref="AA190:AA192"/>
    <mergeCell ref="AB190:AB192"/>
    <mergeCell ref="AC190:AC192"/>
    <mergeCell ref="AD190:AD192"/>
    <mergeCell ref="AE190:AE192"/>
    <mergeCell ref="S190:S192"/>
    <mergeCell ref="T190:T192"/>
    <mergeCell ref="U190:U192"/>
    <mergeCell ref="V190:V192"/>
    <mergeCell ref="W190:W192"/>
    <mergeCell ref="X190:X192"/>
    <mergeCell ref="M190:M192"/>
    <mergeCell ref="N190:N192"/>
    <mergeCell ref="O190:O192"/>
    <mergeCell ref="P190:P192"/>
    <mergeCell ref="Q190:Q192"/>
    <mergeCell ref="R190:R192"/>
    <mergeCell ref="G184:G186"/>
    <mergeCell ref="H184:H186"/>
    <mergeCell ref="I184:I186"/>
    <mergeCell ref="J184:J186"/>
    <mergeCell ref="K184:K186"/>
    <mergeCell ref="L184:L186"/>
    <mergeCell ref="A184:A186"/>
    <mergeCell ref="B184:B186"/>
    <mergeCell ref="C184:C186"/>
    <mergeCell ref="D184:D186"/>
    <mergeCell ref="E184:E186"/>
    <mergeCell ref="F184:F186"/>
    <mergeCell ref="AR181:AR183"/>
    <mergeCell ref="AS181:AS183"/>
    <mergeCell ref="AT181:AT183"/>
    <mergeCell ref="AU181:AU183"/>
    <mergeCell ref="AV181:AV183"/>
    <mergeCell ref="AW181:AW183"/>
    <mergeCell ref="AL181:AL183"/>
    <mergeCell ref="AM181:AM183"/>
    <mergeCell ref="AN181:AN183"/>
    <mergeCell ref="AO181:AO183"/>
    <mergeCell ref="AP181:AP183"/>
    <mergeCell ref="AQ181:AQ183"/>
    <mergeCell ref="AF181:AF183"/>
    <mergeCell ref="AG181:AG183"/>
    <mergeCell ref="AH181:AH183"/>
    <mergeCell ref="AI181:AI183"/>
    <mergeCell ref="AJ181:AJ183"/>
    <mergeCell ref="AK181:AK183"/>
    <mergeCell ref="Z181:Z183"/>
    <mergeCell ref="AA181:AA183"/>
    <mergeCell ref="AB181:AB183"/>
    <mergeCell ref="AC181:AC183"/>
    <mergeCell ref="AD181:AD183"/>
    <mergeCell ref="AE181:AE183"/>
    <mergeCell ref="S181:S183"/>
    <mergeCell ref="T181:T183"/>
    <mergeCell ref="U181:U183"/>
    <mergeCell ref="V181:V183"/>
    <mergeCell ref="W181:W183"/>
    <mergeCell ref="X181:X183"/>
    <mergeCell ref="M181:M183"/>
    <mergeCell ref="N181:N183"/>
    <mergeCell ref="O181:O183"/>
    <mergeCell ref="P181:P183"/>
    <mergeCell ref="Q181:Q183"/>
    <mergeCell ref="R181:R183"/>
    <mergeCell ref="G181:G183"/>
    <mergeCell ref="H181:H183"/>
    <mergeCell ref="I181:I183"/>
    <mergeCell ref="J181:J183"/>
    <mergeCell ref="K181:K183"/>
    <mergeCell ref="L181:L183"/>
    <mergeCell ref="A181:A183"/>
    <mergeCell ref="B181:B183"/>
    <mergeCell ref="C181:C183"/>
    <mergeCell ref="D181:D183"/>
    <mergeCell ref="E181:E183"/>
    <mergeCell ref="F181:F183"/>
    <mergeCell ref="AR184:AR186"/>
    <mergeCell ref="AS184:AS186"/>
    <mergeCell ref="AT184:AT186"/>
    <mergeCell ref="AU184:AU186"/>
    <mergeCell ref="A178:A180"/>
    <mergeCell ref="B178:B180"/>
    <mergeCell ref="C178:C180"/>
    <mergeCell ref="D178:D180"/>
    <mergeCell ref="E178:E180"/>
    <mergeCell ref="F178:F180"/>
    <mergeCell ref="AR175:AR177"/>
    <mergeCell ref="AS175:AS177"/>
    <mergeCell ref="AT175:AT177"/>
    <mergeCell ref="AU175:AU177"/>
    <mergeCell ref="AV175:AV177"/>
    <mergeCell ref="AW175:AW177"/>
    <mergeCell ref="AL175:AL177"/>
    <mergeCell ref="AM175:AM177"/>
    <mergeCell ref="AN175:AN177"/>
    <mergeCell ref="AO175:AO177"/>
    <mergeCell ref="AP175:AP177"/>
    <mergeCell ref="AQ175:AQ177"/>
    <mergeCell ref="AF175:AF177"/>
    <mergeCell ref="AG175:AG177"/>
    <mergeCell ref="AH175:AH177"/>
    <mergeCell ref="AI175:AI177"/>
    <mergeCell ref="AJ175:AJ177"/>
    <mergeCell ref="AK175:AK177"/>
    <mergeCell ref="Z175:Z177"/>
    <mergeCell ref="AA175:AA177"/>
    <mergeCell ref="AB175:AB177"/>
    <mergeCell ref="AC175:AC177"/>
    <mergeCell ref="AD175:AD177"/>
    <mergeCell ref="AE175:AE177"/>
    <mergeCell ref="S175:S177"/>
    <mergeCell ref="T175:T177"/>
    <mergeCell ref="U175:U177"/>
    <mergeCell ref="V175:V177"/>
    <mergeCell ref="W175:W177"/>
    <mergeCell ref="X175:X177"/>
    <mergeCell ref="M175:M177"/>
    <mergeCell ref="N175:N177"/>
    <mergeCell ref="O175:O177"/>
    <mergeCell ref="P175:P177"/>
    <mergeCell ref="Q175:Q177"/>
    <mergeCell ref="R175:R177"/>
    <mergeCell ref="G175:G177"/>
    <mergeCell ref="H175:H177"/>
    <mergeCell ref="I175:I177"/>
    <mergeCell ref="J175:J177"/>
    <mergeCell ref="K175:K177"/>
    <mergeCell ref="L175:L177"/>
    <mergeCell ref="A175:A177"/>
    <mergeCell ref="B175:B177"/>
    <mergeCell ref="C175:C177"/>
    <mergeCell ref="D175:D177"/>
    <mergeCell ref="E175:E177"/>
    <mergeCell ref="F175:F177"/>
    <mergeCell ref="AR178:AR180"/>
    <mergeCell ref="AS178:AS180"/>
    <mergeCell ref="AT178:AT180"/>
    <mergeCell ref="AU178:AU180"/>
    <mergeCell ref="AV178:AV180"/>
    <mergeCell ref="AW178:AW180"/>
    <mergeCell ref="AL178:AL180"/>
    <mergeCell ref="AM178:AM180"/>
    <mergeCell ref="AN178:AN180"/>
    <mergeCell ref="AO178:AO180"/>
    <mergeCell ref="AV172:AV174"/>
    <mergeCell ref="AW172:AW174"/>
    <mergeCell ref="AL172:AL174"/>
    <mergeCell ref="AM172:AM174"/>
    <mergeCell ref="AN172:AN174"/>
    <mergeCell ref="AO172:AO174"/>
    <mergeCell ref="AP172:AP174"/>
    <mergeCell ref="AQ172:AQ174"/>
    <mergeCell ref="AF172:AF174"/>
    <mergeCell ref="AG172:AG174"/>
    <mergeCell ref="AH172:AH174"/>
    <mergeCell ref="AI172:AI174"/>
    <mergeCell ref="AJ172:AJ174"/>
    <mergeCell ref="AK172:AK174"/>
    <mergeCell ref="Z172:Z174"/>
    <mergeCell ref="AA172:AA174"/>
    <mergeCell ref="AB172:AB174"/>
    <mergeCell ref="AC172:AC174"/>
    <mergeCell ref="AD172:AD174"/>
    <mergeCell ref="AE172:AE174"/>
    <mergeCell ref="S172:S174"/>
    <mergeCell ref="T172:T174"/>
    <mergeCell ref="U172:U174"/>
    <mergeCell ref="V172:V174"/>
    <mergeCell ref="W172:W174"/>
    <mergeCell ref="X172:X174"/>
    <mergeCell ref="M172:M174"/>
    <mergeCell ref="N172:N174"/>
    <mergeCell ref="O172:O174"/>
    <mergeCell ref="P172:P174"/>
    <mergeCell ref="Q172:Q174"/>
    <mergeCell ref="R172:R174"/>
    <mergeCell ref="G178:G180"/>
    <mergeCell ref="H178:H180"/>
    <mergeCell ref="I178:I180"/>
    <mergeCell ref="J178:J180"/>
    <mergeCell ref="K178:K180"/>
    <mergeCell ref="L178:L180"/>
    <mergeCell ref="AP178:AP180"/>
    <mergeCell ref="AQ178:AQ180"/>
    <mergeCell ref="AF178:AF180"/>
    <mergeCell ref="AG178:AG180"/>
    <mergeCell ref="AH178:AH180"/>
    <mergeCell ref="AI178:AI180"/>
    <mergeCell ref="AJ178:AJ180"/>
    <mergeCell ref="AK178:AK180"/>
    <mergeCell ref="Z178:Z180"/>
    <mergeCell ref="AA178:AA180"/>
    <mergeCell ref="AB178:AB180"/>
    <mergeCell ref="AC178:AC180"/>
    <mergeCell ref="AD178:AD180"/>
    <mergeCell ref="AE178:AE180"/>
    <mergeCell ref="S178:S180"/>
    <mergeCell ref="T178:T180"/>
    <mergeCell ref="U178:U180"/>
    <mergeCell ref="V178:V180"/>
    <mergeCell ref="W178:W180"/>
    <mergeCell ref="X178:X180"/>
    <mergeCell ref="M178:M180"/>
    <mergeCell ref="N178:N180"/>
    <mergeCell ref="O178:O180"/>
    <mergeCell ref="P178:P180"/>
    <mergeCell ref="Q178:Q180"/>
    <mergeCell ref="R178:R180"/>
    <mergeCell ref="G172:G174"/>
    <mergeCell ref="H172:H174"/>
    <mergeCell ref="I172:I174"/>
    <mergeCell ref="J172:J174"/>
    <mergeCell ref="K172:K174"/>
    <mergeCell ref="L172:L174"/>
    <mergeCell ref="A172:A174"/>
    <mergeCell ref="B172:B174"/>
    <mergeCell ref="C172:C174"/>
    <mergeCell ref="D172:D174"/>
    <mergeCell ref="E172:E174"/>
    <mergeCell ref="F172:F174"/>
    <mergeCell ref="AR169:AR171"/>
    <mergeCell ref="AS169:AS171"/>
    <mergeCell ref="AT169:AT171"/>
    <mergeCell ref="AU169:AU171"/>
    <mergeCell ref="AV169:AV171"/>
    <mergeCell ref="AW169:AW171"/>
    <mergeCell ref="AL169:AL171"/>
    <mergeCell ref="AM169:AM171"/>
    <mergeCell ref="AN169:AN171"/>
    <mergeCell ref="AO169:AO171"/>
    <mergeCell ref="AP169:AP171"/>
    <mergeCell ref="AQ169:AQ171"/>
    <mergeCell ref="AF169:AF171"/>
    <mergeCell ref="AG169:AG171"/>
    <mergeCell ref="AH169:AH171"/>
    <mergeCell ref="AI169:AI171"/>
    <mergeCell ref="AJ169:AJ171"/>
    <mergeCell ref="AK169:AK171"/>
    <mergeCell ref="Z169:Z171"/>
    <mergeCell ref="AA169:AA171"/>
    <mergeCell ref="AB169:AB171"/>
    <mergeCell ref="AC169:AC171"/>
    <mergeCell ref="AD169:AD171"/>
    <mergeCell ref="AE169:AE171"/>
    <mergeCell ref="S169:S171"/>
    <mergeCell ref="T169:T171"/>
    <mergeCell ref="U169:U171"/>
    <mergeCell ref="V169:V171"/>
    <mergeCell ref="W169:W171"/>
    <mergeCell ref="X169:X171"/>
    <mergeCell ref="M169:M171"/>
    <mergeCell ref="N169:N171"/>
    <mergeCell ref="O169:O171"/>
    <mergeCell ref="P169:P171"/>
    <mergeCell ref="Q169:Q171"/>
    <mergeCell ref="R169:R171"/>
    <mergeCell ref="G169:G171"/>
    <mergeCell ref="H169:H171"/>
    <mergeCell ref="I169:I171"/>
    <mergeCell ref="J169:J171"/>
    <mergeCell ref="K169:K171"/>
    <mergeCell ref="L169:L171"/>
    <mergeCell ref="A169:A171"/>
    <mergeCell ref="B169:B171"/>
    <mergeCell ref="C169:C171"/>
    <mergeCell ref="D169:D171"/>
    <mergeCell ref="E169:E171"/>
    <mergeCell ref="F169:F171"/>
    <mergeCell ref="AR172:AR174"/>
    <mergeCell ref="AS172:AS174"/>
    <mergeCell ref="AT172:AT174"/>
    <mergeCell ref="AU172:AU174"/>
    <mergeCell ref="A166:A168"/>
    <mergeCell ref="B166:B168"/>
    <mergeCell ref="C166:C168"/>
    <mergeCell ref="D166:D168"/>
    <mergeCell ref="E166:E168"/>
    <mergeCell ref="F166:F168"/>
    <mergeCell ref="AR163:AR165"/>
    <mergeCell ref="AS163:AS165"/>
    <mergeCell ref="AT163:AT165"/>
    <mergeCell ref="AU163:AU165"/>
    <mergeCell ref="AV163:AV165"/>
    <mergeCell ref="AW163:AW165"/>
    <mergeCell ref="AL163:AL165"/>
    <mergeCell ref="AM163:AM165"/>
    <mergeCell ref="AN163:AN165"/>
    <mergeCell ref="AO163:AO165"/>
    <mergeCell ref="AP163:AP165"/>
    <mergeCell ref="AQ163:AQ165"/>
    <mergeCell ref="AF163:AF165"/>
    <mergeCell ref="AG163:AG165"/>
    <mergeCell ref="AH163:AH165"/>
    <mergeCell ref="AI163:AI165"/>
    <mergeCell ref="AJ163:AJ165"/>
    <mergeCell ref="AK163:AK165"/>
    <mergeCell ref="Z163:Z165"/>
    <mergeCell ref="AA163:AA165"/>
    <mergeCell ref="AB163:AB165"/>
    <mergeCell ref="AC163:AC165"/>
    <mergeCell ref="AD163:AD165"/>
    <mergeCell ref="AE163:AE165"/>
    <mergeCell ref="S163:S165"/>
    <mergeCell ref="T163:T165"/>
    <mergeCell ref="U163:U165"/>
    <mergeCell ref="V163:V165"/>
    <mergeCell ref="W163:W165"/>
    <mergeCell ref="X163:X165"/>
    <mergeCell ref="M163:M165"/>
    <mergeCell ref="N163:N165"/>
    <mergeCell ref="O163:O165"/>
    <mergeCell ref="P163:P165"/>
    <mergeCell ref="Q163:Q165"/>
    <mergeCell ref="R163:R165"/>
    <mergeCell ref="G163:G165"/>
    <mergeCell ref="H163:H165"/>
    <mergeCell ref="I163:I165"/>
    <mergeCell ref="J163:J165"/>
    <mergeCell ref="K163:K165"/>
    <mergeCell ref="L163:L165"/>
    <mergeCell ref="A163:A165"/>
    <mergeCell ref="B163:B165"/>
    <mergeCell ref="C163:C165"/>
    <mergeCell ref="D163:D165"/>
    <mergeCell ref="E163:E165"/>
    <mergeCell ref="F163:F165"/>
    <mergeCell ref="AR166:AR168"/>
    <mergeCell ref="AS166:AS168"/>
    <mergeCell ref="AT166:AT168"/>
    <mergeCell ref="AU166:AU168"/>
    <mergeCell ref="AV166:AV168"/>
    <mergeCell ref="AW166:AW168"/>
    <mergeCell ref="AL166:AL168"/>
    <mergeCell ref="AM166:AM168"/>
    <mergeCell ref="AN166:AN168"/>
    <mergeCell ref="AO166:AO168"/>
    <mergeCell ref="AV160:AV162"/>
    <mergeCell ref="AW160:AW162"/>
    <mergeCell ref="AL160:AL162"/>
    <mergeCell ref="AM160:AM162"/>
    <mergeCell ref="AN160:AN162"/>
    <mergeCell ref="AO160:AO162"/>
    <mergeCell ref="AP160:AP162"/>
    <mergeCell ref="AQ160:AQ162"/>
    <mergeCell ref="AF160:AF162"/>
    <mergeCell ref="AG160:AG162"/>
    <mergeCell ref="AH160:AH162"/>
    <mergeCell ref="AI160:AI162"/>
    <mergeCell ref="AJ160:AJ162"/>
    <mergeCell ref="AK160:AK162"/>
    <mergeCell ref="Z160:Z162"/>
    <mergeCell ref="AA160:AA162"/>
    <mergeCell ref="AB160:AB162"/>
    <mergeCell ref="AC160:AC162"/>
    <mergeCell ref="AD160:AD162"/>
    <mergeCell ref="AE160:AE162"/>
    <mergeCell ref="S160:S162"/>
    <mergeCell ref="T160:T162"/>
    <mergeCell ref="U160:U162"/>
    <mergeCell ref="V160:V162"/>
    <mergeCell ref="W160:W162"/>
    <mergeCell ref="X160:X162"/>
    <mergeCell ref="M160:M162"/>
    <mergeCell ref="N160:N162"/>
    <mergeCell ref="O160:O162"/>
    <mergeCell ref="P160:P162"/>
    <mergeCell ref="Q160:Q162"/>
    <mergeCell ref="R160:R162"/>
    <mergeCell ref="G166:G168"/>
    <mergeCell ref="H166:H168"/>
    <mergeCell ref="I166:I168"/>
    <mergeCell ref="J166:J168"/>
    <mergeCell ref="K166:K168"/>
    <mergeCell ref="L166:L168"/>
    <mergeCell ref="AP166:AP168"/>
    <mergeCell ref="AQ166:AQ168"/>
    <mergeCell ref="AF166:AF168"/>
    <mergeCell ref="AG166:AG168"/>
    <mergeCell ref="AH166:AH168"/>
    <mergeCell ref="AI166:AI168"/>
    <mergeCell ref="AJ166:AJ168"/>
    <mergeCell ref="AK166:AK168"/>
    <mergeCell ref="Z166:Z168"/>
    <mergeCell ref="AA166:AA168"/>
    <mergeCell ref="AB166:AB168"/>
    <mergeCell ref="AC166:AC168"/>
    <mergeCell ref="AD166:AD168"/>
    <mergeCell ref="AE166:AE168"/>
    <mergeCell ref="S166:S168"/>
    <mergeCell ref="T166:T168"/>
    <mergeCell ref="U166:U168"/>
    <mergeCell ref="V166:V168"/>
    <mergeCell ref="W166:W168"/>
    <mergeCell ref="X166:X168"/>
    <mergeCell ref="M166:M168"/>
    <mergeCell ref="N166:N168"/>
    <mergeCell ref="O166:O168"/>
    <mergeCell ref="P166:P168"/>
    <mergeCell ref="Q166:Q168"/>
    <mergeCell ref="R166:R168"/>
    <mergeCell ref="G160:G162"/>
    <mergeCell ref="H160:H162"/>
    <mergeCell ref="I160:I162"/>
    <mergeCell ref="J160:J162"/>
    <mergeCell ref="K160:K162"/>
    <mergeCell ref="L160:L162"/>
    <mergeCell ref="A160:A162"/>
    <mergeCell ref="B160:B162"/>
    <mergeCell ref="C160:C162"/>
    <mergeCell ref="D160:D162"/>
    <mergeCell ref="E160:E162"/>
    <mergeCell ref="F160:F162"/>
    <mergeCell ref="AR157:AR159"/>
    <mergeCell ref="AS157:AS159"/>
    <mergeCell ref="AT157:AT159"/>
    <mergeCell ref="AU157:AU159"/>
    <mergeCell ref="AV157:AV159"/>
    <mergeCell ref="AW157:AW159"/>
    <mergeCell ref="AL157:AL159"/>
    <mergeCell ref="AM157:AM159"/>
    <mergeCell ref="AN157:AN159"/>
    <mergeCell ref="AO157:AO159"/>
    <mergeCell ref="AP157:AP159"/>
    <mergeCell ref="AQ157:AQ159"/>
    <mergeCell ref="AF157:AF159"/>
    <mergeCell ref="AG157:AG159"/>
    <mergeCell ref="AH157:AH159"/>
    <mergeCell ref="AI157:AI159"/>
    <mergeCell ref="AJ157:AJ159"/>
    <mergeCell ref="AK157:AK159"/>
    <mergeCell ref="Z157:Z159"/>
    <mergeCell ref="AA157:AA159"/>
    <mergeCell ref="AB157:AB159"/>
    <mergeCell ref="AC157:AC159"/>
    <mergeCell ref="AD157:AD159"/>
    <mergeCell ref="AE157:AE159"/>
    <mergeCell ref="S157:S159"/>
    <mergeCell ref="T157:T159"/>
    <mergeCell ref="U157:U159"/>
    <mergeCell ref="V157:V159"/>
    <mergeCell ref="W157:W159"/>
    <mergeCell ref="X157:X159"/>
    <mergeCell ref="M157:M159"/>
    <mergeCell ref="N157:N159"/>
    <mergeCell ref="O157:O159"/>
    <mergeCell ref="P157:P159"/>
    <mergeCell ref="Q157:Q159"/>
    <mergeCell ref="R157:R159"/>
    <mergeCell ref="G157:G159"/>
    <mergeCell ref="H157:H159"/>
    <mergeCell ref="I157:I159"/>
    <mergeCell ref="J157:J159"/>
    <mergeCell ref="K157:K159"/>
    <mergeCell ref="L157:L159"/>
    <mergeCell ref="A157:A159"/>
    <mergeCell ref="B157:B159"/>
    <mergeCell ref="C157:C159"/>
    <mergeCell ref="D157:D159"/>
    <mergeCell ref="E157:E159"/>
    <mergeCell ref="F157:F159"/>
    <mergeCell ref="AR160:AR162"/>
    <mergeCell ref="AS160:AS162"/>
    <mergeCell ref="AT160:AT162"/>
    <mergeCell ref="AU160:AU162"/>
    <mergeCell ref="A154:A156"/>
    <mergeCell ref="B154:B156"/>
    <mergeCell ref="C154:C156"/>
    <mergeCell ref="D154:D156"/>
    <mergeCell ref="E154:E156"/>
    <mergeCell ref="F154:F156"/>
    <mergeCell ref="AR151:AR153"/>
    <mergeCell ref="AS151:AS153"/>
    <mergeCell ref="AT151:AT153"/>
    <mergeCell ref="AU151:AU153"/>
    <mergeCell ref="AV151:AV153"/>
    <mergeCell ref="AW151:AW153"/>
    <mergeCell ref="AL151:AL153"/>
    <mergeCell ref="AM151:AM153"/>
    <mergeCell ref="AN151:AN153"/>
    <mergeCell ref="AO151:AO153"/>
    <mergeCell ref="AP151:AP153"/>
    <mergeCell ref="AQ151:AQ153"/>
    <mergeCell ref="AF151:AF153"/>
    <mergeCell ref="AG151:AG153"/>
    <mergeCell ref="AH151:AH153"/>
    <mergeCell ref="AI151:AI153"/>
    <mergeCell ref="AJ151:AJ153"/>
    <mergeCell ref="AK151:AK153"/>
    <mergeCell ref="Z151:Z153"/>
    <mergeCell ref="AA151:AA153"/>
    <mergeCell ref="AB151:AB153"/>
    <mergeCell ref="AC151:AC153"/>
    <mergeCell ref="AD151:AD153"/>
    <mergeCell ref="AE151:AE153"/>
    <mergeCell ref="S151:S153"/>
    <mergeCell ref="T151:T153"/>
    <mergeCell ref="U151:U153"/>
    <mergeCell ref="V151:V153"/>
    <mergeCell ref="W151:W153"/>
    <mergeCell ref="X151:X153"/>
    <mergeCell ref="M151:M153"/>
    <mergeCell ref="N151:N153"/>
    <mergeCell ref="O151:O153"/>
    <mergeCell ref="P151:P153"/>
    <mergeCell ref="Q151:Q153"/>
    <mergeCell ref="R151:R153"/>
    <mergeCell ref="G151:G153"/>
    <mergeCell ref="H151:H153"/>
    <mergeCell ref="I151:I153"/>
    <mergeCell ref="J151:J153"/>
    <mergeCell ref="K151:K153"/>
    <mergeCell ref="L151:L153"/>
    <mergeCell ref="A151:A153"/>
    <mergeCell ref="B151:B153"/>
    <mergeCell ref="C151:C153"/>
    <mergeCell ref="D151:D153"/>
    <mergeCell ref="E151:E153"/>
    <mergeCell ref="F151:F153"/>
    <mergeCell ref="AR154:AR156"/>
    <mergeCell ref="AS154:AS156"/>
    <mergeCell ref="AT154:AT156"/>
    <mergeCell ref="AU154:AU156"/>
    <mergeCell ref="AV154:AV156"/>
    <mergeCell ref="AW154:AW156"/>
    <mergeCell ref="AL154:AL156"/>
    <mergeCell ref="AM154:AM156"/>
    <mergeCell ref="AN154:AN156"/>
    <mergeCell ref="AO154:AO156"/>
    <mergeCell ref="AV148:AV150"/>
    <mergeCell ref="AW148:AW150"/>
    <mergeCell ref="AL148:AL150"/>
    <mergeCell ref="AM148:AM150"/>
    <mergeCell ref="AN148:AN150"/>
    <mergeCell ref="AO148:AO150"/>
    <mergeCell ref="AP148:AP150"/>
    <mergeCell ref="AQ148:AQ150"/>
    <mergeCell ref="AF148:AF150"/>
    <mergeCell ref="AG148:AG150"/>
    <mergeCell ref="AH148:AH150"/>
    <mergeCell ref="AI148:AI150"/>
    <mergeCell ref="AJ148:AJ150"/>
    <mergeCell ref="AK148:AK150"/>
    <mergeCell ref="Z148:Z150"/>
    <mergeCell ref="AA148:AA150"/>
    <mergeCell ref="AB148:AB150"/>
    <mergeCell ref="AC148:AC150"/>
    <mergeCell ref="AD148:AD150"/>
    <mergeCell ref="AE148:AE150"/>
    <mergeCell ref="S148:S150"/>
    <mergeCell ref="T148:T150"/>
    <mergeCell ref="U148:U150"/>
    <mergeCell ref="V148:V150"/>
    <mergeCell ref="W148:W150"/>
    <mergeCell ref="X148:X150"/>
    <mergeCell ref="M148:M150"/>
    <mergeCell ref="N148:N150"/>
    <mergeCell ref="O148:O150"/>
    <mergeCell ref="P148:P150"/>
    <mergeCell ref="Q148:Q150"/>
    <mergeCell ref="R148:R150"/>
    <mergeCell ref="G154:G156"/>
    <mergeCell ref="H154:H156"/>
    <mergeCell ref="I154:I156"/>
    <mergeCell ref="J154:J156"/>
    <mergeCell ref="K154:K156"/>
    <mergeCell ref="L154:L156"/>
    <mergeCell ref="AP154:AP156"/>
    <mergeCell ref="AQ154:AQ156"/>
    <mergeCell ref="AF154:AF156"/>
    <mergeCell ref="AG154:AG156"/>
    <mergeCell ref="AH154:AH156"/>
    <mergeCell ref="AI154:AI156"/>
    <mergeCell ref="AJ154:AJ156"/>
    <mergeCell ref="AK154:AK156"/>
    <mergeCell ref="Z154:Z156"/>
    <mergeCell ref="AA154:AA156"/>
    <mergeCell ref="AB154:AB156"/>
    <mergeCell ref="AC154:AC156"/>
    <mergeCell ref="AD154:AD156"/>
    <mergeCell ref="AE154:AE156"/>
    <mergeCell ref="S154:S156"/>
    <mergeCell ref="T154:T156"/>
    <mergeCell ref="U154:U156"/>
    <mergeCell ref="V154:V156"/>
    <mergeCell ref="W154:W156"/>
    <mergeCell ref="X154:X156"/>
    <mergeCell ref="M154:M156"/>
    <mergeCell ref="N154:N156"/>
    <mergeCell ref="O154:O156"/>
    <mergeCell ref="P154:P156"/>
    <mergeCell ref="Q154:Q156"/>
    <mergeCell ref="R154:R156"/>
    <mergeCell ref="G148:G150"/>
    <mergeCell ref="H148:H150"/>
    <mergeCell ref="I148:I150"/>
    <mergeCell ref="J148:J150"/>
    <mergeCell ref="K148:K150"/>
    <mergeCell ref="L148:L150"/>
    <mergeCell ref="A148:A150"/>
    <mergeCell ref="B148:B150"/>
    <mergeCell ref="C148:C150"/>
    <mergeCell ref="D148:D150"/>
    <mergeCell ref="E148:E150"/>
    <mergeCell ref="F148:F150"/>
    <mergeCell ref="AR145:AR147"/>
    <mergeCell ref="AS145:AS147"/>
    <mergeCell ref="AT145:AT147"/>
    <mergeCell ref="AU145:AU147"/>
    <mergeCell ref="AV145:AV147"/>
    <mergeCell ref="AW145:AW147"/>
    <mergeCell ref="AL145:AL147"/>
    <mergeCell ref="AM145:AM147"/>
    <mergeCell ref="AN145:AN147"/>
    <mergeCell ref="AO145:AO147"/>
    <mergeCell ref="AP145:AP147"/>
    <mergeCell ref="AQ145:AQ147"/>
    <mergeCell ref="AF145:AF147"/>
    <mergeCell ref="AG145:AG147"/>
    <mergeCell ref="AH145:AH147"/>
    <mergeCell ref="AI145:AI147"/>
    <mergeCell ref="AJ145:AJ147"/>
    <mergeCell ref="AK145:AK147"/>
    <mergeCell ref="Z145:Z147"/>
    <mergeCell ref="AA145:AA147"/>
    <mergeCell ref="AB145:AB147"/>
    <mergeCell ref="AC145:AC147"/>
    <mergeCell ref="AD145:AD147"/>
    <mergeCell ref="AE145:AE147"/>
    <mergeCell ref="S145:S147"/>
    <mergeCell ref="T145:T147"/>
    <mergeCell ref="U145:U147"/>
    <mergeCell ref="V145:V147"/>
    <mergeCell ref="W145:W147"/>
    <mergeCell ref="X145:X147"/>
    <mergeCell ref="M145:M147"/>
    <mergeCell ref="N145:N147"/>
    <mergeCell ref="O145:O147"/>
    <mergeCell ref="P145:P147"/>
    <mergeCell ref="Q145:Q147"/>
    <mergeCell ref="R145:R147"/>
    <mergeCell ref="G145:G147"/>
    <mergeCell ref="H145:H147"/>
    <mergeCell ref="I145:I147"/>
    <mergeCell ref="J145:J147"/>
    <mergeCell ref="K145:K147"/>
    <mergeCell ref="L145:L147"/>
    <mergeCell ref="A145:A147"/>
    <mergeCell ref="B145:B147"/>
    <mergeCell ref="C145:C147"/>
    <mergeCell ref="D145:D147"/>
    <mergeCell ref="E145:E147"/>
    <mergeCell ref="F145:F147"/>
    <mergeCell ref="AR148:AR150"/>
    <mergeCell ref="AS148:AS150"/>
    <mergeCell ref="AT148:AT150"/>
    <mergeCell ref="AU148:AU150"/>
    <mergeCell ref="A142:A144"/>
    <mergeCell ref="B142:B144"/>
    <mergeCell ref="C142:C144"/>
    <mergeCell ref="D142:D144"/>
    <mergeCell ref="E142:E144"/>
    <mergeCell ref="F142:F144"/>
    <mergeCell ref="AR139:AR141"/>
    <mergeCell ref="AS139:AS141"/>
    <mergeCell ref="AT139:AT141"/>
    <mergeCell ref="AU139:AU141"/>
    <mergeCell ref="AV139:AV141"/>
    <mergeCell ref="AW139:AW141"/>
    <mergeCell ref="AL139:AL141"/>
    <mergeCell ref="AM139:AM141"/>
    <mergeCell ref="AN139:AN141"/>
    <mergeCell ref="AO139:AO141"/>
    <mergeCell ref="AP139:AP141"/>
    <mergeCell ref="AQ139:AQ141"/>
    <mergeCell ref="AF139:AF141"/>
    <mergeCell ref="AG139:AG141"/>
    <mergeCell ref="AH139:AH141"/>
    <mergeCell ref="AI139:AI141"/>
    <mergeCell ref="AJ139:AJ141"/>
    <mergeCell ref="AK139:AK141"/>
    <mergeCell ref="Z139:Z141"/>
    <mergeCell ref="AA139:AA141"/>
    <mergeCell ref="AB139:AB141"/>
    <mergeCell ref="AC139:AC141"/>
    <mergeCell ref="AD139:AD141"/>
    <mergeCell ref="AE139:AE141"/>
    <mergeCell ref="S139:S141"/>
    <mergeCell ref="T139:T141"/>
    <mergeCell ref="U139:U141"/>
    <mergeCell ref="V139:V141"/>
    <mergeCell ref="W139:W141"/>
    <mergeCell ref="X139:X141"/>
    <mergeCell ref="M139:M141"/>
    <mergeCell ref="N139:N141"/>
    <mergeCell ref="O139:O141"/>
    <mergeCell ref="P139:P141"/>
    <mergeCell ref="Q139:Q141"/>
    <mergeCell ref="R139:R141"/>
    <mergeCell ref="G139:G141"/>
    <mergeCell ref="H139:H141"/>
    <mergeCell ref="I139:I141"/>
    <mergeCell ref="J139:J141"/>
    <mergeCell ref="K139:K141"/>
    <mergeCell ref="L139:L141"/>
    <mergeCell ref="A139:A141"/>
    <mergeCell ref="B139:B141"/>
    <mergeCell ref="C139:C141"/>
    <mergeCell ref="D139:D141"/>
    <mergeCell ref="E139:E141"/>
    <mergeCell ref="F139:F141"/>
    <mergeCell ref="AR142:AR144"/>
    <mergeCell ref="AS142:AS144"/>
    <mergeCell ref="AT142:AT144"/>
    <mergeCell ref="AU142:AU144"/>
    <mergeCell ref="AV142:AV144"/>
    <mergeCell ref="AW142:AW144"/>
    <mergeCell ref="AL142:AL144"/>
    <mergeCell ref="AM142:AM144"/>
    <mergeCell ref="AN142:AN144"/>
    <mergeCell ref="AO142:AO144"/>
    <mergeCell ref="AV136:AV138"/>
    <mergeCell ref="AW136:AW138"/>
    <mergeCell ref="AL136:AL138"/>
    <mergeCell ref="AM136:AM138"/>
    <mergeCell ref="AN136:AN138"/>
    <mergeCell ref="AO136:AO138"/>
    <mergeCell ref="AP136:AP138"/>
    <mergeCell ref="AQ136:AQ138"/>
    <mergeCell ref="AF136:AF138"/>
    <mergeCell ref="AG136:AG138"/>
    <mergeCell ref="AH136:AH138"/>
    <mergeCell ref="AI136:AI138"/>
    <mergeCell ref="AJ136:AJ138"/>
    <mergeCell ref="AK136:AK138"/>
    <mergeCell ref="Z136:Z138"/>
    <mergeCell ref="AA136:AA138"/>
    <mergeCell ref="AB136:AB138"/>
    <mergeCell ref="AC136:AC138"/>
    <mergeCell ref="AD136:AD138"/>
    <mergeCell ref="AE136:AE138"/>
    <mergeCell ref="S136:S138"/>
    <mergeCell ref="T136:T138"/>
    <mergeCell ref="U136:U138"/>
    <mergeCell ref="V136:V138"/>
    <mergeCell ref="W136:W138"/>
    <mergeCell ref="X136:X138"/>
    <mergeCell ref="M136:M138"/>
    <mergeCell ref="N136:N138"/>
    <mergeCell ref="O136:O138"/>
    <mergeCell ref="P136:P138"/>
    <mergeCell ref="Q136:Q138"/>
    <mergeCell ref="R136:R138"/>
    <mergeCell ref="G142:G144"/>
    <mergeCell ref="H142:H144"/>
    <mergeCell ref="I142:I144"/>
    <mergeCell ref="J142:J144"/>
    <mergeCell ref="K142:K144"/>
    <mergeCell ref="L142:L144"/>
    <mergeCell ref="AP142:AP144"/>
    <mergeCell ref="AQ142:AQ144"/>
    <mergeCell ref="AF142:AF144"/>
    <mergeCell ref="AG142:AG144"/>
    <mergeCell ref="AH142:AH144"/>
    <mergeCell ref="AI142:AI144"/>
    <mergeCell ref="AJ142:AJ144"/>
    <mergeCell ref="AK142:AK144"/>
    <mergeCell ref="Z142:Z144"/>
    <mergeCell ref="AA142:AA144"/>
    <mergeCell ref="AB142:AB144"/>
    <mergeCell ref="AC142:AC144"/>
    <mergeCell ref="AD142:AD144"/>
    <mergeCell ref="AE142:AE144"/>
    <mergeCell ref="S142:S144"/>
    <mergeCell ref="T142:T144"/>
    <mergeCell ref="U142:U144"/>
    <mergeCell ref="V142:V144"/>
    <mergeCell ref="W142:W144"/>
    <mergeCell ref="X142:X144"/>
    <mergeCell ref="M142:M144"/>
    <mergeCell ref="N142:N144"/>
    <mergeCell ref="O142:O144"/>
    <mergeCell ref="P142:P144"/>
    <mergeCell ref="Q142:Q144"/>
    <mergeCell ref="R142:R144"/>
    <mergeCell ref="G136:G138"/>
    <mergeCell ref="H136:H138"/>
    <mergeCell ref="I136:I138"/>
    <mergeCell ref="J136:J138"/>
    <mergeCell ref="K136:K138"/>
    <mergeCell ref="L136:L138"/>
    <mergeCell ref="A136:A138"/>
    <mergeCell ref="B136:B138"/>
    <mergeCell ref="C136:C138"/>
    <mergeCell ref="D136:D138"/>
    <mergeCell ref="E136:E138"/>
    <mergeCell ref="F136:F138"/>
    <mergeCell ref="AR133:AR135"/>
    <mergeCell ref="AS133:AS135"/>
    <mergeCell ref="AT133:AT135"/>
    <mergeCell ref="AU133:AU135"/>
    <mergeCell ref="AV133:AV135"/>
    <mergeCell ref="AW133:AW135"/>
    <mergeCell ref="AL133:AL135"/>
    <mergeCell ref="AM133:AM135"/>
    <mergeCell ref="AN133:AN135"/>
    <mergeCell ref="AO133:AO135"/>
    <mergeCell ref="AP133:AP135"/>
    <mergeCell ref="AQ133:AQ135"/>
    <mergeCell ref="AF133:AF135"/>
    <mergeCell ref="AG133:AG135"/>
    <mergeCell ref="AH133:AH135"/>
    <mergeCell ref="AI133:AI135"/>
    <mergeCell ref="AJ133:AJ135"/>
    <mergeCell ref="AK133:AK135"/>
    <mergeCell ref="Z133:Z135"/>
    <mergeCell ref="AA133:AA135"/>
    <mergeCell ref="AB133:AB135"/>
    <mergeCell ref="AC133:AC135"/>
    <mergeCell ref="AD133:AD135"/>
    <mergeCell ref="AE133:AE135"/>
    <mergeCell ref="S133:S135"/>
    <mergeCell ref="T133:T135"/>
    <mergeCell ref="U133:U135"/>
    <mergeCell ref="V133:V135"/>
    <mergeCell ref="W133:W135"/>
    <mergeCell ref="X133:X135"/>
    <mergeCell ref="M133:M135"/>
    <mergeCell ref="N133:N135"/>
    <mergeCell ref="O133:O135"/>
    <mergeCell ref="P133:P135"/>
    <mergeCell ref="Q133:Q135"/>
    <mergeCell ref="R133:R135"/>
    <mergeCell ref="G133:G135"/>
    <mergeCell ref="H133:H135"/>
    <mergeCell ref="I133:I135"/>
    <mergeCell ref="J133:J135"/>
    <mergeCell ref="K133:K135"/>
    <mergeCell ref="L133:L135"/>
    <mergeCell ref="A133:A135"/>
    <mergeCell ref="B133:B135"/>
    <mergeCell ref="C133:C135"/>
    <mergeCell ref="D133:D135"/>
    <mergeCell ref="E133:E135"/>
    <mergeCell ref="F133:F135"/>
    <mergeCell ref="AR136:AR138"/>
    <mergeCell ref="AS136:AS138"/>
    <mergeCell ref="AT136:AT138"/>
    <mergeCell ref="AU136:AU138"/>
    <mergeCell ref="A130:A132"/>
    <mergeCell ref="B130:B132"/>
    <mergeCell ref="C130:C132"/>
    <mergeCell ref="D130:D132"/>
    <mergeCell ref="E130:E132"/>
    <mergeCell ref="F130:F132"/>
    <mergeCell ref="AR127:AR129"/>
    <mergeCell ref="AS127:AS129"/>
    <mergeCell ref="AT127:AT129"/>
    <mergeCell ref="AU127:AU129"/>
    <mergeCell ref="AV127:AV129"/>
    <mergeCell ref="AW127:AW129"/>
    <mergeCell ref="AL127:AL129"/>
    <mergeCell ref="AM127:AM129"/>
    <mergeCell ref="AN127:AN129"/>
    <mergeCell ref="AO127:AO129"/>
    <mergeCell ref="AP127:AP129"/>
    <mergeCell ref="AQ127:AQ129"/>
    <mergeCell ref="AF127:AF129"/>
    <mergeCell ref="AG127:AG129"/>
    <mergeCell ref="AH127:AH129"/>
    <mergeCell ref="AI127:AI129"/>
    <mergeCell ref="AJ127:AJ129"/>
    <mergeCell ref="AK127:AK129"/>
    <mergeCell ref="Z127:Z129"/>
    <mergeCell ref="AA127:AA129"/>
    <mergeCell ref="AB127:AB129"/>
    <mergeCell ref="AC127:AC129"/>
    <mergeCell ref="AD127:AD129"/>
    <mergeCell ref="AE127:AE129"/>
    <mergeCell ref="S127:S129"/>
    <mergeCell ref="T127:T129"/>
    <mergeCell ref="U127:U129"/>
    <mergeCell ref="V127:V129"/>
    <mergeCell ref="W127:W129"/>
    <mergeCell ref="X127:X129"/>
    <mergeCell ref="M127:M129"/>
    <mergeCell ref="N127:N129"/>
    <mergeCell ref="O127:O129"/>
    <mergeCell ref="P127:P129"/>
    <mergeCell ref="Q127:Q129"/>
    <mergeCell ref="R127:R129"/>
    <mergeCell ref="G127:G129"/>
    <mergeCell ref="H127:H129"/>
    <mergeCell ref="I127:I129"/>
    <mergeCell ref="J127:J129"/>
    <mergeCell ref="K127:K129"/>
    <mergeCell ref="L127:L129"/>
    <mergeCell ref="A127:A129"/>
    <mergeCell ref="B127:B129"/>
    <mergeCell ref="C127:C129"/>
    <mergeCell ref="D127:D129"/>
    <mergeCell ref="E127:E129"/>
    <mergeCell ref="F127:F129"/>
    <mergeCell ref="AR130:AR132"/>
    <mergeCell ref="AS130:AS132"/>
    <mergeCell ref="AT130:AT132"/>
    <mergeCell ref="AU130:AU132"/>
    <mergeCell ref="AV130:AV132"/>
    <mergeCell ref="AW130:AW132"/>
    <mergeCell ref="AL130:AL132"/>
    <mergeCell ref="AM130:AM132"/>
    <mergeCell ref="AN130:AN132"/>
    <mergeCell ref="AO130:AO132"/>
    <mergeCell ref="AV124:AV126"/>
    <mergeCell ref="AW124:AW126"/>
    <mergeCell ref="AL124:AL126"/>
    <mergeCell ref="AM124:AM126"/>
    <mergeCell ref="AN124:AN126"/>
    <mergeCell ref="AO124:AO126"/>
    <mergeCell ref="AP124:AP126"/>
    <mergeCell ref="AQ124:AQ126"/>
    <mergeCell ref="AF124:AF126"/>
    <mergeCell ref="AG124:AG126"/>
    <mergeCell ref="AH124:AH126"/>
    <mergeCell ref="AI124:AI126"/>
    <mergeCell ref="AJ124:AJ126"/>
    <mergeCell ref="AK124:AK126"/>
    <mergeCell ref="Z124:Z126"/>
    <mergeCell ref="AA124:AA126"/>
    <mergeCell ref="AB124:AB126"/>
    <mergeCell ref="AC124:AC126"/>
    <mergeCell ref="AD124:AD126"/>
    <mergeCell ref="AE124:AE126"/>
    <mergeCell ref="S124:S126"/>
    <mergeCell ref="T124:T126"/>
    <mergeCell ref="U124:U126"/>
    <mergeCell ref="V124:V126"/>
    <mergeCell ref="W124:W126"/>
    <mergeCell ref="X124:X126"/>
    <mergeCell ref="M124:M126"/>
    <mergeCell ref="N124:N126"/>
    <mergeCell ref="O124:O126"/>
    <mergeCell ref="P124:P126"/>
    <mergeCell ref="Q124:Q126"/>
    <mergeCell ref="R124:R126"/>
    <mergeCell ref="G130:G132"/>
    <mergeCell ref="H130:H132"/>
    <mergeCell ref="I130:I132"/>
    <mergeCell ref="J130:J132"/>
    <mergeCell ref="K130:K132"/>
    <mergeCell ref="L130:L132"/>
    <mergeCell ref="AP130:AP132"/>
    <mergeCell ref="AQ130:AQ132"/>
    <mergeCell ref="AF130:AF132"/>
    <mergeCell ref="AG130:AG132"/>
    <mergeCell ref="AH130:AH132"/>
    <mergeCell ref="AI130:AI132"/>
    <mergeCell ref="AJ130:AJ132"/>
    <mergeCell ref="AK130:AK132"/>
    <mergeCell ref="Z130:Z132"/>
    <mergeCell ref="AA130:AA132"/>
    <mergeCell ref="AB130:AB132"/>
    <mergeCell ref="AC130:AC132"/>
    <mergeCell ref="AD130:AD132"/>
    <mergeCell ref="AE130:AE132"/>
    <mergeCell ref="S130:S132"/>
    <mergeCell ref="T130:T132"/>
    <mergeCell ref="U130:U132"/>
    <mergeCell ref="V130:V132"/>
    <mergeCell ref="W130:W132"/>
    <mergeCell ref="X130:X132"/>
    <mergeCell ref="M130:M132"/>
    <mergeCell ref="N130:N132"/>
    <mergeCell ref="O130:O132"/>
    <mergeCell ref="P130:P132"/>
    <mergeCell ref="Q130:Q132"/>
    <mergeCell ref="R130:R132"/>
    <mergeCell ref="G124:G126"/>
    <mergeCell ref="H124:H126"/>
    <mergeCell ref="I124:I126"/>
    <mergeCell ref="J124:J126"/>
    <mergeCell ref="K124:K126"/>
    <mergeCell ref="L124:L126"/>
    <mergeCell ref="A124:A126"/>
    <mergeCell ref="B124:B126"/>
    <mergeCell ref="C124:C126"/>
    <mergeCell ref="D124:D126"/>
    <mergeCell ref="E124:E126"/>
    <mergeCell ref="F124:F126"/>
    <mergeCell ref="AR121:AR123"/>
    <mergeCell ref="AS121:AS123"/>
    <mergeCell ref="AT121:AT123"/>
    <mergeCell ref="AU121:AU123"/>
    <mergeCell ref="AV121:AV123"/>
    <mergeCell ref="AW121:AW123"/>
    <mergeCell ref="AL121:AL123"/>
    <mergeCell ref="AM121:AM123"/>
    <mergeCell ref="AN121:AN123"/>
    <mergeCell ref="AO121:AO123"/>
    <mergeCell ref="AP121:AP123"/>
    <mergeCell ref="AQ121:AQ123"/>
    <mergeCell ref="AF121:AF123"/>
    <mergeCell ref="AG121:AG123"/>
    <mergeCell ref="AH121:AH123"/>
    <mergeCell ref="AI121:AI123"/>
    <mergeCell ref="AJ121:AJ123"/>
    <mergeCell ref="AK121:AK123"/>
    <mergeCell ref="Z121:Z123"/>
    <mergeCell ref="AA121:AA123"/>
    <mergeCell ref="AB121:AB123"/>
    <mergeCell ref="AC121:AC123"/>
    <mergeCell ref="AD121:AD123"/>
    <mergeCell ref="AE121:AE123"/>
    <mergeCell ref="S121:S123"/>
    <mergeCell ref="T121:T123"/>
    <mergeCell ref="U121:U123"/>
    <mergeCell ref="V121:V123"/>
    <mergeCell ref="W121:W123"/>
    <mergeCell ref="X121:X123"/>
    <mergeCell ref="M121:M123"/>
    <mergeCell ref="N121:N123"/>
    <mergeCell ref="O121:O123"/>
    <mergeCell ref="P121:P123"/>
    <mergeCell ref="Q121:Q123"/>
    <mergeCell ref="R121:R123"/>
    <mergeCell ref="G121:G123"/>
    <mergeCell ref="H121:H123"/>
    <mergeCell ref="I121:I123"/>
    <mergeCell ref="J121:J123"/>
    <mergeCell ref="K121:K123"/>
    <mergeCell ref="L121:L123"/>
    <mergeCell ref="A121:A123"/>
    <mergeCell ref="B121:B123"/>
    <mergeCell ref="C121:C123"/>
    <mergeCell ref="D121:D123"/>
    <mergeCell ref="E121:E123"/>
    <mergeCell ref="F121:F123"/>
    <mergeCell ref="AR124:AR126"/>
    <mergeCell ref="AS124:AS126"/>
    <mergeCell ref="AT124:AT126"/>
    <mergeCell ref="AU124:AU126"/>
    <mergeCell ref="AR118:AR120"/>
    <mergeCell ref="AS118:AS120"/>
    <mergeCell ref="AT118:AT120"/>
    <mergeCell ref="AU118:AU120"/>
    <mergeCell ref="AV118:AV120"/>
    <mergeCell ref="AW118:AW120"/>
    <mergeCell ref="AL118:AL120"/>
    <mergeCell ref="AM118:AM120"/>
    <mergeCell ref="AN118:AN120"/>
    <mergeCell ref="AO118:AO120"/>
    <mergeCell ref="AP118:AP120"/>
    <mergeCell ref="AQ118:AQ120"/>
    <mergeCell ref="AF118:AF120"/>
    <mergeCell ref="AG118:AG120"/>
    <mergeCell ref="AH118:AH120"/>
    <mergeCell ref="AI118:AI120"/>
    <mergeCell ref="AJ118:AJ120"/>
    <mergeCell ref="AK118:AK120"/>
    <mergeCell ref="Z118:Z120"/>
    <mergeCell ref="AA118:AA120"/>
    <mergeCell ref="AB118:AB120"/>
    <mergeCell ref="AC118:AC120"/>
    <mergeCell ref="AD118:AD120"/>
    <mergeCell ref="AE118:AE120"/>
    <mergeCell ref="S118:S120"/>
    <mergeCell ref="T118:T120"/>
    <mergeCell ref="U118:U120"/>
    <mergeCell ref="V118:V120"/>
    <mergeCell ref="W118:W120"/>
    <mergeCell ref="X118:X120"/>
    <mergeCell ref="M118:M120"/>
    <mergeCell ref="N118:N120"/>
    <mergeCell ref="O118:O120"/>
    <mergeCell ref="P118:P120"/>
    <mergeCell ref="Q118:Q120"/>
    <mergeCell ref="R118:R120"/>
    <mergeCell ref="AR115:AR117"/>
    <mergeCell ref="AS115:AS117"/>
    <mergeCell ref="AT115:AT117"/>
    <mergeCell ref="AU115:AU117"/>
    <mergeCell ref="AV115:AV117"/>
    <mergeCell ref="AW115:AW117"/>
    <mergeCell ref="AL115:AL117"/>
    <mergeCell ref="AM115:AM117"/>
    <mergeCell ref="AN115:AN117"/>
    <mergeCell ref="AO115:AO117"/>
    <mergeCell ref="AP115:AP117"/>
    <mergeCell ref="AQ115:AQ117"/>
    <mergeCell ref="AF115:AF117"/>
    <mergeCell ref="AG115:AG117"/>
    <mergeCell ref="AH115:AH117"/>
    <mergeCell ref="AI115:AI117"/>
    <mergeCell ref="AJ115:AJ117"/>
    <mergeCell ref="AK115:AK117"/>
    <mergeCell ref="Z115:Z117"/>
    <mergeCell ref="AA115:AA117"/>
    <mergeCell ref="AB115:AB117"/>
    <mergeCell ref="AC115:AC117"/>
    <mergeCell ref="AD115:AD117"/>
    <mergeCell ref="AE115:AE117"/>
    <mergeCell ref="S115:S117"/>
    <mergeCell ref="T115:T117"/>
    <mergeCell ref="U115:U117"/>
    <mergeCell ref="V115:V117"/>
    <mergeCell ref="W115:W117"/>
    <mergeCell ref="X115:X117"/>
    <mergeCell ref="M115:M117"/>
    <mergeCell ref="N115:N117"/>
    <mergeCell ref="O115:O117"/>
    <mergeCell ref="P115:P117"/>
    <mergeCell ref="Q115:Q117"/>
    <mergeCell ref="R115:R117"/>
    <mergeCell ref="G118:G120"/>
    <mergeCell ref="H118:H120"/>
    <mergeCell ref="I118:I120"/>
    <mergeCell ref="J118:J120"/>
    <mergeCell ref="K118:K120"/>
    <mergeCell ref="L118:L120"/>
    <mergeCell ref="A118:A120"/>
    <mergeCell ref="B118:B120"/>
    <mergeCell ref="C118:C120"/>
    <mergeCell ref="D118:D120"/>
    <mergeCell ref="E118:E120"/>
    <mergeCell ref="F118:F120"/>
    <mergeCell ref="G115:G117"/>
    <mergeCell ref="H115:H117"/>
    <mergeCell ref="I115:I117"/>
    <mergeCell ref="J115:J117"/>
    <mergeCell ref="K115:K117"/>
    <mergeCell ref="L115:L117"/>
    <mergeCell ref="A115:A117"/>
    <mergeCell ref="B115:B117"/>
    <mergeCell ref="C115:C117"/>
    <mergeCell ref="D115:D117"/>
    <mergeCell ref="E115:E117"/>
    <mergeCell ref="F115:F117"/>
    <mergeCell ref="G112:G114"/>
    <mergeCell ref="H112:H114"/>
    <mergeCell ref="I112:I114"/>
    <mergeCell ref="J112:J114"/>
    <mergeCell ref="K112:K114"/>
    <mergeCell ref="L112:L114"/>
    <mergeCell ref="A112:A114"/>
    <mergeCell ref="B112:B114"/>
    <mergeCell ref="C112:C114"/>
    <mergeCell ref="D112:D114"/>
    <mergeCell ref="E112:E114"/>
    <mergeCell ref="F112:F114"/>
    <mergeCell ref="AL109:AL111"/>
    <mergeCell ref="AM109:AM111"/>
    <mergeCell ref="AN109:AN111"/>
    <mergeCell ref="AO109:AO111"/>
    <mergeCell ref="AP109:AP111"/>
    <mergeCell ref="AQ109:AQ111"/>
    <mergeCell ref="AF109:AF111"/>
    <mergeCell ref="AG109:AG111"/>
    <mergeCell ref="AH109:AH111"/>
    <mergeCell ref="AI109:AI111"/>
    <mergeCell ref="AJ109:AJ111"/>
    <mergeCell ref="AK109:AK111"/>
    <mergeCell ref="Z109:Z111"/>
    <mergeCell ref="AA109:AA111"/>
    <mergeCell ref="AB109:AB111"/>
    <mergeCell ref="AC109:AC111"/>
    <mergeCell ref="AD109:AD111"/>
    <mergeCell ref="AE109:AE111"/>
    <mergeCell ref="R109:R111"/>
    <mergeCell ref="S109:S111"/>
    <mergeCell ref="T109:T111"/>
    <mergeCell ref="U109:U111"/>
    <mergeCell ref="V109:V111"/>
    <mergeCell ref="W109:W111"/>
    <mergeCell ref="L109:L111"/>
    <mergeCell ref="M109:M111"/>
    <mergeCell ref="N109:N111"/>
    <mergeCell ref="O109:O111"/>
    <mergeCell ref="P109:P111"/>
    <mergeCell ref="Q109:Q111"/>
    <mergeCell ref="AP112:AP114"/>
    <mergeCell ref="AQ112:AQ114"/>
    <mergeCell ref="AF112:AF114"/>
    <mergeCell ref="AG112:AG114"/>
    <mergeCell ref="AH112:AH114"/>
    <mergeCell ref="AI112:AI114"/>
    <mergeCell ref="AJ112:AJ114"/>
    <mergeCell ref="AK112:AK114"/>
    <mergeCell ref="Z112:Z114"/>
    <mergeCell ref="AA112:AA114"/>
    <mergeCell ref="AB112:AB114"/>
    <mergeCell ref="AC112:AC114"/>
    <mergeCell ref="AD112:AD114"/>
    <mergeCell ref="AE112:AE114"/>
    <mergeCell ref="S112:S114"/>
    <mergeCell ref="T112:T114"/>
    <mergeCell ref="U112:U114"/>
    <mergeCell ref="V112:V114"/>
    <mergeCell ref="W112:W114"/>
    <mergeCell ref="X112:X114"/>
    <mergeCell ref="M112:M114"/>
    <mergeCell ref="N112:N114"/>
    <mergeCell ref="O112:O114"/>
    <mergeCell ref="P112:P114"/>
    <mergeCell ref="Q112:Q114"/>
    <mergeCell ref="R112:R114"/>
    <mergeCell ref="AR112:AR114"/>
    <mergeCell ref="AS112:AS114"/>
    <mergeCell ref="AT112:AT114"/>
    <mergeCell ref="AU112:AU114"/>
    <mergeCell ref="AV112:AV114"/>
    <mergeCell ref="AW112:AW114"/>
    <mergeCell ref="AL112:AL114"/>
    <mergeCell ref="AM112:AM114"/>
    <mergeCell ref="AN112:AN114"/>
    <mergeCell ref="AO112:AO114"/>
    <mergeCell ref="AW95:AW97"/>
    <mergeCell ref="AW98:AW100"/>
    <mergeCell ref="AW101:AW103"/>
    <mergeCell ref="AW104:AW106"/>
    <mergeCell ref="AA1:AW1"/>
    <mergeCell ref="A109:A111"/>
    <mergeCell ref="B109:B111"/>
    <mergeCell ref="C109:C111"/>
    <mergeCell ref="D109:D111"/>
    <mergeCell ref="E109:E111"/>
    <mergeCell ref="AW77:AW79"/>
    <mergeCell ref="AW80:AW82"/>
    <mergeCell ref="AW83:AW85"/>
    <mergeCell ref="AW86:AW88"/>
    <mergeCell ref="AW89:AW91"/>
    <mergeCell ref="AW92:AW94"/>
    <mergeCell ref="AW59:AW61"/>
    <mergeCell ref="AW62:AW64"/>
    <mergeCell ref="AW65:AW67"/>
    <mergeCell ref="AW68:AW70"/>
    <mergeCell ref="AW71:AW73"/>
    <mergeCell ref="AW74:AW76"/>
    <mergeCell ref="AW41:AW43"/>
    <mergeCell ref="AW44:AW46"/>
    <mergeCell ref="AW47:AW49"/>
    <mergeCell ref="AW50:AW52"/>
    <mergeCell ref="AW53:AW55"/>
    <mergeCell ref="AW56:AW58"/>
    <mergeCell ref="AW23:AW25"/>
    <mergeCell ref="AW26:AW28"/>
    <mergeCell ref="AW29:AW31"/>
    <mergeCell ref="AW32:AW34"/>
    <mergeCell ref="AW35:AW37"/>
    <mergeCell ref="AW38:AW40"/>
    <mergeCell ref="AT104:AT106"/>
    <mergeCell ref="AU104:AU106"/>
    <mergeCell ref="AV104:AV106"/>
    <mergeCell ref="AW2:AW4"/>
    <mergeCell ref="AW5:AW7"/>
    <mergeCell ref="AW8:AW10"/>
    <mergeCell ref="AW11:AW13"/>
    <mergeCell ref="AW14:AW16"/>
    <mergeCell ref="AW17:AW19"/>
    <mergeCell ref="AW20:AW22"/>
    <mergeCell ref="AN104:AN106"/>
    <mergeCell ref="AO104:AO106"/>
    <mergeCell ref="AP104:AP106"/>
    <mergeCell ref="AQ104:AQ106"/>
    <mergeCell ref="AR109:AR111"/>
    <mergeCell ref="AS109:AS111"/>
    <mergeCell ref="AT109:AT111"/>
    <mergeCell ref="AU109:AU111"/>
    <mergeCell ref="AV109:AV111"/>
    <mergeCell ref="AW109:AW111"/>
    <mergeCell ref="AR104:AR106"/>
    <mergeCell ref="AS104:AS106"/>
    <mergeCell ref="AH104:AH106"/>
    <mergeCell ref="AI104:AI106"/>
    <mergeCell ref="AJ104:AJ106"/>
    <mergeCell ref="AK104:AK106"/>
    <mergeCell ref="AL104:AL106"/>
    <mergeCell ref="AM104:AM106"/>
    <mergeCell ref="AV101:AV103"/>
    <mergeCell ref="Z104:Z106"/>
    <mergeCell ref="AA104:AA106"/>
    <mergeCell ref="AB104:AB106"/>
    <mergeCell ref="AC104:AC106"/>
    <mergeCell ref="AD104:AD106"/>
    <mergeCell ref="AE104:AE106"/>
    <mergeCell ref="AF104:AF106"/>
    <mergeCell ref="AG104:AG106"/>
    <mergeCell ref="AP101:AP103"/>
    <mergeCell ref="AQ101:AQ103"/>
    <mergeCell ref="AR101:AR103"/>
    <mergeCell ref="AS101:AS103"/>
    <mergeCell ref="AT101:AT103"/>
    <mergeCell ref="AU101:AU103"/>
    <mergeCell ref="AJ101:AJ103"/>
    <mergeCell ref="AK101:AK103"/>
    <mergeCell ref="AL101:AL103"/>
    <mergeCell ref="AM101:AM103"/>
    <mergeCell ref="AN101:AN103"/>
    <mergeCell ref="AO101:AO103"/>
    <mergeCell ref="AD101:AD103"/>
    <mergeCell ref="AE101:AE103"/>
    <mergeCell ref="AF101:AF103"/>
    <mergeCell ref="AG101:AG103"/>
    <mergeCell ref="AH101:AH103"/>
    <mergeCell ref="AI101:AI103"/>
    <mergeCell ref="AR98:AR100"/>
    <mergeCell ref="AS98:AS100"/>
    <mergeCell ref="AT98:AT100"/>
    <mergeCell ref="AU98:AU100"/>
    <mergeCell ref="AV98:AV100"/>
    <mergeCell ref="Z101:Z103"/>
    <mergeCell ref="AA101:AA103"/>
    <mergeCell ref="AB101:AB103"/>
    <mergeCell ref="AC101:AC103"/>
    <mergeCell ref="AL98:AL100"/>
    <mergeCell ref="AM98:AM100"/>
    <mergeCell ref="AN98:AN100"/>
    <mergeCell ref="AO98:AO100"/>
    <mergeCell ref="AP98:AP100"/>
    <mergeCell ref="AQ98:AQ100"/>
    <mergeCell ref="AF98:AF100"/>
    <mergeCell ref="AG98:AG100"/>
    <mergeCell ref="AH98:AH100"/>
    <mergeCell ref="AI98:AI100"/>
    <mergeCell ref="AJ98:AJ100"/>
    <mergeCell ref="AK98:AK100"/>
    <mergeCell ref="AT95:AT97"/>
    <mergeCell ref="AU95:AU97"/>
    <mergeCell ref="AV95:AV97"/>
    <mergeCell ref="Z98:Z100"/>
    <mergeCell ref="AA98:AA100"/>
    <mergeCell ref="AB98:AB100"/>
    <mergeCell ref="AC98:AC100"/>
    <mergeCell ref="AD98:AD100"/>
    <mergeCell ref="AE98:AE100"/>
    <mergeCell ref="AN95:AN97"/>
    <mergeCell ref="AO95:AO97"/>
    <mergeCell ref="AP95:AP97"/>
    <mergeCell ref="AQ95:AQ97"/>
    <mergeCell ref="AR95:AR97"/>
    <mergeCell ref="AS95:AS97"/>
    <mergeCell ref="AH95:AH97"/>
    <mergeCell ref="AI95:AI97"/>
    <mergeCell ref="AJ95:AJ97"/>
    <mergeCell ref="AK95:AK97"/>
    <mergeCell ref="AL95:AL97"/>
    <mergeCell ref="AM95:AM97"/>
    <mergeCell ref="AV92:AV94"/>
    <mergeCell ref="Z95:Z97"/>
    <mergeCell ref="AA95:AA97"/>
    <mergeCell ref="AB95:AB97"/>
    <mergeCell ref="AC95:AC97"/>
    <mergeCell ref="AD95:AD97"/>
    <mergeCell ref="AE95:AE97"/>
    <mergeCell ref="AF95:AF97"/>
    <mergeCell ref="AG95:AG97"/>
    <mergeCell ref="AP92:AP94"/>
    <mergeCell ref="AQ92:AQ94"/>
    <mergeCell ref="AR92:AR94"/>
    <mergeCell ref="AS92:AS94"/>
    <mergeCell ref="AT92:AT94"/>
    <mergeCell ref="AU92:AU94"/>
    <mergeCell ref="AJ92:AJ94"/>
    <mergeCell ref="AK92:AK94"/>
    <mergeCell ref="AL92:AL94"/>
    <mergeCell ref="AM92:AM94"/>
    <mergeCell ref="AN92:AN94"/>
    <mergeCell ref="AO92:AO94"/>
    <mergeCell ref="AD92:AD94"/>
    <mergeCell ref="AE92:AE94"/>
    <mergeCell ref="AF92:AF94"/>
    <mergeCell ref="AG92:AG94"/>
    <mergeCell ref="AH92:AH94"/>
    <mergeCell ref="AI92:AI94"/>
    <mergeCell ref="AR89:AR91"/>
    <mergeCell ref="AS89:AS91"/>
    <mergeCell ref="AT89:AT91"/>
    <mergeCell ref="AU89:AU91"/>
    <mergeCell ref="AV89:AV91"/>
    <mergeCell ref="Z92:Z94"/>
    <mergeCell ref="AA92:AA94"/>
    <mergeCell ref="AB92:AB94"/>
    <mergeCell ref="AC92:AC94"/>
    <mergeCell ref="AL89:AL91"/>
    <mergeCell ref="AM89:AM91"/>
    <mergeCell ref="AN89:AN91"/>
    <mergeCell ref="AO89:AO91"/>
    <mergeCell ref="AP89:AP91"/>
    <mergeCell ref="AQ89:AQ91"/>
    <mergeCell ref="AF89:AF91"/>
    <mergeCell ref="AG89:AG91"/>
    <mergeCell ref="AH89:AH91"/>
    <mergeCell ref="AI89:AI91"/>
    <mergeCell ref="AJ89:AJ91"/>
    <mergeCell ref="AK89:AK91"/>
    <mergeCell ref="AT86:AT88"/>
    <mergeCell ref="AU86:AU88"/>
    <mergeCell ref="AV86:AV88"/>
    <mergeCell ref="Z89:Z91"/>
    <mergeCell ref="AA89:AA91"/>
    <mergeCell ref="AB89:AB91"/>
    <mergeCell ref="AC89:AC91"/>
    <mergeCell ref="AD89:AD91"/>
    <mergeCell ref="AE89:AE91"/>
    <mergeCell ref="AN86:AN88"/>
    <mergeCell ref="AO86:AO88"/>
    <mergeCell ref="AP86:AP88"/>
    <mergeCell ref="AQ86:AQ88"/>
    <mergeCell ref="AR86:AR88"/>
    <mergeCell ref="AS86:AS88"/>
    <mergeCell ref="AH86:AH88"/>
    <mergeCell ref="AI86:AI88"/>
    <mergeCell ref="AJ86:AJ88"/>
    <mergeCell ref="AK86:AK88"/>
    <mergeCell ref="AL86:AL88"/>
    <mergeCell ref="AM86:AM88"/>
    <mergeCell ref="AV83:AV85"/>
    <mergeCell ref="Z86:Z88"/>
    <mergeCell ref="AA86:AA88"/>
    <mergeCell ref="AB86:AB88"/>
    <mergeCell ref="AC86:AC88"/>
    <mergeCell ref="AD86:AD88"/>
    <mergeCell ref="AE86:AE88"/>
    <mergeCell ref="AF86:AF88"/>
    <mergeCell ref="AG86:AG88"/>
    <mergeCell ref="AP83:AP85"/>
    <mergeCell ref="AQ83:AQ85"/>
    <mergeCell ref="AR83:AR85"/>
    <mergeCell ref="AS83:AS85"/>
    <mergeCell ref="AT83:AT85"/>
    <mergeCell ref="AU83:AU85"/>
    <mergeCell ref="AJ83:AJ85"/>
    <mergeCell ref="AK83:AK85"/>
    <mergeCell ref="AL83:AL85"/>
    <mergeCell ref="AM83:AM85"/>
    <mergeCell ref="AN83:AN85"/>
    <mergeCell ref="AO83:AO85"/>
    <mergeCell ref="AD83:AD85"/>
    <mergeCell ref="AE83:AE85"/>
    <mergeCell ref="AF83:AF85"/>
    <mergeCell ref="AG83:AG85"/>
    <mergeCell ref="AH83:AH85"/>
    <mergeCell ref="AI83:AI85"/>
    <mergeCell ref="AR80:AR82"/>
    <mergeCell ref="AS80:AS82"/>
    <mergeCell ref="AT80:AT82"/>
    <mergeCell ref="AU80:AU82"/>
    <mergeCell ref="AV80:AV82"/>
    <mergeCell ref="Z83:Z85"/>
    <mergeCell ref="AA83:AA85"/>
    <mergeCell ref="AB83:AB85"/>
    <mergeCell ref="AC83:AC85"/>
    <mergeCell ref="AL80:AL82"/>
    <mergeCell ref="AM80:AM82"/>
    <mergeCell ref="AN80:AN82"/>
    <mergeCell ref="AO80:AO82"/>
    <mergeCell ref="AP80:AP82"/>
    <mergeCell ref="AQ80:AQ82"/>
    <mergeCell ref="AF80:AF82"/>
    <mergeCell ref="AG80:AG82"/>
    <mergeCell ref="AH80:AH82"/>
    <mergeCell ref="AI80:AI82"/>
    <mergeCell ref="AJ80:AJ82"/>
    <mergeCell ref="AK80:AK82"/>
    <mergeCell ref="AT77:AT79"/>
    <mergeCell ref="AU77:AU79"/>
    <mergeCell ref="AV77:AV79"/>
    <mergeCell ref="Z80:Z82"/>
    <mergeCell ref="AA80:AA82"/>
    <mergeCell ref="AB80:AB82"/>
    <mergeCell ref="AC80:AC82"/>
    <mergeCell ref="AD80:AD82"/>
    <mergeCell ref="AE80:AE82"/>
    <mergeCell ref="AN77:AN79"/>
    <mergeCell ref="AO77:AO79"/>
    <mergeCell ref="AP77:AP79"/>
    <mergeCell ref="AQ77:AQ79"/>
    <mergeCell ref="AR77:AR79"/>
    <mergeCell ref="AS77:AS79"/>
    <mergeCell ref="AH77:AH79"/>
    <mergeCell ref="AI77:AI79"/>
    <mergeCell ref="AJ77:AJ79"/>
    <mergeCell ref="AK77:AK79"/>
    <mergeCell ref="AL77:AL79"/>
    <mergeCell ref="AM77:AM79"/>
    <mergeCell ref="AV74:AV76"/>
    <mergeCell ref="Z77:Z79"/>
    <mergeCell ref="AA77:AA79"/>
    <mergeCell ref="AB77:AB79"/>
    <mergeCell ref="AC77:AC79"/>
    <mergeCell ref="AD77:AD79"/>
    <mergeCell ref="AE77:AE79"/>
    <mergeCell ref="AF77:AF79"/>
    <mergeCell ref="AG77:AG79"/>
    <mergeCell ref="AP74:AP76"/>
    <mergeCell ref="AQ74:AQ76"/>
    <mergeCell ref="AR74:AR76"/>
    <mergeCell ref="AS74:AS76"/>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I74:AI76"/>
    <mergeCell ref="AR71:AR73"/>
    <mergeCell ref="AS71:AS73"/>
    <mergeCell ref="AT71:AT73"/>
    <mergeCell ref="AU71:AU73"/>
    <mergeCell ref="AV71:AV73"/>
    <mergeCell ref="Z74:Z76"/>
    <mergeCell ref="AA74:AA76"/>
    <mergeCell ref="AB74:AB76"/>
    <mergeCell ref="AC74:AC76"/>
    <mergeCell ref="AL71:AL73"/>
    <mergeCell ref="AM71:AM73"/>
    <mergeCell ref="AN71:AN73"/>
    <mergeCell ref="AO71:AO73"/>
    <mergeCell ref="AP71:AP73"/>
    <mergeCell ref="AQ71:AQ73"/>
    <mergeCell ref="AF71:AF73"/>
    <mergeCell ref="AG71:AG73"/>
    <mergeCell ref="AH71:AH73"/>
    <mergeCell ref="AI71:AI73"/>
    <mergeCell ref="AJ71:AJ73"/>
    <mergeCell ref="AK71:AK73"/>
    <mergeCell ref="AT68:AT70"/>
    <mergeCell ref="AU68:AU70"/>
    <mergeCell ref="AV68:AV70"/>
    <mergeCell ref="Z71:Z73"/>
    <mergeCell ref="AA71:AA73"/>
    <mergeCell ref="AB71:AB73"/>
    <mergeCell ref="AC71:AC73"/>
    <mergeCell ref="AD71:AD73"/>
    <mergeCell ref="AE71:AE73"/>
    <mergeCell ref="AN68:AN70"/>
    <mergeCell ref="AO68:AO70"/>
    <mergeCell ref="AP68:AP70"/>
    <mergeCell ref="AQ68:AQ70"/>
    <mergeCell ref="AR68:AR70"/>
    <mergeCell ref="AS68:AS70"/>
    <mergeCell ref="AH68:AH70"/>
    <mergeCell ref="AI68:AI70"/>
    <mergeCell ref="AJ68:AJ70"/>
    <mergeCell ref="AK68:AK70"/>
    <mergeCell ref="AL68:AL70"/>
    <mergeCell ref="AM68:AM70"/>
    <mergeCell ref="AV65:AV67"/>
    <mergeCell ref="Z68:Z70"/>
    <mergeCell ref="AA68:AA70"/>
    <mergeCell ref="AB68:AB70"/>
    <mergeCell ref="AC68:AC70"/>
    <mergeCell ref="AD68:AD70"/>
    <mergeCell ref="AE68:AE70"/>
    <mergeCell ref="AF68:AF70"/>
    <mergeCell ref="AG68:AG70"/>
    <mergeCell ref="AP65:AP67"/>
    <mergeCell ref="AQ65:AQ67"/>
    <mergeCell ref="AR65:AR67"/>
    <mergeCell ref="AS65:AS67"/>
    <mergeCell ref="AT65:AT67"/>
    <mergeCell ref="AU65:AU67"/>
    <mergeCell ref="AJ65:AJ67"/>
    <mergeCell ref="AK65:AK67"/>
    <mergeCell ref="AL65:AL67"/>
    <mergeCell ref="AM65:AM67"/>
    <mergeCell ref="AN65:AN67"/>
    <mergeCell ref="AO65:AO67"/>
    <mergeCell ref="AD65:AD67"/>
    <mergeCell ref="AE65:AE67"/>
    <mergeCell ref="AF65:AF67"/>
    <mergeCell ref="AG65:AG67"/>
    <mergeCell ref="AH65:AH67"/>
    <mergeCell ref="AI65:AI67"/>
    <mergeCell ref="AR62:AR64"/>
    <mergeCell ref="AS62:AS64"/>
    <mergeCell ref="AT62:AT64"/>
    <mergeCell ref="AU62:AU64"/>
    <mergeCell ref="AV62:AV64"/>
    <mergeCell ref="Z65:Z67"/>
    <mergeCell ref="AA65:AA67"/>
    <mergeCell ref="AB65:AB67"/>
    <mergeCell ref="AC65:AC67"/>
    <mergeCell ref="AL62:AL64"/>
    <mergeCell ref="AM62:AM64"/>
    <mergeCell ref="AN62:AN64"/>
    <mergeCell ref="AO62:AO64"/>
    <mergeCell ref="AP62:AP64"/>
    <mergeCell ref="AQ62:AQ64"/>
    <mergeCell ref="AF62:AF64"/>
    <mergeCell ref="AG62:AG64"/>
    <mergeCell ref="AH62:AH64"/>
    <mergeCell ref="AI62:AI64"/>
    <mergeCell ref="AJ62:AJ64"/>
    <mergeCell ref="AK62:AK64"/>
    <mergeCell ref="AT59:AT61"/>
    <mergeCell ref="AU59:AU61"/>
    <mergeCell ref="AV59:AV61"/>
    <mergeCell ref="Z62:Z64"/>
    <mergeCell ref="AA62:AA64"/>
    <mergeCell ref="AB62:AB64"/>
    <mergeCell ref="AC62:AC64"/>
    <mergeCell ref="AD62:AD64"/>
    <mergeCell ref="AE62:AE64"/>
    <mergeCell ref="AN59:AN61"/>
    <mergeCell ref="AO59:AO61"/>
    <mergeCell ref="AP59:AP61"/>
    <mergeCell ref="AQ59:AQ61"/>
    <mergeCell ref="AR59:AR61"/>
    <mergeCell ref="AS59:AS61"/>
    <mergeCell ref="AH59:AH61"/>
    <mergeCell ref="AI59:AI61"/>
    <mergeCell ref="AJ59:AJ61"/>
    <mergeCell ref="AK59:AK61"/>
    <mergeCell ref="AL59:AL61"/>
    <mergeCell ref="AM59:AM61"/>
    <mergeCell ref="AV56:AV58"/>
    <mergeCell ref="Z59:Z61"/>
    <mergeCell ref="AA59:AA61"/>
    <mergeCell ref="AB59:AB61"/>
    <mergeCell ref="AC59:AC61"/>
    <mergeCell ref="AD59:AD61"/>
    <mergeCell ref="AE59:AE61"/>
    <mergeCell ref="AF59:AF61"/>
    <mergeCell ref="AG59:AG61"/>
    <mergeCell ref="AP56:AP58"/>
    <mergeCell ref="AQ56:AQ58"/>
    <mergeCell ref="AR56:AR58"/>
    <mergeCell ref="AS56:AS58"/>
    <mergeCell ref="AT56:AT58"/>
    <mergeCell ref="AU56:AU58"/>
    <mergeCell ref="AJ56:AJ58"/>
    <mergeCell ref="AK56:AK58"/>
    <mergeCell ref="AL56:AL58"/>
    <mergeCell ref="AM56:AM58"/>
    <mergeCell ref="AN56:AN58"/>
    <mergeCell ref="AO56:AO58"/>
    <mergeCell ref="AD56:AD58"/>
    <mergeCell ref="AE56:AE58"/>
    <mergeCell ref="AF56:AF58"/>
    <mergeCell ref="AG56:AG58"/>
    <mergeCell ref="AH56:AH58"/>
    <mergeCell ref="AI56:AI58"/>
    <mergeCell ref="AR53:AR55"/>
    <mergeCell ref="AS53:AS55"/>
    <mergeCell ref="AT53:AT55"/>
    <mergeCell ref="AU53:AU55"/>
    <mergeCell ref="AV53:AV55"/>
    <mergeCell ref="Z56:Z58"/>
    <mergeCell ref="AA56:AA58"/>
    <mergeCell ref="AB56:AB58"/>
    <mergeCell ref="AC56:AC58"/>
    <mergeCell ref="AL53:AL55"/>
    <mergeCell ref="AM53:AM55"/>
    <mergeCell ref="AN53:AN55"/>
    <mergeCell ref="AO53:AO55"/>
    <mergeCell ref="AP53:AP55"/>
    <mergeCell ref="AQ53:AQ55"/>
    <mergeCell ref="AF53:AF55"/>
    <mergeCell ref="AG53:AG55"/>
    <mergeCell ref="AH53:AH55"/>
    <mergeCell ref="AI53:AI55"/>
    <mergeCell ref="AJ53:AJ55"/>
    <mergeCell ref="AK53:AK55"/>
    <mergeCell ref="AT50:AT52"/>
    <mergeCell ref="AU50:AU52"/>
    <mergeCell ref="AV50:AV52"/>
    <mergeCell ref="Z53:Z55"/>
    <mergeCell ref="AA53:AA55"/>
    <mergeCell ref="AB53:AB55"/>
    <mergeCell ref="AC53:AC55"/>
    <mergeCell ref="AD53:AD55"/>
    <mergeCell ref="AE53:AE55"/>
    <mergeCell ref="AN50:AN52"/>
    <mergeCell ref="AO50:AO52"/>
    <mergeCell ref="AP50:AP52"/>
    <mergeCell ref="AQ50:AQ52"/>
    <mergeCell ref="AR50:AR52"/>
    <mergeCell ref="AS50:AS52"/>
    <mergeCell ref="AH50:AH52"/>
    <mergeCell ref="AI50:AI52"/>
    <mergeCell ref="AJ50:AJ52"/>
    <mergeCell ref="AK50:AK52"/>
    <mergeCell ref="AL50:AL52"/>
    <mergeCell ref="AM50:AM52"/>
    <mergeCell ref="AV47:AV49"/>
    <mergeCell ref="Z50:Z52"/>
    <mergeCell ref="AA50:AA52"/>
    <mergeCell ref="AB50:AB52"/>
    <mergeCell ref="AC50:AC52"/>
    <mergeCell ref="AD50:AD52"/>
    <mergeCell ref="AE50:AE52"/>
    <mergeCell ref="AF50:AF52"/>
    <mergeCell ref="AG50:AG52"/>
    <mergeCell ref="AP47:AP49"/>
    <mergeCell ref="AQ47:AQ49"/>
    <mergeCell ref="AR47:AR49"/>
    <mergeCell ref="AS47:AS49"/>
    <mergeCell ref="AT47:AT49"/>
    <mergeCell ref="AU47:AU49"/>
    <mergeCell ref="AJ47:AJ49"/>
    <mergeCell ref="AK47:AK49"/>
    <mergeCell ref="AL47:AL49"/>
    <mergeCell ref="AM47:AM49"/>
    <mergeCell ref="AN47:AN49"/>
    <mergeCell ref="AO47:AO49"/>
    <mergeCell ref="AD47:AD49"/>
    <mergeCell ref="AE47:AE49"/>
    <mergeCell ref="AF47:AF49"/>
    <mergeCell ref="AG47:AG49"/>
    <mergeCell ref="AH47:AH49"/>
    <mergeCell ref="AI47:AI49"/>
    <mergeCell ref="AR44:AR46"/>
    <mergeCell ref="AS44:AS46"/>
    <mergeCell ref="AT44:AT46"/>
    <mergeCell ref="AU44:AU46"/>
    <mergeCell ref="AV44:AV46"/>
    <mergeCell ref="Z47:Z49"/>
    <mergeCell ref="AA47:AA49"/>
    <mergeCell ref="AB47:AB49"/>
    <mergeCell ref="AC47:AC49"/>
    <mergeCell ref="AL44:AL46"/>
    <mergeCell ref="AM44:AM46"/>
    <mergeCell ref="AN44:AN46"/>
    <mergeCell ref="AO44:AO46"/>
    <mergeCell ref="AP44:AP46"/>
    <mergeCell ref="AQ44:AQ46"/>
    <mergeCell ref="AF44:AF46"/>
    <mergeCell ref="AG44:AG46"/>
    <mergeCell ref="AH44:AH46"/>
    <mergeCell ref="AI44:AI46"/>
    <mergeCell ref="AJ44:AJ46"/>
    <mergeCell ref="AK44:AK46"/>
    <mergeCell ref="AT41:AT43"/>
    <mergeCell ref="AU41:AU43"/>
    <mergeCell ref="AV41:AV43"/>
    <mergeCell ref="Z44:Z46"/>
    <mergeCell ref="AA44:AA46"/>
    <mergeCell ref="AB44:AB46"/>
    <mergeCell ref="AC44:AC46"/>
    <mergeCell ref="AD44:AD46"/>
    <mergeCell ref="AE44:AE46"/>
    <mergeCell ref="AN41:AN43"/>
    <mergeCell ref="AO41:AO43"/>
    <mergeCell ref="AP41:AP43"/>
    <mergeCell ref="AQ41:AQ43"/>
    <mergeCell ref="AR41:AR43"/>
    <mergeCell ref="AS41:AS43"/>
    <mergeCell ref="AH41:AH43"/>
    <mergeCell ref="AI41:AI43"/>
    <mergeCell ref="AJ41:AJ43"/>
    <mergeCell ref="AK41:AK43"/>
    <mergeCell ref="AL41:AL43"/>
    <mergeCell ref="AM41:AM43"/>
    <mergeCell ref="AV38:AV40"/>
    <mergeCell ref="Z41:Z43"/>
    <mergeCell ref="AA41:AA43"/>
    <mergeCell ref="AB41:AB43"/>
    <mergeCell ref="AC41:AC43"/>
    <mergeCell ref="AD41:AD43"/>
    <mergeCell ref="AE41:AE43"/>
    <mergeCell ref="AF41:AF43"/>
    <mergeCell ref="AG41:AG43"/>
    <mergeCell ref="AP38:AP40"/>
    <mergeCell ref="AQ38:AQ40"/>
    <mergeCell ref="AR38:AR40"/>
    <mergeCell ref="AS38:AS40"/>
    <mergeCell ref="AT38:AT40"/>
    <mergeCell ref="AU38:AU40"/>
    <mergeCell ref="AJ38:AJ40"/>
    <mergeCell ref="AK38:AK40"/>
    <mergeCell ref="AL38:AL40"/>
    <mergeCell ref="AM38:AM40"/>
    <mergeCell ref="AN38:AN40"/>
    <mergeCell ref="AO38:AO40"/>
    <mergeCell ref="AD38:AD40"/>
    <mergeCell ref="AE38:AE40"/>
    <mergeCell ref="AF38:AF40"/>
    <mergeCell ref="AG38:AG40"/>
    <mergeCell ref="AH38:AH40"/>
    <mergeCell ref="AI38:AI40"/>
    <mergeCell ref="AR35:AR37"/>
    <mergeCell ref="AS35:AS37"/>
    <mergeCell ref="AT35:AT37"/>
    <mergeCell ref="AU35:AU37"/>
    <mergeCell ref="AV35:AV37"/>
    <mergeCell ref="Z38:Z40"/>
    <mergeCell ref="AA38:AA40"/>
    <mergeCell ref="AB38:AB40"/>
    <mergeCell ref="AC38:AC40"/>
    <mergeCell ref="AL35:AL37"/>
    <mergeCell ref="AM35:AM37"/>
    <mergeCell ref="AN35:AN37"/>
    <mergeCell ref="AO35:AO37"/>
    <mergeCell ref="AP35:AP37"/>
    <mergeCell ref="AQ35:AQ37"/>
    <mergeCell ref="AF35:AF37"/>
    <mergeCell ref="AG35:AG37"/>
    <mergeCell ref="AH35:AH37"/>
    <mergeCell ref="AI35:AI37"/>
    <mergeCell ref="AJ35:AJ37"/>
    <mergeCell ref="AK35:AK37"/>
    <mergeCell ref="AT32:AT34"/>
    <mergeCell ref="AU32:AU34"/>
    <mergeCell ref="AV32:AV34"/>
    <mergeCell ref="Z35:Z37"/>
    <mergeCell ref="AA35:AA37"/>
    <mergeCell ref="AB35:AB37"/>
    <mergeCell ref="AC35:AC37"/>
    <mergeCell ref="AD35:AD37"/>
    <mergeCell ref="AE35:AE37"/>
    <mergeCell ref="AN32:AN34"/>
    <mergeCell ref="AO32:AO34"/>
    <mergeCell ref="AP32:AP34"/>
    <mergeCell ref="AQ32:AQ34"/>
    <mergeCell ref="AR32:AR34"/>
    <mergeCell ref="AS32:AS34"/>
    <mergeCell ref="AH32:AH34"/>
    <mergeCell ref="AI32:AI34"/>
    <mergeCell ref="AJ32:AJ34"/>
    <mergeCell ref="AK32:AK34"/>
    <mergeCell ref="AL32:AL34"/>
    <mergeCell ref="AM32:AM34"/>
    <mergeCell ref="AV29:AV31"/>
    <mergeCell ref="Z32:Z34"/>
    <mergeCell ref="AA32:AA34"/>
    <mergeCell ref="AB32:AB34"/>
    <mergeCell ref="AC32:AC34"/>
    <mergeCell ref="AD32:AD34"/>
    <mergeCell ref="AE32:AE34"/>
    <mergeCell ref="AF32:AF34"/>
    <mergeCell ref="AG32:AG34"/>
    <mergeCell ref="AP29:AP31"/>
    <mergeCell ref="AQ29:AQ31"/>
    <mergeCell ref="AR29:AR31"/>
    <mergeCell ref="AS29:AS31"/>
    <mergeCell ref="AT29:AT31"/>
    <mergeCell ref="AU29:AU31"/>
    <mergeCell ref="AJ29:AJ31"/>
    <mergeCell ref="AK29:AK31"/>
    <mergeCell ref="AL29:AL31"/>
    <mergeCell ref="AM29:AM31"/>
    <mergeCell ref="AN29:AN31"/>
    <mergeCell ref="AO29:AO31"/>
    <mergeCell ref="AD29:AD31"/>
    <mergeCell ref="AE29:AE31"/>
    <mergeCell ref="AF29:AF31"/>
    <mergeCell ref="AG29:AG31"/>
    <mergeCell ref="AH29:AH31"/>
    <mergeCell ref="AI29:AI31"/>
    <mergeCell ref="AR26:AR28"/>
    <mergeCell ref="AS26:AS28"/>
    <mergeCell ref="AT26:AT28"/>
    <mergeCell ref="AU26:AU28"/>
    <mergeCell ref="AV26:AV28"/>
    <mergeCell ref="Z29:Z31"/>
    <mergeCell ref="AA29:AA31"/>
    <mergeCell ref="AB29:AB31"/>
    <mergeCell ref="AC29:AC31"/>
    <mergeCell ref="AL26:AL28"/>
    <mergeCell ref="AM26:AM28"/>
    <mergeCell ref="AN26:AN28"/>
    <mergeCell ref="AO26:AO28"/>
    <mergeCell ref="AP26:AP28"/>
    <mergeCell ref="AQ26:AQ28"/>
    <mergeCell ref="AF26:AF28"/>
    <mergeCell ref="AG26:AG28"/>
    <mergeCell ref="AH26:AH28"/>
    <mergeCell ref="AI26:AI28"/>
    <mergeCell ref="AJ26:AJ28"/>
    <mergeCell ref="AK26:AK28"/>
    <mergeCell ref="AT23:AT25"/>
    <mergeCell ref="AU23:AU25"/>
    <mergeCell ref="AV23:AV25"/>
    <mergeCell ref="Z26:Z28"/>
    <mergeCell ref="AA26:AA28"/>
    <mergeCell ref="AB26:AB28"/>
    <mergeCell ref="AC26:AC28"/>
    <mergeCell ref="AD26:AD28"/>
    <mergeCell ref="AE26:AE28"/>
    <mergeCell ref="AN23:AN25"/>
    <mergeCell ref="AO23:AO25"/>
    <mergeCell ref="AP23:AP25"/>
    <mergeCell ref="AQ23:AQ25"/>
    <mergeCell ref="AR23:AR25"/>
    <mergeCell ref="AS23:AS25"/>
    <mergeCell ref="AH23:AH25"/>
    <mergeCell ref="AI23:AI25"/>
    <mergeCell ref="AJ23:AJ25"/>
    <mergeCell ref="AK23:AK25"/>
    <mergeCell ref="AL23:AL25"/>
    <mergeCell ref="AM23:AM25"/>
    <mergeCell ref="AV20:AV22"/>
    <mergeCell ref="Z23:Z25"/>
    <mergeCell ref="AA23:AA25"/>
    <mergeCell ref="AB23:AB25"/>
    <mergeCell ref="AC23:AC25"/>
    <mergeCell ref="AD23:AD25"/>
    <mergeCell ref="AE23:AE25"/>
    <mergeCell ref="AF23:AF25"/>
    <mergeCell ref="AG23:AG25"/>
    <mergeCell ref="AP20:AP22"/>
    <mergeCell ref="AQ20:AQ22"/>
    <mergeCell ref="AR20:AR22"/>
    <mergeCell ref="AS20:AS22"/>
    <mergeCell ref="AT20:AT22"/>
    <mergeCell ref="AU20:AU22"/>
    <mergeCell ref="AJ20:AJ22"/>
    <mergeCell ref="AK20:AK22"/>
    <mergeCell ref="AL20:AL22"/>
    <mergeCell ref="AM20:AM22"/>
    <mergeCell ref="AN20:AN22"/>
    <mergeCell ref="AO20:AO22"/>
    <mergeCell ref="AD20:AD22"/>
    <mergeCell ref="AE20:AE22"/>
    <mergeCell ref="AF20:AF22"/>
    <mergeCell ref="AG20:AG22"/>
    <mergeCell ref="AH20:AH22"/>
    <mergeCell ref="AI20:AI22"/>
    <mergeCell ref="AR17:AR19"/>
    <mergeCell ref="AS17:AS19"/>
    <mergeCell ref="AT17:AT19"/>
    <mergeCell ref="AU17:AU19"/>
    <mergeCell ref="AV17:AV19"/>
    <mergeCell ref="Z20:Z22"/>
    <mergeCell ref="AA20:AA22"/>
    <mergeCell ref="AB20:AB22"/>
    <mergeCell ref="AC20:AC22"/>
    <mergeCell ref="AL17:AL19"/>
    <mergeCell ref="AM17:AM19"/>
    <mergeCell ref="AN17:AN19"/>
    <mergeCell ref="AO17:AO19"/>
    <mergeCell ref="AP17:AP19"/>
    <mergeCell ref="AQ17:AQ19"/>
    <mergeCell ref="AF17:AF19"/>
    <mergeCell ref="AG17:AG19"/>
    <mergeCell ref="AH17:AH19"/>
    <mergeCell ref="AI17:AI19"/>
    <mergeCell ref="AJ17:AJ19"/>
    <mergeCell ref="AK17:AK19"/>
    <mergeCell ref="AT14:AT16"/>
    <mergeCell ref="AU14:AU16"/>
    <mergeCell ref="AV14:AV16"/>
    <mergeCell ref="Z17:Z19"/>
    <mergeCell ref="AA17:AA19"/>
    <mergeCell ref="AB17:AB19"/>
    <mergeCell ref="AC17:AC19"/>
    <mergeCell ref="AD17:AD19"/>
    <mergeCell ref="AE17:AE19"/>
    <mergeCell ref="AN14:AN16"/>
    <mergeCell ref="AO14:AO16"/>
    <mergeCell ref="AP14:AP16"/>
    <mergeCell ref="AQ14:AQ16"/>
    <mergeCell ref="AR14:AR16"/>
    <mergeCell ref="AS14:AS16"/>
    <mergeCell ref="AH14:AH16"/>
    <mergeCell ref="AI14:AI16"/>
    <mergeCell ref="AJ14:AJ16"/>
    <mergeCell ref="AK14:AK16"/>
    <mergeCell ref="AL14:AL16"/>
    <mergeCell ref="AM14:AM16"/>
    <mergeCell ref="AV11:AV13"/>
    <mergeCell ref="Z14:Z16"/>
    <mergeCell ref="AA14:AA16"/>
    <mergeCell ref="AB14:AB16"/>
    <mergeCell ref="AC14:AC16"/>
    <mergeCell ref="AD14:AD16"/>
    <mergeCell ref="AE14:AE16"/>
    <mergeCell ref="AF14:AF16"/>
    <mergeCell ref="AG14:AG16"/>
    <mergeCell ref="AP11:AP13"/>
    <mergeCell ref="AQ11:AQ13"/>
    <mergeCell ref="AR11:AR13"/>
    <mergeCell ref="AS11:AS13"/>
    <mergeCell ref="AT11:AT13"/>
    <mergeCell ref="AU11:AU13"/>
    <mergeCell ref="AJ11:AJ13"/>
    <mergeCell ref="AK11:AK13"/>
    <mergeCell ref="AL11:AL13"/>
    <mergeCell ref="AM11:AM13"/>
    <mergeCell ref="AN11:AN13"/>
    <mergeCell ref="AO11:AO13"/>
    <mergeCell ref="AD11:AD13"/>
    <mergeCell ref="AE11:AE13"/>
    <mergeCell ref="AF11:AF13"/>
    <mergeCell ref="AG11:AG13"/>
    <mergeCell ref="AH11:AH13"/>
    <mergeCell ref="AI11:AI13"/>
    <mergeCell ref="A1:X1"/>
    <mergeCell ref="Z2:Z4"/>
    <mergeCell ref="AA2:AA4"/>
    <mergeCell ref="AB2:AB4"/>
    <mergeCell ref="AC2:AC4"/>
    <mergeCell ref="X109:X111"/>
    <mergeCell ref="B108:X108"/>
    <mergeCell ref="V101:V103"/>
    <mergeCell ref="W101:W103"/>
    <mergeCell ref="X101:X103"/>
    <mergeCell ref="V104:V106"/>
    <mergeCell ref="W104:W106"/>
    <mergeCell ref="X104:X106"/>
    <mergeCell ref="V95:V97"/>
    <mergeCell ref="W95:W97"/>
    <mergeCell ref="X95:X97"/>
    <mergeCell ref="V98:V100"/>
    <mergeCell ref="W98:W100"/>
    <mergeCell ref="X98:X100"/>
    <mergeCell ref="V89:V91"/>
    <mergeCell ref="W89:W91"/>
    <mergeCell ref="X89:X91"/>
    <mergeCell ref="V92:V94"/>
    <mergeCell ref="W92:W94"/>
    <mergeCell ref="X92:X94"/>
    <mergeCell ref="V83:V85"/>
    <mergeCell ref="W83:W85"/>
    <mergeCell ref="X83:X85"/>
    <mergeCell ref="V86:V88"/>
    <mergeCell ref="W86:W88"/>
    <mergeCell ref="X86:X88"/>
    <mergeCell ref="V77:V79"/>
    <mergeCell ref="W77:W79"/>
    <mergeCell ref="X77:X79"/>
    <mergeCell ref="V80:V82"/>
    <mergeCell ref="W80:W82"/>
    <mergeCell ref="X80:X82"/>
    <mergeCell ref="Z11:Z13"/>
    <mergeCell ref="AA11:AA13"/>
    <mergeCell ref="AB11:AB13"/>
    <mergeCell ref="AC11:AC13"/>
    <mergeCell ref="Z8:Z10"/>
    <mergeCell ref="AA8:AA10"/>
    <mergeCell ref="AB8:AB10"/>
    <mergeCell ref="AC8:AC10"/>
    <mergeCell ref="F109:F111"/>
    <mergeCell ref="G109:G111"/>
    <mergeCell ref="H109:H111"/>
    <mergeCell ref="I109:I111"/>
    <mergeCell ref="J109:J111"/>
    <mergeCell ref="K109:K111"/>
    <mergeCell ref="V47:V49"/>
    <mergeCell ref="W47:W49"/>
    <mergeCell ref="X47:X49"/>
    <mergeCell ref="V50:V52"/>
    <mergeCell ref="W50:W52"/>
    <mergeCell ref="X50:X52"/>
    <mergeCell ref="V41:V43"/>
    <mergeCell ref="W41:W43"/>
    <mergeCell ref="X41:X43"/>
    <mergeCell ref="V44:V46"/>
    <mergeCell ref="W44:W46"/>
    <mergeCell ref="X44:X46"/>
    <mergeCell ref="V35:V37"/>
    <mergeCell ref="AV2:AV4"/>
    <mergeCell ref="Z5:Z7"/>
    <mergeCell ref="AA5:AA7"/>
    <mergeCell ref="AB5:AB7"/>
    <mergeCell ref="AC5:AC7"/>
    <mergeCell ref="AD5:AD7"/>
    <mergeCell ref="AE5:AE7"/>
    <mergeCell ref="AF5:AF7"/>
    <mergeCell ref="AG5:AG7"/>
    <mergeCell ref="AP2:AP4"/>
    <mergeCell ref="AQ2:AQ4"/>
    <mergeCell ref="AR2:AR4"/>
    <mergeCell ref="AS2:AS4"/>
    <mergeCell ref="AT2:AT4"/>
    <mergeCell ref="AU2:AU4"/>
    <mergeCell ref="AJ2:AJ4"/>
    <mergeCell ref="AK2:AK4"/>
    <mergeCell ref="AL2:AL4"/>
    <mergeCell ref="AM2:AM4"/>
    <mergeCell ref="AN2:AN4"/>
    <mergeCell ref="AO2:AO4"/>
    <mergeCell ref="AD2:AD4"/>
    <mergeCell ref="AE2:AE4"/>
    <mergeCell ref="AF2:AF4"/>
    <mergeCell ref="AG2:AG4"/>
    <mergeCell ref="AH2:AH4"/>
    <mergeCell ref="AI2:AI4"/>
    <mergeCell ref="AR8:AR10"/>
    <mergeCell ref="AS8:AS10"/>
    <mergeCell ref="AT8:AT10"/>
    <mergeCell ref="AU8:AU10"/>
    <mergeCell ref="AV8:AV10"/>
    <mergeCell ref="AL8:AL10"/>
    <mergeCell ref="AM8:AM10"/>
    <mergeCell ref="AN8:AN10"/>
    <mergeCell ref="AO8:AO10"/>
    <mergeCell ref="AP8:AP10"/>
    <mergeCell ref="AQ8:AQ10"/>
    <mergeCell ref="AF8:AF10"/>
    <mergeCell ref="AG8:AG10"/>
    <mergeCell ref="AH8:AH10"/>
    <mergeCell ref="AI8:AI10"/>
    <mergeCell ref="AJ8:AJ10"/>
    <mergeCell ref="AK8:AK10"/>
    <mergeCell ref="AT5:AT7"/>
    <mergeCell ref="AU5:AU7"/>
    <mergeCell ref="AV5:AV7"/>
    <mergeCell ref="AD8:AD10"/>
    <mergeCell ref="AE8:AE10"/>
    <mergeCell ref="AN5:AN7"/>
    <mergeCell ref="AO5:AO7"/>
    <mergeCell ref="AP5:AP7"/>
    <mergeCell ref="AQ5:AQ7"/>
    <mergeCell ref="AR5:AR7"/>
    <mergeCell ref="AS5:AS7"/>
    <mergeCell ref="AH5:AH7"/>
    <mergeCell ref="AI5:AI7"/>
    <mergeCell ref="AJ5:AJ7"/>
    <mergeCell ref="AK5:AK7"/>
    <mergeCell ref="AL5:AL7"/>
    <mergeCell ref="AM5:AM7"/>
    <mergeCell ref="W35:W37"/>
    <mergeCell ref="X35:X37"/>
    <mergeCell ref="V38:V40"/>
    <mergeCell ref="W38:W40"/>
    <mergeCell ref="X38:X40"/>
    <mergeCell ref="V29:V31"/>
    <mergeCell ref="W29:W31"/>
    <mergeCell ref="X29:X31"/>
    <mergeCell ref="V32:V34"/>
    <mergeCell ref="W32:W34"/>
    <mergeCell ref="X32:X34"/>
    <mergeCell ref="V23:V25"/>
    <mergeCell ref="W23:W25"/>
    <mergeCell ref="X23:X25"/>
    <mergeCell ref="V26:V28"/>
    <mergeCell ref="W26:W28"/>
    <mergeCell ref="X26:X28"/>
    <mergeCell ref="V17:V19"/>
    <mergeCell ref="W17:W19"/>
    <mergeCell ref="X17:X19"/>
    <mergeCell ref="V20:V22"/>
    <mergeCell ref="W20:W22"/>
    <mergeCell ref="X20:X22"/>
    <mergeCell ref="V11:V13"/>
    <mergeCell ref="W11:W13"/>
    <mergeCell ref="X11:X13"/>
    <mergeCell ref="V14:V16"/>
    <mergeCell ref="W14:W16"/>
    <mergeCell ref="X14:X16"/>
    <mergeCell ref="U104:U106"/>
    <mergeCell ref="V2:V4"/>
    <mergeCell ref="W2:W4"/>
    <mergeCell ref="X2:X4"/>
    <mergeCell ref="V5:V7"/>
    <mergeCell ref="W5:W7"/>
    <mergeCell ref="X5:X7"/>
    <mergeCell ref="V8:V10"/>
    <mergeCell ref="W8:W10"/>
    <mergeCell ref="X8:X10"/>
    <mergeCell ref="V71:V73"/>
    <mergeCell ref="W71:W73"/>
    <mergeCell ref="X71:X73"/>
    <mergeCell ref="V74:V76"/>
    <mergeCell ref="W74:W76"/>
    <mergeCell ref="X74:X76"/>
    <mergeCell ref="V65:V67"/>
    <mergeCell ref="W65:W67"/>
    <mergeCell ref="X65:X67"/>
    <mergeCell ref="V68:V70"/>
    <mergeCell ref="W68:W70"/>
    <mergeCell ref="X68:X70"/>
    <mergeCell ref="V59:V61"/>
    <mergeCell ref="W59:W61"/>
    <mergeCell ref="X59:X61"/>
    <mergeCell ref="V62:V64"/>
    <mergeCell ref="W62:W64"/>
    <mergeCell ref="X62:X64"/>
    <mergeCell ref="V53:V55"/>
    <mergeCell ref="W53:W55"/>
    <mergeCell ref="X53:X55"/>
    <mergeCell ref="V56:V58"/>
    <mergeCell ref="W56:W58"/>
    <mergeCell ref="X56:X58"/>
    <mergeCell ref="O104:O106"/>
    <mergeCell ref="P104:P106"/>
    <mergeCell ref="Q104:Q106"/>
    <mergeCell ref="R104:R106"/>
    <mergeCell ref="S104:S106"/>
    <mergeCell ref="T104:T106"/>
    <mergeCell ref="I104:I106"/>
    <mergeCell ref="J104:J106"/>
    <mergeCell ref="K104:K106"/>
    <mergeCell ref="L104:L106"/>
    <mergeCell ref="M104:M106"/>
    <mergeCell ref="N104:N106"/>
    <mergeCell ref="R101:R103"/>
    <mergeCell ref="S101:S103"/>
    <mergeCell ref="T101:T103"/>
    <mergeCell ref="U101:U103"/>
    <mergeCell ref="C104:C106"/>
    <mergeCell ref="D104:D106"/>
    <mergeCell ref="E104:E106"/>
    <mergeCell ref="F104:F106"/>
    <mergeCell ref="G104:G106"/>
    <mergeCell ref="H104:H106"/>
    <mergeCell ref="L101:L103"/>
    <mergeCell ref="M101:M103"/>
    <mergeCell ref="N101:N103"/>
    <mergeCell ref="O101:O103"/>
    <mergeCell ref="P101:P103"/>
    <mergeCell ref="Q101:Q103"/>
    <mergeCell ref="U98:U100"/>
    <mergeCell ref="C101:C103"/>
    <mergeCell ref="D101:D103"/>
    <mergeCell ref="E101:E103"/>
    <mergeCell ref="F101:F103"/>
    <mergeCell ref="G101:G103"/>
    <mergeCell ref="H101:H103"/>
    <mergeCell ref="I101:I103"/>
    <mergeCell ref="J101:J103"/>
    <mergeCell ref="K101:K103"/>
    <mergeCell ref="O98:O100"/>
    <mergeCell ref="P98:P100"/>
    <mergeCell ref="Q98:Q100"/>
    <mergeCell ref="R98:R100"/>
    <mergeCell ref="S98:S100"/>
    <mergeCell ref="T98:T100"/>
    <mergeCell ref="I98:I100"/>
    <mergeCell ref="J98:J100"/>
    <mergeCell ref="K98:K100"/>
    <mergeCell ref="L98:L100"/>
    <mergeCell ref="M98:M100"/>
    <mergeCell ref="N98:N100"/>
    <mergeCell ref="R95:R97"/>
    <mergeCell ref="S95:S97"/>
    <mergeCell ref="T95:T97"/>
    <mergeCell ref="U95:U97"/>
    <mergeCell ref="C98:C100"/>
    <mergeCell ref="D98:D100"/>
    <mergeCell ref="E98:E100"/>
    <mergeCell ref="F98:F100"/>
    <mergeCell ref="G98:G100"/>
    <mergeCell ref="H98:H100"/>
    <mergeCell ref="L95:L97"/>
    <mergeCell ref="M95:M97"/>
    <mergeCell ref="N95:N97"/>
    <mergeCell ref="O95:O97"/>
    <mergeCell ref="P95:P97"/>
    <mergeCell ref="Q95:Q97"/>
    <mergeCell ref="U92:U94"/>
    <mergeCell ref="C95:C97"/>
    <mergeCell ref="D95:D97"/>
    <mergeCell ref="E95:E97"/>
    <mergeCell ref="F95:F97"/>
    <mergeCell ref="G95:G97"/>
    <mergeCell ref="H95:H97"/>
    <mergeCell ref="I95:I97"/>
    <mergeCell ref="J95:J97"/>
    <mergeCell ref="K95:K97"/>
    <mergeCell ref="O92:O94"/>
    <mergeCell ref="P92:P94"/>
    <mergeCell ref="Q92:Q94"/>
    <mergeCell ref="R92:R94"/>
    <mergeCell ref="S92:S94"/>
    <mergeCell ref="T92:T94"/>
    <mergeCell ref="I92:I94"/>
    <mergeCell ref="J92:J94"/>
    <mergeCell ref="K92:K94"/>
    <mergeCell ref="L92:L94"/>
    <mergeCell ref="M92:M94"/>
    <mergeCell ref="N92:N94"/>
    <mergeCell ref="R89:R91"/>
    <mergeCell ref="S89:S91"/>
    <mergeCell ref="T89:T91"/>
    <mergeCell ref="U89:U91"/>
    <mergeCell ref="C92:C94"/>
    <mergeCell ref="D92:D94"/>
    <mergeCell ref="E92:E94"/>
    <mergeCell ref="F92:F94"/>
    <mergeCell ref="G92:G94"/>
    <mergeCell ref="H92:H94"/>
    <mergeCell ref="L89:L91"/>
    <mergeCell ref="M89:M91"/>
    <mergeCell ref="N89:N91"/>
    <mergeCell ref="O89:O91"/>
    <mergeCell ref="P89:P91"/>
    <mergeCell ref="Q89:Q91"/>
    <mergeCell ref="U86:U88"/>
    <mergeCell ref="C89:C91"/>
    <mergeCell ref="D89:D91"/>
    <mergeCell ref="E89:E91"/>
    <mergeCell ref="F89:F91"/>
    <mergeCell ref="G89:G91"/>
    <mergeCell ref="H89:H91"/>
    <mergeCell ref="I89:I91"/>
    <mergeCell ref="J89:J91"/>
    <mergeCell ref="K89:K91"/>
    <mergeCell ref="O86:O88"/>
    <mergeCell ref="P86:P88"/>
    <mergeCell ref="Q86:Q88"/>
    <mergeCell ref="R86:R88"/>
    <mergeCell ref="S86:S88"/>
    <mergeCell ref="T86:T88"/>
    <mergeCell ref="I86:I88"/>
    <mergeCell ref="J86:J88"/>
    <mergeCell ref="K86:K88"/>
    <mergeCell ref="L86:L88"/>
    <mergeCell ref="M86:M88"/>
    <mergeCell ref="N86:N88"/>
    <mergeCell ref="R83:R85"/>
    <mergeCell ref="S83:S85"/>
    <mergeCell ref="T83:T85"/>
    <mergeCell ref="U83:U85"/>
    <mergeCell ref="C86:C88"/>
    <mergeCell ref="D86:D88"/>
    <mergeCell ref="E86:E88"/>
    <mergeCell ref="F86:F88"/>
    <mergeCell ref="G86:G88"/>
    <mergeCell ref="H86:H88"/>
    <mergeCell ref="L83:L85"/>
    <mergeCell ref="M83:M85"/>
    <mergeCell ref="N83:N85"/>
    <mergeCell ref="O83:O85"/>
    <mergeCell ref="P83:P85"/>
    <mergeCell ref="Q83:Q85"/>
    <mergeCell ref="U80:U82"/>
    <mergeCell ref="C83:C85"/>
    <mergeCell ref="D83:D85"/>
    <mergeCell ref="E83:E85"/>
    <mergeCell ref="F83:F85"/>
    <mergeCell ref="G83:G85"/>
    <mergeCell ref="H83:H85"/>
    <mergeCell ref="I83:I85"/>
    <mergeCell ref="J83:J85"/>
    <mergeCell ref="K83:K85"/>
    <mergeCell ref="O80:O82"/>
    <mergeCell ref="P80:P82"/>
    <mergeCell ref="Q80:Q82"/>
    <mergeCell ref="R80:R82"/>
    <mergeCell ref="S80:S82"/>
    <mergeCell ref="T80:T82"/>
    <mergeCell ref="I80:I82"/>
    <mergeCell ref="J80:J82"/>
    <mergeCell ref="K80:K82"/>
    <mergeCell ref="L80:L82"/>
    <mergeCell ref="M80:M82"/>
    <mergeCell ref="N80:N82"/>
    <mergeCell ref="R77:R79"/>
    <mergeCell ref="S77:S79"/>
    <mergeCell ref="T77:T79"/>
    <mergeCell ref="U77:U79"/>
    <mergeCell ref="C80:C82"/>
    <mergeCell ref="D80:D82"/>
    <mergeCell ref="E80:E82"/>
    <mergeCell ref="F80:F82"/>
    <mergeCell ref="G80:G82"/>
    <mergeCell ref="H80:H82"/>
    <mergeCell ref="L77:L79"/>
    <mergeCell ref="M77:M79"/>
    <mergeCell ref="N77:N79"/>
    <mergeCell ref="O77:O79"/>
    <mergeCell ref="P77:P79"/>
    <mergeCell ref="Q77:Q79"/>
    <mergeCell ref="U74:U76"/>
    <mergeCell ref="C77:C79"/>
    <mergeCell ref="D77:D79"/>
    <mergeCell ref="E77:E79"/>
    <mergeCell ref="F77:F79"/>
    <mergeCell ref="G77:G79"/>
    <mergeCell ref="H77:H79"/>
    <mergeCell ref="I77:I79"/>
    <mergeCell ref="J77:J79"/>
    <mergeCell ref="K77:K79"/>
    <mergeCell ref="O74:O76"/>
    <mergeCell ref="P74:P76"/>
    <mergeCell ref="Q74:Q76"/>
    <mergeCell ref="R74:R76"/>
    <mergeCell ref="S74:S76"/>
    <mergeCell ref="T74:T76"/>
    <mergeCell ref="I74:I76"/>
    <mergeCell ref="J74:J76"/>
    <mergeCell ref="K74:K76"/>
    <mergeCell ref="L74:L76"/>
    <mergeCell ref="M74:M76"/>
    <mergeCell ref="N74:N76"/>
    <mergeCell ref="R71:R73"/>
    <mergeCell ref="S71:S73"/>
    <mergeCell ref="T71:T73"/>
    <mergeCell ref="U71:U73"/>
    <mergeCell ref="C74:C76"/>
    <mergeCell ref="D74:D76"/>
    <mergeCell ref="E74:E76"/>
    <mergeCell ref="F74:F76"/>
    <mergeCell ref="G74:G76"/>
    <mergeCell ref="H74:H76"/>
    <mergeCell ref="L71:L73"/>
    <mergeCell ref="M71:M73"/>
    <mergeCell ref="N71:N73"/>
    <mergeCell ref="O71:O73"/>
    <mergeCell ref="P71:P73"/>
    <mergeCell ref="Q71:Q73"/>
    <mergeCell ref="U68:U70"/>
    <mergeCell ref="C71:C73"/>
    <mergeCell ref="D71:D73"/>
    <mergeCell ref="E71:E73"/>
    <mergeCell ref="F71:F73"/>
    <mergeCell ref="G71:G73"/>
    <mergeCell ref="H71:H73"/>
    <mergeCell ref="I71:I73"/>
    <mergeCell ref="J71:J73"/>
    <mergeCell ref="K71:K73"/>
    <mergeCell ref="O68:O70"/>
    <mergeCell ref="P68:P70"/>
    <mergeCell ref="Q68:Q70"/>
    <mergeCell ref="R68:R70"/>
    <mergeCell ref="S68:S70"/>
    <mergeCell ref="T68:T70"/>
    <mergeCell ref="I68:I70"/>
    <mergeCell ref="J68:J70"/>
    <mergeCell ref="K68:K70"/>
    <mergeCell ref="L68:L70"/>
    <mergeCell ref="M68:M70"/>
    <mergeCell ref="N68:N70"/>
    <mergeCell ref="R65:R67"/>
    <mergeCell ref="S65:S67"/>
    <mergeCell ref="T65:T67"/>
    <mergeCell ref="U65:U67"/>
    <mergeCell ref="C68:C70"/>
    <mergeCell ref="D68:D70"/>
    <mergeCell ref="E68:E70"/>
    <mergeCell ref="F68:F70"/>
    <mergeCell ref="G68:G70"/>
    <mergeCell ref="H68:H70"/>
    <mergeCell ref="L65:L67"/>
    <mergeCell ref="M65:M67"/>
    <mergeCell ref="N65:N67"/>
    <mergeCell ref="O65:O67"/>
    <mergeCell ref="P65:P67"/>
    <mergeCell ref="Q65:Q67"/>
    <mergeCell ref="U62:U64"/>
    <mergeCell ref="C65:C67"/>
    <mergeCell ref="D65:D67"/>
    <mergeCell ref="E65:E67"/>
    <mergeCell ref="F65:F67"/>
    <mergeCell ref="G65:G67"/>
    <mergeCell ref="H65:H67"/>
    <mergeCell ref="I65:I67"/>
    <mergeCell ref="J65:J67"/>
    <mergeCell ref="K65:K67"/>
    <mergeCell ref="O62:O64"/>
    <mergeCell ref="P62:P64"/>
    <mergeCell ref="Q62:Q64"/>
    <mergeCell ref="R62:R64"/>
    <mergeCell ref="S62:S64"/>
    <mergeCell ref="T62:T64"/>
    <mergeCell ref="I62:I64"/>
    <mergeCell ref="J62:J64"/>
    <mergeCell ref="K62:K64"/>
    <mergeCell ref="L62:L64"/>
    <mergeCell ref="M62:M64"/>
    <mergeCell ref="N62:N64"/>
    <mergeCell ref="R59:R61"/>
    <mergeCell ref="S59:S61"/>
    <mergeCell ref="T59:T61"/>
    <mergeCell ref="U59:U61"/>
    <mergeCell ref="C62:C64"/>
    <mergeCell ref="D62:D64"/>
    <mergeCell ref="E62:E64"/>
    <mergeCell ref="F62:F64"/>
    <mergeCell ref="G62:G64"/>
    <mergeCell ref="H62:H64"/>
    <mergeCell ref="L59:L61"/>
    <mergeCell ref="M59:M61"/>
    <mergeCell ref="N59:N61"/>
    <mergeCell ref="O59:O61"/>
    <mergeCell ref="P59:P61"/>
    <mergeCell ref="Q59:Q61"/>
    <mergeCell ref="U56:U58"/>
    <mergeCell ref="C59:C61"/>
    <mergeCell ref="D59:D61"/>
    <mergeCell ref="E59:E61"/>
    <mergeCell ref="F59:F61"/>
    <mergeCell ref="G59:G61"/>
    <mergeCell ref="H59:H61"/>
    <mergeCell ref="I59:I61"/>
    <mergeCell ref="J59:J61"/>
    <mergeCell ref="K59:K61"/>
    <mergeCell ref="O56:O58"/>
    <mergeCell ref="P56:P58"/>
    <mergeCell ref="Q56:Q58"/>
    <mergeCell ref="R56:R58"/>
    <mergeCell ref="S56:S58"/>
    <mergeCell ref="T56:T58"/>
    <mergeCell ref="I56:I58"/>
    <mergeCell ref="J56:J58"/>
    <mergeCell ref="K56:K58"/>
    <mergeCell ref="L56:L58"/>
    <mergeCell ref="M56:M58"/>
    <mergeCell ref="N56:N58"/>
    <mergeCell ref="R53:R55"/>
    <mergeCell ref="S53:S55"/>
    <mergeCell ref="T53:T55"/>
    <mergeCell ref="U53:U55"/>
    <mergeCell ref="C56:C58"/>
    <mergeCell ref="D56:D58"/>
    <mergeCell ref="E56:E58"/>
    <mergeCell ref="F56:F58"/>
    <mergeCell ref="G56:G58"/>
    <mergeCell ref="H56:H58"/>
    <mergeCell ref="L53:L55"/>
    <mergeCell ref="M53:M55"/>
    <mergeCell ref="N53:N55"/>
    <mergeCell ref="O53:O55"/>
    <mergeCell ref="P53:P55"/>
    <mergeCell ref="Q53:Q55"/>
    <mergeCell ref="U50:U52"/>
    <mergeCell ref="C53:C55"/>
    <mergeCell ref="D53:D55"/>
    <mergeCell ref="E53:E55"/>
    <mergeCell ref="F53:F55"/>
    <mergeCell ref="G53:G55"/>
    <mergeCell ref="H53:H55"/>
    <mergeCell ref="I53:I55"/>
    <mergeCell ref="J53:J55"/>
    <mergeCell ref="K53:K55"/>
    <mergeCell ref="O50:O52"/>
    <mergeCell ref="P50:P52"/>
    <mergeCell ref="Q50:Q52"/>
    <mergeCell ref="R50:R52"/>
    <mergeCell ref="S50:S52"/>
    <mergeCell ref="T50:T52"/>
    <mergeCell ref="I50:I52"/>
    <mergeCell ref="J50:J52"/>
    <mergeCell ref="K50:K52"/>
    <mergeCell ref="L50:L52"/>
    <mergeCell ref="M50:M52"/>
    <mergeCell ref="N50:N52"/>
    <mergeCell ref="R47:R49"/>
    <mergeCell ref="S47:S49"/>
    <mergeCell ref="T47:T49"/>
    <mergeCell ref="U47:U49"/>
    <mergeCell ref="C50:C52"/>
    <mergeCell ref="D50:D52"/>
    <mergeCell ref="E50:E52"/>
    <mergeCell ref="F50:F52"/>
    <mergeCell ref="G50:G52"/>
    <mergeCell ref="H50:H52"/>
    <mergeCell ref="L47:L49"/>
    <mergeCell ref="M47:M49"/>
    <mergeCell ref="N47:N49"/>
    <mergeCell ref="O47:O49"/>
    <mergeCell ref="P47:P49"/>
    <mergeCell ref="Q47:Q49"/>
    <mergeCell ref="U44:U46"/>
    <mergeCell ref="C47:C49"/>
    <mergeCell ref="D47:D49"/>
    <mergeCell ref="E47:E49"/>
    <mergeCell ref="F47:F49"/>
    <mergeCell ref="G47:G49"/>
    <mergeCell ref="H47:H49"/>
    <mergeCell ref="I47:I49"/>
    <mergeCell ref="J47:J49"/>
    <mergeCell ref="K47:K49"/>
    <mergeCell ref="O44:O46"/>
    <mergeCell ref="P44:P46"/>
    <mergeCell ref="Q44:Q46"/>
    <mergeCell ref="R44:R46"/>
    <mergeCell ref="S44:S46"/>
    <mergeCell ref="T44:T46"/>
    <mergeCell ref="I44:I46"/>
    <mergeCell ref="J44:J46"/>
    <mergeCell ref="K44:K46"/>
    <mergeCell ref="L44:L46"/>
    <mergeCell ref="M44:M46"/>
    <mergeCell ref="N44:N46"/>
    <mergeCell ref="R41:R43"/>
    <mergeCell ref="S41:S43"/>
    <mergeCell ref="T41:T43"/>
    <mergeCell ref="U41:U43"/>
    <mergeCell ref="C44:C46"/>
    <mergeCell ref="D44:D46"/>
    <mergeCell ref="E44:E46"/>
    <mergeCell ref="F44:F46"/>
    <mergeCell ref="G44:G46"/>
    <mergeCell ref="H44:H46"/>
    <mergeCell ref="L41:L43"/>
    <mergeCell ref="M41:M43"/>
    <mergeCell ref="N41:N43"/>
    <mergeCell ref="O41:O43"/>
    <mergeCell ref="P41:P43"/>
    <mergeCell ref="Q41:Q43"/>
    <mergeCell ref="U38:U40"/>
    <mergeCell ref="C41:C43"/>
    <mergeCell ref="D41:D43"/>
    <mergeCell ref="E41:E43"/>
    <mergeCell ref="F41:F43"/>
    <mergeCell ref="G41:G43"/>
    <mergeCell ref="H41:H43"/>
    <mergeCell ref="I41:I43"/>
    <mergeCell ref="J41:J43"/>
    <mergeCell ref="K41:K43"/>
    <mergeCell ref="O38:O40"/>
    <mergeCell ref="P38:P40"/>
    <mergeCell ref="Q38:Q40"/>
    <mergeCell ref="R38:R40"/>
    <mergeCell ref="S38:S40"/>
    <mergeCell ref="T38:T40"/>
    <mergeCell ref="I38:I40"/>
    <mergeCell ref="J38:J40"/>
    <mergeCell ref="K38:K40"/>
    <mergeCell ref="L38:L40"/>
    <mergeCell ref="M38:M40"/>
    <mergeCell ref="N38:N40"/>
    <mergeCell ref="R35:R37"/>
    <mergeCell ref="S35:S37"/>
    <mergeCell ref="T35:T37"/>
    <mergeCell ref="U35:U37"/>
    <mergeCell ref="C38:C40"/>
    <mergeCell ref="D38:D40"/>
    <mergeCell ref="E38:E40"/>
    <mergeCell ref="F38:F40"/>
    <mergeCell ref="G38:G40"/>
    <mergeCell ref="H38:H40"/>
    <mergeCell ref="L35:L37"/>
    <mergeCell ref="M35:M37"/>
    <mergeCell ref="N35:N37"/>
    <mergeCell ref="O35:O37"/>
    <mergeCell ref="P35:P37"/>
    <mergeCell ref="Q35:Q37"/>
    <mergeCell ref="U32:U34"/>
    <mergeCell ref="C35:C37"/>
    <mergeCell ref="D35:D37"/>
    <mergeCell ref="E35:E37"/>
    <mergeCell ref="F35:F37"/>
    <mergeCell ref="G35:G37"/>
    <mergeCell ref="H35:H37"/>
    <mergeCell ref="I35:I37"/>
    <mergeCell ref="J35:J37"/>
    <mergeCell ref="K35:K37"/>
    <mergeCell ref="O32:O34"/>
    <mergeCell ref="P32:P34"/>
    <mergeCell ref="Q32:Q34"/>
    <mergeCell ref="R32:R34"/>
    <mergeCell ref="S32:S34"/>
    <mergeCell ref="T32:T34"/>
    <mergeCell ref="I32:I34"/>
    <mergeCell ref="J32:J34"/>
    <mergeCell ref="K32:K34"/>
    <mergeCell ref="L32:L34"/>
    <mergeCell ref="M32:M34"/>
    <mergeCell ref="N32:N34"/>
    <mergeCell ref="R29:R31"/>
    <mergeCell ref="S29:S31"/>
    <mergeCell ref="T29:T31"/>
    <mergeCell ref="U29:U31"/>
    <mergeCell ref="C32:C34"/>
    <mergeCell ref="D32:D34"/>
    <mergeCell ref="E32:E34"/>
    <mergeCell ref="F32:F34"/>
    <mergeCell ref="G32:G34"/>
    <mergeCell ref="H32:H34"/>
    <mergeCell ref="L29:L31"/>
    <mergeCell ref="M29:M31"/>
    <mergeCell ref="N29:N31"/>
    <mergeCell ref="O29:O31"/>
    <mergeCell ref="P29:P31"/>
    <mergeCell ref="Q29:Q31"/>
    <mergeCell ref="U26:U28"/>
    <mergeCell ref="C29:C31"/>
    <mergeCell ref="D29:D31"/>
    <mergeCell ref="E29:E31"/>
    <mergeCell ref="F29:F31"/>
    <mergeCell ref="G29:G31"/>
    <mergeCell ref="H29:H31"/>
    <mergeCell ref="I29:I31"/>
    <mergeCell ref="J29:J31"/>
    <mergeCell ref="K29:K31"/>
    <mergeCell ref="O26:O28"/>
    <mergeCell ref="P26:P28"/>
    <mergeCell ref="Q26:Q28"/>
    <mergeCell ref="R26:R28"/>
    <mergeCell ref="S26:S28"/>
    <mergeCell ref="T26:T28"/>
    <mergeCell ref="I26:I28"/>
    <mergeCell ref="J26:J28"/>
    <mergeCell ref="K26:K28"/>
    <mergeCell ref="L26:L28"/>
    <mergeCell ref="M26:M28"/>
    <mergeCell ref="N26:N28"/>
    <mergeCell ref="R23:R25"/>
    <mergeCell ref="S23:S25"/>
    <mergeCell ref="T23:T25"/>
    <mergeCell ref="U23:U25"/>
    <mergeCell ref="C26:C28"/>
    <mergeCell ref="D26:D28"/>
    <mergeCell ref="E26:E28"/>
    <mergeCell ref="F26:F28"/>
    <mergeCell ref="G26:G28"/>
    <mergeCell ref="H26:H28"/>
    <mergeCell ref="L23:L25"/>
    <mergeCell ref="M23:M25"/>
    <mergeCell ref="N23:N25"/>
    <mergeCell ref="O23:O25"/>
    <mergeCell ref="P23:P25"/>
    <mergeCell ref="Q23:Q25"/>
    <mergeCell ref="U20:U22"/>
    <mergeCell ref="C23:C25"/>
    <mergeCell ref="D23:D25"/>
    <mergeCell ref="E23:E25"/>
    <mergeCell ref="F23:F25"/>
    <mergeCell ref="G23:G25"/>
    <mergeCell ref="H23:H25"/>
    <mergeCell ref="I23:I25"/>
    <mergeCell ref="J23:J25"/>
    <mergeCell ref="K23:K25"/>
    <mergeCell ref="O20:O22"/>
    <mergeCell ref="P20:P22"/>
    <mergeCell ref="Q20:Q22"/>
    <mergeCell ref="R20:R22"/>
    <mergeCell ref="S20:S22"/>
    <mergeCell ref="T20:T22"/>
    <mergeCell ref="I20:I22"/>
    <mergeCell ref="J20:J22"/>
    <mergeCell ref="K20:K22"/>
    <mergeCell ref="L20:L22"/>
    <mergeCell ref="M20:M22"/>
    <mergeCell ref="N20:N22"/>
    <mergeCell ref="P11:P13"/>
    <mergeCell ref="Q11:Q13"/>
    <mergeCell ref="U8:U10"/>
    <mergeCell ref="C11:C13"/>
    <mergeCell ref="D11:D13"/>
    <mergeCell ref="E11:E13"/>
    <mergeCell ref="F11:F13"/>
    <mergeCell ref="G11:G13"/>
    <mergeCell ref="H11:H13"/>
    <mergeCell ref="I11:I13"/>
    <mergeCell ref="J11:J13"/>
    <mergeCell ref="K11:K13"/>
    <mergeCell ref="O8:O10"/>
    <mergeCell ref="P8:P10"/>
    <mergeCell ref="Q8:Q10"/>
    <mergeCell ref="R8:R10"/>
    <mergeCell ref="S8:S10"/>
    <mergeCell ref="T8:T10"/>
    <mergeCell ref="I8:I10"/>
    <mergeCell ref="J8:J10"/>
    <mergeCell ref="K8:K10"/>
    <mergeCell ref="L8:L10"/>
    <mergeCell ref="M8:M10"/>
    <mergeCell ref="N8:N10"/>
    <mergeCell ref="R17:R19"/>
    <mergeCell ref="S17:S19"/>
    <mergeCell ref="T17:T19"/>
    <mergeCell ref="U17:U19"/>
    <mergeCell ref="C20:C22"/>
    <mergeCell ref="D20:D22"/>
    <mergeCell ref="E20:E22"/>
    <mergeCell ref="F20:F22"/>
    <mergeCell ref="G20:G22"/>
    <mergeCell ref="H20:H22"/>
    <mergeCell ref="L17:L19"/>
    <mergeCell ref="M17:M19"/>
    <mergeCell ref="N17:N19"/>
    <mergeCell ref="O17:O19"/>
    <mergeCell ref="P17:P19"/>
    <mergeCell ref="Q17:Q19"/>
    <mergeCell ref="U14:U16"/>
    <mergeCell ref="C17:C19"/>
    <mergeCell ref="D17:D19"/>
    <mergeCell ref="E17:E19"/>
    <mergeCell ref="F17:F19"/>
    <mergeCell ref="G17:G19"/>
    <mergeCell ref="H17:H19"/>
    <mergeCell ref="I17:I19"/>
    <mergeCell ref="J17:J19"/>
    <mergeCell ref="K17:K19"/>
    <mergeCell ref="O14:O16"/>
    <mergeCell ref="P14:P16"/>
    <mergeCell ref="Q14:Q16"/>
    <mergeCell ref="R14:R16"/>
    <mergeCell ref="S14:S16"/>
    <mergeCell ref="T14:T16"/>
    <mergeCell ref="I14:I16"/>
    <mergeCell ref="J14:J16"/>
    <mergeCell ref="K14:K16"/>
    <mergeCell ref="L14:L16"/>
    <mergeCell ref="M14:M16"/>
    <mergeCell ref="N14:N16"/>
    <mergeCell ref="A11:A13"/>
    <mergeCell ref="A14:A16"/>
    <mergeCell ref="A17:A19"/>
    <mergeCell ref="A20:A22"/>
    <mergeCell ref="A23:A25"/>
    <mergeCell ref="A26:A28"/>
    <mergeCell ref="R5:R7"/>
    <mergeCell ref="S5:S7"/>
    <mergeCell ref="T5:T7"/>
    <mergeCell ref="U5:U7"/>
    <mergeCell ref="C8:C10"/>
    <mergeCell ref="D8:D10"/>
    <mergeCell ref="E8:E10"/>
    <mergeCell ref="F8:F10"/>
    <mergeCell ref="G8:G10"/>
    <mergeCell ref="H8:H10"/>
    <mergeCell ref="L5:L7"/>
    <mergeCell ref="M5:M7"/>
    <mergeCell ref="N5:N7"/>
    <mergeCell ref="O5:O7"/>
    <mergeCell ref="P5:P7"/>
    <mergeCell ref="Q5:Q7"/>
    <mergeCell ref="U2:U4"/>
    <mergeCell ref="C5:C7"/>
    <mergeCell ref="D5:D7"/>
    <mergeCell ref="E5:E7"/>
    <mergeCell ref="F5:F7"/>
    <mergeCell ref="G5:G7"/>
    <mergeCell ref="H5:H7"/>
    <mergeCell ref="I5:I7"/>
    <mergeCell ref="J5:J7"/>
    <mergeCell ref="K5:K7"/>
    <mergeCell ref="O2:O4"/>
    <mergeCell ref="P2:P4"/>
    <mergeCell ref="Q2:Q4"/>
    <mergeCell ref="R2:R4"/>
    <mergeCell ref="S2:S4"/>
    <mergeCell ref="T2:T4"/>
    <mergeCell ref="I2:I4"/>
    <mergeCell ref="J2:J4"/>
    <mergeCell ref="K2:K4"/>
    <mergeCell ref="L2:L4"/>
    <mergeCell ref="M2:M4"/>
    <mergeCell ref="N2:N4"/>
    <mergeCell ref="C2:C4"/>
    <mergeCell ref="D2:D4"/>
    <mergeCell ref="E2:E4"/>
    <mergeCell ref="F2:F4"/>
    <mergeCell ref="G2:G4"/>
    <mergeCell ref="H2:H4"/>
    <mergeCell ref="R11:R13"/>
    <mergeCell ref="S11:S13"/>
    <mergeCell ref="T11:T13"/>
    <mergeCell ref="U11:U13"/>
    <mergeCell ref="C14:C16"/>
    <mergeCell ref="D14:D16"/>
    <mergeCell ref="E14:E16"/>
    <mergeCell ref="F14:F16"/>
    <mergeCell ref="G14:G16"/>
    <mergeCell ref="H14:H16"/>
    <mergeCell ref="L11:L13"/>
    <mergeCell ref="M11:M13"/>
    <mergeCell ref="N11:N13"/>
    <mergeCell ref="O11:O13"/>
    <mergeCell ref="B2:B4"/>
    <mergeCell ref="B5:B7"/>
    <mergeCell ref="B8:B10"/>
    <mergeCell ref="A2:A4"/>
    <mergeCell ref="A5:A7"/>
    <mergeCell ref="A8:A10"/>
    <mergeCell ref="B89:B91"/>
    <mergeCell ref="B92:B94"/>
    <mergeCell ref="B95:B97"/>
    <mergeCell ref="B98:B100"/>
    <mergeCell ref="B101:B103"/>
    <mergeCell ref="B104:B106"/>
    <mergeCell ref="B71:B73"/>
    <mergeCell ref="B74:B76"/>
    <mergeCell ref="B77:B79"/>
    <mergeCell ref="B80:B82"/>
    <mergeCell ref="B83:B85"/>
    <mergeCell ref="B86:B88"/>
    <mergeCell ref="B53:B55"/>
    <mergeCell ref="B56:B58"/>
    <mergeCell ref="B59:B61"/>
    <mergeCell ref="B62:B64"/>
    <mergeCell ref="B65:B67"/>
    <mergeCell ref="B68:B70"/>
    <mergeCell ref="B35:B37"/>
    <mergeCell ref="B38:B40"/>
    <mergeCell ref="B41:B43"/>
    <mergeCell ref="B44:B46"/>
    <mergeCell ref="B47:B49"/>
    <mergeCell ref="B50:B52"/>
    <mergeCell ref="A101:A103"/>
    <mergeCell ref="A104:A106"/>
    <mergeCell ref="B11:B13"/>
    <mergeCell ref="B14:B16"/>
    <mergeCell ref="B17:B19"/>
    <mergeCell ref="B20:B22"/>
    <mergeCell ref="B23:B25"/>
    <mergeCell ref="B26:B28"/>
    <mergeCell ref="B29:B31"/>
    <mergeCell ref="B32:B34"/>
    <mergeCell ref="A83:A85"/>
    <mergeCell ref="A86:A88"/>
    <mergeCell ref="A89:A91"/>
    <mergeCell ref="A92:A94"/>
    <mergeCell ref="A95:A97"/>
    <mergeCell ref="A98:A100"/>
    <mergeCell ref="A65:A67"/>
    <mergeCell ref="A68:A70"/>
    <mergeCell ref="A71:A73"/>
    <mergeCell ref="A74:A76"/>
    <mergeCell ref="A77:A79"/>
    <mergeCell ref="A80:A82"/>
    <mergeCell ref="A47:A49"/>
    <mergeCell ref="A50:A52"/>
    <mergeCell ref="A53:A55"/>
    <mergeCell ref="A56:A58"/>
    <mergeCell ref="A59:A61"/>
    <mergeCell ref="A62:A64"/>
    <mergeCell ref="A29:A31"/>
    <mergeCell ref="A32:A34"/>
    <mergeCell ref="A35:A37"/>
    <mergeCell ref="A38:A40"/>
    <mergeCell ref="A41:A43"/>
    <mergeCell ref="A44:A4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sheetPr>
  <dimension ref="A1:AS81"/>
  <sheetViews>
    <sheetView showGridLines="0" showZeros="0" view="pageBreakPreview" zoomScaleSheetLayoutView="100" workbookViewId="0">
      <pane ySplit="1" topLeftCell="A2" activePane="bottomLeft" state="frozen"/>
      <selection pane="bottomLeft" activeCell="B8" sqref="B8:B9"/>
    </sheetView>
  </sheetViews>
  <sheetFormatPr defaultColWidth="0" defaultRowHeight="12.75" zeroHeight="1"/>
  <cols>
    <col min="1" max="1" width="3.7109375" style="171" customWidth="1"/>
    <col min="2" max="2" width="25.42578125" style="171" customWidth="1"/>
    <col min="3" max="3" width="4" style="171" customWidth="1"/>
    <col min="4" max="43" width="3.140625" style="171" customWidth="1"/>
    <col min="44" max="44" width="5.5703125" style="171" customWidth="1"/>
    <col min="45" max="45" width="7" style="171" customWidth="1"/>
    <col min="46" max="16384" width="9.140625" style="171" hidden="1"/>
  </cols>
  <sheetData>
    <row r="1" spans="1:45" ht="25.5" customHeight="1">
      <c r="A1" s="464" t="s">
        <v>497</v>
      </c>
      <c r="B1" s="636" t="s">
        <v>105</v>
      </c>
      <c r="C1" s="636"/>
      <c r="D1" s="636"/>
      <c r="E1" s="636"/>
      <c r="F1" s="636"/>
      <c r="G1" s="636"/>
      <c r="H1" s="636"/>
      <c r="I1" s="636"/>
      <c r="J1" s="636"/>
      <c r="K1" s="636"/>
      <c r="L1" s="636"/>
      <c r="M1" s="636"/>
      <c r="N1" s="636"/>
      <c r="O1" s="636"/>
      <c r="P1" s="636"/>
      <c r="Q1" s="636"/>
      <c r="R1" s="636"/>
      <c r="S1" s="636"/>
      <c r="T1" s="636"/>
      <c r="U1" s="636"/>
      <c r="V1" s="636"/>
      <c r="W1" s="636"/>
      <c r="X1" s="636"/>
      <c r="Y1" s="636"/>
      <c r="Z1" s="636"/>
      <c r="AA1" s="636"/>
      <c r="AB1" s="636"/>
      <c r="AC1" s="636"/>
      <c r="AD1" s="636"/>
      <c r="AE1" s="636"/>
      <c r="AF1" s="636"/>
      <c r="AG1" s="636"/>
      <c r="AH1" s="636"/>
      <c r="AI1" s="636"/>
      <c r="AJ1" s="636"/>
      <c r="AK1" s="636"/>
      <c r="AL1" s="636"/>
      <c r="AM1" s="636"/>
      <c r="AN1" s="636"/>
      <c r="AO1" s="636"/>
      <c r="AP1" s="636"/>
      <c r="AQ1" s="636"/>
      <c r="AR1" s="636"/>
      <c r="AS1" s="636"/>
    </row>
    <row r="2" spans="1:45" ht="26.25" customHeight="1">
      <c r="A2" s="172"/>
      <c r="B2" s="637" t="s">
        <v>160</v>
      </c>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row>
    <row r="3" spans="1:45" ht="14.25" customHeight="1">
      <c r="B3" s="173" t="s">
        <v>156</v>
      </c>
      <c r="C3" s="174">
        <f>SCHOOL!D3</f>
        <v>1</v>
      </c>
      <c r="D3" s="175"/>
      <c r="E3" s="175"/>
      <c r="F3" s="625" t="s">
        <v>157</v>
      </c>
      <c r="G3" s="625"/>
      <c r="H3" s="626" t="str">
        <f>SCHOOL!D4</f>
        <v xml:space="preserve"> ---</v>
      </c>
      <c r="I3" s="626"/>
      <c r="J3" s="175"/>
      <c r="K3" s="175"/>
      <c r="L3" s="175"/>
      <c r="M3" s="226"/>
      <c r="N3" s="625"/>
      <c r="O3" s="625"/>
      <c r="P3" s="625"/>
      <c r="Q3" s="625"/>
      <c r="R3" s="625"/>
      <c r="S3" s="625"/>
      <c r="T3" s="226"/>
      <c r="U3" s="226"/>
      <c r="V3" s="638"/>
      <c r="W3" s="638"/>
      <c r="X3" s="638"/>
      <c r="Y3" s="638"/>
      <c r="Z3" s="625"/>
      <c r="AA3" s="625"/>
      <c r="AB3" s="227"/>
      <c r="AC3" s="227"/>
      <c r="AD3" s="625"/>
      <c r="AE3" s="625"/>
      <c r="AF3" s="625"/>
      <c r="AG3" s="625"/>
      <c r="AJ3" s="625" t="s">
        <v>158</v>
      </c>
      <c r="AK3" s="625"/>
      <c r="AL3" s="626" t="str">
        <f>SCHOOL!D6</f>
        <v>2012-13</v>
      </c>
      <c r="AM3" s="626"/>
      <c r="AN3" s="626"/>
      <c r="AO3" s="626"/>
      <c r="AP3" s="333"/>
      <c r="AQ3" s="333"/>
      <c r="AR3" s="333"/>
      <c r="AS3" s="333"/>
    </row>
    <row r="4" spans="1:45" ht="2.25" customHeight="1">
      <c r="B4" s="173"/>
      <c r="C4" s="175"/>
      <c r="D4" s="175"/>
      <c r="E4" s="175"/>
      <c r="F4" s="332"/>
      <c r="G4" s="332"/>
      <c r="H4" s="332"/>
      <c r="I4" s="332"/>
      <c r="J4" s="175"/>
      <c r="K4" s="175"/>
      <c r="L4" s="175"/>
      <c r="M4" s="175"/>
      <c r="N4" s="332"/>
      <c r="O4" s="332"/>
      <c r="P4" s="332"/>
      <c r="Q4" s="332"/>
      <c r="R4" s="332"/>
      <c r="S4" s="332"/>
      <c r="T4" s="175"/>
      <c r="U4" s="175"/>
      <c r="V4" s="334"/>
      <c r="W4" s="334"/>
      <c r="X4" s="334"/>
      <c r="Y4" s="334"/>
      <c r="Z4" s="332"/>
      <c r="AA4" s="332"/>
      <c r="AD4" s="332"/>
      <c r="AE4" s="332"/>
      <c r="AF4" s="332"/>
      <c r="AG4" s="332"/>
      <c r="AJ4" s="332"/>
      <c r="AK4" s="332"/>
      <c r="AL4" s="332"/>
      <c r="AM4" s="332"/>
      <c r="AN4" s="332"/>
      <c r="AO4" s="332"/>
      <c r="AP4" s="333"/>
      <c r="AQ4" s="333"/>
      <c r="AR4" s="333"/>
      <c r="AS4" s="333"/>
    </row>
    <row r="5" spans="1:45" ht="16.5" customHeight="1">
      <c r="B5" s="627" t="s">
        <v>82</v>
      </c>
      <c r="C5" s="630" t="s">
        <v>92</v>
      </c>
      <c r="D5" s="633" t="s">
        <v>93</v>
      </c>
      <c r="E5" s="634"/>
      <c r="F5" s="634"/>
      <c r="G5" s="634"/>
      <c r="H5" s="634"/>
      <c r="I5" s="634"/>
      <c r="J5" s="634"/>
      <c r="K5" s="635"/>
      <c r="L5" s="633" t="s">
        <v>95</v>
      </c>
      <c r="M5" s="634"/>
      <c r="N5" s="634"/>
      <c r="O5" s="634"/>
      <c r="P5" s="634"/>
      <c r="Q5" s="635"/>
      <c r="R5" s="633" t="s">
        <v>101</v>
      </c>
      <c r="S5" s="634"/>
      <c r="T5" s="634"/>
      <c r="U5" s="634"/>
      <c r="V5" s="634"/>
      <c r="W5" s="634"/>
      <c r="X5" s="634"/>
      <c r="Y5" s="634"/>
      <c r="Z5" s="634"/>
      <c r="AA5" s="634"/>
      <c r="AB5" s="634"/>
      <c r="AC5" s="634"/>
      <c r="AD5" s="634"/>
      <c r="AE5" s="634"/>
      <c r="AF5" s="634"/>
      <c r="AG5" s="634"/>
      <c r="AH5" s="634"/>
      <c r="AI5" s="635"/>
      <c r="AJ5" s="633" t="s">
        <v>103</v>
      </c>
      <c r="AK5" s="634"/>
      <c r="AL5" s="634"/>
      <c r="AM5" s="634"/>
      <c r="AN5" s="634"/>
      <c r="AO5" s="634"/>
      <c r="AP5" s="634"/>
      <c r="AQ5" s="635"/>
      <c r="AR5" s="633" t="s">
        <v>104</v>
      </c>
      <c r="AS5" s="635"/>
    </row>
    <row r="6" spans="1:45" ht="25.5" customHeight="1">
      <c r="B6" s="628"/>
      <c r="C6" s="631"/>
      <c r="D6" s="641" t="s">
        <v>94</v>
      </c>
      <c r="E6" s="642"/>
      <c r="F6" s="642"/>
      <c r="G6" s="642"/>
      <c r="H6" s="642"/>
      <c r="I6" s="642"/>
      <c r="J6" s="642"/>
      <c r="K6" s="643"/>
      <c r="L6" s="641" t="s">
        <v>96</v>
      </c>
      <c r="M6" s="642"/>
      <c r="N6" s="642"/>
      <c r="O6" s="642"/>
      <c r="P6" s="642"/>
      <c r="Q6" s="643"/>
      <c r="R6" s="641" t="s">
        <v>97</v>
      </c>
      <c r="S6" s="642"/>
      <c r="T6" s="642"/>
      <c r="U6" s="643"/>
      <c r="V6" s="641" t="s">
        <v>98</v>
      </c>
      <c r="W6" s="642"/>
      <c r="X6" s="642"/>
      <c r="Y6" s="643"/>
      <c r="Z6" s="641" t="s">
        <v>99</v>
      </c>
      <c r="AA6" s="642"/>
      <c r="AB6" s="642"/>
      <c r="AC6" s="642"/>
      <c r="AD6" s="643"/>
      <c r="AE6" s="641" t="s">
        <v>100</v>
      </c>
      <c r="AF6" s="642"/>
      <c r="AG6" s="642"/>
      <c r="AH6" s="642"/>
      <c r="AI6" s="643"/>
      <c r="AJ6" s="641" t="s">
        <v>102</v>
      </c>
      <c r="AK6" s="642"/>
      <c r="AL6" s="642"/>
      <c r="AM6" s="642"/>
      <c r="AN6" s="643"/>
      <c r="AO6" s="641" t="s">
        <v>61</v>
      </c>
      <c r="AP6" s="642"/>
      <c r="AQ6" s="643"/>
      <c r="AR6" s="639"/>
      <c r="AS6" s="640"/>
    </row>
    <row r="7" spans="1:45" ht="179.25" customHeight="1">
      <c r="B7" s="629"/>
      <c r="C7" s="632"/>
      <c r="D7" s="179" t="s">
        <v>106</v>
      </c>
      <c r="E7" s="180" t="s">
        <v>107</v>
      </c>
      <c r="F7" s="181" t="s">
        <v>108</v>
      </c>
      <c r="G7" s="181" t="s">
        <v>109</v>
      </c>
      <c r="H7" s="181" t="s">
        <v>110</v>
      </c>
      <c r="I7" s="181" t="s">
        <v>111</v>
      </c>
      <c r="J7" s="180" t="s">
        <v>112</v>
      </c>
      <c r="K7" s="182" t="s">
        <v>113</v>
      </c>
      <c r="L7" s="179" t="s">
        <v>114</v>
      </c>
      <c r="M7" s="181" t="s">
        <v>115</v>
      </c>
      <c r="N7" s="181" t="s">
        <v>116</v>
      </c>
      <c r="O7" s="181" t="s">
        <v>117</v>
      </c>
      <c r="P7" s="180" t="s">
        <v>118</v>
      </c>
      <c r="Q7" s="183" t="s">
        <v>119</v>
      </c>
      <c r="R7" s="179" t="s">
        <v>120</v>
      </c>
      <c r="S7" s="181" t="s">
        <v>121</v>
      </c>
      <c r="T7" s="181" t="s">
        <v>122</v>
      </c>
      <c r="U7" s="182" t="s">
        <v>123</v>
      </c>
      <c r="V7" s="179" t="s">
        <v>124</v>
      </c>
      <c r="W7" s="181" t="s">
        <v>125</v>
      </c>
      <c r="X7" s="181" t="s">
        <v>126</v>
      </c>
      <c r="Y7" s="182" t="s">
        <v>127</v>
      </c>
      <c r="Z7" s="179" t="s">
        <v>128</v>
      </c>
      <c r="AA7" s="181" t="s">
        <v>129</v>
      </c>
      <c r="AB7" s="181" t="s">
        <v>130</v>
      </c>
      <c r="AC7" s="184" t="s">
        <v>131</v>
      </c>
      <c r="AD7" s="183" t="s">
        <v>132</v>
      </c>
      <c r="AE7" s="179" t="s">
        <v>133</v>
      </c>
      <c r="AF7" s="181" t="s">
        <v>134</v>
      </c>
      <c r="AG7" s="181" t="s">
        <v>135</v>
      </c>
      <c r="AH7" s="184" t="s">
        <v>136</v>
      </c>
      <c r="AI7" s="182" t="s">
        <v>137</v>
      </c>
      <c r="AJ7" s="179" t="s">
        <v>142</v>
      </c>
      <c r="AK7" s="181" t="s">
        <v>138</v>
      </c>
      <c r="AL7" s="181" t="s">
        <v>139</v>
      </c>
      <c r="AM7" s="181" t="s">
        <v>140</v>
      </c>
      <c r="AN7" s="182" t="s">
        <v>141</v>
      </c>
      <c r="AO7" s="179" t="s">
        <v>143</v>
      </c>
      <c r="AP7" s="181" t="s">
        <v>144</v>
      </c>
      <c r="AQ7" s="183" t="s">
        <v>145</v>
      </c>
      <c r="AR7" s="185" t="s">
        <v>147</v>
      </c>
      <c r="AS7" s="186" t="s">
        <v>146</v>
      </c>
    </row>
    <row r="8" spans="1:45" ht="16.899999999999999" customHeight="1">
      <c r="A8" s="644">
        <v>1</v>
      </c>
      <c r="B8" s="645" t="str">
        <f ca="1">INDIRECT("'A-RACHNATMAK'!b"&amp;(ROW(B1)-1)*3+11)</f>
        <v>ગોહેલ રાજેશભાઇ ચીથરભાઇ</v>
      </c>
      <c r="C8" s="187">
        <v>1</v>
      </c>
      <c r="D8" s="188"/>
      <c r="E8" s="189"/>
      <c r="F8" s="189"/>
      <c r="G8" s="189"/>
      <c r="H8" s="189"/>
      <c r="I8" s="189"/>
      <c r="J8" s="189"/>
      <c r="K8" s="190"/>
      <c r="L8" s="191"/>
      <c r="M8" s="192"/>
      <c r="N8" s="192"/>
      <c r="O8" s="192"/>
      <c r="P8" s="192"/>
      <c r="Q8" s="193"/>
      <c r="R8" s="191"/>
      <c r="S8" s="192"/>
      <c r="T8" s="192"/>
      <c r="U8" s="193"/>
      <c r="V8" s="191"/>
      <c r="W8" s="192"/>
      <c r="X8" s="192"/>
      <c r="Y8" s="193"/>
      <c r="Z8" s="191"/>
      <c r="AA8" s="192"/>
      <c r="AB8" s="192"/>
      <c r="AC8" s="192"/>
      <c r="AD8" s="193"/>
      <c r="AE8" s="191"/>
      <c r="AF8" s="192"/>
      <c r="AG8" s="192"/>
      <c r="AH8" s="192"/>
      <c r="AI8" s="193"/>
      <c r="AJ8" s="191"/>
      <c r="AK8" s="192"/>
      <c r="AL8" s="192"/>
      <c r="AM8" s="192"/>
      <c r="AN8" s="193"/>
      <c r="AO8" s="191"/>
      <c r="AP8" s="192"/>
      <c r="AQ8" s="193"/>
      <c r="AR8" s="194">
        <f>SUM(D8:AQ8)</f>
        <v>0</v>
      </c>
      <c r="AS8" s="647">
        <f>ROUND((AR8+AR9)/2,0)</f>
        <v>0</v>
      </c>
    </row>
    <row r="9" spans="1:45" ht="16.899999999999999" customHeight="1">
      <c r="A9" s="644"/>
      <c r="B9" s="646"/>
      <c r="C9" s="195">
        <v>2</v>
      </c>
      <c r="D9" s="196"/>
      <c r="E9" s="197"/>
      <c r="F9" s="197"/>
      <c r="G9" s="197"/>
      <c r="H9" s="197"/>
      <c r="I9" s="197"/>
      <c r="J9" s="197"/>
      <c r="K9" s="198"/>
      <c r="L9" s="199"/>
      <c r="M9" s="200"/>
      <c r="N9" s="200"/>
      <c r="O9" s="200"/>
      <c r="P9" s="200"/>
      <c r="Q9" s="201"/>
      <c r="R9" s="199"/>
      <c r="S9" s="200"/>
      <c r="T9" s="200"/>
      <c r="U9" s="201"/>
      <c r="V9" s="199"/>
      <c r="W9" s="200"/>
      <c r="X9" s="200"/>
      <c r="Y9" s="201"/>
      <c r="Z9" s="199"/>
      <c r="AA9" s="200"/>
      <c r="AB9" s="200"/>
      <c r="AC9" s="200"/>
      <c r="AD9" s="201"/>
      <c r="AE9" s="199"/>
      <c r="AF9" s="200"/>
      <c r="AG9" s="200"/>
      <c r="AH9" s="200"/>
      <c r="AI9" s="201"/>
      <c r="AJ9" s="199"/>
      <c r="AK9" s="200"/>
      <c r="AL9" s="200"/>
      <c r="AM9" s="200"/>
      <c r="AN9" s="201"/>
      <c r="AO9" s="199"/>
      <c r="AP9" s="200"/>
      <c r="AQ9" s="201"/>
      <c r="AR9" s="202">
        <f>SUM(D9:AQ9)</f>
        <v>0</v>
      </c>
      <c r="AS9" s="648"/>
    </row>
    <row r="10" spans="1:45" ht="16.899999999999999" customHeight="1">
      <c r="A10" s="644">
        <v>2</v>
      </c>
      <c r="B10" s="645" t="str">
        <f t="shared" ref="B10" ca="1" si="0">INDIRECT("'A-RACHNATMAK'!b"&amp;(ROW(B3)-1)*1.5+11)</f>
        <v>ખિમસુરીયા સાહિલકુમાર અરજણભાઇ</v>
      </c>
      <c r="C10" s="187">
        <v>1</v>
      </c>
      <c r="D10" s="188"/>
      <c r="E10" s="189"/>
      <c r="F10" s="189"/>
      <c r="G10" s="189"/>
      <c r="H10" s="189"/>
      <c r="I10" s="189"/>
      <c r="J10" s="189"/>
      <c r="K10" s="190"/>
      <c r="L10" s="191"/>
      <c r="M10" s="192"/>
      <c r="N10" s="192"/>
      <c r="O10" s="192"/>
      <c r="P10" s="192"/>
      <c r="Q10" s="193"/>
      <c r="R10" s="191"/>
      <c r="S10" s="192"/>
      <c r="T10" s="192"/>
      <c r="U10" s="193"/>
      <c r="V10" s="191"/>
      <c r="W10" s="192"/>
      <c r="X10" s="192"/>
      <c r="Y10" s="193"/>
      <c r="Z10" s="191"/>
      <c r="AA10" s="192"/>
      <c r="AB10" s="192"/>
      <c r="AC10" s="192"/>
      <c r="AD10" s="193"/>
      <c r="AE10" s="191"/>
      <c r="AF10" s="192"/>
      <c r="AG10" s="192"/>
      <c r="AH10" s="192"/>
      <c r="AI10" s="193"/>
      <c r="AJ10" s="191"/>
      <c r="AK10" s="192"/>
      <c r="AL10" s="192"/>
      <c r="AM10" s="192"/>
      <c r="AN10" s="193"/>
      <c r="AO10" s="191"/>
      <c r="AP10" s="192"/>
      <c r="AQ10" s="193"/>
      <c r="AR10" s="194">
        <f t="shared" ref="AR10:AR73" si="1">SUM(D10:AQ10)</f>
        <v>0</v>
      </c>
      <c r="AS10" s="647">
        <f t="shared" ref="AS10" si="2">ROUND((AR10+AR11)/2,0)</f>
        <v>0</v>
      </c>
    </row>
    <row r="11" spans="1:45" ht="16.899999999999999" customHeight="1">
      <c r="A11" s="644"/>
      <c r="B11" s="646"/>
      <c r="C11" s="195">
        <v>2</v>
      </c>
      <c r="D11" s="196"/>
      <c r="E11" s="197"/>
      <c r="F11" s="197"/>
      <c r="G11" s="197"/>
      <c r="H11" s="197"/>
      <c r="I11" s="197"/>
      <c r="J11" s="197"/>
      <c r="K11" s="198"/>
      <c r="L11" s="199"/>
      <c r="M11" s="200"/>
      <c r="N11" s="200"/>
      <c r="O11" s="200"/>
      <c r="P11" s="200"/>
      <c r="Q11" s="201"/>
      <c r="R11" s="199"/>
      <c r="S11" s="200"/>
      <c r="T11" s="200"/>
      <c r="U11" s="201"/>
      <c r="V11" s="199"/>
      <c r="W11" s="200"/>
      <c r="X11" s="200"/>
      <c r="Y11" s="201"/>
      <c r="Z11" s="199"/>
      <c r="AA11" s="200"/>
      <c r="AB11" s="200"/>
      <c r="AC11" s="200"/>
      <c r="AD11" s="201"/>
      <c r="AE11" s="199"/>
      <c r="AF11" s="200"/>
      <c r="AG11" s="200"/>
      <c r="AH11" s="200"/>
      <c r="AI11" s="201"/>
      <c r="AJ11" s="199"/>
      <c r="AK11" s="200"/>
      <c r="AL11" s="200"/>
      <c r="AM11" s="200"/>
      <c r="AN11" s="201"/>
      <c r="AO11" s="199"/>
      <c r="AP11" s="200"/>
      <c r="AQ11" s="201"/>
      <c r="AR11" s="202">
        <f t="shared" si="1"/>
        <v>0</v>
      </c>
      <c r="AS11" s="648"/>
    </row>
    <row r="12" spans="1:45" ht="16.899999999999999" customHeight="1">
      <c r="A12" s="644">
        <v>3</v>
      </c>
      <c r="B12" s="645" t="str">
        <f t="shared" ref="B12" ca="1" si="3">INDIRECT("'A-RACHNATMAK'!b"&amp;(ROW(B5)-1)*1.5+11)</f>
        <v>ગરણિયા મયુરકુમાર અશોકભાઇ</v>
      </c>
      <c r="C12" s="187">
        <v>1</v>
      </c>
      <c r="D12" s="188"/>
      <c r="E12" s="189"/>
      <c r="F12" s="189"/>
      <c r="G12" s="189"/>
      <c r="H12" s="189"/>
      <c r="I12" s="189"/>
      <c r="J12" s="189"/>
      <c r="K12" s="190"/>
      <c r="L12" s="191"/>
      <c r="M12" s="192"/>
      <c r="N12" s="192"/>
      <c r="O12" s="192"/>
      <c r="P12" s="192"/>
      <c r="Q12" s="193"/>
      <c r="R12" s="191"/>
      <c r="S12" s="192"/>
      <c r="T12" s="192"/>
      <c r="U12" s="193"/>
      <c r="V12" s="191"/>
      <c r="W12" s="192"/>
      <c r="X12" s="192"/>
      <c r="Y12" s="193"/>
      <c r="Z12" s="191"/>
      <c r="AA12" s="192"/>
      <c r="AB12" s="192"/>
      <c r="AC12" s="192"/>
      <c r="AD12" s="193"/>
      <c r="AE12" s="191"/>
      <c r="AF12" s="192"/>
      <c r="AG12" s="192"/>
      <c r="AH12" s="192"/>
      <c r="AI12" s="193"/>
      <c r="AJ12" s="191"/>
      <c r="AK12" s="192"/>
      <c r="AL12" s="192"/>
      <c r="AM12" s="192"/>
      <c r="AN12" s="193"/>
      <c r="AO12" s="191"/>
      <c r="AP12" s="192"/>
      <c r="AQ12" s="193"/>
      <c r="AR12" s="194">
        <f t="shared" si="1"/>
        <v>0</v>
      </c>
      <c r="AS12" s="647">
        <f t="shared" ref="AS12" si="4">ROUND((AR12+AR13)/2,0)</f>
        <v>0</v>
      </c>
    </row>
    <row r="13" spans="1:45" ht="16.899999999999999" customHeight="1">
      <c r="A13" s="644"/>
      <c r="B13" s="646"/>
      <c r="C13" s="195">
        <v>2</v>
      </c>
      <c r="D13" s="196"/>
      <c r="E13" s="197"/>
      <c r="F13" s="197"/>
      <c r="G13" s="197"/>
      <c r="H13" s="197"/>
      <c r="I13" s="197"/>
      <c r="J13" s="197"/>
      <c r="K13" s="198"/>
      <c r="L13" s="199"/>
      <c r="M13" s="200"/>
      <c r="N13" s="200"/>
      <c r="O13" s="200"/>
      <c r="P13" s="200"/>
      <c r="Q13" s="201"/>
      <c r="R13" s="199"/>
      <c r="S13" s="200"/>
      <c r="T13" s="200"/>
      <c r="U13" s="201"/>
      <c r="V13" s="199"/>
      <c r="W13" s="200"/>
      <c r="X13" s="200"/>
      <c r="Y13" s="201"/>
      <c r="Z13" s="199"/>
      <c r="AA13" s="200"/>
      <c r="AB13" s="200"/>
      <c r="AC13" s="200"/>
      <c r="AD13" s="201"/>
      <c r="AE13" s="199"/>
      <c r="AF13" s="200"/>
      <c r="AG13" s="200"/>
      <c r="AH13" s="200"/>
      <c r="AI13" s="201"/>
      <c r="AJ13" s="199"/>
      <c r="AK13" s="200"/>
      <c r="AL13" s="200"/>
      <c r="AM13" s="200"/>
      <c r="AN13" s="201"/>
      <c r="AO13" s="199"/>
      <c r="AP13" s="200"/>
      <c r="AQ13" s="201"/>
      <c r="AR13" s="202">
        <f t="shared" si="1"/>
        <v>0</v>
      </c>
      <c r="AS13" s="648"/>
    </row>
    <row r="14" spans="1:45" ht="16.899999999999999" customHeight="1">
      <c r="A14" s="644">
        <v>4</v>
      </c>
      <c r="B14" s="645" t="str">
        <f t="shared" ref="B14" ca="1" si="5">INDIRECT("'A-RACHNATMAK'!b"&amp;(ROW(B7)-1)*1.5+11)</f>
        <v>ગરણિયા અલ્પેશકુમાર મેરામભાઇ</v>
      </c>
      <c r="C14" s="187">
        <v>1</v>
      </c>
      <c r="D14" s="188"/>
      <c r="E14" s="189"/>
      <c r="F14" s="189"/>
      <c r="G14" s="189"/>
      <c r="H14" s="189"/>
      <c r="I14" s="189"/>
      <c r="J14" s="189"/>
      <c r="K14" s="190"/>
      <c r="L14" s="191"/>
      <c r="M14" s="192"/>
      <c r="N14" s="192"/>
      <c r="O14" s="192"/>
      <c r="P14" s="192"/>
      <c r="Q14" s="193"/>
      <c r="R14" s="191"/>
      <c r="S14" s="192"/>
      <c r="T14" s="192"/>
      <c r="U14" s="193"/>
      <c r="V14" s="191"/>
      <c r="W14" s="192"/>
      <c r="X14" s="192"/>
      <c r="Y14" s="193"/>
      <c r="Z14" s="191"/>
      <c r="AA14" s="192"/>
      <c r="AB14" s="192"/>
      <c r="AC14" s="192"/>
      <c r="AD14" s="193"/>
      <c r="AE14" s="191"/>
      <c r="AF14" s="192"/>
      <c r="AG14" s="192"/>
      <c r="AH14" s="192"/>
      <c r="AI14" s="193"/>
      <c r="AJ14" s="191"/>
      <c r="AK14" s="192"/>
      <c r="AL14" s="192"/>
      <c r="AM14" s="192"/>
      <c r="AN14" s="193"/>
      <c r="AO14" s="191"/>
      <c r="AP14" s="192"/>
      <c r="AQ14" s="193"/>
      <c r="AR14" s="194">
        <f t="shared" si="1"/>
        <v>0</v>
      </c>
      <c r="AS14" s="647">
        <f t="shared" ref="AS14" si="6">ROUND((AR14+AR15)/2,0)</f>
        <v>0</v>
      </c>
    </row>
    <row r="15" spans="1:45" ht="16.899999999999999" customHeight="1">
      <c r="A15" s="644"/>
      <c r="B15" s="646"/>
      <c r="C15" s="195">
        <v>2</v>
      </c>
      <c r="D15" s="196"/>
      <c r="E15" s="197"/>
      <c r="F15" s="197"/>
      <c r="G15" s="197"/>
      <c r="H15" s="197"/>
      <c r="I15" s="197"/>
      <c r="J15" s="197"/>
      <c r="K15" s="198"/>
      <c r="L15" s="199"/>
      <c r="M15" s="200"/>
      <c r="N15" s="200"/>
      <c r="O15" s="200"/>
      <c r="P15" s="200"/>
      <c r="Q15" s="201"/>
      <c r="R15" s="199"/>
      <c r="S15" s="200"/>
      <c r="T15" s="200"/>
      <c r="U15" s="201"/>
      <c r="V15" s="199"/>
      <c r="W15" s="200"/>
      <c r="X15" s="200"/>
      <c r="Y15" s="201"/>
      <c r="Z15" s="199"/>
      <c r="AA15" s="200"/>
      <c r="AB15" s="200"/>
      <c r="AC15" s="200"/>
      <c r="AD15" s="201"/>
      <c r="AE15" s="199"/>
      <c r="AF15" s="200"/>
      <c r="AG15" s="200"/>
      <c r="AH15" s="200"/>
      <c r="AI15" s="201"/>
      <c r="AJ15" s="199"/>
      <c r="AK15" s="200"/>
      <c r="AL15" s="200"/>
      <c r="AM15" s="200"/>
      <c r="AN15" s="201"/>
      <c r="AO15" s="199"/>
      <c r="AP15" s="200"/>
      <c r="AQ15" s="201"/>
      <c r="AR15" s="202">
        <f t="shared" si="1"/>
        <v>0</v>
      </c>
      <c r="AS15" s="648"/>
    </row>
    <row r="16" spans="1:45" ht="16.899999999999999" customHeight="1">
      <c r="A16" s="644">
        <v>5</v>
      </c>
      <c r="B16" s="645" t="str">
        <f t="shared" ref="B16" ca="1" si="7">INDIRECT("'A-RACHNATMAK'!b"&amp;(ROW(B9)-1)*1.5+11)</f>
        <v>ગરણિયા મિલન પોપટભાઇ</v>
      </c>
      <c r="C16" s="187">
        <v>1</v>
      </c>
      <c r="D16" s="188"/>
      <c r="E16" s="189"/>
      <c r="F16" s="189"/>
      <c r="G16" s="189"/>
      <c r="H16" s="189"/>
      <c r="I16" s="189"/>
      <c r="J16" s="189"/>
      <c r="K16" s="190"/>
      <c r="L16" s="191"/>
      <c r="M16" s="192"/>
      <c r="N16" s="192"/>
      <c r="O16" s="192"/>
      <c r="P16" s="192"/>
      <c r="Q16" s="193"/>
      <c r="R16" s="191"/>
      <c r="S16" s="192"/>
      <c r="T16" s="192"/>
      <c r="U16" s="193"/>
      <c r="V16" s="191"/>
      <c r="W16" s="192"/>
      <c r="X16" s="192"/>
      <c r="Y16" s="193"/>
      <c r="Z16" s="191"/>
      <c r="AA16" s="192"/>
      <c r="AB16" s="192"/>
      <c r="AC16" s="192"/>
      <c r="AD16" s="193"/>
      <c r="AE16" s="191"/>
      <c r="AF16" s="192"/>
      <c r="AG16" s="192"/>
      <c r="AH16" s="192"/>
      <c r="AI16" s="193"/>
      <c r="AJ16" s="191"/>
      <c r="AK16" s="192"/>
      <c r="AL16" s="192"/>
      <c r="AM16" s="192"/>
      <c r="AN16" s="193"/>
      <c r="AO16" s="191"/>
      <c r="AP16" s="192"/>
      <c r="AQ16" s="193"/>
      <c r="AR16" s="194">
        <f t="shared" si="1"/>
        <v>0</v>
      </c>
      <c r="AS16" s="647">
        <f t="shared" ref="AS16" si="8">ROUND((AR16+AR17)/2,0)</f>
        <v>0</v>
      </c>
    </row>
    <row r="17" spans="1:45" ht="16.899999999999999" customHeight="1">
      <c r="A17" s="644"/>
      <c r="B17" s="646"/>
      <c r="C17" s="195">
        <v>2</v>
      </c>
      <c r="D17" s="196"/>
      <c r="E17" s="197"/>
      <c r="F17" s="197"/>
      <c r="G17" s="197"/>
      <c r="H17" s="197"/>
      <c r="I17" s="197"/>
      <c r="J17" s="197"/>
      <c r="K17" s="198"/>
      <c r="L17" s="199"/>
      <c r="M17" s="200"/>
      <c r="N17" s="200"/>
      <c r="O17" s="200"/>
      <c r="P17" s="200"/>
      <c r="Q17" s="201"/>
      <c r="R17" s="199"/>
      <c r="S17" s="200"/>
      <c r="T17" s="200"/>
      <c r="U17" s="201"/>
      <c r="V17" s="199"/>
      <c r="W17" s="200"/>
      <c r="X17" s="200"/>
      <c r="Y17" s="201"/>
      <c r="Z17" s="199"/>
      <c r="AA17" s="200"/>
      <c r="AB17" s="200"/>
      <c r="AC17" s="200"/>
      <c r="AD17" s="201"/>
      <c r="AE17" s="199"/>
      <c r="AF17" s="200"/>
      <c r="AG17" s="200"/>
      <c r="AH17" s="200"/>
      <c r="AI17" s="201"/>
      <c r="AJ17" s="199"/>
      <c r="AK17" s="200"/>
      <c r="AL17" s="200"/>
      <c r="AM17" s="200"/>
      <c r="AN17" s="201"/>
      <c r="AO17" s="199"/>
      <c r="AP17" s="200"/>
      <c r="AQ17" s="201"/>
      <c r="AR17" s="202">
        <f t="shared" si="1"/>
        <v>0</v>
      </c>
      <c r="AS17" s="648"/>
    </row>
    <row r="18" spans="1:45" ht="16.899999999999999" customHeight="1">
      <c r="A18" s="644">
        <v>6</v>
      </c>
      <c r="B18" s="645" t="str">
        <f t="shared" ref="B18" ca="1" si="9">INDIRECT("'A-RACHNATMAK'!b"&amp;(ROW(B11)-1)*1.5+11)</f>
        <v>ગરણિયા મોહિત રાવતભાઇ</v>
      </c>
      <c r="C18" s="187">
        <v>1</v>
      </c>
      <c r="D18" s="188"/>
      <c r="E18" s="189"/>
      <c r="F18" s="189"/>
      <c r="G18" s="189"/>
      <c r="H18" s="189"/>
      <c r="I18" s="189"/>
      <c r="J18" s="189"/>
      <c r="K18" s="190"/>
      <c r="L18" s="191"/>
      <c r="M18" s="192"/>
      <c r="N18" s="192"/>
      <c r="O18" s="192"/>
      <c r="P18" s="192"/>
      <c r="Q18" s="193"/>
      <c r="R18" s="191"/>
      <c r="S18" s="192"/>
      <c r="T18" s="192"/>
      <c r="U18" s="193"/>
      <c r="V18" s="191"/>
      <c r="W18" s="192"/>
      <c r="X18" s="192"/>
      <c r="Y18" s="193"/>
      <c r="Z18" s="191"/>
      <c r="AA18" s="192"/>
      <c r="AB18" s="192"/>
      <c r="AC18" s="192"/>
      <c r="AD18" s="193"/>
      <c r="AE18" s="191"/>
      <c r="AF18" s="192"/>
      <c r="AG18" s="192"/>
      <c r="AH18" s="192"/>
      <c r="AI18" s="193"/>
      <c r="AJ18" s="191"/>
      <c r="AK18" s="192"/>
      <c r="AL18" s="192"/>
      <c r="AM18" s="192"/>
      <c r="AN18" s="193"/>
      <c r="AO18" s="191"/>
      <c r="AP18" s="192"/>
      <c r="AQ18" s="193"/>
      <c r="AR18" s="194">
        <f t="shared" si="1"/>
        <v>0</v>
      </c>
      <c r="AS18" s="647">
        <f t="shared" ref="AS18" si="10">ROUND((AR18+AR19)/2,0)</f>
        <v>0</v>
      </c>
    </row>
    <row r="19" spans="1:45" ht="16.899999999999999" customHeight="1">
      <c r="A19" s="644"/>
      <c r="B19" s="646"/>
      <c r="C19" s="195">
        <v>2</v>
      </c>
      <c r="D19" s="196"/>
      <c r="E19" s="197"/>
      <c r="F19" s="197"/>
      <c r="G19" s="197"/>
      <c r="H19" s="197"/>
      <c r="I19" s="197"/>
      <c r="J19" s="197"/>
      <c r="K19" s="198"/>
      <c r="L19" s="199"/>
      <c r="M19" s="200"/>
      <c r="N19" s="200"/>
      <c r="O19" s="200"/>
      <c r="P19" s="200"/>
      <c r="Q19" s="201"/>
      <c r="R19" s="199"/>
      <c r="S19" s="200"/>
      <c r="T19" s="200"/>
      <c r="U19" s="201"/>
      <c r="V19" s="199"/>
      <c r="W19" s="200"/>
      <c r="X19" s="200"/>
      <c r="Y19" s="201"/>
      <c r="Z19" s="199"/>
      <c r="AA19" s="200"/>
      <c r="AB19" s="200"/>
      <c r="AC19" s="200"/>
      <c r="AD19" s="201"/>
      <c r="AE19" s="199"/>
      <c r="AF19" s="200"/>
      <c r="AG19" s="200"/>
      <c r="AH19" s="200"/>
      <c r="AI19" s="201"/>
      <c r="AJ19" s="199"/>
      <c r="AK19" s="200"/>
      <c r="AL19" s="200"/>
      <c r="AM19" s="200"/>
      <c r="AN19" s="201"/>
      <c r="AO19" s="199"/>
      <c r="AP19" s="200"/>
      <c r="AQ19" s="201"/>
      <c r="AR19" s="202">
        <f t="shared" si="1"/>
        <v>0</v>
      </c>
      <c r="AS19" s="648"/>
    </row>
    <row r="20" spans="1:45" ht="16.899999999999999" customHeight="1">
      <c r="A20" s="644">
        <v>7</v>
      </c>
      <c r="B20" s="645" t="str">
        <f t="shared" ref="B20" ca="1" si="11">INDIRECT("'A-RACHNATMAK'!b"&amp;(ROW(B13)-1)*1.5+11)</f>
        <v>ગરણિયા સુમિત પોપટભાઇ</v>
      </c>
      <c r="C20" s="187">
        <v>1</v>
      </c>
      <c r="D20" s="188"/>
      <c r="E20" s="189"/>
      <c r="F20" s="189"/>
      <c r="G20" s="189"/>
      <c r="H20" s="189"/>
      <c r="I20" s="189"/>
      <c r="J20" s="189"/>
      <c r="K20" s="190"/>
      <c r="L20" s="191"/>
      <c r="M20" s="192"/>
      <c r="N20" s="192"/>
      <c r="O20" s="192"/>
      <c r="P20" s="192"/>
      <c r="Q20" s="193"/>
      <c r="R20" s="191"/>
      <c r="S20" s="192"/>
      <c r="T20" s="192"/>
      <c r="U20" s="193"/>
      <c r="V20" s="191"/>
      <c r="W20" s="192"/>
      <c r="X20" s="192"/>
      <c r="Y20" s="193"/>
      <c r="Z20" s="191"/>
      <c r="AA20" s="192"/>
      <c r="AB20" s="192"/>
      <c r="AC20" s="192"/>
      <c r="AD20" s="193"/>
      <c r="AE20" s="191"/>
      <c r="AF20" s="192"/>
      <c r="AG20" s="192"/>
      <c r="AH20" s="192"/>
      <c r="AI20" s="193"/>
      <c r="AJ20" s="191"/>
      <c r="AK20" s="192"/>
      <c r="AL20" s="192"/>
      <c r="AM20" s="192"/>
      <c r="AN20" s="193"/>
      <c r="AO20" s="191"/>
      <c r="AP20" s="192"/>
      <c r="AQ20" s="193"/>
      <c r="AR20" s="194">
        <f t="shared" si="1"/>
        <v>0</v>
      </c>
      <c r="AS20" s="647">
        <f t="shared" ref="AS20" si="12">ROUND((AR20+AR21)/2,0)</f>
        <v>0</v>
      </c>
    </row>
    <row r="21" spans="1:45" ht="16.899999999999999" customHeight="1">
      <c r="A21" s="644"/>
      <c r="B21" s="646"/>
      <c r="C21" s="195">
        <v>2</v>
      </c>
      <c r="D21" s="196"/>
      <c r="E21" s="197"/>
      <c r="F21" s="197"/>
      <c r="G21" s="197"/>
      <c r="H21" s="197"/>
      <c r="I21" s="197"/>
      <c r="J21" s="197"/>
      <c r="K21" s="198"/>
      <c r="L21" s="199"/>
      <c r="M21" s="200"/>
      <c r="N21" s="200"/>
      <c r="O21" s="200"/>
      <c r="P21" s="200"/>
      <c r="Q21" s="201"/>
      <c r="R21" s="199"/>
      <c r="S21" s="200"/>
      <c r="T21" s="200"/>
      <c r="U21" s="201"/>
      <c r="V21" s="199"/>
      <c r="W21" s="200"/>
      <c r="X21" s="200"/>
      <c r="Y21" s="201"/>
      <c r="Z21" s="199"/>
      <c r="AA21" s="200"/>
      <c r="AB21" s="200"/>
      <c r="AC21" s="200"/>
      <c r="AD21" s="201"/>
      <c r="AE21" s="199"/>
      <c r="AF21" s="200"/>
      <c r="AG21" s="200"/>
      <c r="AH21" s="200"/>
      <c r="AI21" s="201"/>
      <c r="AJ21" s="199"/>
      <c r="AK21" s="200"/>
      <c r="AL21" s="200"/>
      <c r="AM21" s="200"/>
      <c r="AN21" s="201"/>
      <c r="AO21" s="199"/>
      <c r="AP21" s="200"/>
      <c r="AQ21" s="201"/>
      <c r="AR21" s="202">
        <f t="shared" si="1"/>
        <v>0</v>
      </c>
      <c r="AS21" s="648"/>
    </row>
    <row r="22" spans="1:45" ht="16.899999999999999" customHeight="1">
      <c r="A22" s="644">
        <v>8</v>
      </c>
      <c r="B22" s="645" t="str">
        <f t="shared" ref="B22" ca="1" si="13">INDIRECT("'A-RACHNATMAK'!b"&amp;(ROW(B15)-1)*1.5+11)</f>
        <v>ગરણિયા રામકુભાઇ સાર્દૂળભાઇ</v>
      </c>
      <c r="C22" s="187">
        <v>1</v>
      </c>
      <c r="D22" s="188"/>
      <c r="E22" s="189">
        <v>5</v>
      </c>
      <c r="F22" s="189">
        <v>2</v>
      </c>
      <c r="G22" s="189">
        <v>3</v>
      </c>
      <c r="H22" s="189">
        <v>4</v>
      </c>
      <c r="I22" s="189">
        <v>4</v>
      </c>
      <c r="J22" s="189">
        <v>3</v>
      </c>
      <c r="K22" s="190">
        <v>3</v>
      </c>
      <c r="L22" s="191">
        <v>2</v>
      </c>
      <c r="M22" s="192">
        <v>3</v>
      </c>
      <c r="N22" s="192">
        <v>3</v>
      </c>
      <c r="O22" s="192">
        <v>3</v>
      </c>
      <c r="P22" s="192"/>
      <c r="Q22" s="193"/>
      <c r="R22" s="191"/>
      <c r="S22" s="192"/>
      <c r="T22" s="192"/>
      <c r="U22" s="193"/>
      <c r="V22" s="191"/>
      <c r="W22" s="192"/>
      <c r="X22" s="192"/>
      <c r="Y22" s="193"/>
      <c r="Z22" s="191"/>
      <c r="AA22" s="192"/>
      <c r="AB22" s="192"/>
      <c r="AC22" s="192"/>
      <c r="AD22" s="193"/>
      <c r="AE22" s="191"/>
      <c r="AF22" s="192"/>
      <c r="AG22" s="192"/>
      <c r="AH22" s="192"/>
      <c r="AI22" s="193"/>
      <c r="AJ22" s="191"/>
      <c r="AK22" s="192"/>
      <c r="AL22" s="192"/>
      <c r="AM22" s="192"/>
      <c r="AN22" s="193"/>
      <c r="AO22" s="191"/>
      <c r="AP22" s="192"/>
      <c r="AQ22" s="193"/>
      <c r="AR22" s="194">
        <f t="shared" si="1"/>
        <v>35</v>
      </c>
      <c r="AS22" s="647">
        <f t="shared" ref="AS22" si="14">ROUND((AR22+AR23)/2,0)</f>
        <v>34</v>
      </c>
    </row>
    <row r="23" spans="1:45" ht="16.899999999999999" customHeight="1">
      <c r="A23" s="644"/>
      <c r="B23" s="646"/>
      <c r="C23" s="195">
        <v>2</v>
      </c>
      <c r="D23" s="196"/>
      <c r="E23" s="197">
        <v>3</v>
      </c>
      <c r="F23" s="197">
        <v>1</v>
      </c>
      <c r="G23" s="197">
        <v>1</v>
      </c>
      <c r="H23" s="197">
        <v>3</v>
      </c>
      <c r="I23" s="197">
        <v>2</v>
      </c>
      <c r="J23" s="197">
        <v>3</v>
      </c>
      <c r="K23" s="198">
        <v>2</v>
      </c>
      <c r="L23" s="199">
        <v>4</v>
      </c>
      <c r="M23" s="200">
        <v>3</v>
      </c>
      <c r="N23" s="200">
        <v>2</v>
      </c>
      <c r="O23" s="200">
        <v>3</v>
      </c>
      <c r="P23" s="200">
        <v>5</v>
      </c>
      <c r="Q23" s="201"/>
      <c r="R23" s="199"/>
      <c r="S23" s="200"/>
      <c r="T23" s="200"/>
      <c r="U23" s="201"/>
      <c r="V23" s="199"/>
      <c r="W23" s="200"/>
      <c r="X23" s="200"/>
      <c r="Y23" s="201"/>
      <c r="Z23" s="199"/>
      <c r="AA23" s="200"/>
      <c r="AB23" s="200"/>
      <c r="AC23" s="200"/>
      <c r="AD23" s="201"/>
      <c r="AE23" s="199"/>
      <c r="AF23" s="200"/>
      <c r="AG23" s="200"/>
      <c r="AH23" s="200"/>
      <c r="AI23" s="201"/>
      <c r="AJ23" s="199"/>
      <c r="AK23" s="200"/>
      <c r="AL23" s="200"/>
      <c r="AM23" s="200"/>
      <c r="AN23" s="201"/>
      <c r="AO23" s="199"/>
      <c r="AP23" s="200"/>
      <c r="AQ23" s="201"/>
      <c r="AR23" s="202">
        <f t="shared" si="1"/>
        <v>32</v>
      </c>
      <c r="AS23" s="648"/>
    </row>
    <row r="24" spans="1:45" ht="16.899999999999999" customHeight="1">
      <c r="A24" s="644">
        <v>9</v>
      </c>
      <c r="B24" s="645" t="str">
        <f t="shared" ref="B24" ca="1" si="15">INDIRECT("'A-RACHNATMAK'!b"&amp;(ROW(B17)-1)*1.5+11)</f>
        <v>ડેર હિતેષકુમાર પ્રતાપભાઇ</v>
      </c>
      <c r="C24" s="187">
        <v>1</v>
      </c>
      <c r="D24" s="188"/>
      <c r="E24" s="189"/>
      <c r="F24" s="189"/>
      <c r="G24" s="189"/>
      <c r="H24" s="189"/>
      <c r="I24" s="189"/>
      <c r="J24" s="189"/>
      <c r="K24" s="190"/>
      <c r="L24" s="191"/>
      <c r="M24" s="192"/>
      <c r="N24" s="192"/>
      <c r="O24" s="192"/>
      <c r="P24" s="192"/>
      <c r="Q24" s="193"/>
      <c r="R24" s="191"/>
      <c r="S24" s="192"/>
      <c r="T24" s="192"/>
      <c r="U24" s="193"/>
      <c r="V24" s="191"/>
      <c r="W24" s="192"/>
      <c r="X24" s="192"/>
      <c r="Y24" s="193"/>
      <c r="Z24" s="191"/>
      <c r="AA24" s="192"/>
      <c r="AB24" s="192"/>
      <c r="AC24" s="192"/>
      <c r="AD24" s="193"/>
      <c r="AE24" s="191"/>
      <c r="AF24" s="192"/>
      <c r="AG24" s="192"/>
      <c r="AH24" s="192"/>
      <c r="AI24" s="193"/>
      <c r="AJ24" s="191"/>
      <c r="AK24" s="192"/>
      <c r="AL24" s="192"/>
      <c r="AM24" s="192"/>
      <c r="AN24" s="193"/>
      <c r="AO24" s="191"/>
      <c r="AP24" s="192"/>
      <c r="AQ24" s="193"/>
      <c r="AR24" s="194">
        <f t="shared" si="1"/>
        <v>0</v>
      </c>
      <c r="AS24" s="647">
        <f t="shared" ref="AS24" si="16">ROUND((AR24+AR25)/2,0)</f>
        <v>0</v>
      </c>
    </row>
    <row r="25" spans="1:45" ht="16.899999999999999" customHeight="1">
      <c r="A25" s="644"/>
      <c r="B25" s="646"/>
      <c r="C25" s="195">
        <v>2</v>
      </c>
      <c r="D25" s="196"/>
      <c r="E25" s="197"/>
      <c r="F25" s="197"/>
      <c r="G25" s="197"/>
      <c r="H25" s="197"/>
      <c r="I25" s="197"/>
      <c r="J25" s="197"/>
      <c r="K25" s="198"/>
      <c r="L25" s="199"/>
      <c r="M25" s="200"/>
      <c r="N25" s="200"/>
      <c r="O25" s="200"/>
      <c r="P25" s="200"/>
      <c r="Q25" s="201"/>
      <c r="R25" s="199"/>
      <c r="S25" s="200"/>
      <c r="T25" s="200"/>
      <c r="U25" s="201"/>
      <c r="V25" s="199"/>
      <c r="W25" s="200"/>
      <c r="X25" s="200"/>
      <c r="Y25" s="201"/>
      <c r="Z25" s="199"/>
      <c r="AA25" s="200"/>
      <c r="AB25" s="200"/>
      <c r="AC25" s="200"/>
      <c r="AD25" s="201"/>
      <c r="AE25" s="199"/>
      <c r="AF25" s="200"/>
      <c r="AG25" s="200"/>
      <c r="AH25" s="200"/>
      <c r="AI25" s="201"/>
      <c r="AJ25" s="199"/>
      <c r="AK25" s="200"/>
      <c r="AL25" s="200"/>
      <c r="AM25" s="200"/>
      <c r="AN25" s="201"/>
      <c r="AO25" s="199"/>
      <c r="AP25" s="200"/>
      <c r="AQ25" s="201"/>
      <c r="AR25" s="202">
        <f t="shared" si="1"/>
        <v>0</v>
      </c>
      <c r="AS25" s="648"/>
    </row>
    <row r="26" spans="1:45" ht="16.899999999999999" customHeight="1">
      <c r="A26" s="644">
        <v>10</v>
      </c>
      <c r="B26" s="645" t="str">
        <f t="shared" ref="B26" ca="1" si="17">INDIRECT("'A-RACHNATMAK'!b"&amp;(ROW(B19)-1)*1.5+11)</f>
        <v>વેકરીયા વિશાલકુમાર દિપકભાઇ</v>
      </c>
      <c r="C26" s="187">
        <v>1</v>
      </c>
      <c r="D26" s="188"/>
      <c r="E26" s="189"/>
      <c r="F26" s="189"/>
      <c r="G26" s="189"/>
      <c r="H26" s="189"/>
      <c r="I26" s="189"/>
      <c r="J26" s="189"/>
      <c r="K26" s="190"/>
      <c r="L26" s="191"/>
      <c r="M26" s="192"/>
      <c r="N26" s="192"/>
      <c r="O26" s="192"/>
      <c r="P26" s="192"/>
      <c r="Q26" s="193"/>
      <c r="R26" s="191"/>
      <c r="S26" s="192"/>
      <c r="T26" s="192"/>
      <c r="U26" s="193"/>
      <c r="V26" s="191"/>
      <c r="W26" s="192"/>
      <c r="X26" s="192"/>
      <c r="Y26" s="193"/>
      <c r="Z26" s="191"/>
      <c r="AA26" s="192"/>
      <c r="AB26" s="192"/>
      <c r="AC26" s="192"/>
      <c r="AD26" s="193"/>
      <c r="AE26" s="191"/>
      <c r="AF26" s="192"/>
      <c r="AG26" s="192"/>
      <c r="AH26" s="192"/>
      <c r="AI26" s="193"/>
      <c r="AJ26" s="191"/>
      <c r="AK26" s="192"/>
      <c r="AL26" s="192"/>
      <c r="AM26" s="192"/>
      <c r="AN26" s="193"/>
      <c r="AO26" s="191"/>
      <c r="AP26" s="192"/>
      <c r="AQ26" s="193"/>
      <c r="AR26" s="194">
        <f t="shared" si="1"/>
        <v>0</v>
      </c>
      <c r="AS26" s="647">
        <f t="shared" ref="AS26" si="18">ROUND((AR26+AR27)/2,0)</f>
        <v>0</v>
      </c>
    </row>
    <row r="27" spans="1:45" ht="16.899999999999999" customHeight="1">
      <c r="A27" s="644"/>
      <c r="B27" s="646"/>
      <c r="C27" s="195">
        <v>2</v>
      </c>
      <c r="D27" s="196"/>
      <c r="E27" s="197"/>
      <c r="F27" s="197"/>
      <c r="G27" s="197"/>
      <c r="H27" s="197"/>
      <c r="I27" s="197"/>
      <c r="J27" s="197"/>
      <c r="K27" s="198"/>
      <c r="L27" s="199"/>
      <c r="M27" s="200"/>
      <c r="N27" s="200"/>
      <c r="O27" s="200"/>
      <c r="P27" s="200"/>
      <c r="Q27" s="201"/>
      <c r="R27" s="199"/>
      <c r="S27" s="200"/>
      <c r="T27" s="200"/>
      <c r="U27" s="201"/>
      <c r="V27" s="199"/>
      <c r="W27" s="200"/>
      <c r="X27" s="200"/>
      <c r="Y27" s="201"/>
      <c r="Z27" s="199"/>
      <c r="AA27" s="200"/>
      <c r="AB27" s="200"/>
      <c r="AC27" s="200"/>
      <c r="AD27" s="201"/>
      <c r="AE27" s="199"/>
      <c r="AF27" s="200"/>
      <c r="AG27" s="200"/>
      <c r="AH27" s="200"/>
      <c r="AI27" s="201"/>
      <c r="AJ27" s="199"/>
      <c r="AK27" s="200"/>
      <c r="AL27" s="200"/>
      <c r="AM27" s="200"/>
      <c r="AN27" s="201"/>
      <c r="AO27" s="199"/>
      <c r="AP27" s="200"/>
      <c r="AQ27" s="201"/>
      <c r="AR27" s="202">
        <f t="shared" si="1"/>
        <v>0</v>
      </c>
      <c r="AS27" s="648"/>
    </row>
    <row r="28" spans="1:45" ht="16.899999999999999" customHeight="1">
      <c r="A28" s="644">
        <v>11</v>
      </c>
      <c r="B28" s="645" t="str">
        <f t="shared" ref="B28" ca="1" si="19">INDIRECT("'A-RACHNATMAK'!b"&amp;(ROW(B21)-1)*1.5+11)</f>
        <v>માણસુરીયા મહેન્દ્રભાઇ ભૂપતભાઇ</v>
      </c>
      <c r="C28" s="187">
        <v>1</v>
      </c>
      <c r="D28" s="188"/>
      <c r="E28" s="189"/>
      <c r="F28" s="189"/>
      <c r="G28" s="189"/>
      <c r="H28" s="189"/>
      <c r="I28" s="189"/>
      <c r="J28" s="189"/>
      <c r="K28" s="190"/>
      <c r="L28" s="191"/>
      <c r="M28" s="192"/>
      <c r="N28" s="192"/>
      <c r="O28" s="192"/>
      <c r="P28" s="192"/>
      <c r="Q28" s="193"/>
      <c r="R28" s="191"/>
      <c r="S28" s="192"/>
      <c r="T28" s="192"/>
      <c r="U28" s="193"/>
      <c r="V28" s="191"/>
      <c r="W28" s="192"/>
      <c r="X28" s="192"/>
      <c r="Y28" s="193"/>
      <c r="Z28" s="191"/>
      <c r="AA28" s="192"/>
      <c r="AB28" s="192"/>
      <c r="AC28" s="192"/>
      <c r="AD28" s="193"/>
      <c r="AE28" s="191"/>
      <c r="AF28" s="192"/>
      <c r="AG28" s="192"/>
      <c r="AH28" s="192"/>
      <c r="AI28" s="193"/>
      <c r="AJ28" s="191"/>
      <c r="AK28" s="192"/>
      <c r="AL28" s="192"/>
      <c r="AM28" s="192"/>
      <c r="AN28" s="193"/>
      <c r="AO28" s="191"/>
      <c r="AP28" s="192"/>
      <c r="AQ28" s="193"/>
      <c r="AR28" s="194">
        <f t="shared" si="1"/>
        <v>0</v>
      </c>
      <c r="AS28" s="647">
        <f t="shared" ref="AS28" si="20">ROUND((AR28+AR29)/2,0)</f>
        <v>0</v>
      </c>
    </row>
    <row r="29" spans="1:45" ht="16.899999999999999" customHeight="1">
      <c r="A29" s="644"/>
      <c r="B29" s="646"/>
      <c r="C29" s="195">
        <v>2</v>
      </c>
      <c r="D29" s="196"/>
      <c r="E29" s="197"/>
      <c r="F29" s="197"/>
      <c r="G29" s="197"/>
      <c r="H29" s="197"/>
      <c r="I29" s="197"/>
      <c r="J29" s="197"/>
      <c r="K29" s="198"/>
      <c r="L29" s="199"/>
      <c r="M29" s="200"/>
      <c r="N29" s="200"/>
      <c r="O29" s="200"/>
      <c r="P29" s="200"/>
      <c r="Q29" s="201"/>
      <c r="R29" s="199"/>
      <c r="S29" s="200"/>
      <c r="T29" s="200"/>
      <c r="U29" s="201"/>
      <c r="V29" s="199"/>
      <c r="W29" s="200"/>
      <c r="X29" s="200"/>
      <c r="Y29" s="201"/>
      <c r="Z29" s="199"/>
      <c r="AA29" s="200"/>
      <c r="AB29" s="200"/>
      <c r="AC29" s="200"/>
      <c r="AD29" s="201"/>
      <c r="AE29" s="199"/>
      <c r="AF29" s="200"/>
      <c r="AG29" s="200"/>
      <c r="AH29" s="200"/>
      <c r="AI29" s="201"/>
      <c r="AJ29" s="199"/>
      <c r="AK29" s="200"/>
      <c r="AL29" s="200"/>
      <c r="AM29" s="200"/>
      <c r="AN29" s="201"/>
      <c r="AO29" s="199"/>
      <c r="AP29" s="200"/>
      <c r="AQ29" s="201"/>
      <c r="AR29" s="202">
        <f t="shared" si="1"/>
        <v>0</v>
      </c>
      <c r="AS29" s="648"/>
    </row>
    <row r="30" spans="1:45" ht="16.899999999999999" customHeight="1">
      <c r="A30" s="644">
        <v>12</v>
      </c>
      <c r="B30" s="645" t="str">
        <f t="shared" ref="B30" ca="1" si="21">INDIRECT("'A-RACHNATMAK'!b"&amp;(ROW(B23)-1)*1.5+11)</f>
        <v>પરમાર અજયકુમાર રમેશભાઇ</v>
      </c>
      <c r="C30" s="187">
        <v>1</v>
      </c>
      <c r="D30" s="188"/>
      <c r="E30" s="189"/>
      <c r="F30" s="189"/>
      <c r="G30" s="189"/>
      <c r="H30" s="189"/>
      <c r="I30" s="189"/>
      <c r="J30" s="189"/>
      <c r="K30" s="190"/>
      <c r="L30" s="191"/>
      <c r="M30" s="192"/>
      <c r="N30" s="192"/>
      <c r="O30" s="192"/>
      <c r="P30" s="192"/>
      <c r="Q30" s="193"/>
      <c r="R30" s="191"/>
      <c r="S30" s="192"/>
      <c r="T30" s="192"/>
      <c r="U30" s="193"/>
      <c r="V30" s="191"/>
      <c r="W30" s="192"/>
      <c r="X30" s="192"/>
      <c r="Y30" s="193"/>
      <c r="Z30" s="191"/>
      <c r="AA30" s="192"/>
      <c r="AB30" s="192"/>
      <c r="AC30" s="192"/>
      <c r="AD30" s="193"/>
      <c r="AE30" s="191"/>
      <c r="AF30" s="192"/>
      <c r="AG30" s="192"/>
      <c r="AH30" s="192"/>
      <c r="AI30" s="193"/>
      <c r="AJ30" s="191"/>
      <c r="AK30" s="192"/>
      <c r="AL30" s="192"/>
      <c r="AM30" s="192"/>
      <c r="AN30" s="193"/>
      <c r="AO30" s="191"/>
      <c r="AP30" s="192"/>
      <c r="AQ30" s="193"/>
      <c r="AR30" s="194">
        <f t="shared" si="1"/>
        <v>0</v>
      </c>
      <c r="AS30" s="647">
        <f t="shared" ref="AS30" si="22">ROUND((AR30+AR31)/2,0)</f>
        <v>0</v>
      </c>
    </row>
    <row r="31" spans="1:45" ht="16.899999999999999" customHeight="1">
      <c r="A31" s="644"/>
      <c r="B31" s="646"/>
      <c r="C31" s="195">
        <v>2</v>
      </c>
      <c r="D31" s="196"/>
      <c r="E31" s="197"/>
      <c r="F31" s="197"/>
      <c r="G31" s="197"/>
      <c r="H31" s="197"/>
      <c r="I31" s="197"/>
      <c r="J31" s="197"/>
      <c r="K31" s="198"/>
      <c r="L31" s="199"/>
      <c r="M31" s="200"/>
      <c r="N31" s="200"/>
      <c r="O31" s="200"/>
      <c r="P31" s="200"/>
      <c r="Q31" s="201"/>
      <c r="R31" s="199"/>
      <c r="S31" s="200"/>
      <c r="T31" s="200"/>
      <c r="U31" s="201"/>
      <c r="V31" s="199"/>
      <c r="W31" s="200"/>
      <c r="X31" s="200"/>
      <c r="Y31" s="201"/>
      <c r="Z31" s="199"/>
      <c r="AA31" s="200"/>
      <c r="AB31" s="200"/>
      <c r="AC31" s="200"/>
      <c r="AD31" s="201"/>
      <c r="AE31" s="199"/>
      <c r="AF31" s="200"/>
      <c r="AG31" s="200"/>
      <c r="AH31" s="200"/>
      <c r="AI31" s="201"/>
      <c r="AJ31" s="199"/>
      <c r="AK31" s="200"/>
      <c r="AL31" s="200"/>
      <c r="AM31" s="200"/>
      <c r="AN31" s="201"/>
      <c r="AO31" s="199"/>
      <c r="AP31" s="200"/>
      <c r="AQ31" s="201"/>
      <c r="AR31" s="202">
        <f t="shared" si="1"/>
        <v>0</v>
      </c>
      <c r="AS31" s="648"/>
    </row>
    <row r="32" spans="1:45" ht="16.899999999999999" customHeight="1">
      <c r="A32" s="644">
        <v>13</v>
      </c>
      <c r="B32" s="645" t="str">
        <f t="shared" ref="B32" ca="1" si="23">INDIRECT("'A-RACHNATMAK'!b"&amp;(ROW(B25)-1)*1.5+11)</f>
        <v>કંડોળીયા અલ્પેશકુમાર ભરતભાઇ</v>
      </c>
      <c r="C32" s="187">
        <v>1</v>
      </c>
      <c r="D32" s="188"/>
      <c r="E32" s="189"/>
      <c r="F32" s="189"/>
      <c r="G32" s="189"/>
      <c r="H32" s="189"/>
      <c r="I32" s="189"/>
      <c r="J32" s="189"/>
      <c r="K32" s="190"/>
      <c r="L32" s="191"/>
      <c r="M32" s="192"/>
      <c r="N32" s="192"/>
      <c r="O32" s="192"/>
      <c r="P32" s="192"/>
      <c r="Q32" s="193"/>
      <c r="R32" s="191"/>
      <c r="S32" s="192"/>
      <c r="T32" s="192"/>
      <c r="U32" s="193"/>
      <c r="V32" s="191"/>
      <c r="W32" s="192"/>
      <c r="X32" s="192"/>
      <c r="Y32" s="193"/>
      <c r="Z32" s="191"/>
      <c r="AA32" s="192"/>
      <c r="AB32" s="192"/>
      <c r="AC32" s="192"/>
      <c r="AD32" s="193"/>
      <c r="AE32" s="191"/>
      <c r="AF32" s="192"/>
      <c r="AG32" s="192"/>
      <c r="AH32" s="192"/>
      <c r="AI32" s="193"/>
      <c r="AJ32" s="191"/>
      <c r="AK32" s="192"/>
      <c r="AL32" s="192"/>
      <c r="AM32" s="192"/>
      <c r="AN32" s="193"/>
      <c r="AO32" s="191"/>
      <c r="AP32" s="192"/>
      <c r="AQ32" s="193"/>
      <c r="AR32" s="194">
        <f t="shared" si="1"/>
        <v>0</v>
      </c>
      <c r="AS32" s="647">
        <f t="shared" ref="AS32" si="24">ROUND((AR32+AR33)/2,0)</f>
        <v>0</v>
      </c>
    </row>
    <row r="33" spans="1:45" ht="16.899999999999999" customHeight="1">
      <c r="A33" s="644"/>
      <c r="B33" s="646"/>
      <c r="C33" s="195">
        <v>2</v>
      </c>
      <c r="D33" s="196"/>
      <c r="E33" s="197"/>
      <c r="F33" s="197"/>
      <c r="G33" s="197"/>
      <c r="H33" s="197"/>
      <c r="I33" s="197"/>
      <c r="J33" s="197"/>
      <c r="K33" s="198"/>
      <c r="L33" s="199"/>
      <c r="M33" s="200"/>
      <c r="N33" s="200"/>
      <c r="O33" s="200"/>
      <c r="P33" s="200"/>
      <c r="Q33" s="201"/>
      <c r="R33" s="199"/>
      <c r="S33" s="200"/>
      <c r="T33" s="200"/>
      <c r="U33" s="201"/>
      <c r="V33" s="199"/>
      <c r="W33" s="200"/>
      <c r="X33" s="200"/>
      <c r="Y33" s="201"/>
      <c r="Z33" s="199"/>
      <c r="AA33" s="200"/>
      <c r="AB33" s="200"/>
      <c r="AC33" s="200"/>
      <c r="AD33" s="201"/>
      <c r="AE33" s="199"/>
      <c r="AF33" s="200"/>
      <c r="AG33" s="200"/>
      <c r="AH33" s="200"/>
      <c r="AI33" s="201"/>
      <c r="AJ33" s="199"/>
      <c r="AK33" s="200"/>
      <c r="AL33" s="200"/>
      <c r="AM33" s="200"/>
      <c r="AN33" s="201"/>
      <c r="AO33" s="199"/>
      <c r="AP33" s="200"/>
      <c r="AQ33" s="201"/>
      <c r="AR33" s="202">
        <f t="shared" si="1"/>
        <v>0</v>
      </c>
      <c r="AS33" s="648"/>
    </row>
    <row r="34" spans="1:45" ht="16.899999999999999" customHeight="1">
      <c r="A34" s="644">
        <v>14</v>
      </c>
      <c r="B34" s="645" t="str">
        <f t="shared" ref="B34" ca="1" si="25">INDIRECT("'A-RACHNATMAK'!b"&amp;(ROW(B27)-1)*1.5+11)</f>
        <v>મકવાણા તરંગકુમાર કિશોરભાઇ</v>
      </c>
      <c r="C34" s="187">
        <v>1</v>
      </c>
      <c r="D34" s="188"/>
      <c r="E34" s="189"/>
      <c r="F34" s="189"/>
      <c r="G34" s="189"/>
      <c r="H34" s="189"/>
      <c r="I34" s="189"/>
      <c r="J34" s="189"/>
      <c r="K34" s="190"/>
      <c r="L34" s="191"/>
      <c r="M34" s="192"/>
      <c r="N34" s="192"/>
      <c r="O34" s="192"/>
      <c r="P34" s="192"/>
      <c r="Q34" s="193"/>
      <c r="R34" s="191"/>
      <c r="S34" s="192"/>
      <c r="T34" s="192"/>
      <c r="U34" s="193"/>
      <c r="V34" s="191"/>
      <c r="W34" s="192"/>
      <c r="X34" s="192"/>
      <c r="Y34" s="193"/>
      <c r="Z34" s="191"/>
      <c r="AA34" s="192"/>
      <c r="AB34" s="192"/>
      <c r="AC34" s="192"/>
      <c r="AD34" s="193"/>
      <c r="AE34" s="191"/>
      <c r="AF34" s="192"/>
      <c r="AG34" s="192"/>
      <c r="AH34" s="192"/>
      <c r="AI34" s="193"/>
      <c r="AJ34" s="191"/>
      <c r="AK34" s="192"/>
      <c r="AL34" s="192"/>
      <c r="AM34" s="192"/>
      <c r="AN34" s="193"/>
      <c r="AO34" s="191"/>
      <c r="AP34" s="192"/>
      <c r="AQ34" s="193"/>
      <c r="AR34" s="194">
        <f t="shared" si="1"/>
        <v>0</v>
      </c>
      <c r="AS34" s="647">
        <f t="shared" ref="AS34" si="26">ROUND((AR34+AR35)/2,0)</f>
        <v>0</v>
      </c>
    </row>
    <row r="35" spans="1:45" ht="16.899999999999999" customHeight="1">
      <c r="A35" s="644"/>
      <c r="B35" s="646"/>
      <c r="C35" s="195">
        <v>2</v>
      </c>
      <c r="D35" s="196"/>
      <c r="E35" s="197"/>
      <c r="F35" s="197"/>
      <c r="G35" s="197"/>
      <c r="H35" s="197"/>
      <c r="I35" s="197"/>
      <c r="J35" s="197"/>
      <c r="K35" s="198"/>
      <c r="L35" s="199"/>
      <c r="M35" s="200"/>
      <c r="N35" s="200"/>
      <c r="O35" s="200"/>
      <c r="P35" s="200"/>
      <c r="Q35" s="201"/>
      <c r="R35" s="199"/>
      <c r="S35" s="200"/>
      <c r="T35" s="200"/>
      <c r="U35" s="201"/>
      <c r="V35" s="199"/>
      <c r="W35" s="200"/>
      <c r="X35" s="200"/>
      <c r="Y35" s="201"/>
      <c r="Z35" s="199"/>
      <c r="AA35" s="200"/>
      <c r="AB35" s="200"/>
      <c r="AC35" s="200"/>
      <c r="AD35" s="201"/>
      <c r="AE35" s="199"/>
      <c r="AF35" s="200"/>
      <c r="AG35" s="200"/>
      <c r="AH35" s="200"/>
      <c r="AI35" s="201"/>
      <c r="AJ35" s="199"/>
      <c r="AK35" s="200"/>
      <c r="AL35" s="200"/>
      <c r="AM35" s="200"/>
      <c r="AN35" s="201"/>
      <c r="AO35" s="199"/>
      <c r="AP35" s="200"/>
      <c r="AQ35" s="201"/>
      <c r="AR35" s="202">
        <f t="shared" si="1"/>
        <v>0</v>
      </c>
      <c r="AS35" s="648"/>
    </row>
    <row r="36" spans="1:45" ht="16.899999999999999" customHeight="1">
      <c r="A36" s="644">
        <v>15</v>
      </c>
      <c r="B36" s="645" t="str">
        <f t="shared" ref="B36" ca="1" si="27">INDIRECT("'A-RACHNATMAK'!b"&amp;(ROW(B29)-1)*1.5+11)</f>
        <v>ઢીમેચા સતીષ હનુભાઇ</v>
      </c>
      <c r="C36" s="187">
        <v>1</v>
      </c>
      <c r="D36" s="188"/>
      <c r="E36" s="189"/>
      <c r="F36" s="189"/>
      <c r="G36" s="189"/>
      <c r="H36" s="189"/>
      <c r="I36" s="189"/>
      <c r="J36" s="189"/>
      <c r="K36" s="190"/>
      <c r="L36" s="191"/>
      <c r="M36" s="192"/>
      <c r="N36" s="192"/>
      <c r="O36" s="192"/>
      <c r="P36" s="192"/>
      <c r="Q36" s="193"/>
      <c r="R36" s="191"/>
      <c r="S36" s="192"/>
      <c r="T36" s="192"/>
      <c r="U36" s="193"/>
      <c r="V36" s="191"/>
      <c r="W36" s="192"/>
      <c r="X36" s="192"/>
      <c r="Y36" s="193"/>
      <c r="Z36" s="191"/>
      <c r="AA36" s="192"/>
      <c r="AB36" s="192"/>
      <c r="AC36" s="192"/>
      <c r="AD36" s="193"/>
      <c r="AE36" s="191"/>
      <c r="AF36" s="192"/>
      <c r="AG36" s="192"/>
      <c r="AH36" s="192"/>
      <c r="AI36" s="193"/>
      <c r="AJ36" s="191"/>
      <c r="AK36" s="192"/>
      <c r="AL36" s="192"/>
      <c r="AM36" s="192"/>
      <c r="AN36" s="193"/>
      <c r="AO36" s="191"/>
      <c r="AP36" s="192"/>
      <c r="AQ36" s="193"/>
      <c r="AR36" s="194">
        <f t="shared" si="1"/>
        <v>0</v>
      </c>
      <c r="AS36" s="647">
        <f t="shared" ref="AS36" si="28">ROUND((AR36+AR37)/2,0)</f>
        <v>0</v>
      </c>
    </row>
    <row r="37" spans="1:45" ht="16.899999999999999" customHeight="1">
      <c r="A37" s="644"/>
      <c r="B37" s="646"/>
      <c r="C37" s="195">
        <v>2</v>
      </c>
      <c r="D37" s="196"/>
      <c r="E37" s="197"/>
      <c r="F37" s="197"/>
      <c r="G37" s="197"/>
      <c r="H37" s="197"/>
      <c r="I37" s="197"/>
      <c r="J37" s="197"/>
      <c r="K37" s="198"/>
      <c r="L37" s="199"/>
      <c r="M37" s="200"/>
      <c r="N37" s="200"/>
      <c r="O37" s="200"/>
      <c r="P37" s="200"/>
      <c r="Q37" s="201"/>
      <c r="R37" s="199"/>
      <c r="S37" s="200"/>
      <c r="T37" s="200"/>
      <c r="U37" s="201"/>
      <c r="V37" s="199"/>
      <c r="W37" s="200"/>
      <c r="X37" s="200"/>
      <c r="Y37" s="201"/>
      <c r="Z37" s="199"/>
      <c r="AA37" s="200"/>
      <c r="AB37" s="200"/>
      <c r="AC37" s="200"/>
      <c r="AD37" s="201"/>
      <c r="AE37" s="199"/>
      <c r="AF37" s="200"/>
      <c r="AG37" s="200"/>
      <c r="AH37" s="200"/>
      <c r="AI37" s="201"/>
      <c r="AJ37" s="199"/>
      <c r="AK37" s="200"/>
      <c r="AL37" s="200"/>
      <c r="AM37" s="200"/>
      <c r="AN37" s="201"/>
      <c r="AO37" s="199"/>
      <c r="AP37" s="200"/>
      <c r="AQ37" s="201"/>
      <c r="AR37" s="202">
        <f t="shared" si="1"/>
        <v>0</v>
      </c>
      <c r="AS37" s="648"/>
    </row>
    <row r="38" spans="1:45" ht="16.899999999999999" customHeight="1">
      <c r="A38" s="644">
        <v>16</v>
      </c>
      <c r="B38" s="645" t="str">
        <f t="shared" ref="B38" ca="1" si="29">INDIRECT("'A-RACHNATMAK'!b"&amp;(ROW(B31)-1)*1.5+11)</f>
        <v>ખુમાણ શિવરાજભાઇ બાબુભાઇ</v>
      </c>
      <c r="C38" s="187">
        <v>1</v>
      </c>
      <c r="D38" s="188"/>
      <c r="E38" s="189"/>
      <c r="F38" s="189"/>
      <c r="G38" s="189"/>
      <c r="H38" s="189"/>
      <c r="I38" s="189"/>
      <c r="J38" s="189"/>
      <c r="K38" s="190"/>
      <c r="L38" s="191"/>
      <c r="M38" s="192"/>
      <c r="N38" s="192"/>
      <c r="O38" s="192"/>
      <c r="P38" s="192"/>
      <c r="Q38" s="193"/>
      <c r="R38" s="191"/>
      <c r="S38" s="192"/>
      <c r="T38" s="192"/>
      <c r="U38" s="193"/>
      <c r="V38" s="191"/>
      <c r="W38" s="192"/>
      <c r="X38" s="192"/>
      <c r="Y38" s="193"/>
      <c r="Z38" s="191"/>
      <c r="AA38" s="192"/>
      <c r="AB38" s="192"/>
      <c r="AC38" s="192"/>
      <c r="AD38" s="193"/>
      <c r="AE38" s="191"/>
      <c r="AF38" s="192"/>
      <c r="AG38" s="192"/>
      <c r="AH38" s="192"/>
      <c r="AI38" s="193"/>
      <c r="AJ38" s="191"/>
      <c r="AK38" s="192"/>
      <c r="AL38" s="192"/>
      <c r="AM38" s="192"/>
      <c r="AN38" s="193"/>
      <c r="AO38" s="191"/>
      <c r="AP38" s="192"/>
      <c r="AQ38" s="193"/>
      <c r="AR38" s="194">
        <f t="shared" si="1"/>
        <v>0</v>
      </c>
      <c r="AS38" s="647">
        <f t="shared" ref="AS38" si="30">ROUND((AR38+AR39)/2,0)</f>
        <v>0</v>
      </c>
    </row>
    <row r="39" spans="1:45" ht="16.899999999999999" customHeight="1">
      <c r="A39" s="644"/>
      <c r="B39" s="646"/>
      <c r="C39" s="195">
        <v>2</v>
      </c>
      <c r="D39" s="196"/>
      <c r="E39" s="197"/>
      <c r="F39" s="197"/>
      <c r="G39" s="197"/>
      <c r="H39" s="197"/>
      <c r="I39" s="197"/>
      <c r="J39" s="197"/>
      <c r="K39" s="198"/>
      <c r="L39" s="199"/>
      <c r="M39" s="200"/>
      <c r="N39" s="200"/>
      <c r="O39" s="200"/>
      <c r="P39" s="200"/>
      <c r="Q39" s="201"/>
      <c r="R39" s="199"/>
      <c r="S39" s="200"/>
      <c r="T39" s="200"/>
      <c r="U39" s="201"/>
      <c r="V39" s="199"/>
      <c r="W39" s="200"/>
      <c r="X39" s="200"/>
      <c r="Y39" s="201"/>
      <c r="Z39" s="199"/>
      <c r="AA39" s="200"/>
      <c r="AB39" s="200"/>
      <c r="AC39" s="200"/>
      <c r="AD39" s="201"/>
      <c r="AE39" s="199"/>
      <c r="AF39" s="200"/>
      <c r="AG39" s="200"/>
      <c r="AH39" s="200"/>
      <c r="AI39" s="201"/>
      <c r="AJ39" s="199"/>
      <c r="AK39" s="200"/>
      <c r="AL39" s="200"/>
      <c r="AM39" s="200"/>
      <c r="AN39" s="201"/>
      <c r="AO39" s="199"/>
      <c r="AP39" s="200"/>
      <c r="AQ39" s="201"/>
      <c r="AR39" s="202">
        <f t="shared" si="1"/>
        <v>0</v>
      </c>
      <c r="AS39" s="648"/>
    </row>
    <row r="40" spans="1:45" ht="16.899999999999999" customHeight="1">
      <c r="A40" s="644">
        <v>17</v>
      </c>
      <c r="B40" s="645" t="str">
        <f t="shared" ref="B40" ca="1" si="31">INDIRECT("'A-RACHNATMAK'!b"&amp;(ROW(B33)-1)*1.5+11)</f>
        <v>માથાસુરીયા દિનેશભાઇ અમરાભાઇ</v>
      </c>
      <c r="C40" s="187">
        <v>1</v>
      </c>
      <c r="D40" s="188"/>
      <c r="E40" s="189"/>
      <c r="F40" s="189"/>
      <c r="G40" s="189"/>
      <c r="H40" s="189"/>
      <c r="I40" s="189"/>
      <c r="J40" s="189"/>
      <c r="K40" s="190"/>
      <c r="L40" s="191"/>
      <c r="M40" s="192"/>
      <c r="N40" s="192"/>
      <c r="O40" s="192"/>
      <c r="P40" s="192"/>
      <c r="Q40" s="193"/>
      <c r="R40" s="191"/>
      <c r="S40" s="192"/>
      <c r="T40" s="192"/>
      <c r="U40" s="193"/>
      <c r="V40" s="191"/>
      <c r="W40" s="192"/>
      <c r="X40" s="192"/>
      <c r="Y40" s="193"/>
      <c r="Z40" s="191"/>
      <c r="AA40" s="192"/>
      <c r="AB40" s="192"/>
      <c r="AC40" s="192"/>
      <c r="AD40" s="193"/>
      <c r="AE40" s="191"/>
      <c r="AF40" s="192"/>
      <c r="AG40" s="192"/>
      <c r="AH40" s="192"/>
      <c r="AI40" s="193"/>
      <c r="AJ40" s="191"/>
      <c r="AK40" s="192"/>
      <c r="AL40" s="192"/>
      <c r="AM40" s="192"/>
      <c r="AN40" s="193"/>
      <c r="AO40" s="191"/>
      <c r="AP40" s="192"/>
      <c r="AQ40" s="193"/>
      <c r="AR40" s="194">
        <f t="shared" si="1"/>
        <v>0</v>
      </c>
      <c r="AS40" s="647">
        <f t="shared" ref="AS40" si="32">ROUND((AR40+AR41)/2,0)</f>
        <v>0</v>
      </c>
    </row>
    <row r="41" spans="1:45" ht="16.899999999999999" customHeight="1">
      <c r="A41" s="644"/>
      <c r="B41" s="646"/>
      <c r="C41" s="195">
        <v>2</v>
      </c>
      <c r="D41" s="196"/>
      <c r="E41" s="197"/>
      <c r="F41" s="197"/>
      <c r="G41" s="197"/>
      <c r="H41" s="197"/>
      <c r="I41" s="197"/>
      <c r="J41" s="197"/>
      <c r="K41" s="198"/>
      <c r="L41" s="199"/>
      <c r="M41" s="200"/>
      <c r="N41" s="200"/>
      <c r="O41" s="200"/>
      <c r="P41" s="200"/>
      <c r="Q41" s="201"/>
      <c r="R41" s="199"/>
      <c r="S41" s="200"/>
      <c r="T41" s="200"/>
      <c r="U41" s="201"/>
      <c r="V41" s="199"/>
      <c r="W41" s="200"/>
      <c r="X41" s="200"/>
      <c r="Y41" s="201"/>
      <c r="Z41" s="199"/>
      <c r="AA41" s="200"/>
      <c r="AB41" s="200"/>
      <c r="AC41" s="200"/>
      <c r="AD41" s="201"/>
      <c r="AE41" s="199"/>
      <c r="AF41" s="200"/>
      <c r="AG41" s="200"/>
      <c r="AH41" s="200"/>
      <c r="AI41" s="201"/>
      <c r="AJ41" s="199"/>
      <c r="AK41" s="200"/>
      <c r="AL41" s="200"/>
      <c r="AM41" s="200"/>
      <c r="AN41" s="201"/>
      <c r="AO41" s="199"/>
      <c r="AP41" s="200"/>
      <c r="AQ41" s="201"/>
      <c r="AR41" s="202">
        <f t="shared" si="1"/>
        <v>0</v>
      </c>
      <c r="AS41" s="648"/>
    </row>
    <row r="42" spans="1:45" ht="16.899999999999999" customHeight="1">
      <c r="A42" s="644">
        <v>18</v>
      </c>
      <c r="B42" s="645" t="str">
        <f t="shared" ref="B42" ca="1" si="33">INDIRECT("'A-RACHNATMAK'!b"&amp;(ROW(B35)-1)*1.5+11)</f>
        <v>વાઘેલા હરેશ જીલુભાઇ</v>
      </c>
      <c r="C42" s="187">
        <v>1</v>
      </c>
      <c r="D42" s="188"/>
      <c r="E42" s="189"/>
      <c r="F42" s="189"/>
      <c r="G42" s="189"/>
      <c r="H42" s="189"/>
      <c r="I42" s="189"/>
      <c r="J42" s="189"/>
      <c r="K42" s="190"/>
      <c r="L42" s="191"/>
      <c r="M42" s="192"/>
      <c r="N42" s="192"/>
      <c r="O42" s="192"/>
      <c r="P42" s="192"/>
      <c r="Q42" s="193"/>
      <c r="R42" s="191"/>
      <c r="S42" s="192"/>
      <c r="T42" s="192"/>
      <c r="U42" s="193"/>
      <c r="V42" s="191"/>
      <c r="W42" s="192"/>
      <c r="X42" s="192"/>
      <c r="Y42" s="193"/>
      <c r="Z42" s="191"/>
      <c r="AA42" s="192"/>
      <c r="AB42" s="192"/>
      <c r="AC42" s="192"/>
      <c r="AD42" s="193"/>
      <c r="AE42" s="191"/>
      <c r="AF42" s="192"/>
      <c r="AG42" s="192"/>
      <c r="AH42" s="192"/>
      <c r="AI42" s="193"/>
      <c r="AJ42" s="191"/>
      <c r="AK42" s="192"/>
      <c r="AL42" s="192"/>
      <c r="AM42" s="192"/>
      <c r="AN42" s="193"/>
      <c r="AO42" s="191"/>
      <c r="AP42" s="192"/>
      <c r="AQ42" s="193"/>
      <c r="AR42" s="194">
        <f t="shared" si="1"/>
        <v>0</v>
      </c>
      <c r="AS42" s="647">
        <f t="shared" ref="AS42" si="34">ROUND((AR42+AR43)/2,0)</f>
        <v>0</v>
      </c>
    </row>
    <row r="43" spans="1:45" ht="16.899999999999999" customHeight="1">
      <c r="A43" s="644"/>
      <c r="B43" s="646"/>
      <c r="C43" s="195">
        <v>2</v>
      </c>
      <c r="D43" s="196"/>
      <c r="E43" s="197"/>
      <c r="F43" s="197"/>
      <c r="G43" s="197"/>
      <c r="H43" s="197"/>
      <c r="I43" s="197"/>
      <c r="J43" s="197"/>
      <c r="K43" s="198"/>
      <c r="L43" s="199"/>
      <c r="M43" s="200"/>
      <c r="N43" s="200"/>
      <c r="O43" s="200"/>
      <c r="P43" s="200"/>
      <c r="Q43" s="201"/>
      <c r="R43" s="199"/>
      <c r="S43" s="200"/>
      <c r="T43" s="200"/>
      <c r="U43" s="201"/>
      <c r="V43" s="199"/>
      <c r="W43" s="200"/>
      <c r="X43" s="200"/>
      <c r="Y43" s="201"/>
      <c r="Z43" s="199"/>
      <c r="AA43" s="200"/>
      <c r="AB43" s="200"/>
      <c r="AC43" s="200"/>
      <c r="AD43" s="201"/>
      <c r="AE43" s="199"/>
      <c r="AF43" s="200"/>
      <c r="AG43" s="200"/>
      <c r="AH43" s="200"/>
      <c r="AI43" s="201"/>
      <c r="AJ43" s="199"/>
      <c r="AK43" s="200"/>
      <c r="AL43" s="200"/>
      <c r="AM43" s="200"/>
      <c r="AN43" s="201"/>
      <c r="AO43" s="199"/>
      <c r="AP43" s="200"/>
      <c r="AQ43" s="201"/>
      <c r="AR43" s="202">
        <f t="shared" si="1"/>
        <v>0</v>
      </c>
      <c r="AS43" s="648"/>
    </row>
    <row r="44" spans="1:45" ht="16.899999999999999" customHeight="1">
      <c r="A44" s="644">
        <v>19</v>
      </c>
      <c r="B44" s="645" t="str">
        <f t="shared" ref="B44" ca="1" si="35">INDIRECT("'A-RACHNATMAK'!b"&amp;(ROW(B37)-1)*1.5+11)</f>
        <v>પરમાર દિલીપકુમાર મધુભાઇ</v>
      </c>
      <c r="C44" s="187">
        <v>1</v>
      </c>
      <c r="D44" s="188"/>
      <c r="E44" s="189"/>
      <c r="F44" s="189"/>
      <c r="G44" s="189"/>
      <c r="H44" s="189"/>
      <c r="I44" s="189"/>
      <c r="J44" s="189"/>
      <c r="K44" s="190"/>
      <c r="L44" s="191"/>
      <c r="M44" s="192"/>
      <c r="N44" s="192"/>
      <c r="O44" s="192"/>
      <c r="P44" s="192"/>
      <c r="Q44" s="193"/>
      <c r="R44" s="191"/>
      <c r="S44" s="192"/>
      <c r="T44" s="192"/>
      <c r="U44" s="193"/>
      <c r="V44" s="191"/>
      <c r="W44" s="192"/>
      <c r="X44" s="192"/>
      <c r="Y44" s="193"/>
      <c r="Z44" s="191"/>
      <c r="AA44" s="192"/>
      <c r="AB44" s="192"/>
      <c r="AC44" s="192"/>
      <c r="AD44" s="193"/>
      <c r="AE44" s="191"/>
      <c r="AF44" s="192"/>
      <c r="AG44" s="192"/>
      <c r="AH44" s="192"/>
      <c r="AI44" s="193"/>
      <c r="AJ44" s="191"/>
      <c r="AK44" s="192"/>
      <c r="AL44" s="192"/>
      <c r="AM44" s="192"/>
      <c r="AN44" s="193"/>
      <c r="AO44" s="191"/>
      <c r="AP44" s="192"/>
      <c r="AQ44" s="193"/>
      <c r="AR44" s="194">
        <f t="shared" si="1"/>
        <v>0</v>
      </c>
      <c r="AS44" s="647">
        <f t="shared" ref="AS44" si="36">ROUND((AR44+AR45)/2,0)</f>
        <v>0</v>
      </c>
    </row>
    <row r="45" spans="1:45" ht="16.899999999999999" customHeight="1">
      <c r="A45" s="644"/>
      <c r="B45" s="646"/>
      <c r="C45" s="195">
        <v>2</v>
      </c>
      <c r="D45" s="196"/>
      <c r="E45" s="197"/>
      <c r="F45" s="197"/>
      <c r="G45" s="197"/>
      <c r="H45" s="197"/>
      <c r="I45" s="197"/>
      <c r="J45" s="197"/>
      <c r="K45" s="198"/>
      <c r="L45" s="199"/>
      <c r="M45" s="200"/>
      <c r="N45" s="200"/>
      <c r="O45" s="200"/>
      <c r="P45" s="200"/>
      <c r="Q45" s="201"/>
      <c r="R45" s="199"/>
      <c r="S45" s="200"/>
      <c r="T45" s="200"/>
      <c r="U45" s="201"/>
      <c r="V45" s="199"/>
      <c r="W45" s="200"/>
      <c r="X45" s="200"/>
      <c r="Y45" s="201"/>
      <c r="Z45" s="199"/>
      <c r="AA45" s="200"/>
      <c r="AB45" s="200"/>
      <c r="AC45" s="200"/>
      <c r="AD45" s="201"/>
      <c r="AE45" s="199"/>
      <c r="AF45" s="200"/>
      <c r="AG45" s="200"/>
      <c r="AH45" s="200"/>
      <c r="AI45" s="201"/>
      <c r="AJ45" s="199"/>
      <c r="AK45" s="200"/>
      <c r="AL45" s="200"/>
      <c r="AM45" s="200"/>
      <c r="AN45" s="201"/>
      <c r="AO45" s="199"/>
      <c r="AP45" s="200"/>
      <c r="AQ45" s="201"/>
      <c r="AR45" s="202">
        <f t="shared" si="1"/>
        <v>0</v>
      </c>
      <c r="AS45" s="648"/>
    </row>
    <row r="46" spans="1:45" ht="16.899999999999999" customHeight="1">
      <c r="A46" s="644">
        <v>20</v>
      </c>
      <c r="B46" s="645" t="str">
        <f t="shared" ref="B46" ca="1" si="37">INDIRECT("'A-RACHNATMAK'!b"&amp;(ROW(B39)-1)*1.5+11)</f>
        <v>વિરપરા કૃણાલ હરેશભાઇ</v>
      </c>
      <c r="C46" s="187">
        <v>1</v>
      </c>
      <c r="D46" s="188"/>
      <c r="E46" s="189"/>
      <c r="F46" s="189"/>
      <c r="G46" s="189"/>
      <c r="H46" s="189"/>
      <c r="I46" s="189"/>
      <c r="J46" s="189"/>
      <c r="K46" s="190"/>
      <c r="L46" s="191"/>
      <c r="M46" s="192"/>
      <c r="N46" s="192"/>
      <c r="O46" s="192"/>
      <c r="P46" s="192"/>
      <c r="Q46" s="193"/>
      <c r="R46" s="191"/>
      <c r="S46" s="192"/>
      <c r="T46" s="192"/>
      <c r="U46" s="193"/>
      <c r="V46" s="191"/>
      <c r="W46" s="192"/>
      <c r="X46" s="192"/>
      <c r="Y46" s="193"/>
      <c r="Z46" s="191"/>
      <c r="AA46" s="192"/>
      <c r="AB46" s="192"/>
      <c r="AC46" s="192"/>
      <c r="AD46" s="193"/>
      <c r="AE46" s="191"/>
      <c r="AF46" s="192"/>
      <c r="AG46" s="192"/>
      <c r="AH46" s="192"/>
      <c r="AI46" s="193"/>
      <c r="AJ46" s="191"/>
      <c r="AK46" s="192"/>
      <c r="AL46" s="192"/>
      <c r="AM46" s="192"/>
      <c r="AN46" s="193"/>
      <c r="AO46" s="191"/>
      <c r="AP46" s="192"/>
      <c r="AQ46" s="193"/>
      <c r="AR46" s="194">
        <f t="shared" si="1"/>
        <v>0</v>
      </c>
      <c r="AS46" s="647">
        <f t="shared" ref="AS46" si="38">ROUND((AR46+AR47)/2,0)</f>
        <v>0</v>
      </c>
    </row>
    <row r="47" spans="1:45" ht="16.899999999999999" customHeight="1">
      <c r="A47" s="644"/>
      <c r="B47" s="646"/>
      <c r="C47" s="195">
        <v>2</v>
      </c>
      <c r="D47" s="196"/>
      <c r="E47" s="197"/>
      <c r="F47" s="197"/>
      <c r="G47" s="197"/>
      <c r="H47" s="197"/>
      <c r="I47" s="197"/>
      <c r="J47" s="197"/>
      <c r="K47" s="198"/>
      <c r="L47" s="199"/>
      <c r="M47" s="200"/>
      <c r="N47" s="200"/>
      <c r="O47" s="200"/>
      <c r="P47" s="200"/>
      <c r="Q47" s="201"/>
      <c r="R47" s="199"/>
      <c r="S47" s="200"/>
      <c r="T47" s="200"/>
      <c r="U47" s="201"/>
      <c r="V47" s="199"/>
      <c r="W47" s="200"/>
      <c r="X47" s="200"/>
      <c r="Y47" s="201"/>
      <c r="Z47" s="199"/>
      <c r="AA47" s="200"/>
      <c r="AB47" s="200"/>
      <c r="AC47" s="200"/>
      <c r="AD47" s="201"/>
      <c r="AE47" s="199"/>
      <c r="AF47" s="200"/>
      <c r="AG47" s="200"/>
      <c r="AH47" s="200"/>
      <c r="AI47" s="201"/>
      <c r="AJ47" s="199"/>
      <c r="AK47" s="200"/>
      <c r="AL47" s="200"/>
      <c r="AM47" s="200"/>
      <c r="AN47" s="201"/>
      <c r="AO47" s="199"/>
      <c r="AP47" s="200"/>
      <c r="AQ47" s="201"/>
      <c r="AR47" s="202">
        <f t="shared" si="1"/>
        <v>0</v>
      </c>
      <c r="AS47" s="648"/>
    </row>
    <row r="48" spans="1:45" ht="16.899999999999999" customHeight="1">
      <c r="A48" s="644">
        <v>21</v>
      </c>
      <c r="B48" s="645" t="str">
        <f t="shared" ref="B48" ca="1" si="39">INDIRECT("'A-RACHNATMAK'!b"&amp;(ROW(B41)-1)*1.5+11)</f>
        <v>મકરૂબિયા જીજ્ઞેશભાઇ અશોકભાઇ</v>
      </c>
      <c r="C48" s="187">
        <v>1</v>
      </c>
      <c r="D48" s="188"/>
      <c r="E48" s="189"/>
      <c r="F48" s="189"/>
      <c r="G48" s="189"/>
      <c r="H48" s="189"/>
      <c r="I48" s="189"/>
      <c r="J48" s="189"/>
      <c r="K48" s="190"/>
      <c r="L48" s="191"/>
      <c r="M48" s="192"/>
      <c r="N48" s="192"/>
      <c r="O48" s="192"/>
      <c r="P48" s="192"/>
      <c r="Q48" s="193"/>
      <c r="R48" s="191"/>
      <c r="S48" s="192"/>
      <c r="T48" s="192"/>
      <c r="U48" s="193"/>
      <c r="V48" s="191"/>
      <c r="W48" s="192"/>
      <c r="X48" s="192"/>
      <c r="Y48" s="193"/>
      <c r="Z48" s="191"/>
      <c r="AA48" s="192"/>
      <c r="AB48" s="192"/>
      <c r="AC48" s="192"/>
      <c r="AD48" s="193"/>
      <c r="AE48" s="191"/>
      <c r="AF48" s="192"/>
      <c r="AG48" s="192"/>
      <c r="AH48" s="192"/>
      <c r="AI48" s="193"/>
      <c r="AJ48" s="191"/>
      <c r="AK48" s="192"/>
      <c r="AL48" s="192"/>
      <c r="AM48" s="192"/>
      <c r="AN48" s="193"/>
      <c r="AO48" s="191"/>
      <c r="AP48" s="192"/>
      <c r="AQ48" s="193"/>
      <c r="AR48" s="194">
        <f t="shared" si="1"/>
        <v>0</v>
      </c>
      <c r="AS48" s="647">
        <f t="shared" ref="AS48" si="40">ROUND((AR48+AR49)/2,0)</f>
        <v>0</v>
      </c>
    </row>
    <row r="49" spans="1:45" ht="16.899999999999999" customHeight="1">
      <c r="A49" s="644"/>
      <c r="B49" s="646"/>
      <c r="C49" s="195">
        <v>2</v>
      </c>
      <c r="D49" s="196"/>
      <c r="E49" s="197"/>
      <c r="F49" s="197"/>
      <c r="G49" s="197"/>
      <c r="H49" s="197"/>
      <c r="I49" s="197"/>
      <c r="J49" s="197"/>
      <c r="K49" s="198"/>
      <c r="L49" s="199"/>
      <c r="M49" s="200"/>
      <c r="N49" s="200"/>
      <c r="O49" s="200"/>
      <c r="P49" s="200"/>
      <c r="Q49" s="201"/>
      <c r="R49" s="199"/>
      <c r="S49" s="200"/>
      <c r="T49" s="200"/>
      <c r="U49" s="201"/>
      <c r="V49" s="199"/>
      <c r="W49" s="200"/>
      <c r="X49" s="200"/>
      <c r="Y49" s="201"/>
      <c r="Z49" s="199"/>
      <c r="AA49" s="200"/>
      <c r="AB49" s="200"/>
      <c r="AC49" s="200"/>
      <c r="AD49" s="201"/>
      <c r="AE49" s="199"/>
      <c r="AF49" s="200"/>
      <c r="AG49" s="200"/>
      <c r="AH49" s="200"/>
      <c r="AI49" s="201"/>
      <c r="AJ49" s="199"/>
      <c r="AK49" s="200"/>
      <c r="AL49" s="200"/>
      <c r="AM49" s="200"/>
      <c r="AN49" s="201"/>
      <c r="AO49" s="199"/>
      <c r="AP49" s="200"/>
      <c r="AQ49" s="201"/>
      <c r="AR49" s="202">
        <f t="shared" si="1"/>
        <v>0</v>
      </c>
      <c r="AS49" s="648"/>
    </row>
    <row r="50" spans="1:45" ht="16.899999999999999" customHeight="1">
      <c r="A50" s="644">
        <v>22</v>
      </c>
      <c r="B50" s="645" t="str">
        <f t="shared" ref="B50" ca="1" si="41">INDIRECT("'A-RACHNATMAK'!b"&amp;(ROW(B43)-1)*1.5+11)</f>
        <v>ખિમસુરીયા જ્યોત્સના મુકેશભાઇ</v>
      </c>
      <c r="C50" s="187">
        <v>1</v>
      </c>
      <c r="D50" s="188"/>
      <c r="E50" s="189"/>
      <c r="F50" s="189"/>
      <c r="G50" s="189"/>
      <c r="H50" s="189"/>
      <c r="I50" s="189"/>
      <c r="J50" s="189"/>
      <c r="K50" s="190"/>
      <c r="L50" s="191"/>
      <c r="M50" s="192"/>
      <c r="N50" s="192"/>
      <c r="O50" s="192"/>
      <c r="P50" s="192"/>
      <c r="Q50" s="193"/>
      <c r="R50" s="191"/>
      <c r="S50" s="192"/>
      <c r="T50" s="192"/>
      <c r="U50" s="193"/>
      <c r="V50" s="191"/>
      <c r="W50" s="192"/>
      <c r="X50" s="192"/>
      <c r="Y50" s="193"/>
      <c r="Z50" s="191"/>
      <c r="AA50" s="192"/>
      <c r="AB50" s="192"/>
      <c r="AC50" s="192"/>
      <c r="AD50" s="193"/>
      <c r="AE50" s="191"/>
      <c r="AF50" s="192"/>
      <c r="AG50" s="192"/>
      <c r="AH50" s="192"/>
      <c r="AI50" s="193"/>
      <c r="AJ50" s="191"/>
      <c r="AK50" s="192"/>
      <c r="AL50" s="192"/>
      <c r="AM50" s="192"/>
      <c r="AN50" s="193"/>
      <c r="AO50" s="191"/>
      <c r="AP50" s="192"/>
      <c r="AQ50" s="193"/>
      <c r="AR50" s="194">
        <f t="shared" si="1"/>
        <v>0</v>
      </c>
      <c r="AS50" s="647">
        <f t="shared" ref="AS50" si="42">ROUND((AR50+AR51)/2,0)</f>
        <v>0</v>
      </c>
    </row>
    <row r="51" spans="1:45" ht="16.899999999999999" customHeight="1">
      <c r="A51" s="644"/>
      <c r="B51" s="646"/>
      <c r="C51" s="195">
        <v>2</v>
      </c>
      <c r="D51" s="196"/>
      <c r="E51" s="197"/>
      <c r="F51" s="197"/>
      <c r="G51" s="197"/>
      <c r="H51" s="197"/>
      <c r="I51" s="197"/>
      <c r="J51" s="197"/>
      <c r="K51" s="198"/>
      <c r="L51" s="199"/>
      <c r="M51" s="200"/>
      <c r="N51" s="200"/>
      <c r="O51" s="200"/>
      <c r="P51" s="200"/>
      <c r="Q51" s="201"/>
      <c r="R51" s="199"/>
      <c r="S51" s="200"/>
      <c r="T51" s="200"/>
      <c r="U51" s="201"/>
      <c r="V51" s="199"/>
      <c r="W51" s="200"/>
      <c r="X51" s="200"/>
      <c r="Y51" s="201"/>
      <c r="Z51" s="199"/>
      <c r="AA51" s="200"/>
      <c r="AB51" s="200"/>
      <c r="AC51" s="200"/>
      <c r="AD51" s="201"/>
      <c r="AE51" s="199"/>
      <c r="AF51" s="200"/>
      <c r="AG51" s="200"/>
      <c r="AH51" s="200"/>
      <c r="AI51" s="201"/>
      <c r="AJ51" s="199"/>
      <c r="AK51" s="200"/>
      <c r="AL51" s="200"/>
      <c r="AM51" s="200"/>
      <c r="AN51" s="201"/>
      <c r="AO51" s="199"/>
      <c r="AP51" s="200"/>
      <c r="AQ51" s="201"/>
      <c r="AR51" s="202">
        <f t="shared" si="1"/>
        <v>0</v>
      </c>
      <c r="AS51" s="648"/>
    </row>
    <row r="52" spans="1:45" ht="16.899999999999999" customHeight="1">
      <c r="A52" s="644">
        <v>23</v>
      </c>
      <c r="B52" s="645" t="str">
        <f t="shared" ref="B52" ca="1" si="43">INDIRECT("'A-RACHNATMAK'!b"&amp;(ROW(B45)-1)*1.5+11)</f>
        <v>ગરણિયા રાજલબેન સામતભાઇ</v>
      </c>
      <c r="C52" s="187">
        <v>1</v>
      </c>
      <c r="D52" s="188"/>
      <c r="E52" s="189"/>
      <c r="F52" s="189"/>
      <c r="G52" s="189"/>
      <c r="H52" s="189"/>
      <c r="I52" s="189"/>
      <c r="J52" s="189"/>
      <c r="K52" s="190"/>
      <c r="L52" s="191"/>
      <c r="M52" s="192"/>
      <c r="N52" s="192"/>
      <c r="O52" s="192"/>
      <c r="P52" s="192"/>
      <c r="Q52" s="193"/>
      <c r="R52" s="191"/>
      <c r="S52" s="192"/>
      <c r="T52" s="192"/>
      <c r="U52" s="193"/>
      <c r="V52" s="191"/>
      <c r="W52" s="192"/>
      <c r="X52" s="192"/>
      <c r="Y52" s="193"/>
      <c r="Z52" s="191"/>
      <c r="AA52" s="192"/>
      <c r="AB52" s="192"/>
      <c r="AC52" s="192"/>
      <c r="AD52" s="193"/>
      <c r="AE52" s="191"/>
      <c r="AF52" s="192"/>
      <c r="AG52" s="192"/>
      <c r="AH52" s="192"/>
      <c r="AI52" s="193"/>
      <c r="AJ52" s="191"/>
      <c r="AK52" s="192"/>
      <c r="AL52" s="192"/>
      <c r="AM52" s="192"/>
      <c r="AN52" s="193"/>
      <c r="AO52" s="191"/>
      <c r="AP52" s="192"/>
      <c r="AQ52" s="193"/>
      <c r="AR52" s="194">
        <f t="shared" si="1"/>
        <v>0</v>
      </c>
      <c r="AS52" s="647">
        <f t="shared" ref="AS52" si="44">ROUND((AR52+AR53)/2,0)</f>
        <v>0</v>
      </c>
    </row>
    <row r="53" spans="1:45" ht="16.899999999999999" customHeight="1">
      <c r="A53" s="644"/>
      <c r="B53" s="646"/>
      <c r="C53" s="195">
        <v>2</v>
      </c>
      <c r="D53" s="196"/>
      <c r="E53" s="197"/>
      <c r="F53" s="197"/>
      <c r="G53" s="197"/>
      <c r="H53" s="197"/>
      <c r="I53" s="197"/>
      <c r="J53" s="197"/>
      <c r="K53" s="198"/>
      <c r="L53" s="199"/>
      <c r="M53" s="200"/>
      <c r="N53" s="200"/>
      <c r="O53" s="200"/>
      <c r="P53" s="200"/>
      <c r="Q53" s="201"/>
      <c r="R53" s="199"/>
      <c r="S53" s="200"/>
      <c r="T53" s="200"/>
      <c r="U53" s="201"/>
      <c r="V53" s="199"/>
      <c r="W53" s="200"/>
      <c r="X53" s="200"/>
      <c r="Y53" s="201"/>
      <c r="Z53" s="199"/>
      <c r="AA53" s="200"/>
      <c r="AB53" s="200"/>
      <c r="AC53" s="200"/>
      <c r="AD53" s="201"/>
      <c r="AE53" s="199"/>
      <c r="AF53" s="200"/>
      <c r="AG53" s="200"/>
      <c r="AH53" s="200"/>
      <c r="AI53" s="201"/>
      <c r="AJ53" s="199"/>
      <c r="AK53" s="200"/>
      <c r="AL53" s="200"/>
      <c r="AM53" s="200"/>
      <c r="AN53" s="201"/>
      <c r="AO53" s="199"/>
      <c r="AP53" s="200"/>
      <c r="AQ53" s="201"/>
      <c r="AR53" s="202">
        <f t="shared" si="1"/>
        <v>0</v>
      </c>
      <c r="AS53" s="648"/>
    </row>
    <row r="54" spans="1:45" ht="16.899999999999999" customHeight="1">
      <c r="A54" s="644">
        <v>24</v>
      </c>
      <c r="B54" s="645" t="str">
        <f t="shared" ref="B54" ca="1" si="45">INDIRECT("'A-RACHNATMAK'!b"&amp;(ROW(B47)-1)*1.5+11)</f>
        <v>ગરણિયા નિરાલીબેન પ્રદીપભાઇ</v>
      </c>
      <c r="C54" s="187">
        <v>1</v>
      </c>
      <c r="D54" s="188"/>
      <c r="E54" s="189"/>
      <c r="F54" s="189"/>
      <c r="G54" s="189"/>
      <c r="H54" s="189"/>
      <c r="I54" s="189"/>
      <c r="J54" s="189"/>
      <c r="K54" s="190"/>
      <c r="L54" s="191"/>
      <c r="M54" s="192"/>
      <c r="N54" s="192"/>
      <c r="O54" s="192"/>
      <c r="P54" s="192"/>
      <c r="Q54" s="193"/>
      <c r="R54" s="191"/>
      <c r="S54" s="192"/>
      <c r="T54" s="192"/>
      <c r="U54" s="193"/>
      <c r="V54" s="191"/>
      <c r="W54" s="192"/>
      <c r="X54" s="192"/>
      <c r="Y54" s="193"/>
      <c r="Z54" s="191"/>
      <c r="AA54" s="192"/>
      <c r="AB54" s="192"/>
      <c r="AC54" s="192"/>
      <c r="AD54" s="193"/>
      <c r="AE54" s="191"/>
      <c r="AF54" s="192"/>
      <c r="AG54" s="192"/>
      <c r="AH54" s="192"/>
      <c r="AI54" s="193"/>
      <c r="AJ54" s="191"/>
      <c r="AK54" s="192"/>
      <c r="AL54" s="192"/>
      <c r="AM54" s="192"/>
      <c r="AN54" s="193"/>
      <c r="AO54" s="191"/>
      <c r="AP54" s="192"/>
      <c r="AQ54" s="193"/>
      <c r="AR54" s="194">
        <f t="shared" si="1"/>
        <v>0</v>
      </c>
      <c r="AS54" s="647">
        <f t="shared" ref="AS54" si="46">ROUND((AR54+AR55)/2,0)</f>
        <v>0</v>
      </c>
    </row>
    <row r="55" spans="1:45" ht="16.899999999999999" customHeight="1">
      <c r="A55" s="644"/>
      <c r="B55" s="646"/>
      <c r="C55" s="195">
        <v>2</v>
      </c>
      <c r="D55" s="196"/>
      <c r="E55" s="197"/>
      <c r="F55" s="197"/>
      <c r="G55" s="197"/>
      <c r="H55" s="197"/>
      <c r="I55" s="197"/>
      <c r="J55" s="197"/>
      <c r="K55" s="198"/>
      <c r="L55" s="199"/>
      <c r="M55" s="200"/>
      <c r="N55" s="200"/>
      <c r="O55" s="200"/>
      <c r="P55" s="200"/>
      <c r="Q55" s="201"/>
      <c r="R55" s="199"/>
      <c r="S55" s="200"/>
      <c r="T55" s="200"/>
      <c r="U55" s="201"/>
      <c r="V55" s="199"/>
      <c r="W55" s="200"/>
      <c r="X55" s="200"/>
      <c r="Y55" s="201"/>
      <c r="Z55" s="199"/>
      <c r="AA55" s="200"/>
      <c r="AB55" s="200"/>
      <c r="AC55" s="200"/>
      <c r="AD55" s="201"/>
      <c r="AE55" s="199"/>
      <c r="AF55" s="200"/>
      <c r="AG55" s="200"/>
      <c r="AH55" s="200"/>
      <c r="AI55" s="201"/>
      <c r="AJ55" s="199"/>
      <c r="AK55" s="200"/>
      <c r="AL55" s="200"/>
      <c r="AM55" s="200"/>
      <c r="AN55" s="201"/>
      <c r="AO55" s="199"/>
      <c r="AP55" s="200"/>
      <c r="AQ55" s="201"/>
      <c r="AR55" s="202">
        <f t="shared" si="1"/>
        <v>0</v>
      </c>
      <c r="AS55" s="648"/>
    </row>
    <row r="56" spans="1:45" ht="16.899999999999999" customHeight="1">
      <c r="A56" s="644">
        <v>25</v>
      </c>
      <c r="B56" s="645" t="str">
        <f t="shared" ref="B56" ca="1" si="47">INDIRECT("'A-RACHNATMAK'!b"&amp;(ROW(B49)-1)*1.5+11)</f>
        <v>ગરણિયા રાધાબેન લક્ષ્મણભાઇ</v>
      </c>
      <c r="C56" s="187">
        <v>1</v>
      </c>
      <c r="D56" s="188"/>
      <c r="E56" s="189"/>
      <c r="F56" s="189"/>
      <c r="G56" s="189"/>
      <c r="H56" s="189"/>
      <c r="I56" s="189"/>
      <c r="J56" s="189"/>
      <c r="K56" s="190"/>
      <c r="L56" s="191"/>
      <c r="M56" s="192"/>
      <c r="N56" s="192"/>
      <c r="O56" s="192"/>
      <c r="P56" s="192"/>
      <c r="Q56" s="193"/>
      <c r="R56" s="191"/>
      <c r="S56" s="192"/>
      <c r="T56" s="192"/>
      <c r="U56" s="193"/>
      <c r="V56" s="191"/>
      <c r="W56" s="192"/>
      <c r="X56" s="192"/>
      <c r="Y56" s="193"/>
      <c r="Z56" s="191"/>
      <c r="AA56" s="192"/>
      <c r="AB56" s="192"/>
      <c r="AC56" s="192"/>
      <c r="AD56" s="193"/>
      <c r="AE56" s="191"/>
      <c r="AF56" s="192"/>
      <c r="AG56" s="192"/>
      <c r="AH56" s="192"/>
      <c r="AI56" s="193"/>
      <c r="AJ56" s="191"/>
      <c r="AK56" s="192"/>
      <c r="AL56" s="192"/>
      <c r="AM56" s="192"/>
      <c r="AN56" s="193"/>
      <c r="AO56" s="191"/>
      <c r="AP56" s="192"/>
      <c r="AQ56" s="193"/>
      <c r="AR56" s="194">
        <f t="shared" si="1"/>
        <v>0</v>
      </c>
      <c r="AS56" s="647">
        <f t="shared" ref="AS56" si="48">ROUND((AR56+AR57)/2,0)</f>
        <v>0</v>
      </c>
    </row>
    <row r="57" spans="1:45" ht="16.899999999999999" customHeight="1">
      <c r="A57" s="644"/>
      <c r="B57" s="646"/>
      <c r="C57" s="195">
        <v>2</v>
      </c>
      <c r="D57" s="196"/>
      <c r="E57" s="197"/>
      <c r="F57" s="197"/>
      <c r="G57" s="197"/>
      <c r="H57" s="197"/>
      <c r="I57" s="197"/>
      <c r="J57" s="197"/>
      <c r="K57" s="198"/>
      <c r="L57" s="199"/>
      <c r="M57" s="200"/>
      <c r="N57" s="200"/>
      <c r="O57" s="200"/>
      <c r="P57" s="200"/>
      <c r="Q57" s="201"/>
      <c r="R57" s="199"/>
      <c r="S57" s="200"/>
      <c r="T57" s="200"/>
      <c r="U57" s="201"/>
      <c r="V57" s="199"/>
      <c r="W57" s="200"/>
      <c r="X57" s="200"/>
      <c r="Y57" s="201"/>
      <c r="Z57" s="199"/>
      <c r="AA57" s="200"/>
      <c r="AB57" s="200"/>
      <c r="AC57" s="200"/>
      <c r="AD57" s="201"/>
      <c r="AE57" s="199"/>
      <c r="AF57" s="200"/>
      <c r="AG57" s="200"/>
      <c r="AH57" s="200"/>
      <c r="AI57" s="201"/>
      <c r="AJ57" s="199"/>
      <c r="AK57" s="200"/>
      <c r="AL57" s="200"/>
      <c r="AM57" s="200"/>
      <c r="AN57" s="201"/>
      <c r="AO57" s="199"/>
      <c r="AP57" s="200"/>
      <c r="AQ57" s="201"/>
      <c r="AR57" s="202">
        <f t="shared" si="1"/>
        <v>0</v>
      </c>
      <c r="AS57" s="648"/>
    </row>
    <row r="58" spans="1:45" ht="16.899999999999999" customHeight="1">
      <c r="A58" s="644">
        <v>26</v>
      </c>
      <c r="B58" s="645" t="str">
        <f t="shared" ref="B58" ca="1" si="49">INDIRECT("'A-RACHNATMAK'!b"&amp;(ROW(B51)-1)*1.5+11)</f>
        <v>ગૌસ્વામિ મયુરીબેન રમેશગીરી</v>
      </c>
      <c r="C58" s="187">
        <v>1</v>
      </c>
      <c r="D58" s="188"/>
      <c r="E58" s="189"/>
      <c r="F58" s="189"/>
      <c r="G58" s="189"/>
      <c r="H58" s="189"/>
      <c r="I58" s="189"/>
      <c r="J58" s="189"/>
      <c r="K58" s="190"/>
      <c r="L58" s="191"/>
      <c r="M58" s="192"/>
      <c r="N58" s="192"/>
      <c r="O58" s="192"/>
      <c r="P58" s="192"/>
      <c r="Q58" s="193"/>
      <c r="R58" s="191"/>
      <c r="S58" s="192"/>
      <c r="T58" s="192"/>
      <c r="U58" s="193"/>
      <c r="V58" s="191"/>
      <c r="W58" s="192"/>
      <c r="X58" s="192"/>
      <c r="Y58" s="193"/>
      <c r="Z58" s="191"/>
      <c r="AA58" s="192"/>
      <c r="AB58" s="192"/>
      <c r="AC58" s="192"/>
      <c r="AD58" s="193"/>
      <c r="AE58" s="191"/>
      <c r="AF58" s="192"/>
      <c r="AG58" s="192"/>
      <c r="AH58" s="192"/>
      <c r="AI58" s="193"/>
      <c r="AJ58" s="191"/>
      <c r="AK58" s="192"/>
      <c r="AL58" s="192"/>
      <c r="AM58" s="192"/>
      <c r="AN58" s="193"/>
      <c r="AO58" s="191"/>
      <c r="AP58" s="192"/>
      <c r="AQ58" s="193"/>
      <c r="AR58" s="194">
        <f t="shared" si="1"/>
        <v>0</v>
      </c>
      <c r="AS58" s="647">
        <f t="shared" ref="AS58" si="50">ROUND((AR58+AR59)/2,0)</f>
        <v>0</v>
      </c>
    </row>
    <row r="59" spans="1:45" ht="16.899999999999999" customHeight="1">
      <c r="A59" s="644"/>
      <c r="B59" s="646"/>
      <c r="C59" s="195">
        <v>2</v>
      </c>
      <c r="D59" s="196"/>
      <c r="E59" s="197"/>
      <c r="F59" s="197"/>
      <c r="G59" s="197"/>
      <c r="H59" s="197"/>
      <c r="I59" s="197"/>
      <c r="J59" s="197"/>
      <c r="K59" s="198"/>
      <c r="L59" s="199"/>
      <c r="M59" s="200"/>
      <c r="N59" s="200"/>
      <c r="O59" s="200"/>
      <c r="P59" s="200"/>
      <c r="Q59" s="201"/>
      <c r="R59" s="199"/>
      <c r="S59" s="200"/>
      <c r="T59" s="200"/>
      <c r="U59" s="201"/>
      <c r="V59" s="199"/>
      <c r="W59" s="200"/>
      <c r="X59" s="200"/>
      <c r="Y59" s="201"/>
      <c r="Z59" s="199"/>
      <c r="AA59" s="200"/>
      <c r="AB59" s="200"/>
      <c r="AC59" s="200"/>
      <c r="AD59" s="201"/>
      <c r="AE59" s="199"/>
      <c r="AF59" s="200"/>
      <c r="AG59" s="200"/>
      <c r="AH59" s="200"/>
      <c r="AI59" s="201"/>
      <c r="AJ59" s="199"/>
      <c r="AK59" s="200"/>
      <c r="AL59" s="200"/>
      <c r="AM59" s="200"/>
      <c r="AN59" s="201"/>
      <c r="AO59" s="199"/>
      <c r="AP59" s="200"/>
      <c r="AQ59" s="201"/>
      <c r="AR59" s="202">
        <f t="shared" si="1"/>
        <v>0</v>
      </c>
      <c r="AS59" s="648"/>
    </row>
    <row r="60" spans="1:45" ht="16.899999999999999" customHeight="1">
      <c r="A60" s="644">
        <v>27</v>
      </c>
      <c r="B60" s="645" t="str">
        <f t="shared" ref="B60" ca="1" si="51">INDIRECT("'A-RACHNATMAK'!b"&amp;(ROW(B53)-1)*1.5+11)</f>
        <v>બતાડા જાનકી વાલાભાઇ</v>
      </c>
      <c r="C60" s="187">
        <v>1</v>
      </c>
      <c r="D60" s="188"/>
      <c r="E60" s="189"/>
      <c r="F60" s="189"/>
      <c r="G60" s="189"/>
      <c r="H60" s="189"/>
      <c r="I60" s="189"/>
      <c r="J60" s="189"/>
      <c r="K60" s="190"/>
      <c r="L60" s="191"/>
      <c r="M60" s="192"/>
      <c r="N60" s="192"/>
      <c r="O60" s="192"/>
      <c r="P60" s="192"/>
      <c r="Q60" s="193"/>
      <c r="R60" s="191"/>
      <c r="S60" s="192"/>
      <c r="T60" s="192"/>
      <c r="U60" s="193"/>
      <c r="V60" s="191"/>
      <c r="W60" s="192"/>
      <c r="X60" s="192"/>
      <c r="Y60" s="193"/>
      <c r="Z60" s="191"/>
      <c r="AA60" s="192"/>
      <c r="AB60" s="192"/>
      <c r="AC60" s="192"/>
      <c r="AD60" s="193"/>
      <c r="AE60" s="191"/>
      <c r="AF60" s="192"/>
      <c r="AG60" s="192"/>
      <c r="AH60" s="192"/>
      <c r="AI60" s="193"/>
      <c r="AJ60" s="191"/>
      <c r="AK60" s="192"/>
      <c r="AL60" s="192"/>
      <c r="AM60" s="192"/>
      <c r="AN60" s="193"/>
      <c r="AO60" s="191"/>
      <c r="AP60" s="192"/>
      <c r="AQ60" s="193"/>
      <c r="AR60" s="194">
        <f t="shared" si="1"/>
        <v>0</v>
      </c>
      <c r="AS60" s="647">
        <f t="shared" ref="AS60" si="52">ROUND((AR60+AR61)/2,0)</f>
        <v>0</v>
      </c>
    </row>
    <row r="61" spans="1:45" ht="16.899999999999999" customHeight="1">
      <c r="A61" s="644"/>
      <c r="B61" s="646"/>
      <c r="C61" s="195">
        <v>2</v>
      </c>
      <c r="D61" s="196"/>
      <c r="E61" s="197"/>
      <c r="F61" s="197"/>
      <c r="G61" s="197"/>
      <c r="H61" s="197"/>
      <c r="I61" s="197"/>
      <c r="J61" s="197"/>
      <c r="K61" s="198"/>
      <c r="L61" s="199"/>
      <c r="M61" s="200"/>
      <c r="N61" s="200"/>
      <c r="O61" s="200"/>
      <c r="P61" s="200"/>
      <c r="Q61" s="201"/>
      <c r="R61" s="199"/>
      <c r="S61" s="200"/>
      <c r="T61" s="200"/>
      <c r="U61" s="201"/>
      <c r="V61" s="199"/>
      <c r="W61" s="200"/>
      <c r="X61" s="200"/>
      <c r="Y61" s="201"/>
      <c r="Z61" s="199"/>
      <c r="AA61" s="200"/>
      <c r="AB61" s="200"/>
      <c r="AC61" s="200"/>
      <c r="AD61" s="201"/>
      <c r="AE61" s="199"/>
      <c r="AF61" s="200"/>
      <c r="AG61" s="200"/>
      <c r="AH61" s="200"/>
      <c r="AI61" s="201"/>
      <c r="AJ61" s="199"/>
      <c r="AK61" s="200"/>
      <c r="AL61" s="200"/>
      <c r="AM61" s="200"/>
      <c r="AN61" s="201"/>
      <c r="AO61" s="199"/>
      <c r="AP61" s="200"/>
      <c r="AQ61" s="201"/>
      <c r="AR61" s="202">
        <f t="shared" si="1"/>
        <v>0</v>
      </c>
      <c r="AS61" s="648"/>
    </row>
    <row r="62" spans="1:45" ht="16.899999999999999" customHeight="1">
      <c r="A62" s="644">
        <v>28</v>
      </c>
      <c r="B62" s="645" t="str">
        <f t="shared" ref="B62" ca="1" si="53">INDIRECT("'A-RACHNATMAK'!b"&amp;(ROW(B55)-1)*1.5+11)</f>
        <v>બતાડા ક્રિષ્નાબેન દેવશીભાઇ</v>
      </c>
      <c r="C62" s="187">
        <v>1</v>
      </c>
      <c r="D62" s="188"/>
      <c r="E62" s="189"/>
      <c r="F62" s="189"/>
      <c r="G62" s="189"/>
      <c r="H62" s="189"/>
      <c r="I62" s="189"/>
      <c r="J62" s="189"/>
      <c r="K62" s="190"/>
      <c r="L62" s="191"/>
      <c r="M62" s="192"/>
      <c r="N62" s="192"/>
      <c r="O62" s="192"/>
      <c r="P62" s="192"/>
      <c r="Q62" s="193"/>
      <c r="R62" s="191"/>
      <c r="S62" s="192"/>
      <c r="T62" s="192"/>
      <c r="U62" s="193"/>
      <c r="V62" s="191"/>
      <c r="W62" s="192"/>
      <c r="X62" s="192"/>
      <c r="Y62" s="193"/>
      <c r="Z62" s="191"/>
      <c r="AA62" s="192"/>
      <c r="AB62" s="192"/>
      <c r="AC62" s="192"/>
      <c r="AD62" s="193"/>
      <c r="AE62" s="191"/>
      <c r="AF62" s="192"/>
      <c r="AG62" s="192"/>
      <c r="AH62" s="192"/>
      <c r="AI62" s="193"/>
      <c r="AJ62" s="191"/>
      <c r="AK62" s="192"/>
      <c r="AL62" s="192"/>
      <c r="AM62" s="192"/>
      <c r="AN62" s="193"/>
      <c r="AO62" s="191"/>
      <c r="AP62" s="192"/>
      <c r="AQ62" s="193"/>
      <c r="AR62" s="194">
        <f t="shared" si="1"/>
        <v>0</v>
      </c>
      <c r="AS62" s="647">
        <f t="shared" ref="AS62" si="54">ROUND((AR62+AR63)/2,0)</f>
        <v>0</v>
      </c>
    </row>
    <row r="63" spans="1:45" ht="16.899999999999999" customHeight="1">
      <c r="A63" s="644"/>
      <c r="B63" s="646"/>
      <c r="C63" s="195">
        <v>2</v>
      </c>
      <c r="D63" s="196"/>
      <c r="E63" s="197"/>
      <c r="F63" s="197"/>
      <c r="G63" s="197"/>
      <c r="H63" s="197"/>
      <c r="I63" s="197"/>
      <c r="J63" s="197"/>
      <c r="K63" s="198"/>
      <c r="L63" s="199"/>
      <c r="M63" s="200"/>
      <c r="N63" s="200"/>
      <c r="O63" s="200"/>
      <c r="P63" s="200"/>
      <c r="Q63" s="201"/>
      <c r="R63" s="199"/>
      <c r="S63" s="200"/>
      <c r="T63" s="200"/>
      <c r="U63" s="201"/>
      <c r="V63" s="199"/>
      <c r="W63" s="200"/>
      <c r="X63" s="200"/>
      <c r="Y63" s="201"/>
      <c r="Z63" s="199"/>
      <c r="AA63" s="200"/>
      <c r="AB63" s="200"/>
      <c r="AC63" s="200"/>
      <c r="AD63" s="201"/>
      <c r="AE63" s="199"/>
      <c r="AF63" s="200"/>
      <c r="AG63" s="200"/>
      <c r="AH63" s="200"/>
      <c r="AI63" s="201"/>
      <c r="AJ63" s="199"/>
      <c r="AK63" s="200"/>
      <c r="AL63" s="200"/>
      <c r="AM63" s="200"/>
      <c r="AN63" s="201"/>
      <c r="AO63" s="199"/>
      <c r="AP63" s="200"/>
      <c r="AQ63" s="201"/>
      <c r="AR63" s="202">
        <f t="shared" si="1"/>
        <v>0</v>
      </c>
      <c r="AS63" s="648"/>
    </row>
    <row r="64" spans="1:45" ht="16.899999999999999" customHeight="1">
      <c r="A64" s="644">
        <v>29</v>
      </c>
      <c r="B64" s="645" t="str">
        <f t="shared" ref="B64" ca="1" si="55">INDIRECT("'A-RACHNATMAK'!b"&amp;(ROW(B57)-1)*1.5+11)</f>
        <v>પરમાર અનિષા રમેશભાઇ</v>
      </c>
      <c r="C64" s="187">
        <v>1</v>
      </c>
      <c r="D64" s="188"/>
      <c r="E64" s="189"/>
      <c r="F64" s="189"/>
      <c r="G64" s="189"/>
      <c r="H64" s="189"/>
      <c r="I64" s="189"/>
      <c r="J64" s="189"/>
      <c r="K64" s="190"/>
      <c r="L64" s="191"/>
      <c r="M64" s="192"/>
      <c r="N64" s="192"/>
      <c r="O64" s="192"/>
      <c r="P64" s="192"/>
      <c r="Q64" s="193"/>
      <c r="R64" s="191"/>
      <c r="S64" s="192"/>
      <c r="T64" s="192"/>
      <c r="U64" s="193"/>
      <c r="V64" s="191"/>
      <c r="W64" s="192"/>
      <c r="X64" s="192"/>
      <c r="Y64" s="193"/>
      <c r="Z64" s="191"/>
      <c r="AA64" s="192"/>
      <c r="AB64" s="192"/>
      <c r="AC64" s="192"/>
      <c r="AD64" s="193"/>
      <c r="AE64" s="191"/>
      <c r="AF64" s="192"/>
      <c r="AG64" s="192"/>
      <c r="AH64" s="192"/>
      <c r="AI64" s="193"/>
      <c r="AJ64" s="191"/>
      <c r="AK64" s="192"/>
      <c r="AL64" s="192"/>
      <c r="AM64" s="192"/>
      <c r="AN64" s="193"/>
      <c r="AO64" s="191"/>
      <c r="AP64" s="192"/>
      <c r="AQ64" s="193"/>
      <c r="AR64" s="194">
        <f t="shared" si="1"/>
        <v>0</v>
      </c>
      <c r="AS64" s="647">
        <f t="shared" ref="AS64" si="56">ROUND((AR64+AR65)/2,0)</f>
        <v>0</v>
      </c>
    </row>
    <row r="65" spans="1:45" ht="16.899999999999999" customHeight="1">
      <c r="A65" s="644"/>
      <c r="B65" s="646"/>
      <c r="C65" s="195">
        <v>2</v>
      </c>
      <c r="D65" s="196"/>
      <c r="E65" s="197"/>
      <c r="F65" s="197"/>
      <c r="G65" s="197"/>
      <c r="H65" s="197"/>
      <c r="I65" s="197"/>
      <c r="J65" s="197"/>
      <c r="K65" s="198"/>
      <c r="L65" s="199"/>
      <c r="M65" s="200"/>
      <c r="N65" s="200"/>
      <c r="O65" s="200"/>
      <c r="P65" s="200"/>
      <c r="Q65" s="201"/>
      <c r="R65" s="199"/>
      <c r="S65" s="200"/>
      <c r="T65" s="200"/>
      <c r="U65" s="201"/>
      <c r="V65" s="199"/>
      <c r="W65" s="200"/>
      <c r="X65" s="200"/>
      <c r="Y65" s="201"/>
      <c r="Z65" s="199"/>
      <c r="AA65" s="200"/>
      <c r="AB65" s="200"/>
      <c r="AC65" s="200"/>
      <c r="AD65" s="201"/>
      <c r="AE65" s="199"/>
      <c r="AF65" s="200"/>
      <c r="AG65" s="200"/>
      <c r="AH65" s="200"/>
      <c r="AI65" s="201"/>
      <c r="AJ65" s="199"/>
      <c r="AK65" s="200"/>
      <c r="AL65" s="200"/>
      <c r="AM65" s="200"/>
      <c r="AN65" s="201"/>
      <c r="AO65" s="199"/>
      <c r="AP65" s="200"/>
      <c r="AQ65" s="201"/>
      <c r="AR65" s="202">
        <f t="shared" si="1"/>
        <v>0</v>
      </c>
      <c r="AS65" s="648"/>
    </row>
    <row r="66" spans="1:45" ht="16.899999999999999" customHeight="1">
      <c r="A66" s="644">
        <v>30</v>
      </c>
      <c r="B66" s="645" t="str">
        <f t="shared" ref="B66" ca="1" si="57">INDIRECT("'A-RACHNATMAK'!b"&amp;(ROW(B59)-1)*1.5+11)</f>
        <v>મકરૂબિયા નમ્રતા વશરામભાઇ</v>
      </c>
      <c r="C66" s="187">
        <v>1</v>
      </c>
      <c r="D66" s="188"/>
      <c r="E66" s="189"/>
      <c r="F66" s="189"/>
      <c r="G66" s="189"/>
      <c r="H66" s="189"/>
      <c r="I66" s="189"/>
      <c r="J66" s="189"/>
      <c r="K66" s="190"/>
      <c r="L66" s="191"/>
      <c r="M66" s="192"/>
      <c r="N66" s="192"/>
      <c r="O66" s="192"/>
      <c r="P66" s="192"/>
      <c r="Q66" s="193"/>
      <c r="R66" s="191"/>
      <c r="S66" s="192"/>
      <c r="T66" s="192"/>
      <c r="U66" s="193"/>
      <c r="V66" s="191"/>
      <c r="W66" s="192"/>
      <c r="X66" s="192"/>
      <c r="Y66" s="193"/>
      <c r="Z66" s="191"/>
      <c r="AA66" s="192"/>
      <c r="AB66" s="192"/>
      <c r="AC66" s="192"/>
      <c r="AD66" s="193"/>
      <c r="AE66" s="191"/>
      <c r="AF66" s="192"/>
      <c r="AG66" s="192"/>
      <c r="AH66" s="192"/>
      <c r="AI66" s="193"/>
      <c r="AJ66" s="191"/>
      <c r="AK66" s="192"/>
      <c r="AL66" s="192"/>
      <c r="AM66" s="192"/>
      <c r="AN66" s="193"/>
      <c r="AO66" s="191"/>
      <c r="AP66" s="192"/>
      <c r="AQ66" s="193"/>
      <c r="AR66" s="194">
        <f t="shared" si="1"/>
        <v>0</v>
      </c>
      <c r="AS66" s="647">
        <f t="shared" ref="AS66" si="58">ROUND((AR66+AR67)/2,0)</f>
        <v>0</v>
      </c>
    </row>
    <row r="67" spans="1:45" ht="16.899999999999999" customHeight="1">
      <c r="A67" s="644"/>
      <c r="B67" s="646"/>
      <c r="C67" s="195">
        <v>2</v>
      </c>
      <c r="D67" s="196"/>
      <c r="E67" s="197"/>
      <c r="F67" s="197"/>
      <c r="G67" s="197"/>
      <c r="H67" s="197"/>
      <c r="I67" s="197"/>
      <c r="J67" s="197"/>
      <c r="K67" s="198"/>
      <c r="L67" s="199"/>
      <c r="M67" s="200"/>
      <c r="N67" s="200"/>
      <c r="O67" s="200"/>
      <c r="P67" s="200"/>
      <c r="Q67" s="201"/>
      <c r="R67" s="199"/>
      <c r="S67" s="200"/>
      <c r="T67" s="200"/>
      <c r="U67" s="201"/>
      <c r="V67" s="199"/>
      <c r="W67" s="200"/>
      <c r="X67" s="200"/>
      <c r="Y67" s="201"/>
      <c r="Z67" s="199"/>
      <c r="AA67" s="200"/>
      <c r="AB67" s="200"/>
      <c r="AC67" s="200"/>
      <c r="AD67" s="201"/>
      <c r="AE67" s="199"/>
      <c r="AF67" s="200"/>
      <c r="AG67" s="200"/>
      <c r="AH67" s="200"/>
      <c r="AI67" s="201"/>
      <c r="AJ67" s="199"/>
      <c r="AK67" s="200"/>
      <c r="AL67" s="200"/>
      <c r="AM67" s="200"/>
      <c r="AN67" s="201"/>
      <c r="AO67" s="199"/>
      <c r="AP67" s="200"/>
      <c r="AQ67" s="201"/>
      <c r="AR67" s="202">
        <f t="shared" si="1"/>
        <v>0</v>
      </c>
      <c r="AS67" s="648"/>
    </row>
    <row r="68" spans="1:45" ht="16.899999999999999" customHeight="1">
      <c r="A68" s="644">
        <v>31</v>
      </c>
      <c r="B68" s="645">
        <f t="shared" ref="B68" ca="1" si="59">INDIRECT("'A-RACHNATMAK'!b"&amp;(ROW(B61)-1)*1.5+11)</f>
        <v>0</v>
      </c>
      <c r="C68" s="187">
        <v>1</v>
      </c>
      <c r="D68" s="188"/>
      <c r="E68" s="189"/>
      <c r="F68" s="189"/>
      <c r="G68" s="189"/>
      <c r="H68" s="189"/>
      <c r="I68" s="189"/>
      <c r="J68" s="189"/>
      <c r="K68" s="190"/>
      <c r="L68" s="191"/>
      <c r="M68" s="192"/>
      <c r="N68" s="192"/>
      <c r="O68" s="192"/>
      <c r="P68" s="192"/>
      <c r="Q68" s="193"/>
      <c r="R68" s="191"/>
      <c r="S68" s="192"/>
      <c r="T68" s="192"/>
      <c r="U68" s="193"/>
      <c r="V68" s="191"/>
      <c r="W68" s="192"/>
      <c r="X68" s="192"/>
      <c r="Y68" s="193"/>
      <c r="Z68" s="191"/>
      <c r="AA68" s="192"/>
      <c r="AB68" s="192"/>
      <c r="AC68" s="192"/>
      <c r="AD68" s="193"/>
      <c r="AE68" s="191"/>
      <c r="AF68" s="192"/>
      <c r="AG68" s="192"/>
      <c r="AH68" s="192"/>
      <c r="AI68" s="193"/>
      <c r="AJ68" s="191"/>
      <c r="AK68" s="192"/>
      <c r="AL68" s="192"/>
      <c r="AM68" s="192"/>
      <c r="AN68" s="193"/>
      <c r="AO68" s="191"/>
      <c r="AP68" s="192"/>
      <c r="AQ68" s="193"/>
      <c r="AR68" s="194">
        <f t="shared" si="1"/>
        <v>0</v>
      </c>
      <c r="AS68" s="647">
        <f t="shared" ref="AS68" si="60">ROUND((AR68+AR69)/2,0)</f>
        <v>0</v>
      </c>
    </row>
    <row r="69" spans="1:45" ht="16.899999999999999" customHeight="1">
      <c r="A69" s="644"/>
      <c r="B69" s="646"/>
      <c r="C69" s="195">
        <v>2</v>
      </c>
      <c r="D69" s="196"/>
      <c r="E69" s="197"/>
      <c r="F69" s="197"/>
      <c r="G69" s="197"/>
      <c r="H69" s="197"/>
      <c r="I69" s="197"/>
      <c r="J69" s="197"/>
      <c r="K69" s="198"/>
      <c r="L69" s="199"/>
      <c r="M69" s="200"/>
      <c r="N69" s="200"/>
      <c r="O69" s="200"/>
      <c r="P69" s="200"/>
      <c r="Q69" s="201"/>
      <c r="R69" s="199"/>
      <c r="S69" s="200"/>
      <c r="T69" s="200"/>
      <c r="U69" s="201"/>
      <c r="V69" s="199"/>
      <c r="W69" s="200"/>
      <c r="X69" s="200"/>
      <c r="Y69" s="201"/>
      <c r="Z69" s="199"/>
      <c r="AA69" s="200"/>
      <c r="AB69" s="200"/>
      <c r="AC69" s="200"/>
      <c r="AD69" s="201"/>
      <c r="AE69" s="199"/>
      <c r="AF69" s="200"/>
      <c r="AG69" s="200"/>
      <c r="AH69" s="200"/>
      <c r="AI69" s="201"/>
      <c r="AJ69" s="199"/>
      <c r="AK69" s="200"/>
      <c r="AL69" s="200"/>
      <c r="AM69" s="200"/>
      <c r="AN69" s="201"/>
      <c r="AO69" s="199"/>
      <c r="AP69" s="200"/>
      <c r="AQ69" s="201"/>
      <c r="AR69" s="202">
        <f t="shared" si="1"/>
        <v>0</v>
      </c>
      <c r="AS69" s="648"/>
    </row>
    <row r="70" spans="1:45" ht="16.899999999999999" customHeight="1">
      <c r="A70" s="644">
        <v>32</v>
      </c>
      <c r="B70" s="645">
        <f t="shared" ref="B70" ca="1" si="61">INDIRECT("'A-RACHNATMAK'!b"&amp;(ROW(B63)-1)*1.5+11)</f>
        <v>0</v>
      </c>
      <c r="C70" s="187">
        <v>1</v>
      </c>
      <c r="D70" s="188"/>
      <c r="E70" s="189"/>
      <c r="F70" s="189"/>
      <c r="G70" s="189"/>
      <c r="H70" s="189"/>
      <c r="I70" s="189"/>
      <c r="J70" s="189"/>
      <c r="K70" s="190"/>
      <c r="L70" s="191"/>
      <c r="M70" s="192"/>
      <c r="N70" s="192"/>
      <c r="O70" s="192"/>
      <c r="P70" s="192"/>
      <c r="Q70" s="193"/>
      <c r="R70" s="191"/>
      <c r="S70" s="192"/>
      <c r="T70" s="192"/>
      <c r="U70" s="193"/>
      <c r="V70" s="191"/>
      <c r="W70" s="192"/>
      <c r="X70" s="192"/>
      <c r="Y70" s="193"/>
      <c r="Z70" s="191"/>
      <c r="AA70" s="192"/>
      <c r="AB70" s="192"/>
      <c r="AC70" s="192"/>
      <c r="AD70" s="193"/>
      <c r="AE70" s="191"/>
      <c r="AF70" s="192"/>
      <c r="AG70" s="192"/>
      <c r="AH70" s="192"/>
      <c r="AI70" s="193"/>
      <c r="AJ70" s="191"/>
      <c r="AK70" s="192"/>
      <c r="AL70" s="192"/>
      <c r="AM70" s="192"/>
      <c r="AN70" s="193"/>
      <c r="AO70" s="191"/>
      <c r="AP70" s="192"/>
      <c r="AQ70" s="193"/>
      <c r="AR70" s="194">
        <f t="shared" si="1"/>
        <v>0</v>
      </c>
      <c r="AS70" s="647">
        <f t="shared" ref="AS70" si="62">ROUND((AR70+AR71)/2,0)</f>
        <v>0</v>
      </c>
    </row>
    <row r="71" spans="1:45" ht="16.899999999999999" customHeight="1">
      <c r="A71" s="644"/>
      <c r="B71" s="646"/>
      <c r="C71" s="195">
        <v>2</v>
      </c>
      <c r="D71" s="196"/>
      <c r="E71" s="197"/>
      <c r="F71" s="197"/>
      <c r="G71" s="197"/>
      <c r="H71" s="197"/>
      <c r="I71" s="197"/>
      <c r="J71" s="197"/>
      <c r="K71" s="198"/>
      <c r="L71" s="199"/>
      <c r="M71" s="200"/>
      <c r="N71" s="200"/>
      <c r="O71" s="200"/>
      <c r="P71" s="200"/>
      <c r="Q71" s="201"/>
      <c r="R71" s="199"/>
      <c r="S71" s="200"/>
      <c r="T71" s="200"/>
      <c r="U71" s="201"/>
      <c r="V71" s="199"/>
      <c r="W71" s="200"/>
      <c r="X71" s="200"/>
      <c r="Y71" s="201"/>
      <c r="Z71" s="199"/>
      <c r="AA71" s="200"/>
      <c r="AB71" s="200"/>
      <c r="AC71" s="200"/>
      <c r="AD71" s="201"/>
      <c r="AE71" s="199"/>
      <c r="AF71" s="200"/>
      <c r="AG71" s="200"/>
      <c r="AH71" s="200"/>
      <c r="AI71" s="201"/>
      <c r="AJ71" s="199"/>
      <c r="AK71" s="200"/>
      <c r="AL71" s="200"/>
      <c r="AM71" s="200"/>
      <c r="AN71" s="201"/>
      <c r="AO71" s="199"/>
      <c r="AP71" s="200"/>
      <c r="AQ71" s="201"/>
      <c r="AR71" s="202">
        <f t="shared" si="1"/>
        <v>0</v>
      </c>
      <c r="AS71" s="648"/>
    </row>
    <row r="72" spans="1:45" ht="16.899999999999999" customHeight="1">
      <c r="A72" s="644">
        <v>33</v>
      </c>
      <c r="B72" s="645">
        <f t="shared" ref="B72" ca="1" si="63">INDIRECT("'A-RACHNATMAK'!b"&amp;(ROW(B65)-1)*1.5+11)</f>
        <v>0</v>
      </c>
      <c r="C72" s="187">
        <v>1</v>
      </c>
      <c r="D72" s="188"/>
      <c r="E72" s="189"/>
      <c r="F72" s="189"/>
      <c r="G72" s="189"/>
      <c r="H72" s="189"/>
      <c r="I72" s="189"/>
      <c r="J72" s="189"/>
      <c r="K72" s="190"/>
      <c r="L72" s="191"/>
      <c r="M72" s="192"/>
      <c r="N72" s="192"/>
      <c r="O72" s="192"/>
      <c r="P72" s="192"/>
      <c r="Q72" s="193"/>
      <c r="R72" s="191"/>
      <c r="S72" s="192"/>
      <c r="T72" s="192"/>
      <c r="U72" s="193"/>
      <c r="V72" s="191"/>
      <c r="W72" s="192"/>
      <c r="X72" s="192"/>
      <c r="Y72" s="193"/>
      <c r="Z72" s="191"/>
      <c r="AA72" s="192"/>
      <c r="AB72" s="192"/>
      <c r="AC72" s="192"/>
      <c r="AD72" s="193"/>
      <c r="AE72" s="191"/>
      <c r="AF72" s="192"/>
      <c r="AG72" s="192"/>
      <c r="AH72" s="192"/>
      <c r="AI72" s="193"/>
      <c r="AJ72" s="191"/>
      <c r="AK72" s="192"/>
      <c r="AL72" s="192"/>
      <c r="AM72" s="192"/>
      <c r="AN72" s="193"/>
      <c r="AO72" s="191"/>
      <c r="AP72" s="192"/>
      <c r="AQ72" s="193"/>
      <c r="AR72" s="194">
        <f t="shared" si="1"/>
        <v>0</v>
      </c>
      <c r="AS72" s="647">
        <f t="shared" ref="AS72" si="64">ROUND((AR72+AR73)/2,0)</f>
        <v>0</v>
      </c>
    </row>
    <row r="73" spans="1:45" ht="16.899999999999999" customHeight="1">
      <c r="A73" s="644"/>
      <c r="B73" s="646"/>
      <c r="C73" s="195">
        <v>2</v>
      </c>
      <c r="D73" s="196"/>
      <c r="E73" s="197"/>
      <c r="F73" s="197"/>
      <c r="G73" s="197"/>
      <c r="H73" s="197"/>
      <c r="I73" s="197"/>
      <c r="J73" s="197"/>
      <c r="K73" s="198"/>
      <c r="L73" s="199"/>
      <c r="M73" s="200"/>
      <c r="N73" s="200"/>
      <c r="O73" s="200"/>
      <c r="P73" s="200"/>
      <c r="Q73" s="201"/>
      <c r="R73" s="199"/>
      <c r="S73" s="200"/>
      <c r="T73" s="200"/>
      <c r="U73" s="201"/>
      <c r="V73" s="199"/>
      <c r="W73" s="200"/>
      <c r="X73" s="200"/>
      <c r="Y73" s="201"/>
      <c r="Z73" s="199"/>
      <c r="AA73" s="200"/>
      <c r="AB73" s="200"/>
      <c r="AC73" s="200"/>
      <c r="AD73" s="201"/>
      <c r="AE73" s="199"/>
      <c r="AF73" s="200"/>
      <c r="AG73" s="200"/>
      <c r="AH73" s="200"/>
      <c r="AI73" s="201"/>
      <c r="AJ73" s="199"/>
      <c r="AK73" s="200"/>
      <c r="AL73" s="200"/>
      <c r="AM73" s="200"/>
      <c r="AN73" s="201"/>
      <c r="AO73" s="199"/>
      <c r="AP73" s="200"/>
      <c r="AQ73" s="201"/>
      <c r="AR73" s="202">
        <f t="shared" si="1"/>
        <v>0</v>
      </c>
      <c r="AS73" s="648"/>
    </row>
    <row r="74" spans="1:45" ht="16.899999999999999" customHeight="1">
      <c r="A74" s="644">
        <v>34</v>
      </c>
      <c r="B74" s="645">
        <f t="shared" ref="B74" ca="1" si="65">INDIRECT("'A-RACHNATMAK'!b"&amp;(ROW(B67)-1)*1.5+11)</f>
        <v>0</v>
      </c>
      <c r="C74" s="187">
        <v>1</v>
      </c>
      <c r="D74" s="188"/>
      <c r="E74" s="189"/>
      <c r="F74" s="189"/>
      <c r="G74" s="189"/>
      <c r="H74" s="189"/>
      <c r="I74" s="189"/>
      <c r="J74" s="189"/>
      <c r="K74" s="190"/>
      <c r="L74" s="191"/>
      <c r="M74" s="192"/>
      <c r="N74" s="192"/>
      <c r="O74" s="192"/>
      <c r="P74" s="192"/>
      <c r="Q74" s="193"/>
      <c r="R74" s="191"/>
      <c r="S74" s="192"/>
      <c r="T74" s="192"/>
      <c r="U74" s="193"/>
      <c r="V74" s="191"/>
      <c r="W74" s="192"/>
      <c r="X74" s="192"/>
      <c r="Y74" s="193"/>
      <c r="Z74" s="191"/>
      <c r="AA74" s="192"/>
      <c r="AB74" s="192"/>
      <c r="AC74" s="192"/>
      <c r="AD74" s="193"/>
      <c r="AE74" s="191"/>
      <c r="AF74" s="192"/>
      <c r="AG74" s="192"/>
      <c r="AH74" s="192"/>
      <c r="AI74" s="193"/>
      <c r="AJ74" s="191"/>
      <c r="AK74" s="192"/>
      <c r="AL74" s="192"/>
      <c r="AM74" s="192"/>
      <c r="AN74" s="193"/>
      <c r="AO74" s="191"/>
      <c r="AP74" s="192"/>
      <c r="AQ74" s="193"/>
      <c r="AR74" s="194">
        <f t="shared" ref="AR74:AR77" si="66">SUM(D74:AQ74)</f>
        <v>0</v>
      </c>
      <c r="AS74" s="647">
        <f t="shared" ref="AS74" si="67">ROUND((AR74+AR75)/2,0)</f>
        <v>0</v>
      </c>
    </row>
    <row r="75" spans="1:45" ht="16.899999999999999" customHeight="1">
      <c r="A75" s="644"/>
      <c r="B75" s="646"/>
      <c r="C75" s="195">
        <v>2</v>
      </c>
      <c r="D75" s="196"/>
      <c r="E75" s="197"/>
      <c r="F75" s="197"/>
      <c r="G75" s="197"/>
      <c r="H75" s="197"/>
      <c r="I75" s="197"/>
      <c r="J75" s="197"/>
      <c r="K75" s="198"/>
      <c r="L75" s="199"/>
      <c r="M75" s="200"/>
      <c r="N75" s="200"/>
      <c r="O75" s="200"/>
      <c r="P75" s="200"/>
      <c r="Q75" s="201"/>
      <c r="R75" s="199"/>
      <c r="S75" s="200"/>
      <c r="T75" s="200"/>
      <c r="U75" s="201"/>
      <c r="V75" s="199"/>
      <c r="W75" s="200"/>
      <c r="X75" s="200"/>
      <c r="Y75" s="201"/>
      <c r="Z75" s="199"/>
      <c r="AA75" s="200"/>
      <c r="AB75" s="200"/>
      <c r="AC75" s="200"/>
      <c r="AD75" s="201"/>
      <c r="AE75" s="199"/>
      <c r="AF75" s="200"/>
      <c r="AG75" s="200"/>
      <c r="AH75" s="200"/>
      <c r="AI75" s="201"/>
      <c r="AJ75" s="199"/>
      <c r="AK75" s="200"/>
      <c r="AL75" s="200"/>
      <c r="AM75" s="200"/>
      <c r="AN75" s="201"/>
      <c r="AO75" s="199"/>
      <c r="AP75" s="200"/>
      <c r="AQ75" s="201"/>
      <c r="AR75" s="202">
        <f t="shared" si="66"/>
        <v>0</v>
      </c>
      <c r="AS75" s="648"/>
    </row>
    <row r="76" spans="1:45" ht="16.899999999999999" customHeight="1">
      <c r="A76" s="644">
        <v>35</v>
      </c>
      <c r="B76" s="645">
        <f t="shared" ref="B76" ca="1" si="68">INDIRECT("'A-RACHNATMAK'!b"&amp;(ROW(B69)-1)*1.5+11)</f>
        <v>0</v>
      </c>
      <c r="C76" s="187">
        <v>1</v>
      </c>
      <c r="D76" s="188"/>
      <c r="E76" s="189"/>
      <c r="F76" s="189"/>
      <c r="G76" s="189"/>
      <c r="H76" s="189"/>
      <c r="I76" s="189"/>
      <c r="J76" s="189"/>
      <c r="K76" s="190"/>
      <c r="L76" s="191"/>
      <c r="M76" s="192"/>
      <c r="N76" s="192"/>
      <c r="O76" s="192"/>
      <c r="P76" s="192"/>
      <c r="Q76" s="193"/>
      <c r="R76" s="191"/>
      <c r="S76" s="192"/>
      <c r="T76" s="192"/>
      <c r="U76" s="193"/>
      <c r="V76" s="191"/>
      <c r="W76" s="192"/>
      <c r="X76" s="192"/>
      <c r="Y76" s="193"/>
      <c r="Z76" s="191"/>
      <c r="AA76" s="192"/>
      <c r="AB76" s="192"/>
      <c r="AC76" s="192"/>
      <c r="AD76" s="193"/>
      <c r="AE76" s="191"/>
      <c r="AF76" s="192"/>
      <c r="AG76" s="192"/>
      <c r="AH76" s="192"/>
      <c r="AI76" s="193"/>
      <c r="AJ76" s="191"/>
      <c r="AK76" s="192"/>
      <c r="AL76" s="192"/>
      <c r="AM76" s="192"/>
      <c r="AN76" s="193"/>
      <c r="AO76" s="191"/>
      <c r="AP76" s="192"/>
      <c r="AQ76" s="193"/>
      <c r="AR76" s="194">
        <f t="shared" si="66"/>
        <v>0</v>
      </c>
      <c r="AS76" s="647">
        <f t="shared" ref="AS76" si="69">ROUND((AR76+AR77)/2,0)</f>
        <v>0</v>
      </c>
    </row>
    <row r="77" spans="1:45" ht="16.899999999999999" customHeight="1">
      <c r="A77" s="644"/>
      <c r="B77" s="649"/>
      <c r="C77" s="195">
        <v>2</v>
      </c>
      <c r="D77" s="196"/>
      <c r="E77" s="197"/>
      <c r="F77" s="197"/>
      <c r="G77" s="197"/>
      <c r="H77" s="197"/>
      <c r="I77" s="197"/>
      <c r="J77" s="197"/>
      <c r="K77" s="198"/>
      <c r="L77" s="199"/>
      <c r="M77" s="200"/>
      <c r="N77" s="200"/>
      <c r="O77" s="200"/>
      <c r="P77" s="200"/>
      <c r="Q77" s="201"/>
      <c r="R77" s="199"/>
      <c r="S77" s="200"/>
      <c r="T77" s="200"/>
      <c r="U77" s="201"/>
      <c r="V77" s="199"/>
      <c r="W77" s="200"/>
      <c r="X77" s="200"/>
      <c r="Y77" s="201"/>
      <c r="Z77" s="199"/>
      <c r="AA77" s="200"/>
      <c r="AB77" s="200"/>
      <c r="AC77" s="200"/>
      <c r="AD77" s="201"/>
      <c r="AE77" s="199"/>
      <c r="AF77" s="200"/>
      <c r="AG77" s="200"/>
      <c r="AH77" s="200"/>
      <c r="AI77" s="201"/>
      <c r="AJ77" s="199"/>
      <c r="AK77" s="200"/>
      <c r="AL77" s="200"/>
      <c r="AM77" s="200"/>
      <c r="AN77" s="201"/>
      <c r="AO77" s="199"/>
      <c r="AP77" s="200"/>
      <c r="AQ77" s="201"/>
      <c r="AR77" s="202">
        <f t="shared" si="66"/>
        <v>0</v>
      </c>
      <c r="AS77" s="648"/>
    </row>
    <row r="78" spans="1:45" ht="19.5" customHeight="1"/>
    <row r="79" spans="1:45" ht="21.75" customHeight="1"/>
    <row r="80" spans="1:45" ht="21.75" customHeight="1"/>
    <row r="81" spans="2:43" ht="15" customHeight="1">
      <c r="B81" s="228" t="s">
        <v>263</v>
      </c>
      <c r="AJ81" s="650" t="s">
        <v>264</v>
      </c>
      <c r="AK81" s="650"/>
      <c r="AL81" s="650"/>
      <c r="AM81" s="650"/>
      <c r="AN81" s="650"/>
      <c r="AO81" s="650"/>
      <c r="AP81" s="650"/>
      <c r="AQ81" s="650"/>
    </row>
  </sheetData>
  <sheetProtection password="DC6E" sheet="1" objects="1" scenarios="1"/>
  <mergeCells count="133">
    <mergeCell ref="A76:A77"/>
    <mergeCell ref="B76:B77"/>
    <mergeCell ref="AS76:AS77"/>
    <mergeCell ref="AJ81:AQ81"/>
    <mergeCell ref="A72:A73"/>
    <mergeCell ref="B72:B73"/>
    <mergeCell ref="AS72:AS73"/>
    <mergeCell ref="A74:A75"/>
    <mergeCell ref="B74:B75"/>
    <mergeCell ref="AS74:AS75"/>
    <mergeCell ref="A68:A69"/>
    <mergeCell ref="B68:B69"/>
    <mergeCell ref="AS68:AS69"/>
    <mergeCell ref="A70:A71"/>
    <mergeCell ref="B70:B71"/>
    <mergeCell ref="AS70:AS71"/>
    <mergeCell ref="A64:A65"/>
    <mergeCell ref="B64:B65"/>
    <mergeCell ref="AS64:AS65"/>
    <mergeCell ref="A66:A67"/>
    <mergeCell ref="B66:B67"/>
    <mergeCell ref="AS66:AS67"/>
    <mergeCell ref="A60:A61"/>
    <mergeCell ref="B60:B61"/>
    <mergeCell ref="AS60:AS61"/>
    <mergeCell ref="A62:A63"/>
    <mergeCell ref="B62:B63"/>
    <mergeCell ref="AS62:AS63"/>
    <mergeCell ref="A56:A57"/>
    <mergeCell ref="B56:B57"/>
    <mergeCell ref="AS56:AS57"/>
    <mergeCell ref="A58:A59"/>
    <mergeCell ref="B58:B59"/>
    <mergeCell ref="AS58:AS59"/>
    <mergeCell ref="A52:A53"/>
    <mergeCell ref="B52:B53"/>
    <mergeCell ref="AS52:AS53"/>
    <mergeCell ref="A54:A55"/>
    <mergeCell ref="B54:B55"/>
    <mergeCell ref="AS54:AS55"/>
    <mergeCell ref="A48:A49"/>
    <mergeCell ref="B48:B49"/>
    <mergeCell ref="AS48:AS49"/>
    <mergeCell ref="A50:A51"/>
    <mergeCell ref="B50:B51"/>
    <mergeCell ref="AS50:AS51"/>
    <mergeCell ref="A44:A45"/>
    <mergeCell ref="B44:B45"/>
    <mergeCell ref="AS44:AS45"/>
    <mergeCell ref="A46:A47"/>
    <mergeCell ref="B46:B47"/>
    <mergeCell ref="AS46:AS47"/>
    <mergeCell ref="A40:A41"/>
    <mergeCell ref="B40:B41"/>
    <mergeCell ref="AS40:AS41"/>
    <mergeCell ref="A42:A43"/>
    <mergeCell ref="B42:B43"/>
    <mergeCell ref="AS42:AS43"/>
    <mergeCell ref="A36:A37"/>
    <mergeCell ref="B36:B37"/>
    <mergeCell ref="AS36:AS37"/>
    <mergeCell ref="A38:A39"/>
    <mergeCell ref="B38:B39"/>
    <mergeCell ref="AS38:AS39"/>
    <mergeCell ref="A32:A33"/>
    <mergeCell ref="B32:B33"/>
    <mergeCell ref="AS32:AS33"/>
    <mergeCell ref="A34:A35"/>
    <mergeCell ref="B34:B35"/>
    <mergeCell ref="AS34:AS35"/>
    <mergeCell ref="A28:A29"/>
    <mergeCell ref="B28:B29"/>
    <mergeCell ref="AS28:AS29"/>
    <mergeCell ref="A30:A31"/>
    <mergeCell ref="B30:B31"/>
    <mergeCell ref="AS30:AS31"/>
    <mergeCell ref="A24:A25"/>
    <mergeCell ref="B24:B25"/>
    <mergeCell ref="AS24:AS25"/>
    <mergeCell ref="A26:A27"/>
    <mergeCell ref="B26:B27"/>
    <mergeCell ref="AS26:AS27"/>
    <mergeCell ref="A20:A21"/>
    <mergeCell ref="B20:B21"/>
    <mergeCell ref="AS20:AS21"/>
    <mergeCell ref="A22:A23"/>
    <mergeCell ref="B22:B23"/>
    <mergeCell ref="AS22:AS23"/>
    <mergeCell ref="A16:A17"/>
    <mergeCell ref="B16:B17"/>
    <mergeCell ref="AS16:AS17"/>
    <mergeCell ref="A18:A19"/>
    <mergeCell ref="B18:B19"/>
    <mergeCell ref="AS18:AS19"/>
    <mergeCell ref="AE6:AI6"/>
    <mergeCell ref="AJ6:AN6"/>
    <mergeCell ref="AO6:AQ6"/>
    <mergeCell ref="A12:A13"/>
    <mergeCell ref="B12:B13"/>
    <mergeCell ref="AS12:AS13"/>
    <mergeCell ref="A14:A15"/>
    <mergeCell ref="B14:B15"/>
    <mergeCell ref="AS14:AS15"/>
    <mergeCell ref="A8:A9"/>
    <mergeCell ref="B8:B9"/>
    <mergeCell ref="AS8:AS9"/>
    <mergeCell ref="A10:A11"/>
    <mergeCell ref="B10:B11"/>
    <mergeCell ref="AS10:AS11"/>
    <mergeCell ref="AJ3:AK3"/>
    <mergeCell ref="AL3:AO3"/>
    <mergeCell ref="B5:B7"/>
    <mergeCell ref="C5:C7"/>
    <mergeCell ref="D5:K5"/>
    <mergeCell ref="L5:Q5"/>
    <mergeCell ref="R5:AI5"/>
    <mergeCell ref="AJ5:AQ5"/>
    <mergeCell ref="B1:AS1"/>
    <mergeCell ref="B2:AS2"/>
    <mergeCell ref="F3:G3"/>
    <mergeCell ref="H3:I3"/>
    <mergeCell ref="N3:O3"/>
    <mergeCell ref="P3:S3"/>
    <mergeCell ref="V3:Y3"/>
    <mergeCell ref="Z3:AA3"/>
    <mergeCell ref="AD3:AE3"/>
    <mergeCell ref="AF3:AG3"/>
    <mergeCell ref="AR5:AS6"/>
    <mergeCell ref="D6:K6"/>
    <mergeCell ref="L6:Q6"/>
    <mergeCell ref="R6:U6"/>
    <mergeCell ref="V6:Y6"/>
    <mergeCell ref="Z6:AD6"/>
  </mergeCells>
  <conditionalFormatting sqref="B8:B77">
    <cfRule type="cellIs" dxfId="10" priority="1" operator="equal">
      <formula>0</formula>
    </cfRule>
  </conditionalFormatting>
  <dataValidations count="1">
    <dataValidation type="whole" allowBlank="1" showInputMessage="1" showErrorMessage="1" errorTitle="સૂચના" error="આ ખાનામાં 0 થી 5 સુધીની સંખ્યા ઉમેરો..." sqref="D8:AQ77">
      <formula1>0</formula1>
      <formula2>5</formula2>
    </dataValidation>
  </dataValidations>
  <hyperlinks>
    <hyperlink ref="A1" location="INDEX!A1" display="IN"/>
  </hyperlinks>
  <pageMargins left="0.2" right="0.2" top="0.25" bottom="0.2" header="0" footer="0"/>
  <pageSetup paperSize="5" scale="97" pageOrder="overThenDown" orientation="landscape" horizontalDpi="4294967292" verticalDpi="300" r:id="rId1"/>
  <rowBreaks count="3" manualBreakCount="3">
    <brk id="23" max="16383" man="1"/>
    <brk id="43" max="16383" man="1"/>
    <brk id="63"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0000"/>
  </sheetPr>
  <dimension ref="A1:AS81"/>
  <sheetViews>
    <sheetView showGridLines="0" showZeros="0" view="pageBreakPreview" zoomScaleSheetLayoutView="100" workbookViewId="0">
      <pane ySplit="1" topLeftCell="A5" activePane="bottomLeft" state="frozen"/>
      <selection pane="bottomLeft"/>
    </sheetView>
  </sheetViews>
  <sheetFormatPr defaultColWidth="0" defaultRowHeight="12.75" zeroHeight="1"/>
  <cols>
    <col min="1" max="1" width="3.7109375" style="171" customWidth="1"/>
    <col min="2" max="2" width="25.42578125" style="171" customWidth="1"/>
    <col min="3" max="3" width="4" style="171" customWidth="1"/>
    <col min="4" max="43" width="3.140625" style="171" customWidth="1"/>
    <col min="44" max="44" width="5.5703125" style="171" customWidth="1"/>
    <col min="45" max="45" width="7" style="171" customWidth="1"/>
    <col min="46" max="16384" width="9.140625" style="171" hidden="1"/>
  </cols>
  <sheetData>
    <row r="1" spans="1:45" ht="25.5" customHeight="1">
      <c r="A1" s="172" t="s">
        <v>497</v>
      </c>
      <c r="B1" s="636" t="s">
        <v>105</v>
      </c>
      <c r="C1" s="636"/>
      <c r="D1" s="636"/>
      <c r="E1" s="636"/>
      <c r="F1" s="636"/>
      <c r="G1" s="636"/>
      <c r="H1" s="636"/>
      <c r="I1" s="636"/>
      <c r="J1" s="636"/>
      <c r="K1" s="636"/>
      <c r="L1" s="636"/>
      <c r="M1" s="636"/>
      <c r="N1" s="636"/>
      <c r="O1" s="636"/>
      <c r="P1" s="636"/>
      <c r="Q1" s="636"/>
      <c r="R1" s="636"/>
      <c r="S1" s="636"/>
      <c r="T1" s="636"/>
      <c r="U1" s="636"/>
      <c r="V1" s="636"/>
      <c r="W1" s="636"/>
      <c r="X1" s="636"/>
      <c r="Y1" s="636"/>
      <c r="Z1" s="636"/>
      <c r="AA1" s="636"/>
      <c r="AB1" s="636"/>
      <c r="AC1" s="636"/>
      <c r="AD1" s="636"/>
      <c r="AE1" s="636"/>
      <c r="AF1" s="636"/>
      <c r="AG1" s="636"/>
      <c r="AH1" s="636"/>
      <c r="AI1" s="636"/>
      <c r="AJ1" s="636"/>
      <c r="AK1" s="636"/>
      <c r="AL1" s="636"/>
      <c r="AM1" s="636"/>
      <c r="AN1" s="636"/>
      <c r="AO1" s="636"/>
      <c r="AP1" s="636"/>
      <c r="AQ1" s="636"/>
      <c r="AR1" s="636"/>
      <c r="AS1" s="636"/>
    </row>
    <row r="2" spans="1:45" ht="26.25" customHeight="1">
      <c r="A2" s="172"/>
      <c r="B2" s="637" t="s">
        <v>160</v>
      </c>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row>
    <row r="3" spans="1:45" ht="14.25" customHeight="1">
      <c r="B3" s="173" t="s">
        <v>156</v>
      </c>
      <c r="C3" s="174">
        <f>SCHOOL!D3</f>
        <v>1</v>
      </c>
      <c r="D3" s="175"/>
      <c r="E3" s="175"/>
      <c r="F3" s="625" t="s">
        <v>157</v>
      </c>
      <c r="G3" s="625"/>
      <c r="H3" s="626" t="str">
        <f>SCHOOL!D4</f>
        <v xml:space="preserve"> ---</v>
      </c>
      <c r="I3" s="626"/>
      <c r="J3" s="175"/>
      <c r="K3" s="175"/>
      <c r="L3" s="175"/>
      <c r="M3" s="226"/>
      <c r="N3" s="625"/>
      <c r="O3" s="625"/>
      <c r="P3" s="625"/>
      <c r="Q3" s="625"/>
      <c r="R3" s="625"/>
      <c r="S3" s="625"/>
      <c r="T3" s="226"/>
      <c r="U3" s="226"/>
      <c r="V3" s="638"/>
      <c r="W3" s="638"/>
      <c r="X3" s="638"/>
      <c r="Y3" s="638"/>
      <c r="Z3" s="625"/>
      <c r="AA3" s="625"/>
      <c r="AB3" s="227"/>
      <c r="AC3" s="227"/>
      <c r="AD3" s="625"/>
      <c r="AE3" s="625"/>
      <c r="AF3" s="625"/>
      <c r="AG3" s="625"/>
      <c r="AJ3" s="625" t="s">
        <v>158</v>
      </c>
      <c r="AK3" s="625"/>
      <c r="AL3" s="626" t="str">
        <f>SCHOOL!D6</f>
        <v>2012-13</v>
      </c>
      <c r="AM3" s="626"/>
      <c r="AN3" s="626"/>
      <c r="AO3" s="626"/>
      <c r="AP3" s="176"/>
      <c r="AQ3" s="176"/>
      <c r="AR3" s="176"/>
      <c r="AS3" s="176"/>
    </row>
    <row r="4" spans="1:45" ht="2.25" customHeight="1">
      <c r="B4" s="173"/>
      <c r="C4" s="175"/>
      <c r="D4" s="175"/>
      <c r="E4" s="175"/>
      <c r="F4" s="177"/>
      <c r="G4" s="177"/>
      <c r="H4" s="177"/>
      <c r="I4" s="177"/>
      <c r="J4" s="175"/>
      <c r="K4" s="175"/>
      <c r="L4" s="175"/>
      <c r="M4" s="175"/>
      <c r="N4" s="177"/>
      <c r="O4" s="177"/>
      <c r="P4" s="177"/>
      <c r="Q4" s="177"/>
      <c r="R4" s="177"/>
      <c r="S4" s="177"/>
      <c r="T4" s="175"/>
      <c r="U4" s="175"/>
      <c r="V4" s="178"/>
      <c r="W4" s="178"/>
      <c r="X4" s="178"/>
      <c r="Y4" s="178"/>
      <c r="Z4" s="177"/>
      <c r="AA4" s="177"/>
      <c r="AD4" s="177"/>
      <c r="AE4" s="177"/>
      <c r="AF4" s="177"/>
      <c r="AG4" s="177"/>
      <c r="AJ4" s="177"/>
      <c r="AK4" s="177"/>
      <c r="AL4" s="177"/>
      <c r="AM4" s="177"/>
      <c r="AN4" s="177"/>
      <c r="AO4" s="177"/>
      <c r="AP4" s="176"/>
      <c r="AQ4" s="176"/>
      <c r="AR4" s="176"/>
      <c r="AS4" s="176"/>
    </row>
    <row r="5" spans="1:45" ht="16.5" customHeight="1">
      <c r="B5" s="627" t="s">
        <v>82</v>
      </c>
      <c r="C5" s="630" t="s">
        <v>92</v>
      </c>
      <c r="D5" s="633" t="s">
        <v>93</v>
      </c>
      <c r="E5" s="634"/>
      <c r="F5" s="634"/>
      <c r="G5" s="634"/>
      <c r="H5" s="634"/>
      <c r="I5" s="634"/>
      <c r="J5" s="634"/>
      <c r="K5" s="635"/>
      <c r="L5" s="633" t="s">
        <v>95</v>
      </c>
      <c r="M5" s="634"/>
      <c r="N5" s="634"/>
      <c r="O5" s="634"/>
      <c r="P5" s="634"/>
      <c r="Q5" s="635"/>
      <c r="R5" s="633" t="s">
        <v>101</v>
      </c>
      <c r="S5" s="634"/>
      <c r="T5" s="634"/>
      <c r="U5" s="634"/>
      <c r="V5" s="634"/>
      <c r="W5" s="634"/>
      <c r="X5" s="634"/>
      <c r="Y5" s="634"/>
      <c r="Z5" s="634"/>
      <c r="AA5" s="634"/>
      <c r="AB5" s="634"/>
      <c r="AC5" s="634"/>
      <c r="AD5" s="634"/>
      <c r="AE5" s="634"/>
      <c r="AF5" s="634"/>
      <c r="AG5" s="634"/>
      <c r="AH5" s="634"/>
      <c r="AI5" s="635"/>
      <c r="AJ5" s="633" t="s">
        <v>103</v>
      </c>
      <c r="AK5" s="634"/>
      <c r="AL5" s="634"/>
      <c r="AM5" s="634"/>
      <c r="AN5" s="634"/>
      <c r="AO5" s="634"/>
      <c r="AP5" s="634"/>
      <c r="AQ5" s="635"/>
      <c r="AR5" s="633" t="s">
        <v>104</v>
      </c>
      <c r="AS5" s="635"/>
    </row>
    <row r="6" spans="1:45" ht="25.5" customHeight="1">
      <c r="B6" s="628"/>
      <c r="C6" s="631"/>
      <c r="D6" s="641" t="s">
        <v>94</v>
      </c>
      <c r="E6" s="642"/>
      <c r="F6" s="642"/>
      <c r="G6" s="642"/>
      <c r="H6" s="642"/>
      <c r="I6" s="642"/>
      <c r="J6" s="642"/>
      <c r="K6" s="643"/>
      <c r="L6" s="641" t="s">
        <v>96</v>
      </c>
      <c r="M6" s="642"/>
      <c r="N6" s="642"/>
      <c r="O6" s="642"/>
      <c r="P6" s="642"/>
      <c r="Q6" s="643"/>
      <c r="R6" s="641" t="s">
        <v>97</v>
      </c>
      <c r="S6" s="642"/>
      <c r="T6" s="642"/>
      <c r="U6" s="643"/>
      <c r="V6" s="641" t="s">
        <v>98</v>
      </c>
      <c r="W6" s="642"/>
      <c r="X6" s="642"/>
      <c r="Y6" s="643"/>
      <c r="Z6" s="641" t="s">
        <v>99</v>
      </c>
      <c r="AA6" s="642"/>
      <c r="AB6" s="642"/>
      <c r="AC6" s="642"/>
      <c r="AD6" s="643"/>
      <c r="AE6" s="641" t="s">
        <v>100</v>
      </c>
      <c r="AF6" s="642"/>
      <c r="AG6" s="642"/>
      <c r="AH6" s="642"/>
      <c r="AI6" s="643"/>
      <c r="AJ6" s="641" t="s">
        <v>102</v>
      </c>
      <c r="AK6" s="642"/>
      <c r="AL6" s="642"/>
      <c r="AM6" s="642"/>
      <c r="AN6" s="643"/>
      <c r="AO6" s="641" t="s">
        <v>61</v>
      </c>
      <c r="AP6" s="642"/>
      <c r="AQ6" s="643"/>
      <c r="AR6" s="639"/>
      <c r="AS6" s="640"/>
    </row>
    <row r="7" spans="1:45" ht="179.25" customHeight="1">
      <c r="B7" s="629"/>
      <c r="C7" s="632"/>
      <c r="D7" s="179" t="s">
        <v>106</v>
      </c>
      <c r="E7" s="180" t="s">
        <v>107</v>
      </c>
      <c r="F7" s="181" t="s">
        <v>108</v>
      </c>
      <c r="G7" s="181" t="s">
        <v>109</v>
      </c>
      <c r="H7" s="181" t="s">
        <v>110</v>
      </c>
      <c r="I7" s="181" t="s">
        <v>111</v>
      </c>
      <c r="J7" s="180" t="s">
        <v>112</v>
      </c>
      <c r="K7" s="182" t="s">
        <v>113</v>
      </c>
      <c r="L7" s="179" t="s">
        <v>114</v>
      </c>
      <c r="M7" s="181" t="s">
        <v>115</v>
      </c>
      <c r="N7" s="181" t="s">
        <v>116</v>
      </c>
      <c r="O7" s="181" t="s">
        <v>117</v>
      </c>
      <c r="P7" s="180" t="s">
        <v>118</v>
      </c>
      <c r="Q7" s="183" t="s">
        <v>119</v>
      </c>
      <c r="R7" s="179" t="s">
        <v>120</v>
      </c>
      <c r="S7" s="181" t="s">
        <v>121</v>
      </c>
      <c r="T7" s="181" t="s">
        <v>122</v>
      </c>
      <c r="U7" s="182" t="s">
        <v>123</v>
      </c>
      <c r="V7" s="179" t="s">
        <v>124</v>
      </c>
      <c r="W7" s="181" t="s">
        <v>125</v>
      </c>
      <c r="X7" s="181" t="s">
        <v>126</v>
      </c>
      <c r="Y7" s="182" t="s">
        <v>127</v>
      </c>
      <c r="Z7" s="179" t="s">
        <v>128</v>
      </c>
      <c r="AA7" s="181" t="s">
        <v>129</v>
      </c>
      <c r="AB7" s="181" t="s">
        <v>130</v>
      </c>
      <c r="AC7" s="184" t="s">
        <v>131</v>
      </c>
      <c r="AD7" s="183" t="s">
        <v>132</v>
      </c>
      <c r="AE7" s="179" t="s">
        <v>133</v>
      </c>
      <c r="AF7" s="181" t="s">
        <v>134</v>
      </c>
      <c r="AG7" s="181" t="s">
        <v>135</v>
      </c>
      <c r="AH7" s="184" t="s">
        <v>136</v>
      </c>
      <c r="AI7" s="182" t="s">
        <v>137</v>
      </c>
      <c r="AJ7" s="179" t="s">
        <v>142</v>
      </c>
      <c r="AK7" s="181" t="s">
        <v>138</v>
      </c>
      <c r="AL7" s="181" t="s">
        <v>139</v>
      </c>
      <c r="AM7" s="181" t="s">
        <v>140</v>
      </c>
      <c r="AN7" s="182" t="s">
        <v>141</v>
      </c>
      <c r="AO7" s="179" t="s">
        <v>143</v>
      </c>
      <c r="AP7" s="181" t="s">
        <v>144</v>
      </c>
      <c r="AQ7" s="183" t="s">
        <v>145</v>
      </c>
      <c r="AR7" s="185" t="s">
        <v>147</v>
      </c>
      <c r="AS7" s="186" t="s">
        <v>146</v>
      </c>
    </row>
    <row r="8" spans="1:45" ht="16.899999999999999" customHeight="1">
      <c r="A8" s="644">
        <v>1</v>
      </c>
      <c r="B8" s="645" t="str">
        <f ca="1">INDIRECT("'A-RACHNATMAK'!b"&amp;(ROW(B1)-1)*1.5+11)</f>
        <v>ગોહેલ રાજેશભાઇ ચીથરભાઇ</v>
      </c>
      <c r="C8" s="187">
        <v>1</v>
      </c>
      <c r="D8" s="188"/>
      <c r="E8" s="189">
        <v>5</v>
      </c>
      <c r="F8" s="189">
        <v>6</v>
      </c>
      <c r="G8" s="189"/>
      <c r="H8" s="189"/>
      <c r="I8" s="189"/>
      <c r="J8" s="189"/>
      <c r="K8" s="190"/>
      <c r="L8" s="191"/>
      <c r="M8" s="192"/>
      <c r="N8" s="192"/>
      <c r="O8" s="192"/>
      <c r="P8" s="192"/>
      <c r="Q8" s="193"/>
      <c r="R8" s="191"/>
      <c r="S8" s="192"/>
      <c r="T8" s="192"/>
      <c r="U8" s="193"/>
      <c r="V8" s="191"/>
      <c r="W8" s="192"/>
      <c r="X8" s="192"/>
      <c r="Y8" s="193"/>
      <c r="Z8" s="191"/>
      <c r="AA8" s="192"/>
      <c r="AB8" s="192"/>
      <c r="AC8" s="192"/>
      <c r="AD8" s="193"/>
      <c r="AE8" s="191"/>
      <c r="AF8" s="192"/>
      <c r="AG8" s="192"/>
      <c r="AH8" s="192">
        <v>5</v>
      </c>
      <c r="AI8" s="193"/>
      <c r="AJ8" s="191"/>
      <c r="AK8" s="192"/>
      <c r="AL8" s="192"/>
      <c r="AM8" s="192"/>
      <c r="AN8" s="193"/>
      <c r="AO8" s="191"/>
      <c r="AP8" s="192"/>
      <c r="AQ8" s="193"/>
      <c r="AR8" s="194">
        <f>SUM(D8:AQ8)</f>
        <v>16</v>
      </c>
      <c r="AS8" s="647">
        <f>ROUND((AR8+AR9)/2,0)</f>
        <v>8</v>
      </c>
    </row>
    <row r="9" spans="1:45" ht="16.899999999999999" customHeight="1">
      <c r="A9" s="644"/>
      <c r="B9" s="646"/>
      <c r="C9" s="195">
        <v>2</v>
      </c>
      <c r="D9" s="196"/>
      <c r="E9" s="197"/>
      <c r="F9" s="197"/>
      <c r="G9" s="197"/>
      <c r="H9" s="197"/>
      <c r="I9" s="197"/>
      <c r="J9" s="197"/>
      <c r="K9" s="198"/>
      <c r="L9" s="199"/>
      <c r="M9" s="200"/>
      <c r="N9" s="200"/>
      <c r="O9" s="200"/>
      <c r="P9" s="200"/>
      <c r="Q9" s="201"/>
      <c r="R9" s="199"/>
      <c r="S9" s="200"/>
      <c r="T9" s="200"/>
      <c r="U9" s="201"/>
      <c r="V9" s="199"/>
      <c r="W9" s="200"/>
      <c r="X9" s="200"/>
      <c r="Y9" s="201"/>
      <c r="Z9" s="199"/>
      <c r="AA9" s="200"/>
      <c r="AB9" s="200"/>
      <c r="AC9" s="200"/>
      <c r="AD9" s="201"/>
      <c r="AE9" s="199"/>
      <c r="AF9" s="200"/>
      <c r="AG9" s="200"/>
      <c r="AH9" s="200"/>
      <c r="AI9" s="201"/>
      <c r="AJ9" s="199"/>
      <c r="AK9" s="200"/>
      <c r="AL9" s="200"/>
      <c r="AM9" s="200"/>
      <c r="AN9" s="201"/>
      <c r="AO9" s="199"/>
      <c r="AP9" s="200"/>
      <c r="AQ9" s="201"/>
      <c r="AR9" s="202">
        <f>SUM(D9:AQ9)</f>
        <v>0</v>
      </c>
      <c r="AS9" s="648"/>
    </row>
    <row r="10" spans="1:45" ht="16.899999999999999" customHeight="1">
      <c r="A10" s="644">
        <v>2</v>
      </c>
      <c r="B10" s="645" t="str">
        <f t="shared" ref="B10" ca="1" si="0">INDIRECT("'A-RACHNATMAK'!b"&amp;(ROW(B3)-1)*1.5+11)</f>
        <v>ખિમસુરીયા સાહિલકુમાર અરજણભાઇ</v>
      </c>
      <c r="C10" s="187">
        <v>1</v>
      </c>
      <c r="D10" s="188"/>
      <c r="E10" s="189"/>
      <c r="F10" s="189"/>
      <c r="G10" s="189"/>
      <c r="H10" s="189"/>
      <c r="I10" s="189"/>
      <c r="J10" s="189"/>
      <c r="K10" s="190"/>
      <c r="L10" s="191"/>
      <c r="M10" s="192"/>
      <c r="N10" s="192"/>
      <c r="O10" s="192"/>
      <c r="P10" s="192"/>
      <c r="Q10" s="193"/>
      <c r="R10" s="191"/>
      <c r="S10" s="192"/>
      <c r="T10" s="192"/>
      <c r="U10" s="193"/>
      <c r="V10" s="191"/>
      <c r="W10" s="192"/>
      <c r="X10" s="192"/>
      <c r="Y10" s="193"/>
      <c r="Z10" s="191"/>
      <c r="AA10" s="192"/>
      <c r="AB10" s="192"/>
      <c r="AC10" s="192"/>
      <c r="AD10" s="193"/>
      <c r="AE10" s="191"/>
      <c r="AF10" s="192"/>
      <c r="AG10" s="192"/>
      <c r="AH10" s="192"/>
      <c r="AI10" s="193"/>
      <c r="AJ10" s="191"/>
      <c r="AK10" s="192"/>
      <c r="AL10" s="192"/>
      <c r="AM10" s="192"/>
      <c r="AN10" s="193"/>
      <c r="AO10" s="191"/>
      <c r="AP10" s="192"/>
      <c r="AQ10" s="193"/>
      <c r="AR10" s="194">
        <f t="shared" ref="AR10:AR73" si="1">SUM(D10:AQ10)</f>
        <v>0</v>
      </c>
      <c r="AS10" s="647">
        <f t="shared" ref="AS10" si="2">ROUND((AR10+AR11)/2,0)</f>
        <v>16</v>
      </c>
    </row>
    <row r="11" spans="1:45" ht="16.899999999999999" customHeight="1">
      <c r="A11" s="644"/>
      <c r="B11" s="646"/>
      <c r="C11" s="195">
        <v>2</v>
      </c>
      <c r="D11" s="196"/>
      <c r="E11" s="197">
        <v>4</v>
      </c>
      <c r="F11" s="197">
        <v>6</v>
      </c>
      <c r="G11" s="197">
        <v>2</v>
      </c>
      <c r="H11" s="197"/>
      <c r="I11" s="197"/>
      <c r="J11" s="197"/>
      <c r="K11" s="198">
        <v>2</v>
      </c>
      <c r="L11" s="199"/>
      <c r="M11" s="200">
        <v>7</v>
      </c>
      <c r="N11" s="200">
        <v>10</v>
      </c>
      <c r="O11" s="200"/>
      <c r="P11" s="200"/>
      <c r="Q11" s="201"/>
      <c r="R11" s="199"/>
      <c r="S11" s="200"/>
      <c r="T11" s="200"/>
      <c r="U11" s="201"/>
      <c r="V11" s="199"/>
      <c r="W11" s="200"/>
      <c r="X11" s="200"/>
      <c r="Y11" s="201"/>
      <c r="Z11" s="199"/>
      <c r="AA11" s="200"/>
      <c r="AB11" s="200"/>
      <c r="AC11" s="200"/>
      <c r="AD11" s="201"/>
      <c r="AE11" s="199"/>
      <c r="AF11" s="200"/>
      <c r="AG11" s="200"/>
      <c r="AH11" s="200"/>
      <c r="AI11" s="201"/>
      <c r="AJ11" s="199"/>
      <c r="AK11" s="200"/>
      <c r="AL11" s="200"/>
      <c r="AM11" s="200"/>
      <c r="AN11" s="201"/>
      <c r="AO11" s="199"/>
      <c r="AP11" s="200"/>
      <c r="AQ11" s="201"/>
      <c r="AR11" s="202">
        <f t="shared" si="1"/>
        <v>31</v>
      </c>
      <c r="AS11" s="648"/>
    </row>
    <row r="12" spans="1:45" ht="16.899999999999999" customHeight="1">
      <c r="A12" s="644">
        <v>3</v>
      </c>
      <c r="B12" s="645" t="str">
        <f t="shared" ref="B12" ca="1" si="3">INDIRECT("'A-RACHNATMAK'!b"&amp;(ROW(B5)-1)*1.5+11)</f>
        <v>ગરણિયા મયુરકુમાર અશોકભાઇ</v>
      </c>
      <c r="C12" s="187">
        <v>1</v>
      </c>
      <c r="D12" s="188"/>
      <c r="E12" s="189"/>
      <c r="F12" s="189"/>
      <c r="G12" s="189"/>
      <c r="H12" s="189"/>
      <c r="I12" s="189"/>
      <c r="J12" s="189"/>
      <c r="K12" s="190"/>
      <c r="L12" s="191"/>
      <c r="M12" s="192"/>
      <c r="N12" s="192"/>
      <c r="O12" s="192"/>
      <c r="P12" s="192"/>
      <c r="Q12" s="193"/>
      <c r="R12" s="191"/>
      <c r="S12" s="192"/>
      <c r="T12" s="192"/>
      <c r="U12" s="193"/>
      <c r="V12" s="191"/>
      <c r="W12" s="192"/>
      <c r="X12" s="192"/>
      <c r="Y12" s="193"/>
      <c r="Z12" s="191"/>
      <c r="AA12" s="192"/>
      <c r="AB12" s="192"/>
      <c r="AC12" s="192"/>
      <c r="AD12" s="193"/>
      <c r="AE12" s="191"/>
      <c r="AF12" s="192"/>
      <c r="AG12" s="192"/>
      <c r="AH12" s="192"/>
      <c r="AI12" s="193"/>
      <c r="AJ12" s="191"/>
      <c r="AK12" s="192"/>
      <c r="AL12" s="192"/>
      <c r="AM12" s="192"/>
      <c r="AN12" s="193"/>
      <c r="AO12" s="191"/>
      <c r="AP12" s="192"/>
      <c r="AQ12" s="193"/>
      <c r="AR12" s="194">
        <f t="shared" si="1"/>
        <v>0</v>
      </c>
      <c r="AS12" s="647">
        <f t="shared" ref="AS12" si="4">ROUND((AR12+AR13)/2,0)</f>
        <v>0</v>
      </c>
    </row>
    <row r="13" spans="1:45" ht="16.899999999999999" customHeight="1">
      <c r="A13" s="644"/>
      <c r="B13" s="646"/>
      <c r="C13" s="195">
        <v>2</v>
      </c>
      <c r="D13" s="196"/>
      <c r="E13" s="197"/>
      <c r="F13" s="197"/>
      <c r="G13" s="197"/>
      <c r="H13" s="197"/>
      <c r="I13" s="197"/>
      <c r="J13" s="197"/>
      <c r="K13" s="198"/>
      <c r="L13" s="199"/>
      <c r="M13" s="200"/>
      <c r="N13" s="200"/>
      <c r="O13" s="200"/>
      <c r="P13" s="200"/>
      <c r="Q13" s="201"/>
      <c r="R13" s="199"/>
      <c r="S13" s="200"/>
      <c r="T13" s="200"/>
      <c r="U13" s="201"/>
      <c r="V13" s="199"/>
      <c r="W13" s="200"/>
      <c r="X13" s="200"/>
      <c r="Y13" s="201"/>
      <c r="Z13" s="199"/>
      <c r="AA13" s="200"/>
      <c r="AB13" s="200"/>
      <c r="AC13" s="200"/>
      <c r="AD13" s="201"/>
      <c r="AE13" s="199"/>
      <c r="AF13" s="200"/>
      <c r="AG13" s="200"/>
      <c r="AH13" s="200"/>
      <c r="AI13" s="201"/>
      <c r="AJ13" s="199"/>
      <c r="AK13" s="200"/>
      <c r="AL13" s="200"/>
      <c r="AM13" s="200"/>
      <c r="AN13" s="201"/>
      <c r="AO13" s="199"/>
      <c r="AP13" s="200"/>
      <c r="AQ13" s="201"/>
      <c r="AR13" s="202">
        <f t="shared" si="1"/>
        <v>0</v>
      </c>
      <c r="AS13" s="648"/>
    </row>
    <row r="14" spans="1:45" ht="16.899999999999999" customHeight="1">
      <c r="A14" s="644">
        <v>4</v>
      </c>
      <c r="B14" s="645" t="str">
        <f t="shared" ref="B14" ca="1" si="5">INDIRECT("'A-RACHNATMAK'!b"&amp;(ROW(B7)-1)*1.5+11)</f>
        <v>ગરણિયા અલ્પેશકુમાર મેરામભાઇ</v>
      </c>
      <c r="C14" s="187">
        <v>1</v>
      </c>
      <c r="D14" s="188"/>
      <c r="E14" s="189"/>
      <c r="F14" s="189"/>
      <c r="G14" s="189"/>
      <c r="H14" s="189"/>
      <c r="I14" s="189"/>
      <c r="J14" s="189"/>
      <c r="K14" s="190"/>
      <c r="L14" s="191"/>
      <c r="M14" s="192"/>
      <c r="N14" s="192"/>
      <c r="O14" s="192"/>
      <c r="P14" s="192"/>
      <c r="Q14" s="193"/>
      <c r="R14" s="191"/>
      <c r="S14" s="192"/>
      <c r="T14" s="192"/>
      <c r="U14" s="193"/>
      <c r="V14" s="191"/>
      <c r="W14" s="192"/>
      <c r="X14" s="192"/>
      <c r="Y14" s="193"/>
      <c r="Z14" s="191"/>
      <c r="AA14" s="192"/>
      <c r="AB14" s="192"/>
      <c r="AC14" s="192"/>
      <c r="AD14" s="193"/>
      <c r="AE14" s="191"/>
      <c r="AF14" s="192"/>
      <c r="AG14" s="192"/>
      <c r="AH14" s="192"/>
      <c r="AI14" s="193"/>
      <c r="AJ14" s="191"/>
      <c r="AK14" s="192"/>
      <c r="AL14" s="192"/>
      <c r="AM14" s="192"/>
      <c r="AN14" s="193"/>
      <c r="AO14" s="191"/>
      <c r="AP14" s="192"/>
      <c r="AQ14" s="193"/>
      <c r="AR14" s="194">
        <f t="shared" si="1"/>
        <v>0</v>
      </c>
      <c r="AS14" s="647">
        <f t="shared" ref="AS14" si="6">ROUND((AR14+AR15)/2,0)</f>
        <v>0</v>
      </c>
    </row>
    <row r="15" spans="1:45" ht="16.899999999999999" customHeight="1">
      <c r="A15" s="644"/>
      <c r="B15" s="646"/>
      <c r="C15" s="195">
        <v>2</v>
      </c>
      <c r="D15" s="196"/>
      <c r="E15" s="197"/>
      <c r="F15" s="197"/>
      <c r="G15" s="197"/>
      <c r="H15" s="197"/>
      <c r="I15" s="197"/>
      <c r="J15" s="197"/>
      <c r="K15" s="198"/>
      <c r="L15" s="199"/>
      <c r="M15" s="200"/>
      <c r="N15" s="200"/>
      <c r="O15" s="200"/>
      <c r="P15" s="200"/>
      <c r="Q15" s="201"/>
      <c r="R15" s="199"/>
      <c r="S15" s="200"/>
      <c r="T15" s="200"/>
      <c r="U15" s="201"/>
      <c r="V15" s="199"/>
      <c r="W15" s="200"/>
      <c r="X15" s="200"/>
      <c r="Y15" s="201"/>
      <c r="Z15" s="199"/>
      <c r="AA15" s="200"/>
      <c r="AB15" s="200"/>
      <c r="AC15" s="200"/>
      <c r="AD15" s="201"/>
      <c r="AE15" s="199"/>
      <c r="AF15" s="200"/>
      <c r="AG15" s="200"/>
      <c r="AH15" s="200"/>
      <c r="AI15" s="201"/>
      <c r="AJ15" s="199"/>
      <c r="AK15" s="200"/>
      <c r="AL15" s="200"/>
      <c r="AM15" s="200"/>
      <c r="AN15" s="201"/>
      <c r="AO15" s="199"/>
      <c r="AP15" s="200"/>
      <c r="AQ15" s="201"/>
      <c r="AR15" s="202">
        <f t="shared" si="1"/>
        <v>0</v>
      </c>
      <c r="AS15" s="648"/>
    </row>
    <row r="16" spans="1:45" ht="16.899999999999999" customHeight="1">
      <c r="A16" s="644">
        <v>5</v>
      </c>
      <c r="B16" s="645" t="str">
        <f t="shared" ref="B16" ca="1" si="7">INDIRECT("'A-RACHNATMAK'!b"&amp;(ROW(B9)-1)*1.5+11)</f>
        <v>ગરણિયા મિલન પોપટભાઇ</v>
      </c>
      <c r="C16" s="187">
        <v>1</v>
      </c>
      <c r="D16" s="188"/>
      <c r="E16" s="189"/>
      <c r="F16" s="189"/>
      <c r="G16" s="189"/>
      <c r="H16" s="189"/>
      <c r="I16" s="189"/>
      <c r="J16" s="189"/>
      <c r="K16" s="190"/>
      <c r="L16" s="191"/>
      <c r="M16" s="192"/>
      <c r="N16" s="192"/>
      <c r="O16" s="192"/>
      <c r="P16" s="192"/>
      <c r="Q16" s="193"/>
      <c r="R16" s="191"/>
      <c r="S16" s="192"/>
      <c r="T16" s="192"/>
      <c r="U16" s="193"/>
      <c r="V16" s="191"/>
      <c r="W16" s="192"/>
      <c r="X16" s="192"/>
      <c r="Y16" s="193"/>
      <c r="Z16" s="191"/>
      <c r="AA16" s="192"/>
      <c r="AB16" s="192"/>
      <c r="AC16" s="192"/>
      <c r="AD16" s="193"/>
      <c r="AE16" s="191"/>
      <c r="AF16" s="192"/>
      <c r="AG16" s="192"/>
      <c r="AH16" s="192"/>
      <c r="AI16" s="193"/>
      <c r="AJ16" s="191"/>
      <c r="AK16" s="192"/>
      <c r="AL16" s="192"/>
      <c r="AM16" s="192"/>
      <c r="AN16" s="193"/>
      <c r="AO16" s="191"/>
      <c r="AP16" s="192"/>
      <c r="AQ16" s="193"/>
      <c r="AR16" s="194">
        <f t="shared" si="1"/>
        <v>0</v>
      </c>
      <c r="AS16" s="647">
        <f t="shared" ref="AS16" si="8">ROUND((AR16+AR17)/2,0)</f>
        <v>0</v>
      </c>
    </row>
    <row r="17" spans="1:45" ht="16.899999999999999" customHeight="1">
      <c r="A17" s="644"/>
      <c r="B17" s="646"/>
      <c r="C17" s="195">
        <v>2</v>
      </c>
      <c r="D17" s="196"/>
      <c r="E17" s="197"/>
      <c r="F17" s="197"/>
      <c r="G17" s="197"/>
      <c r="H17" s="197"/>
      <c r="I17" s="197"/>
      <c r="J17" s="197"/>
      <c r="K17" s="198"/>
      <c r="L17" s="199"/>
      <c r="M17" s="200"/>
      <c r="N17" s="200"/>
      <c r="O17" s="200"/>
      <c r="P17" s="200"/>
      <c r="Q17" s="201"/>
      <c r="R17" s="199"/>
      <c r="S17" s="200"/>
      <c r="T17" s="200"/>
      <c r="U17" s="201"/>
      <c r="V17" s="199"/>
      <c r="W17" s="200"/>
      <c r="X17" s="200"/>
      <c r="Y17" s="201"/>
      <c r="Z17" s="199"/>
      <c r="AA17" s="200"/>
      <c r="AB17" s="200"/>
      <c r="AC17" s="200"/>
      <c r="AD17" s="201"/>
      <c r="AE17" s="199"/>
      <c r="AF17" s="200"/>
      <c r="AG17" s="200"/>
      <c r="AH17" s="200"/>
      <c r="AI17" s="201"/>
      <c r="AJ17" s="199"/>
      <c r="AK17" s="200"/>
      <c r="AL17" s="200"/>
      <c r="AM17" s="200"/>
      <c r="AN17" s="201"/>
      <c r="AO17" s="199"/>
      <c r="AP17" s="200"/>
      <c r="AQ17" s="201"/>
      <c r="AR17" s="202">
        <f t="shared" si="1"/>
        <v>0</v>
      </c>
      <c r="AS17" s="648"/>
    </row>
    <row r="18" spans="1:45" ht="16.899999999999999" customHeight="1">
      <c r="A18" s="644">
        <v>6</v>
      </c>
      <c r="B18" s="645" t="str">
        <f t="shared" ref="B18" ca="1" si="9">INDIRECT("'A-RACHNATMAK'!b"&amp;(ROW(B11)-1)*1.5+11)</f>
        <v>ગરણિયા મોહિત રાવતભાઇ</v>
      </c>
      <c r="C18" s="187">
        <v>1</v>
      </c>
      <c r="D18" s="188"/>
      <c r="E18" s="189"/>
      <c r="F18" s="189"/>
      <c r="G18" s="189"/>
      <c r="H18" s="189"/>
      <c r="I18" s="189"/>
      <c r="J18" s="189"/>
      <c r="K18" s="190"/>
      <c r="L18" s="191"/>
      <c r="M18" s="192"/>
      <c r="N18" s="192"/>
      <c r="O18" s="192"/>
      <c r="P18" s="192"/>
      <c r="Q18" s="193"/>
      <c r="R18" s="191"/>
      <c r="S18" s="192"/>
      <c r="T18" s="192"/>
      <c r="U18" s="193"/>
      <c r="V18" s="191"/>
      <c r="W18" s="192"/>
      <c r="X18" s="192"/>
      <c r="Y18" s="193"/>
      <c r="Z18" s="191"/>
      <c r="AA18" s="192"/>
      <c r="AB18" s="192"/>
      <c r="AC18" s="192"/>
      <c r="AD18" s="193"/>
      <c r="AE18" s="191"/>
      <c r="AF18" s="192"/>
      <c r="AG18" s="192"/>
      <c r="AH18" s="192"/>
      <c r="AI18" s="193"/>
      <c r="AJ18" s="191"/>
      <c r="AK18" s="192"/>
      <c r="AL18" s="192"/>
      <c r="AM18" s="192"/>
      <c r="AN18" s="193"/>
      <c r="AO18" s="191"/>
      <c r="AP18" s="192"/>
      <c r="AQ18" s="193"/>
      <c r="AR18" s="194">
        <f t="shared" si="1"/>
        <v>0</v>
      </c>
      <c r="AS18" s="647">
        <f t="shared" ref="AS18" si="10">ROUND((AR18+AR19)/2,0)</f>
        <v>0</v>
      </c>
    </row>
    <row r="19" spans="1:45" ht="16.899999999999999" customHeight="1">
      <c r="A19" s="644"/>
      <c r="B19" s="646"/>
      <c r="C19" s="195">
        <v>2</v>
      </c>
      <c r="D19" s="196"/>
      <c r="E19" s="197"/>
      <c r="F19" s="197"/>
      <c r="G19" s="197"/>
      <c r="H19" s="197"/>
      <c r="I19" s="197"/>
      <c r="J19" s="197"/>
      <c r="K19" s="198"/>
      <c r="L19" s="199"/>
      <c r="M19" s="200"/>
      <c r="N19" s="200"/>
      <c r="O19" s="200"/>
      <c r="P19" s="200"/>
      <c r="Q19" s="201"/>
      <c r="R19" s="199"/>
      <c r="S19" s="200"/>
      <c r="T19" s="200"/>
      <c r="U19" s="201"/>
      <c r="V19" s="199"/>
      <c r="W19" s="200"/>
      <c r="X19" s="200"/>
      <c r="Y19" s="201"/>
      <c r="Z19" s="199"/>
      <c r="AA19" s="200"/>
      <c r="AB19" s="200"/>
      <c r="AC19" s="200"/>
      <c r="AD19" s="201"/>
      <c r="AE19" s="199"/>
      <c r="AF19" s="200"/>
      <c r="AG19" s="200"/>
      <c r="AH19" s="200"/>
      <c r="AI19" s="201"/>
      <c r="AJ19" s="199"/>
      <c r="AK19" s="200"/>
      <c r="AL19" s="200"/>
      <c r="AM19" s="200"/>
      <c r="AN19" s="201"/>
      <c r="AO19" s="199"/>
      <c r="AP19" s="200"/>
      <c r="AQ19" s="201"/>
      <c r="AR19" s="202">
        <f t="shared" si="1"/>
        <v>0</v>
      </c>
      <c r="AS19" s="648"/>
    </row>
    <row r="20" spans="1:45" ht="16.899999999999999" customHeight="1">
      <c r="A20" s="644">
        <v>7</v>
      </c>
      <c r="B20" s="645" t="str">
        <f t="shared" ref="B20" ca="1" si="11">INDIRECT("'A-RACHNATMAK'!b"&amp;(ROW(B13)-1)*1.5+11)</f>
        <v>ગરણિયા સુમિત પોપટભાઇ</v>
      </c>
      <c r="C20" s="187">
        <v>1</v>
      </c>
      <c r="D20" s="188"/>
      <c r="E20" s="189"/>
      <c r="F20" s="189"/>
      <c r="G20" s="189"/>
      <c r="H20" s="189"/>
      <c r="I20" s="189"/>
      <c r="J20" s="189"/>
      <c r="K20" s="190"/>
      <c r="L20" s="191"/>
      <c r="M20" s="192"/>
      <c r="N20" s="192"/>
      <c r="O20" s="192"/>
      <c r="P20" s="192"/>
      <c r="Q20" s="193"/>
      <c r="R20" s="191"/>
      <c r="S20" s="192"/>
      <c r="T20" s="192"/>
      <c r="U20" s="193"/>
      <c r="V20" s="191"/>
      <c r="W20" s="192"/>
      <c r="X20" s="192"/>
      <c r="Y20" s="193"/>
      <c r="Z20" s="191"/>
      <c r="AA20" s="192"/>
      <c r="AB20" s="192"/>
      <c r="AC20" s="192"/>
      <c r="AD20" s="193"/>
      <c r="AE20" s="191"/>
      <c r="AF20" s="192"/>
      <c r="AG20" s="192"/>
      <c r="AH20" s="192"/>
      <c r="AI20" s="193"/>
      <c r="AJ20" s="191"/>
      <c r="AK20" s="192"/>
      <c r="AL20" s="192"/>
      <c r="AM20" s="192"/>
      <c r="AN20" s="193"/>
      <c r="AO20" s="191"/>
      <c r="AP20" s="192"/>
      <c r="AQ20" s="193"/>
      <c r="AR20" s="194">
        <f t="shared" si="1"/>
        <v>0</v>
      </c>
      <c r="AS20" s="647">
        <f t="shared" ref="AS20" si="12">ROUND((AR20+AR21)/2,0)</f>
        <v>0</v>
      </c>
    </row>
    <row r="21" spans="1:45" ht="16.899999999999999" customHeight="1">
      <c r="A21" s="644"/>
      <c r="B21" s="646"/>
      <c r="C21" s="195">
        <v>2</v>
      </c>
      <c r="D21" s="196"/>
      <c r="E21" s="197"/>
      <c r="F21" s="197"/>
      <c r="G21" s="197"/>
      <c r="H21" s="197"/>
      <c r="I21" s="197"/>
      <c r="J21" s="197"/>
      <c r="K21" s="198"/>
      <c r="L21" s="199"/>
      <c r="M21" s="200"/>
      <c r="N21" s="200"/>
      <c r="O21" s="200"/>
      <c r="P21" s="200"/>
      <c r="Q21" s="201"/>
      <c r="R21" s="199"/>
      <c r="S21" s="200"/>
      <c r="T21" s="200"/>
      <c r="U21" s="201"/>
      <c r="V21" s="199"/>
      <c r="W21" s="200"/>
      <c r="X21" s="200"/>
      <c r="Y21" s="201"/>
      <c r="Z21" s="199"/>
      <c r="AA21" s="200"/>
      <c r="AB21" s="200"/>
      <c r="AC21" s="200"/>
      <c r="AD21" s="201"/>
      <c r="AE21" s="199"/>
      <c r="AF21" s="200"/>
      <c r="AG21" s="200"/>
      <c r="AH21" s="200"/>
      <c r="AI21" s="201"/>
      <c r="AJ21" s="199"/>
      <c r="AK21" s="200"/>
      <c r="AL21" s="200"/>
      <c r="AM21" s="200"/>
      <c r="AN21" s="201"/>
      <c r="AO21" s="199"/>
      <c r="AP21" s="200"/>
      <c r="AQ21" s="201"/>
      <c r="AR21" s="202">
        <f t="shared" si="1"/>
        <v>0</v>
      </c>
      <c r="AS21" s="648"/>
    </row>
    <row r="22" spans="1:45" ht="16.899999999999999" customHeight="1">
      <c r="A22" s="644">
        <v>8</v>
      </c>
      <c r="B22" s="645" t="str">
        <f t="shared" ref="B22" ca="1" si="13">INDIRECT("'A-RACHNATMAK'!b"&amp;(ROW(B15)-1)*1.5+11)</f>
        <v>ગરણિયા રામકુભાઇ સાર્દૂળભાઇ</v>
      </c>
      <c r="C22" s="187">
        <v>1</v>
      </c>
      <c r="D22" s="188"/>
      <c r="E22" s="189"/>
      <c r="F22" s="189"/>
      <c r="G22" s="189"/>
      <c r="H22" s="189"/>
      <c r="I22" s="189"/>
      <c r="J22" s="189"/>
      <c r="K22" s="190"/>
      <c r="L22" s="191"/>
      <c r="M22" s="192"/>
      <c r="N22" s="192"/>
      <c r="O22" s="192"/>
      <c r="P22" s="192"/>
      <c r="Q22" s="193"/>
      <c r="R22" s="191"/>
      <c r="S22" s="192"/>
      <c r="T22" s="192"/>
      <c r="U22" s="193"/>
      <c r="V22" s="191"/>
      <c r="W22" s="192"/>
      <c r="X22" s="192"/>
      <c r="Y22" s="193"/>
      <c r="Z22" s="191"/>
      <c r="AA22" s="192"/>
      <c r="AB22" s="192"/>
      <c r="AC22" s="192"/>
      <c r="AD22" s="193"/>
      <c r="AE22" s="191"/>
      <c r="AF22" s="192"/>
      <c r="AG22" s="192"/>
      <c r="AH22" s="192"/>
      <c r="AI22" s="193"/>
      <c r="AJ22" s="191"/>
      <c r="AK22" s="192"/>
      <c r="AL22" s="192"/>
      <c r="AM22" s="192"/>
      <c r="AN22" s="193"/>
      <c r="AO22" s="191"/>
      <c r="AP22" s="192"/>
      <c r="AQ22" s="193"/>
      <c r="AR22" s="194">
        <f t="shared" si="1"/>
        <v>0</v>
      </c>
      <c r="AS22" s="647">
        <f t="shared" ref="AS22" si="14">ROUND((AR22+AR23)/2,0)</f>
        <v>0</v>
      </c>
    </row>
    <row r="23" spans="1:45" ht="16.899999999999999" customHeight="1">
      <c r="A23" s="644"/>
      <c r="B23" s="646"/>
      <c r="C23" s="195">
        <v>2</v>
      </c>
      <c r="D23" s="196"/>
      <c r="E23" s="197"/>
      <c r="F23" s="197"/>
      <c r="G23" s="197"/>
      <c r="H23" s="197"/>
      <c r="I23" s="197"/>
      <c r="J23" s="197"/>
      <c r="K23" s="198"/>
      <c r="L23" s="199"/>
      <c r="M23" s="200"/>
      <c r="N23" s="200"/>
      <c r="O23" s="200"/>
      <c r="P23" s="200"/>
      <c r="Q23" s="201"/>
      <c r="R23" s="199"/>
      <c r="S23" s="200"/>
      <c r="T23" s="200"/>
      <c r="U23" s="201"/>
      <c r="V23" s="199"/>
      <c r="W23" s="200"/>
      <c r="X23" s="200"/>
      <c r="Y23" s="201"/>
      <c r="Z23" s="199"/>
      <c r="AA23" s="200"/>
      <c r="AB23" s="200"/>
      <c r="AC23" s="200"/>
      <c r="AD23" s="201"/>
      <c r="AE23" s="199"/>
      <c r="AF23" s="200"/>
      <c r="AG23" s="200"/>
      <c r="AH23" s="200"/>
      <c r="AI23" s="201"/>
      <c r="AJ23" s="199"/>
      <c r="AK23" s="200"/>
      <c r="AL23" s="200"/>
      <c r="AM23" s="200"/>
      <c r="AN23" s="201"/>
      <c r="AO23" s="199"/>
      <c r="AP23" s="200"/>
      <c r="AQ23" s="201"/>
      <c r="AR23" s="202">
        <f t="shared" si="1"/>
        <v>0</v>
      </c>
      <c r="AS23" s="648"/>
    </row>
    <row r="24" spans="1:45" ht="16.899999999999999" customHeight="1">
      <c r="A24" s="644">
        <v>9</v>
      </c>
      <c r="B24" s="645" t="str">
        <f t="shared" ref="B24" ca="1" si="15">INDIRECT("'A-RACHNATMAK'!b"&amp;(ROW(B17)-1)*1.5+11)</f>
        <v>ડેર હિતેષકુમાર પ્રતાપભાઇ</v>
      </c>
      <c r="C24" s="187">
        <v>1</v>
      </c>
      <c r="D24" s="188"/>
      <c r="E24" s="189"/>
      <c r="F24" s="189"/>
      <c r="G24" s="189"/>
      <c r="H24" s="189"/>
      <c r="I24" s="189"/>
      <c r="J24" s="189"/>
      <c r="K24" s="190"/>
      <c r="L24" s="191"/>
      <c r="M24" s="192"/>
      <c r="N24" s="192"/>
      <c r="O24" s="192"/>
      <c r="P24" s="192"/>
      <c r="Q24" s="193"/>
      <c r="R24" s="191"/>
      <c r="S24" s="192"/>
      <c r="T24" s="192"/>
      <c r="U24" s="193"/>
      <c r="V24" s="191"/>
      <c r="W24" s="192"/>
      <c r="X24" s="192"/>
      <c r="Y24" s="193"/>
      <c r="Z24" s="191"/>
      <c r="AA24" s="192"/>
      <c r="AB24" s="192"/>
      <c r="AC24" s="192"/>
      <c r="AD24" s="193"/>
      <c r="AE24" s="191"/>
      <c r="AF24" s="192"/>
      <c r="AG24" s="192"/>
      <c r="AH24" s="192"/>
      <c r="AI24" s="193"/>
      <c r="AJ24" s="191"/>
      <c r="AK24" s="192"/>
      <c r="AL24" s="192"/>
      <c r="AM24" s="192"/>
      <c r="AN24" s="193"/>
      <c r="AO24" s="191"/>
      <c r="AP24" s="192"/>
      <c r="AQ24" s="193"/>
      <c r="AR24" s="194">
        <f t="shared" si="1"/>
        <v>0</v>
      </c>
      <c r="AS24" s="647">
        <f t="shared" ref="AS24" si="16">ROUND((AR24+AR25)/2,0)</f>
        <v>0</v>
      </c>
    </row>
    <row r="25" spans="1:45" ht="16.899999999999999" customHeight="1">
      <c r="A25" s="644"/>
      <c r="B25" s="646"/>
      <c r="C25" s="195">
        <v>2</v>
      </c>
      <c r="D25" s="196"/>
      <c r="E25" s="197"/>
      <c r="F25" s="197"/>
      <c r="G25" s="197"/>
      <c r="H25" s="197"/>
      <c r="I25" s="197"/>
      <c r="J25" s="197"/>
      <c r="K25" s="198"/>
      <c r="L25" s="199"/>
      <c r="M25" s="200"/>
      <c r="N25" s="200"/>
      <c r="O25" s="200"/>
      <c r="P25" s="200"/>
      <c r="Q25" s="201"/>
      <c r="R25" s="199"/>
      <c r="S25" s="200"/>
      <c r="T25" s="200"/>
      <c r="U25" s="201"/>
      <c r="V25" s="199"/>
      <c r="W25" s="200"/>
      <c r="X25" s="200"/>
      <c r="Y25" s="201"/>
      <c r="Z25" s="199"/>
      <c r="AA25" s="200"/>
      <c r="AB25" s="200"/>
      <c r="AC25" s="200"/>
      <c r="AD25" s="201"/>
      <c r="AE25" s="199"/>
      <c r="AF25" s="200"/>
      <c r="AG25" s="200"/>
      <c r="AH25" s="200"/>
      <c r="AI25" s="201"/>
      <c r="AJ25" s="199"/>
      <c r="AK25" s="200"/>
      <c r="AL25" s="200"/>
      <c r="AM25" s="200"/>
      <c r="AN25" s="201"/>
      <c r="AO25" s="199"/>
      <c r="AP25" s="200"/>
      <c r="AQ25" s="201"/>
      <c r="AR25" s="202">
        <f t="shared" si="1"/>
        <v>0</v>
      </c>
      <c r="AS25" s="648"/>
    </row>
    <row r="26" spans="1:45" ht="16.899999999999999" customHeight="1">
      <c r="A26" s="644">
        <v>10</v>
      </c>
      <c r="B26" s="645" t="str">
        <f t="shared" ref="B26" ca="1" si="17">INDIRECT("'A-RACHNATMAK'!b"&amp;(ROW(B19)-1)*1.5+11)</f>
        <v>વેકરીયા વિશાલકુમાર દિપકભાઇ</v>
      </c>
      <c r="C26" s="187">
        <v>1</v>
      </c>
      <c r="D26" s="188"/>
      <c r="E26" s="189"/>
      <c r="F26" s="189"/>
      <c r="G26" s="189"/>
      <c r="H26" s="189"/>
      <c r="I26" s="189"/>
      <c r="J26" s="189"/>
      <c r="K26" s="190"/>
      <c r="L26" s="191"/>
      <c r="M26" s="192"/>
      <c r="N26" s="192"/>
      <c r="O26" s="192"/>
      <c r="P26" s="192"/>
      <c r="Q26" s="193"/>
      <c r="R26" s="191"/>
      <c r="S26" s="192"/>
      <c r="T26" s="192"/>
      <c r="U26" s="193"/>
      <c r="V26" s="191"/>
      <c r="W26" s="192"/>
      <c r="X26" s="192"/>
      <c r="Y26" s="193"/>
      <c r="Z26" s="191"/>
      <c r="AA26" s="192"/>
      <c r="AB26" s="192"/>
      <c r="AC26" s="192"/>
      <c r="AD26" s="193"/>
      <c r="AE26" s="191"/>
      <c r="AF26" s="192"/>
      <c r="AG26" s="192"/>
      <c r="AH26" s="192"/>
      <c r="AI26" s="193"/>
      <c r="AJ26" s="191"/>
      <c r="AK26" s="192"/>
      <c r="AL26" s="192"/>
      <c r="AM26" s="192"/>
      <c r="AN26" s="193"/>
      <c r="AO26" s="191"/>
      <c r="AP26" s="192"/>
      <c r="AQ26" s="193"/>
      <c r="AR26" s="194">
        <f t="shared" si="1"/>
        <v>0</v>
      </c>
      <c r="AS26" s="647">
        <f t="shared" ref="AS26" si="18">ROUND((AR26+AR27)/2,0)</f>
        <v>0</v>
      </c>
    </row>
    <row r="27" spans="1:45" ht="16.899999999999999" customHeight="1">
      <c r="A27" s="644"/>
      <c r="B27" s="646"/>
      <c r="C27" s="195">
        <v>2</v>
      </c>
      <c r="D27" s="196"/>
      <c r="E27" s="197"/>
      <c r="F27" s="197"/>
      <c r="G27" s="197"/>
      <c r="H27" s="197"/>
      <c r="I27" s="197"/>
      <c r="J27" s="197"/>
      <c r="K27" s="198"/>
      <c r="L27" s="199"/>
      <c r="M27" s="200"/>
      <c r="N27" s="200"/>
      <c r="O27" s="200"/>
      <c r="P27" s="200"/>
      <c r="Q27" s="201"/>
      <c r="R27" s="199"/>
      <c r="S27" s="200"/>
      <c r="T27" s="200"/>
      <c r="U27" s="201"/>
      <c r="V27" s="199"/>
      <c r="W27" s="200"/>
      <c r="X27" s="200"/>
      <c r="Y27" s="201"/>
      <c r="Z27" s="199"/>
      <c r="AA27" s="200"/>
      <c r="AB27" s="200"/>
      <c r="AC27" s="200"/>
      <c r="AD27" s="201"/>
      <c r="AE27" s="199"/>
      <c r="AF27" s="200"/>
      <c r="AG27" s="200"/>
      <c r="AH27" s="200"/>
      <c r="AI27" s="201"/>
      <c r="AJ27" s="199"/>
      <c r="AK27" s="200"/>
      <c r="AL27" s="200"/>
      <c r="AM27" s="200"/>
      <c r="AN27" s="201"/>
      <c r="AO27" s="199"/>
      <c r="AP27" s="200"/>
      <c r="AQ27" s="201"/>
      <c r="AR27" s="202">
        <f t="shared" si="1"/>
        <v>0</v>
      </c>
      <c r="AS27" s="648"/>
    </row>
    <row r="28" spans="1:45" ht="16.899999999999999" customHeight="1">
      <c r="A28" s="644">
        <v>11</v>
      </c>
      <c r="B28" s="645" t="str">
        <f t="shared" ref="B28" ca="1" si="19">INDIRECT("'A-RACHNATMAK'!b"&amp;(ROW(B21)-1)*1.5+11)</f>
        <v>માણસુરીયા મહેન્દ્રભાઇ ભૂપતભાઇ</v>
      </c>
      <c r="C28" s="187">
        <v>1</v>
      </c>
      <c r="D28" s="188"/>
      <c r="E28" s="189"/>
      <c r="F28" s="189"/>
      <c r="G28" s="189"/>
      <c r="H28" s="189"/>
      <c r="I28" s="189"/>
      <c r="J28" s="189"/>
      <c r="K28" s="190"/>
      <c r="L28" s="191"/>
      <c r="M28" s="192"/>
      <c r="N28" s="192"/>
      <c r="O28" s="192"/>
      <c r="P28" s="192"/>
      <c r="Q28" s="193"/>
      <c r="R28" s="191"/>
      <c r="S28" s="192"/>
      <c r="T28" s="192"/>
      <c r="U28" s="193"/>
      <c r="V28" s="191"/>
      <c r="W28" s="192"/>
      <c r="X28" s="192"/>
      <c r="Y28" s="193"/>
      <c r="Z28" s="191"/>
      <c r="AA28" s="192"/>
      <c r="AB28" s="192"/>
      <c r="AC28" s="192"/>
      <c r="AD28" s="193"/>
      <c r="AE28" s="191"/>
      <c r="AF28" s="192"/>
      <c r="AG28" s="192"/>
      <c r="AH28" s="192"/>
      <c r="AI28" s="193"/>
      <c r="AJ28" s="191"/>
      <c r="AK28" s="192"/>
      <c r="AL28" s="192"/>
      <c r="AM28" s="192"/>
      <c r="AN28" s="193"/>
      <c r="AO28" s="191"/>
      <c r="AP28" s="192"/>
      <c r="AQ28" s="193"/>
      <c r="AR28" s="194">
        <f t="shared" si="1"/>
        <v>0</v>
      </c>
      <c r="AS28" s="647">
        <f t="shared" ref="AS28" si="20">ROUND((AR28+AR29)/2,0)</f>
        <v>0</v>
      </c>
    </row>
    <row r="29" spans="1:45" ht="16.899999999999999" customHeight="1">
      <c r="A29" s="644"/>
      <c r="B29" s="646"/>
      <c r="C29" s="195">
        <v>2</v>
      </c>
      <c r="D29" s="196"/>
      <c r="E29" s="197"/>
      <c r="F29" s="197"/>
      <c r="G29" s="197"/>
      <c r="H29" s="197"/>
      <c r="I29" s="197"/>
      <c r="J29" s="197"/>
      <c r="K29" s="198"/>
      <c r="L29" s="199"/>
      <c r="M29" s="200"/>
      <c r="N29" s="200"/>
      <c r="O29" s="200"/>
      <c r="P29" s="200"/>
      <c r="Q29" s="201"/>
      <c r="R29" s="199"/>
      <c r="S29" s="200"/>
      <c r="T29" s="200"/>
      <c r="U29" s="201"/>
      <c r="V29" s="199"/>
      <c r="W29" s="200"/>
      <c r="X29" s="200"/>
      <c r="Y29" s="201"/>
      <c r="Z29" s="199"/>
      <c r="AA29" s="200"/>
      <c r="AB29" s="200"/>
      <c r="AC29" s="200"/>
      <c r="AD29" s="201"/>
      <c r="AE29" s="199"/>
      <c r="AF29" s="200"/>
      <c r="AG29" s="200"/>
      <c r="AH29" s="200"/>
      <c r="AI29" s="201"/>
      <c r="AJ29" s="199"/>
      <c r="AK29" s="200"/>
      <c r="AL29" s="200"/>
      <c r="AM29" s="200"/>
      <c r="AN29" s="201"/>
      <c r="AO29" s="199"/>
      <c r="AP29" s="200"/>
      <c r="AQ29" s="201"/>
      <c r="AR29" s="202">
        <f t="shared" si="1"/>
        <v>0</v>
      </c>
      <c r="AS29" s="648"/>
    </row>
    <row r="30" spans="1:45" ht="16.899999999999999" customHeight="1">
      <c r="A30" s="644">
        <v>12</v>
      </c>
      <c r="B30" s="645" t="str">
        <f t="shared" ref="B30" ca="1" si="21">INDIRECT("'A-RACHNATMAK'!b"&amp;(ROW(B23)-1)*1.5+11)</f>
        <v>પરમાર અજયકુમાર રમેશભાઇ</v>
      </c>
      <c r="C30" s="187">
        <v>1</v>
      </c>
      <c r="D30" s="188"/>
      <c r="E30" s="189"/>
      <c r="F30" s="189"/>
      <c r="G30" s="189"/>
      <c r="H30" s="189"/>
      <c r="I30" s="189"/>
      <c r="J30" s="189"/>
      <c r="K30" s="190"/>
      <c r="L30" s="191"/>
      <c r="M30" s="192"/>
      <c r="N30" s="192"/>
      <c r="O30" s="192"/>
      <c r="P30" s="192"/>
      <c r="Q30" s="193"/>
      <c r="R30" s="191"/>
      <c r="S30" s="192"/>
      <c r="T30" s="192"/>
      <c r="U30" s="193"/>
      <c r="V30" s="191"/>
      <c r="W30" s="192"/>
      <c r="X30" s="192"/>
      <c r="Y30" s="193"/>
      <c r="Z30" s="191"/>
      <c r="AA30" s="192"/>
      <c r="AB30" s="192"/>
      <c r="AC30" s="192"/>
      <c r="AD30" s="193"/>
      <c r="AE30" s="191"/>
      <c r="AF30" s="192"/>
      <c r="AG30" s="192"/>
      <c r="AH30" s="192"/>
      <c r="AI30" s="193"/>
      <c r="AJ30" s="191"/>
      <c r="AK30" s="192"/>
      <c r="AL30" s="192"/>
      <c r="AM30" s="192"/>
      <c r="AN30" s="193"/>
      <c r="AO30" s="191"/>
      <c r="AP30" s="192"/>
      <c r="AQ30" s="193"/>
      <c r="AR30" s="194">
        <f t="shared" si="1"/>
        <v>0</v>
      </c>
      <c r="AS30" s="647">
        <f t="shared" ref="AS30" si="22">ROUND((AR30+AR31)/2,0)</f>
        <v>0</v>
      </c>
    </row>
    <row r="31" spans="1:45" ht="16.899999999999999" customHeight="1">
      <c r="A31" s="644"/>
      <c r="B31" s="646"/>
      <c r="C31" s="195">
        <v>2</v>
      </c>
      <c r="D31" s="196"/>
      <c r="E31" s="197"/>
      <c r="F31" s="197"/>
      <c r="G31" s="197"/>
      <c r="H31" s="197"/>
      <c r="I31" s="197"/>
      <c r="J31" s="197"/>
      <c r="K31" s="198"/>
      <c r="L31" s="199"/>
      <c r="M31" s="200"/>
      <c r="N31" s="200"/>
      <c r="O31" s="200"/>
      <c r="P31" s="200"/>
      <c r="Q31" s="201"/>
      <c r="R31" s="199"/>
      <c r="S31" s="200"/>
      <c r="T31" s="200"/>
      <c r="U31" s="201"/>
      <c r="V31" s="199"/>
      <c r="W31" s="200"/>
      <c r="X31" s="200"/>
      <c r="Y31" s="201"/>
      <c r="Z31" s="199"/>
      <c r="AA31" s="200"/>
      <c r="AB31" s="200"/>
      <c r="AC31" s="200"/>
      <c r="AD31" s="201"/>
      <c r="AE31" s="199"/>
      <c r="AF31" s="200"/>
      <c r="AG31" s="200"/>
      <c r="AH31" s="200"/>
      <c r="AI31" s="201"/>
      <c r="AJ31" s="199"/>
      <c r="AK31" s="200"/>
      <c r="AL31" s="200"/>
      <c r="AM31" s="200"/>
      <c r="AN31" s="201"/>
      <c r="AO31" s="199"/>
      <c r="AP31" s="200"/>
      <c r="AQ31" s="201"/>
      <c r="AR31" s="202">
        <f t="shared" si="1"/>
        <v>0</v>
      </c>
      <c r="AS31" s="648"/>
    </row>
    <row r="32" spans="1:45" ht="16.899999999999999" customHeight="1">
      <c r="A32" s="644">
        <v>13</v>
      </c>
      <c r="B32" s="645" t="str">
        <f t="shared" ref="B32" ca="1" si="23">INDIRECT("'A-RACHNATMAK'!b"&amp;(ROW(B25)-1)*1.5+11)</f>
        <v>કંડોળીયા અલ્પેશકુમાર ભરતભાઇ</v>
      </c>
      <c r="C32" s="187">
        <v>1</v>
      </c>
      <c r="D32" s="188"/>
      <c r="E32" s="189"/>
      <c r="F32" s="189"/>
      <c r="G32" s="189"/>
      <c r="H32" s="189"/>
      <c r="I32" s="189"/>
      <c r="J32" s="189"/>
      <c r="K32" s="190"/>
      <c r="L32" s="191"/>
      <c r="M32" s="192"/>
      <c r="N32" s="192"/>
      <c r="O32" s="192"/>
      <c r="P32" s="192"/>
      <c r="Q32" s="193"/>
      <c r="R32" s="191"/>
      <c r="S32" s="192"/>
      <c r="T32" s="192"/>
      <c r="U32" s="193"/>
      <c r="V32" s="191"/>
      <c r="W32" s="192"/>
      <c r="X32" s="192"/>
      <c r="Y32" s="193"/>
      <c r="Z32" s="191"/>
      <c r="AA32" s="192"/>
      <c r="AB32" s="192"/>
      <c r="AC32" s="192"/>
      <c r="AD32" s="193"/>
      <c r="AE32" s="191"/>
      <c r="AF32" s="192"/>
      <c r="AG32" s="192"/>
      <c r="AH32" s="192"/>
      <c r="AI32" s="193"/>
      <c r="AJ32" s="191"/>
      <c r="AK32" s="192"/>
      <c r="AL32" s="192"/>
      <c r="AM32" s="192"/>
      <c r="AN32" s="193"/>
      <c r="AO32" s="191"/>
      <c r="AP32" s="192"/>
      <c r="AQ32" s="193"/>
      <c r="AR32" s="194">
        <f t="shared" si="1"/>
        <v>0</v>
      </c>
      <c r="AS32" s="647">
        <f t="shared" ref="AS32" si="24">ROUND((AR32+AR33)/2,0)</f>
        <v>0</v>
      </c>
    </row>
    <row r="33" spans="1:45" ht="16.899999999999999" customHeight="1">
      <c r="A33" s="644"/>
      <c r="B33" s="646"/>
      <c r="C33" s="195">
        <v>2</v>
      </c>
      <c r="D33" s="196"/>
      <c r="E33" s="197"/>
      <c r="F33" s="197"/>
      <c r="G33" s="197"/>
      <c r="H33" s="197"/>
      <c r="I33" s="197"/>
      <c r="J33" s="197"/>
      <c r="K33" s="198"/>
      <c r="L33" s="199"/>
      <c r="M33" s="200"/>
      <c r="N33" s="200"/>
      <c r="O33" s="200"/>
      <c r="P33" s="200"/>
      <c r="Q33" s="201"/>
      <c r="R33" s="199"/>
      <c r="S33" s="200"/>
      <c r="T33" s="200"/>
      <c r="U33" s="201"/>
      <c r="V33" s="199"/>
      <c r="W33" s="200"/>
      <c r="X33" s="200"/>
      <c r="Y33" s="201"/>
      <c r="Z33" s="199"/>
      <c r="AA33" s="200"/>
      <c r="AB33" s="200"/>
      <c r="AC33" s="200"/>
      <c r="AD33" s="201"/>
      <c r="AE33" s="199"/>
      <c r="AF33" s="200"/>
      <c r="AG33" s="200"/>
      <c r="AH33" s="200"/>
      <c r="AI33" s="201"/>
      <c r="AJ33" s="199"/>
      <c r="AK33" s="200"/>
      <c r="AL33" s="200"/>
      <c r="AM33" s="200"/>
      <c r="AN33" s="201"/>
      <c r="AO33" s="199"/>
      <c r="AP33" s="200"/>
      <c r="AQ33" s="201"/>
      <c r="AR33" s="202">
        <f t="shared" si="1"/>
        <v>0</v>
      </c>
      <c r="AS33" s="648"/>
    </row>
    <row r="34" spans="1:45" ht="16.899999999999999" customHeight="1">
      <c r="A34" s="644">
        <v>14</v>
      </c>
      <c r="B34" s="645" t="str">
        <f t="shared" ref="B34" ca="1" si="25">INDIRECT("'A-RACHNATMAK'!b"&amp;(ROW(B27)-1)*1.5+11)</f>
        <v>મકવાણા તરંગકુમાર કિશોરભાઇ</v>
      </c>
      <c r="C34" s="187">
        <v>1</v>
      </c>
      <c r="D34" s="188"/>
      <c r="E34" s="189"/>
      <c r="F34" s="189"/>
      <c r="G34" s="189"/>
      <c r="H34" s="189"/>
      <c r="I34" s="189"/>
      <c r="J34" s="189"/>
      <c r="K34" s="190"/>
      <c r="L34" s="191"/>
      <c r="M34" s="192"/>
      <c r="N34" s="192"/>
      <c r="O34" s="192"/>
      <c r="P34" s="192"/>
      <c r="Q34" s="193"/>
      <c r="R34" s="191"/>
      <c r="S34" s="192"/>
      <c r="T34" s="192"/>
      <c r="U34" s="193"/>
      <c r="V34" s="191"/>
      <c r="W34" s="192"/>
      <c r="X34" s="192"/>
      <c r="Y34" s="193"/>
      <c r="Z34" s="191"/>
      <c r="AA34" s="192"/>
      <c r="AB34" s="192"/>
      <c r="AC34" s="192"/>
      <c r="AD34" s="193"/>
      <c r="AE34" s="191"/>
      <c r="AF34" s="192"/>
      <c r="AG34" s="192"/>
      <c r="AH34" s="192"/>
      <c r="AI34" s="193"/>
      <c r="AJ34" s="191"/>
      <c r="AK34" s="192"/>
      <c r="AL34" s="192"/>
      <c r="AM34" s="192"/>
      <c r="AN34" s="193"/>
      <c r="AO34" s="191"/>
      <c r="AP34" s="192"/>
      <c r="AQ34" s="193"/>
      <c r="AR34" s="194">
        <f t="shared" si="1"/>
        <v>0</v>
      </c>
      <c r="AS34" s="647">
        <f t="shared" ref="AS34" si="26">ROUND((AR34+AR35)/2,0)</f>
        <v>0</v>
      </c>
    </row>
    <row r="35" spans="1:45" ht="16.899999999999999" customHeight="1">
      <c r="A35" s="644"/>
      <c r="B35" s="646"/>
      <c r="C35" s="195">
        <v>2</v>
      </c>
      <c r="D35" s="196"/>
      <c r="E35" s="197"/>
      <c r="F35" s="197"/>
      <c r="G35" s="197"/>
      <c r="H35" s="197"/>
      <c r="I35" s="197"/>
      <c r="J35" s="197"/>
      <c r="K35" s="198"/>
      <c r="L35" s="199"/>
      <c r="M35" s="200"/>
      <c r="N35" s="200"/>
      <c r="O35" s="200"/>
      <c r="P35" s="200"/>
      <c r="Q35" s="201"/>
      <c r="R35" s="199"/>
      <c r="S35" s="200"/>
      <c r="T35" s="200"/>
      <c r="U35" s="201"/>
      <c r="V35" s="199"/>
      <c r="W35" s="200"/>
      <c r="X35" s="200"/>
      <c r="Y35" s="201"/>
      <c r="Z35" s="199"/>
      <c r="AA35" s="200"/>
      <c r="AB35" s="200"/>
      <c r="AC35" s="200"/>
      <c r="AD35" s="201"/>
      <c r="AE35" s="199"/>
      <c r="AF35" s="200"/>
      <c r="AG35" s="200"/>
      <c r="AH35" s="200"/>
      <c r="AI35" s="201"/>
      <c r="AJ35" s="199"/>
      <c r="AK35" s="200"/>
      <c r="AL35" s="200"/>
      <c r="AM35" s="200"/>
      <c r="AN35" s="201"/>
      <c r="AO35" s="199"/>
      <c r="AP35" s="200"/>
      <c r="AQ35" s="201"/>
      <c r="AR35" s="202">
        <f t="shared" si="1"/>
        <v>0</v>
      </c>
      <c r="AS35" s="648"/>
    </row>
    <row r="36" spans="1:45" ht="16.899999999999999" customHeight="1">
      <c r="A36" s="644">
        <v>15</v>
      </c>
      <c r="B36" s="645" t="str">
        <f t="shared" ref="B36" ca="1" si="27">INDIRECT("'A-RACHNATMAK'!b"&amp;(ROW(B29)-1)*1.5+11)</f>
        <v>ઢીમેચા સતીષ હનુભાઇ</v>
      </c>
      <c r="C36" s="187">
        <v>1</v>
      </c>
      <c r="D36" s="188"/>
      <c r="E36" s="189"/>
      <c r="F36" s="189"/>
      <c r="G36" s="189"/>
      <c r="H36" s="189"/>
      <c r="I36" s="189"/>
      <c r="J36" s="189"/>
      <c r="K36" s="190"/>
      <c r="L36" s="191"/>
      <c r="M36" s="192"/>
      <c r="N36" s="192"/>
      <c r="O36" s="192"/>
      <c r="P36" s="192"/>
      <c r="Q36" s="193"/>
      <c r="R36" s="191"/>
      <c r="S36" s="192"/>
      <c r="T36" s="192"/>
      <c r="U36" s="193"/>
      <c r="V36" s="191"/>
      <c r="W36" s="192"/>
      <c r="X36" s="192"/>
      <c r="Y36" s="193"/>
      <c r="Z36" s="191"/>
      <c r="AA36" s="192"/>
      <c r="AB36" s="192"/>
      <c r="AC36" s="192"/>
      <c r="AD36" s="193"/>
      <c r="AE36" s="191"/>
      <c r="AF36" s="192"/>
      <c r="AG36" s="192"/>
      <c r="AH36" s="192"/>
      <c r="AI36" s="193"/>
      <c r="AJ36" s="191"/>
      <c r="AK36" s="192"/>
      <c r="AL36" s="192"/>
      <c r="AM36" s="192"/>
      <c r="AN36" s="193"/>
      <c r="AO36" s="191"/>
      <c r="AP36" s="192"/>
      <c r="AQ36" s="193"/>
      <c r="AR36" s="194">
        <f t="shared" si="1"/>
        <v>0</v>
      </c>
      <c r="AS36" s="647">
        <f t="shared" ref="AS36" si="28">ROUND((AR36+AR37)/2,0)</f>
        <v>0</v>
      </c>
    </row>
    <row r="37" spans="1:45" ht="16.899999999999999" customHeight="1">
      <c r="A37" s="644"/>
      <c r="B37" s="646"/>
      <c r="C37" s="195">
        <v>2</v>
      </c>
      <c r="D37" s="196"/>
      <c r="E37" s="197"/>
      <c r="F37" s="197"/>
      <c r="G37" s="197"/>
      <c r="H37" s="197"/>
      <c r="I37" s="197"/>
      <c r="J37" s="197"/>
      <c r="K37" s="198"/>
      <c r="L37" s="199"/>
      <c r="M37" s="200"/>
      <c r="N37" s="200"/>
      <c r="O37" s="200"/>
      <c r="P37" s="200"/>
      <c r="Q37" s="201"/>
      <c r="R37" s="199"/>
      <c r="S37" s="200"/>
      <c r="T37" s="200"/>
      <c r="U37" s="201"/>
      <c r="V37" s="199"/>
      <c r="W37" s="200"/>
      <c r="X37" s="200"/>
      <c r="Y37" s="201"/>
      <c r="Z37" s="199"/>
      <c r="AA37" s="200"/>
      <c r="AB37" s="200"/>
      <c r="AC37" s="200"/>
      <c r="AD37" s="201"/>
      <c r="AE37" s="199"/>
      <c r="AF37" s="200"/>
      <c r="AG37" s="200"/>
      <c r="AH37" s="200"/>
      <c r="AI37" s="201"/>
      <c r="AJ37" s="199"/>
      <c r="AK37" s="200"/>
      <c r="AL37" s="200"/>
      <c r="AM37" s="200"/>
      <c r="AN37" s="201"/>
      <c r="AO37" s="199"/>
      <c r="AP37" s="200"/>
      <c r="AQ37" s="201"/>
      <c r="AR37" s="202">
        <f t="shared" si="1"/>
        <v>0</v>
      </c>
      <c r="AS37" s="648"/>
    </row>
    <row r="38" spans="1:45" ht="16.899999999999999" customHeight="1">
      <c r="A38" s="644">
        <v>16</v>
      </c>
      <c r="B38" s="645" t="str">
        <f t="shared" ref="B38" ca="1" si="29">INDIRECT("'A-RACHNATMAK'!b"&amp;(ROW(B31)-1)*1.5+11)</f>
        <v>ખુમાણ શિવરાજભાઇ બાબુભાઇ</v>
      </c>
      <c r="C38" s="187">
        <v>1</v>
      </c>
      <c r="D38" s="188"/>
      <c r="E38" s="189"/>
      <c r="F38" s="189"/>
      <c r="G38" s="189"/>
      <c r="H38" s="189"/>
      <c r="I38" s="189"/>
      <c r="J38" s="189"/>
      <c r="K38" s="190"/>
      <c r="L38" s="191"/>
      <c r="M38" s="192"/>
      <c r="N38" s="192"/>
      <c r="O38" s="192"/>
      <c r="P38" s="192"/>
      <c r="Q38" s="193"/>
      <c r="R38" s="191"/>
      <c r="S38" s="192"/>
      <c r="T38" s="192"/>
      <c r="U38" s="193"/>
      <c r="V38" s="191"/>
      <c r="W38" s="192"/>
      <c r="X38" s="192"/>
      <c r="Y38" s="193"/>
      <c r="Z38" s="191"/>
      <c r="AA38" s="192"/>
      <c r="AB38" s="192"/>
      <c r="AC38" s="192"/>
      <c r="AD38" s="193"/>
      <c r="AE38" s="191"/>
      <c r="AF38" s="192"/>
      <c r="AG38" s="192"/>
      <c r="AH38" s="192"/>
      <c r="AI38" s="193"/>
      <c r="AJ38" s="191"/>
      <c r="AK38" s="192"/>
      <c r="AL38" s="192"/>
      <c r="AM38" s="192"/>
      <c r="AN38" s="193"/>
      <c r="AO38" s="191"/>
      <c r="AP38" s="192"/>
      <c r="AQ38" s="193"/>
      <c r="AR38" s="194">
        <f t="shared" si="1"/>
        <v>0</v>
      </c>
      <c r="AS38" s="647">
        <f t="shared" ref="AS38" si="30">ROUND((AR38+AR39)/2,0)</f>
        <v>0</v>
      </c>
    </row>
    <row r="39" spans="1:45" ht="16.899999999999999" customHeight="1">
      <c r="A39" s="644"/>
      <c r="B39" s="646"/>
      <c r="C39" s="195">
        <v>2</v>
      </c>
      <c r="D39" s="196"/>
      <c r="E39" s="197"/>
      <c r="F39" s="197"/>
      <c r="G39" s="197"/>
      <c r="H39" s="197"/>
      <c r="I39" s="197"/>
      <c r="J39" s="197"/>
      <c r="K39" s="198"/>
      <c r="L39" s="199"/>
      <c r="M39" s="200"/>
      <c r="N39" s="200"/>
      <c r="O39" s="200"/>
      <c r="P39" s="200"/>
      <c r="Q39" s="201"/>
      <c r="R39" s="199"/>
      <c r="S39" s="200"/>
      <c r="T39" s="200"/>
      <c r="U39" s="201"/>
      <c r="V39" s="199"/>
      <c r="W39" s="200"/>
      <c r="X39" s="200"/>
      <c r="Y39" s="201"/>
      <c r="Z39" s="199"/>
      <c r="AA39" s="200"/>
      <c r="AB39" s="200"/>
      <c r="AC39" s="200"/>
      <c r="AD39" s="201"/>
      <c r="AE39" s="199"/>
      <c r="AF39" s="200"/>
      <c r="AG39" s="200"/>
      <c r="AH39" s="200"/>
      <c r="AI39" s="201"/>
      <c r="AJ39" s="199"/>
      <c r="AK39" s="200"/>
      <c r="AL39" s="200"/>
      <c r="AM39" s="200"/>
      <c r="AN39" s="201"/>
      <c r="AO39" s="199"/>
      <c r="AP39" s="200"/>
      <c r="AQ39" s="201"/>
      <c r="AR39" s="202">
        <f t="shared" si="1"/>
        <v>0</v>
      </c>
      <c r="AS39" s="648"/>
    </row>
    <row r="40" spans="1:45" ht="16.899999999999999" customHeight="1">
      <c r="A40" s="644">
        <v>17</v>
      </c>
      <c r="B40" s="645" t="str">
        <f t="shared" ref="B40" ca="1" si="31">INDIRECT("'A-RACHNATMAK'!b"&amp;(ROW(B33)-1)*1.5+11)</f>
        <v>માથાસુરીયા દિનેશભાઇ અમરાભાઇ</v>
      </c>
      <c r="C40" s="187">
        <v>1</v>
      </c>
      <c r="D40" s="188"/>
      <c r="E40" s="189"/>
      <c r="F40" s="189"/>
      <c r="G40" s="189"/>
      <c r="H40" s="189"/>
      <c r="I40" s="189"/>
      <c r="J40" s="189"/>
      <c r="K40" s="190"/>
      <c r="L40" s="191"/>
      <c r="M40" s="192"/>
      <c r="N40" s="192"/>
      <c r="O40" s="192"/>
      <c r="P40" s="192"/>
      <c r="Q40" s="193"/>
      <c r="R40" s="191"/>
      <c r="S40" s="192"/>
      <c r="T40" s="192"/>
      <c r="U40" s="193"/>
      <c r="V40" s="191"/>
      <c r="W40" s="192"/>
      <c r="X40" s="192"/>
      <c r="Y40" s="193"/>
      <c r="Z40" s="191"/>
      <c r="AA40" s="192"/>
      <c r="AB40" s="192"/>
      <c r="AC40" s="192"/>
      <c r="AD40" s="193"/>
      <c r="AE40" s="191"/>
      <c r="AF40" s="192"/>
      <c r="AG40" s="192"/>
      <c r="AH40" s="192"/>
      <c r="AI40" s="193"/>
      <c r="AJ40" s="191"/>
      <c r="AK40" s="192"/>
      <c r="AL40" s="192"/>
      <c r="AM40" s="192"/>
      <c r="AN40" s="193"/>
      <c r="AO40" s="191"/>
      <c r="AP40" s="192"/>
      <c r="AQ40" s="193"/>
      <c r="AR40" s="194">
        <f t="shared" si="1"/>
        <v>0</v>
      </c>
      <c r="AS40" s="647">
        <f t="shared" ref="AS40" si="32">ROUND((AR40+AR41)/2,0)</f>
        <v>0</v>
      </c>
    </row>
    <row r="41" spans="1:45" ht="16.899999999999999" customHeight="1">
      <c r="A41" s="644"/>
      <c r="B41" s="646"/>
      <c r="C41" s="195">
        <v>2</v>
      </c>
      <c r="D41" s="196"/>
      <c r="E41" s="197"/>
      <c r="F41" s="197"/>
      <c r="G41" s="197"/>
      <c r="H41" s="197"/>
      <c r="I41" s="197"/>
      <c r="J41" s="197"/>
      <c r="K41" s="198"/>
      <c r="L41" s="199"/>
      <c r="M41" s="200"/>
      <c r="N41" s="200"/>
      <c r="O41" s="200"/>
      <c r="P41" s="200"/>
      <c r="Q41" s="201"/>
      <c r="R41" s="199"/>
      <c r="S41" s="200"/>
      <c r="T41" s="200"/>
      <c r="U41" s="201"/>
      <c r="V41" s="199"/>
      <c r="W41" s="200"/>
      <c r="X41" s="200"/>
      <c r="Y41" s="201"/>
      <c r="Z41" s="199"/>
      <c r="AA41" s="200"/>
      <c r="AB41" s="200"/>
      <c r="AC41" s="200"/>
      <c r="AD41" s="201"/>
      <c r="AE41" s="199"/>
      <c r="AF41" s="200"/>
      <c r="AG41" s="200"/>
      <c r="AH41" s="200"/>
      <c r="AI41" s="201"/>
      <c r="AJ41" s="199"/>
      <c r="AK41" s="200"/>
      <c r="AL41" s="200"/>
      <c r="AM41" s="200"/>
      <c r="AN41" s="201"/>
      <c r="AO41" s="199"/>
      <c r="AP41" s="200"/>
      <c r="AQ41" s="201"/>
      <c r="AR41" s="202">
        <f t="shared" si="1"/>
        <v>0</v>
      </c>
      <c r="AS41" s="648"/>
    </row>
    <row r="42" spans="1:45" ht="16.899999999999999" customHeight="1">
      <c r="A42" s="644">
        <v>18</v>
      </c>
      <c r="B42" s="645" t="str">
        <f t="shared" ref="B42" ca="1" si="33">INDIRECT("'A-RACHNATMAK'!b"&amp;(ROW(B35)-1)*1.5+11)</f>
        <v>વાઘેલા હરેશ જીલુભાઇ</v>
      </c>
      <c r="C42" s="187">
        <v>1</v>
      </c>
      <c r="D42" s="188"/>
      <c r="E42" s="189"/>
      <c r="F42" s="189"/>
      <c r="G42" s="189"/>
      <c r="H42" s="189"/>
      <c r="I42" s="189"/>
      <c r="J42" s="189"/>
      <c r="K42" s="190"/>
      <c r="L42" s="191"/>
      <c r="M42" s="192"/>
      <c r="N42" s="192"/>
      <c r="O42" s="192"/>
      <c r="P42" s="192"/>
      <c r="Q42" s="193"/>
      <c r="R42" s="191"/>
      <c r="S42" s="192"/>
      <c r="T42" s="192"/>
      <c r="U42" s="193"/>
      <c r="V42" s="191"/>
      <c r="W42" s="192"/>
      <c r="X42" s="192"/>
      <c r="Y42" s="193"/>
      <c r="Z42" s="191"/>
      <c r="AA42" s="192"/>
      <c r="AB42" s="192"/>
      <c r="AC42" s="192"/>
      <c r="AD42" s="193"/>
      <c r="AE42" s="191"/>
      <c r="AF42" s="192"/>
      <c r="AG42" s="192"/>
      <c r="AH42" s="192"/>
      <c r="AI42" s="193"/>
      <c r="AJ42" s="191"/>
      <c r="AK42" s="192"/>
      <c r="AL42" s="192"/>
      <c r="AM42" s="192"/>
      <c r="AN42" s="193"/>
      <c r="AO42" s="191"/>
      <c r="AP42" s="192"/>
      <c r="AQ42" s="193"/>
      <c r="AR42" s="194">
        <f t="shared" si="1"/>
        <v>0</v>
      </c>
      <c r="AS42" s="647">
        <f t="shared" ref="AS42" si="34">ROUND((AR42+AR43)/2,0)</f>
        <v>0</v>
      </c>
    </row>
    <row r="43" spans="1:45" ht="16.899999999999999" customHeight="1">
      <c r="A43" s="644"/>
      <c r="B43" s="646"/>
      <c r="C43" s="195">
        <v>2</v>
      </c>
      <c r="D43" s="196"/>
      <c r="E43" s="197"/>
      <c r="F43" s="197"/>
      <c r="G43" s="197"/>
      <c r="H43" s="197"/>
      <c r="I43" s="197"/>
      <c r="J43" s="197"/>
      <c r="K43" s="198"/>
      <c r="L43" s="199"/>
      <c r="M43" s="200"/>
      <c r="N43" s="200"/>
      <c r="O43" s="200"/>
      <c r="P43" s="200"/>
      <c r="Q43" s="201"/>
      <c r="R43" s="199"/>
      <c r="S43" s="200"/>
      <c r="T43" s="200"/>
      <c r="U43" s="201"/>
      <c r="V43" s="199"/>
      <c r="W43" s="200"/>
      <c r="X43" s="200"/>
      <c r="Y43" s="201"/>
      <c r="Z43" s="199"/>
      <c r="AA43" s="200"/>
      <c r="AB43" s="200"/>
      <c r="AC43" s="200"/>
      <c r="AD43" s="201"/>
      <c r="AE43" s="199"/>
      <c r="AF43" s="200"/>
      <c r="AG43" s="200"/>
      <c r="AH43" s="200"/>
      <c r="AI43" s="201"/>
      <c r="AJ43" s="199"/>
      <c r="AK43" s="200"/>
      <c r="AL43" s="200"/>
      <c r="AM43" s="200"/>
      <c r="AN43" s="201"/>
      <c r="AO43" s="199"/>
      <c r="AP43" s="200"/>
      <c r="AQ43" s="201"/>
      <c r="AR43" s="202">
        <f t="shared" si="1"/>
        <v>0</v>
      </c>
      <c r="AS43" s="648"/>
    </row>
    <row r="44" spans="1:45" ht="16.899999999999999" customHeight="1">
      <c r="A44" s="644">
        <v>19</v>
      </c>
      <c r="B44" s="645" t="str">
        <f t="shared" ref="B44" ca="1" si="35">INDIRECT("'A-RACHNATMAK'!b"&amp;(ROW(B37)-1)*1.5+11)</f>
        <v>પરમાર દિલીપકુમાર મધુભાઇ</v>
      </c>
      <c r="C44" s="187">
        <v>1</v>
      </c>
      <c r="D44" s="188"/>
      <c r="E44" s="189"/>
      <c r="F44" s="189"/>
      <c r="G44" s="189">
        <v>6</v>
      </c>
      <c r="H44" s="189">
        <v>7</v>
      </c>
      <c r="I44" s="189">
        <v>3</v>
      </c>
      <c r="J44" s="189">
        <v>6</v>
      </c>
      <c r="K44" s="190">
        <v>7</v>
      </c>
      <c r="L44" s="191">
        <v>9</v>
      </c>
      <c r="M44" s="192"/>
      <c r="N44" s="192"/>
      <c r="O44" s="192"/>
      <c r="P44" s="192"/>
      <c r="Q44" s="193"/>
      <c r="R44" s="191"/>
      <c r="S44" s="192"/>
      <c r="T44" s="192"/>
      <c r="U44" s="193"/>
      <c r="V44" s="191"/>
      <c r="W44" s="192"/>
      <c r="X44" s="192"/>
      <c r="Y44" s="193"/>
      <c r="Z44" s="191"/>
      <c r="AA44" s="192"/>
      <c r="AB44" s="192"/>
      <c r="AC44" s="192"/>
      <c r="AD44" s="193"/>
      <c r="AE44" s="191"/>
      <c r="AF44" s="192"/>
      <c r="AG44" s="192"/>
      <c r="AH44" s="192"/>
      <c r="AI44" s="193"/>
      <c r="AJ44" s="191"/>
      <c r="AK44" s="192"/>
      <c r="AL44" s="192"/>
      <c r="AM44" s="192"/>
      <c r="AN44" s="193"/>
      <c r="AO44" s="191"/>
      <c r="AP44" s="192"/>
      <c r="AQ44" s="193"/>
      <c r="AR44" s="194">
        <f t="shared" si="1"/>
        <v>38</v>
      </c>
      <c r="AS44" s="647">
        <f t="shared" ref="AS44" si="36">ROUND((AR44+AR45)/2,0)</f>
        <v>28</v>
      </c>
    </row>
    <row r="45" spans="1:45" ht="16.899999999999999" customHeight="1">
      <c r="A45" s="644"/>
      <c r="B45" s="646"/>
      <c r="C45" s="195">
        <v>2</v>
      </c>
      <c r="D45" s="196"/>
      <c r="E45" s="197"/>
      <c r="F45" s="197"/>
      <c r="G45" s="197"/>
      <c r="H45" s="197"/>
      <c r="I45" s="197">
        <v>4</v>
      </c>
      <c r="J45" s="197">
        <v>6</v>
      </c>
      <c r="K45" s="198">
        <v>7</v>
      </c>
      <c r="L45" s="199"/>
      <c r="M45" s="200"/>
      <c r="N45" s="200"/>
      <c r="O45" s="200"/>
      <c r="P45" s="200"/>
      <c r="Q45" s="201"/>
      <c r="R45" s="199"/>
      <c r="S45" s="200"/>
      <c r="T45" s="200"/>
      <c r="U45" s="201"/>
      <c r="V45" s="199"/>
      <c r="W45" s="200"/>
      <c r="X45" s="200"/>
      <c r="Y45" s="201"/>
      <c r="Z45" s="199"/>
      <c r="AA45" s="200"/>
      <c r="AB45" s="200"/>
      <c r="AC45" s="200"/>
      <c r="AD45" s="201"/>
      <c r="AE45" s="199"/>
      <c r="AF45" s="200"/>
      <c r="AG45" s="200"/>
      <c r="AH45" s="200"/>
      <c r="AI45" s="201"/>
      <c r="AJ45" s="199"/>
      <c r="AK45" s="200"/>
      <c r="AL45" s="200"/>
      <c r="AM45" s="200"/>
      <c r="AN45" s="201"/>
      <c r="AO45" s="199"/>
      <c r="AP45" s="200"/>
      <c r="AQ45" s="201"/>
      <c r="AR45" s="202">
        <f t="shared" si="1"/>
        <v>17</v>
      </c>
      <c r="AS45" s="648"/>
    </row>
    <row r="46" spans="1:45" ht="16.899999999999999" customHeight="1">
      <c r="A46" s="644">
        <v>20</v>
      </c>
      <c r="B46" s="645" t="str">
        <f t="shared" ref="B46" ca="1" si="37">INDIRECT("'A-RACHNATMAK'!b"&amp;(ROW(B39)-1)*1.5+11)</f>
        <v>વિરપરા કૃણાલ હરેશભાઇ</v>
      </c>
      <c r="C46" s="187">
        <v>1</v>
      </c>
      <c r="D46" s="188"/>
      <c r="E46" s="189"/>
      <c r="F46" s="189">
        <v>7</v>
      </c>
      <c r="G46" s="189">
        <v>8</v>
      </c>
      <c r="H46" s="189">
        <v>6</v>
      </c>
      <c r="I46" s="189"/>
      <c r="J46" s="189"/>
      <c r="K46" s="190"/>
      <c r="L46" s="191"/>
      <c r="M46" s="192"/>
      <c r="N46" s="192"/>
      <c r="O46" s="192"/>
      <c r="P46" s="192"/>
      <c r="Q46" s="193"/>
      <c r="R46" s="191"/>
      <c r="S46" s="192"/>
      <c r="T46" s="192"/>
      <c r="U46" s="193"/>
      <c r="V46" s="191"/>
      <c r="W46" s="192"/>
      <c r="X46" s="192"/>
      <c r="Y46" s="193"/>
      <c r="Z46" s="191"/>
      <c r="AA46" s="192"/>
      <c r="AB46" s="192"/>
      <c r="AC46" s="192"/>
      <c r="AD46" s="193"/>
      <c r="AE46" s="191"/>
      <c r="AF46" s="192"/>
      <c r="AG46" s="192"/>
      <c r="AH46" s="192"/>
      <c r="AI46" s="193"/>
      <c r="AJ46" s="191"/>
      <c r="AK46" s="192"/>
      <c r="AL46" s="192"/>
      <c r="AM46" s="192"/>
      <c r="AN46" s="193"/>
      <c r="AO46" s="191"/>
      <c r="AP46" s="192"/>
      <c r="AQ46" s="193"/>
      <c r="AR46" s="194">
        <f t="shared" si="1"/>
        <v>21</v>
      </c>
      <c r="AS46" s="647">
        <f t="shared" ref="AS46" si="38">ROUND((AR46+AR47)/2,0)</f>
        <v>26</v>
      </c>
    </row>
    <row r="47" spans="1:45" ht="16.899999999999999" customHeight="1">
      <c r="A47" s="644"/>
      <c r="B47" s="646"/>
      <c r="C47" s="195">
        <v>2</v>
      </c>
      <c r="D47" s="196"/>
      <c r="E47" s="197"/>
      <c r="F47" s="197"/>
      <c r="G47" s="197"/>
      <c r="H47" s="197"/>
      <c r="I47" s="197"/>
      <c r="J47" s="197"/>
      <c r="K47" s="198"/>
      <c r="L47" s="199"/>
      <c r="M47" s="200"/>
      <c r="N47" s="200"/>
      <c r="O47" s="200"/>
      <c r="P47" s="200">
        <v>6</v>
      </c>
      <c r="Q47" s="201"/>
      <c r="R47" s="199"/>
      <c r="S47" s="200"/>
      <c r="T47" s="200">
        <v>5</v>
      </c>
      <c r="U47" s="201"/>
      <c r="V47" s="199">
        <v>6</v>
      </c>
      <c r="W47" s="200"/>
      <c r="X47" s="200">
        <v>7</v>
      </c>
      <c r="Y47" s="201"/>
      <c r="Z47" s="199">
        <v>5</v>
      </c>
      <c r="AA47" s="200">
        <v>1</v>
      </c>
      <c r="AB47" s="200"/>
      <c r="AC47" s="200"/>
      <c r="AD47" s="201"/>
      <c r="AE47" s="199"/>
      <c r="AF47" s="200"/>
      <c r="AG47" s="200"/>
      <c r="AH47" s="200"/>
      <c r="AI47" s="201"/>
      <c r="AJ47" s="199"/>
      <c r="AK47" s="200"/>
      <c r="AL47" s="200"/>
      <c r="AM47" s="200"/>
      <c r="AN47" s="201"/>
      <c r="AO47" s="199"/>
      <c r="AP47" s="200"/>
      <c r="AQ47" s="201"/>
      <c r="AR47" s="202">
        <f t="shared" si="1"/>
        <v>30</v>
      </c>
      <c r="AS47" s="648"/>
    </row>
    <row r="48" spans="1:45" ht="16.899999999999999" customHeight="1">
      <c r="A48" s="644">
        <v>21</v>
      </c>
      <c r="B48" s="645" t="str">
        <f t="shared" ref="B48" ca="1" si="39">INDIRECT("'A-RACHNATMAK'!b"&amp;(ROW(B41)-1)*1.5+11)</f>
        <v>મકરૂબિયા જીજ્ઞેશભાઇ અશોકભાઇ</v>
      </c>
      <c r="C48" s="187">
        <v>1</v>
      </c>
      <c r="D48" s="188"/>
      <c r="E48" s="189"/>
      <c r="F48" s="189"/>
      <c r="G48" s="189"/>
      <c r="H48" s="189"/>
      <c r="I48" s="189">
        <v>6</v>
      </c>
      <c r="J48" s="189">
        <v>3</v>
      </c>
      <c r="K48" s="190">
        <v>7</v>
      </c>
      <c r="L48" s="191"/>
      <c r="M48" s="192"/>
      <c r="N48" s="192"/>
      <c r="O48" s="192"/>
      <c r="P48" s="192"/>
      <c r="Q48" s="193"/>
      <c r="R48" s="191"/>
      <c r="S48" s="192"/>
      <c r="T48" s="192"/>
      <c r="U48" s="193"/>
      <c r="V48" s="191"/>
      <c r="W48" s="192"/>
      <c r="X48" s="192"/>
      <c r="Y48" s="193"/>
      <c r="Z48" s="191"/>
      <c r="AA48" s="192"/>
      <c r="AB48" s="192"/>
      <c r="AC48" s="192"/>
      <c r="AD48" s="193"/>
      <c r="AE48" s="191"/>
      <c r="AF48" s="192"/>
      <c r="AG48" s="192"/>
      <c r="AH48" s="192"/>
      <c r="AI48" s="193"/>
      <c r="AJ48" s="191"/>
      <c r="AK48" s="192"/>
      <c r="AL48" s="192"/>
      <c r="AM48" s="192"/>
      <c r="AN48" s="193"/>
      <c r="AO48" s="191"/>
      <c r="AP48" s="192"/>
      <c r="AQ48" s="193"/>
      <c r="AR48" s="194">
        <f t="shared" si="1"/>
        <v>16</v>
      </c>
      <c r="AS48" s="647">
        <f t="shared" ref="AS48" si="40">ROUND((AR48+AR49)/2,0)</f>
        <v>8</v>
      </c>
    </row>
    <row r="49" spans="1:45" ht="16.899999999999999" customHeight="1">
      <c r="A49" s="644"/>
      <c r="B49" s="646"/>
      <c r="C49" s="195">
        <v>2</v>
      </c>
      <c r="D49" s="196"/>
      <c r="E49" s="197"/>
      <c r="F49" s="197"/>
      <c r="G49" s="197"/>
      <c r="H49" s="197"/>
      <c r="I49" s="197"/>
      <c r="J49" s="197"/>
      <c r="K49" s="198"/>
      <c r="L49" s="199"/>
      <c r="M49" s="200"/>
      <c r="N49" s="200"/>
      <c r="O49" s="200"/>
      <c r="P49" s="200"/>
      <c r="Q49" s="201"/>
      <c r="R49" s="199"/>
      <c r="S49" s="200"/>
      <c r="T49" s="200"/>
      <c r="U49" s="201"/>
      <c r="V49" s="199"/>
      <c r="W49" s="200"/>
      <c r="X49" s="200"/>
      <c r="Y49" s="201"/>
      <c r="Z49" s="199"/>
      <c r="AA49" s="200"/>
      <c r="AB49" s="200"/>
      <c r="AC49" s="200"/>
      <c r="AD49" s="201"/>
      <c r="AE49" s="199"/>
      <c r="AF49" s="200"/>
      <c r="AG49" s="200"/>
      <c r="AH49" s="200"/>
      <c r="AI49" s="201"/>
      <c r="AJ49" s="199"/>
      <c r="AK49" s="200"/>
      <c r="AL49" s="200"/>
      <c r="AM49" s="200"/>
      <c r="AN49" s="201"/>
      <c r="AO49" s="199"/>
      <c r="AP49" s="200"/>
      <c r="AQ49" s="201"/>
      <c r="AR49" s="202">
        <f t="shared" si="1"/>
        <v>0</v>
      </c>
      <c r="AS49" s="648"/>
    </row>
    <row r="50" spans="1:45" ht="16.899999999999999" customHeight="1">
      <c r="A50" s="644">
        <v>22</v>
      </c>
      <c r="B50" s="645" t="str">
        <f t="shared" ref="B50" ca="1" si="41">INDIRECT("'A-RACHNATMAK'!b"&amp;(ROW(B43)-1)*1.5+11)</f>
        <v>ખિમસુરીયા જ્યોત્સના મુકેશભાઇ</v>
      </c>
      <c r="C50" s="187">
        <v>1</v>
      </c>
      <c r="D50" s="188"/>
      <c r="E50" s="189"/>
      <c r="F50" s="189"/>
      <c r="G50" s="189"/>
      <c r="H50" s="189"/>
      <c r="I50" s="189"/>
      <c r="J50" s="189"/>
      <c r="K50" s="190"/>
      <c r="L50" s="191"/>
      <c r="M50" s="192"/>
      <c r="N50" s="192"/>
      <c r="O50" s="192"/>
      <c r="P50" s="192"/>
      <c r="Q50" s="193"/>
      <c r="R50" s="191"/>
      <c r="S50" s="192"/>
      <c r="T50" s="192"/>
      <c r="U50" s="193"/>
      <c r="V50" s="191"/>
      <c r="W50" s="192"/>
      <c r="X50" s="192"/>
      <c r="Y50" s="193"/>
      <c r="Z50" s="191"/>
      <c r="AA50" s="192"/>
      <c r="AB50" s="192"/>
      <c r="AC50" s="192"/>
      <c r="AD50" s="193"/>
      <c r="AE50" s="191"/>
      <c r="AF50" s="192"/>
      <c r="AG50" s="192"/>
      <c r="AH50" s="192"/>
      <c r="AI50" s="193"/>
      <c r="AJ50" s="191"/>
      <c r="AK50" s="192"/>
      <c r="AL50" s="192"/>
      <c r="AM50" s="192"/>
      <c r="AN50" s="193"/>
      <c r="AO50" s="191"/>
      <c r="AP50" s="192"/>
      <c r="AQ50" s="193"/>
      <c r="AR50" s="194">
        <f t="shared" si="1"/>
        <v>0</v>
      </c>
      <c r="AS50" s="647">
        <f t="shared" ref="AS50" si="42">ROUND((AR50+AR51)/2,0)</f>
        <v>0</v>
      </c>
    </row>
    <row r="51" spans="1:45" ht="16.899999999999999" customHeight="1">
      <c r="A51" s="644"/>
      <c r="B51" s="646"/>
      <c r="C51" s="195">
        <v>2</v>
      </c>
      <c r="D51" s="196"/>
      <c r="E51" s="197"/>
      <c r="F51" s="197"/>
      <c r="G51" s="197"/>
      <c r="H51" s="197"/>
      <c r="I51" s="197"/>
      <c r="J51" s="197"/>
      <c r="K51" s="198"/>
      <c r="L51" s="199"/>
      <c r="M51" s="200"/>
      <c r="N51" s="200"/>
      <c r="O51" s="200"/>
      <c r="P51" s="200"/>
      <c r="Q51" s="201"/>
      <c r="R51" s="199"/>
      <c r="S51" s="200"/>
      <c r="T51" s="200"/>
      <c r="U51" s="201"/>
      <c r="V51" s="199"/>
      <c r="W51" s="200"/>
      <c r="X51" s="200"/>
      <c r="Y51" s="201"/>
      <c r="Z51" s="199"/>
      <c r="AA51" s="200"/>
      <c r="AB51" s="200"/>
      <c r="AC51" s="200"/>
      <c r="AD51" s="201"/>
      <c r="AE51" s="199"/>
      <c r="AF51" s="200"/>
      <c r="AG51" s="200"/>
      <c r="AH51" s="200"/>
      <c r="AI51" s="201"/>
      <c r="AJ51" s="199"/>
      <c r="AK51" s="200"/>
      <c r="AL51" s="200"/>
      <c r="AM51" s="200"/>
      <c r="AN51" s="201"/>
      <c r="AO51" s="199"/>
      <c r="AP51" s="200"/>
      <c r="AQ51" s="201"/>
      <c r="AR51" s="202">
        <f t="shared" si="1"/>
        <v>0</v>
      </c>
      <c r="AS51" s="648"/>
    </row>
    <row r="52" spans="1:45" ht="16.899999999999999" customHeight="1">
      <c r="A52" s="644">
        <v>23</v>
      </c>
      <c r="B52" s="645" t="str">
        <f t="shared" ref="B52" ca="1" si="43">INDIRECT("'A-RACHNATMAK'!b"&amp;(ROW(B45)-1)*1.5+11)</f>
        <v>ગરણિયા રાજલબેન સામતભાઇ</v>
      </c>
      <c r="C52" s="187">
        <v>1</v>
      </c>
      <c r="D52" s="188"/>
      <c r="E52" s="189"/>
      <c r="F52" s="189"/>
      <c r="G52" s="189"/>
      <c r="H52" s="189"/>
      <c r="I52" s="189"/>
      <c r="J52" s="189"/>
      <c r="K52" s="190"/>
      <c r="L52" s="191"/>
      <c r="M52" s="192"/>
      <c r="N52" s="192"/>
      <c r="O52" s="192"/>
      <c r="P52" s="192"/>
      <c r="Q52" s="193"/>
      <c r="R52" s="191"/>
      <c r="S52" s="192"/>
      <c r="T52" s="192"/>
      <c r="U52" s="193"/>
      <c r="V52" s="191"/>
      <c r="W52" s="192"/>
      <c r="X52" s="192"/>
      <c r="Y52" s="193"/>
      <c r="Z52" s="191"/>
      <c r="AA52" s="192"/>
      <c r="AB52" s="192"/>
      <c r="AC52" s="192"/>
      <c r="AD52" s="193"/>
      <c r="AE52" s="191"/>
      <c r="AF52" s="192"/>
      <c r="AG52" s="192"/>
      <c r="AH52" s="192"/>
      <c r="AI52" s="193"/>
      <c r="AJ52" s="191"/>
      <c r="AK52" s="192"/>
      <c r="AL52" s="192"/>
      <c r="AM52" s="192"/>
      <c r="AN52" s="193"/>
      <c r="AO52" s="191"/>
      <c r="AP52" s="192"/>
      <c r="AQ52" s="193"/>
      <c r="AR52" s="194">
        <f t="shared" si="1"/>
        <v>0</v>
      </c>
      <c r="AS52" s="647">
        <f t="shared" ref="AS52" si="44">ROUND((AR52+AR53)/2,0)</f>
        <v>0</v>
      </c>
    </row>
    <row r="53" spans="1:45" ht="16.899999999999999" customHeight="1">
      <c r="A53" s="644"/>
      <c r="B53" s="646"/>
      <c r="C53" s="195">
        <v>2</v>
      </c>
      <c r="D53" s="196"/>
      <c r="E53" s="197"/>
      <c r="F53" s="197"/>
      <c r="G53" s="197"/>
      <c r="H53" s="197"/>
      <c r="I53" s="197"/>
      <c r="J53" s="197"/>
      <c r="K53" s="198"/>
      <c r="L53" s="199"/>
      <c r="M53" s="200"/>
      <c r="N53" s="200"/>
      <c r="O53" s="200"/>
      <c r="P53" s="200"/>
      <c r="Q53" s="201"/>
      <c r="R53" s="199"/>
      <c r="S53" s="200"/>
      <c r="T53" s="200"/>
      <c r="U53" s="201"/>
      <c r="V53" s="199"/>
      <c r="W53" s="200"/>
      <c r="X53" s="200"/>
      <c r="Y53" s="201"/>
      <c r="Z53" s="199"/>
      <c r="AA53" s="200"/>
      <c r="AB53" s="200"/>
      <c r="AC53" s="200"/>
      <c r="AD53" s="201"/>
      <c r="AE53" s="199"/>
      <c r="AF53" s="200"/>
      <c r="AG53" s="200"/>
      <c r="AH53" s="200"/>
      <c r="AI53" s="201"/>
      <c r="AJ53" s="199"/>
      <c r="AK53" s="200"/>
      <c r="AL53" s="200"/>
      <c r="AM53" s="200"/>
      <c r="AN53" s="201"/>
      <c r="AO53" s="199"/>
      <c r="AP53" s="200"/>
      <c r="AQ53" s="201"/>
      <c r="AR53" s="202">
        <f t="shared" si="1"/>
        <v>0</v>
      </c>
      <c r="AS53" s="648"/>
    </row>
    <row r="54" spans="1:45" ht="16.899999999999999" customHeight="1">
      <c r="A54" s="644">
        <v>24</v>
      </c>
      <c r="B54" s="645" t="str">
        <f t="shared" ref="B54" ca="1" si="45">INDIRECT("'A-RACHNATMAK'!b"&amp;(ROW(B47)-1)*1.5+11)</f>
        <v>ગરણિયા નિરાલીબેન પ્રદીપભાઇ</v>
      </c>
      <c r="C54" s="187">
        <v>1</v>
      </c>
      <c r="D54" s="188"/>
      <c r="E54" s="189"/>
      <c r="F54" s="189"/>
      <c r="G54" s="189"/>
      <c r="H54" s="189"/>
      <c r="I54" s="189"/>
      <c r="J54" s="189"/>
      <c r="K54" s="190"/>
      <c r="L54" s="191"/>
      <c r="M54" s="192"/>
      <c r="N54" s="192"/>
      <c r="O54" s="192"/>
      <c r="P54" s="192"/>
      <c r="Q54" s="193"/>
      <c r="R54" s="191"/>
      <c r="S54" s="192"/>
      <c r="T54" s="192"/>
      <c r="U54" s="193"/>
      <c r="V54" s="191"/>
      <c r="W54" s="192"/>
      <c r="X54" s="192"/>
      <c r="Y54" s="193"/>
      <c r="Z54" s="191"/>
      <c r="AA54" s="192"/>
      <c r="AB54" s="192"/>
      <c r="AC54" s="192"/>
      <c r="AD54" s="193"/>
      <c r="AE54" s="191"/>
      <c r="AF54" s="192"/>
      <c r="AG54" s="192"/>
      <c r="AH54" s="192"/>
      <c r="AI54" s="193"/>
      <c r="AJ54" s="191"/>
      <c r="AK54" s="192"/>
      <c r="AL54" s="192"/>
      <c r="AM54" s="192"/>
      <c r="AN54" s="193"/>
      <c r="AO54" s="191"/>
      <c r="AP54" s="192"/>
      <c r="AQ54" s="193"/>
      <c r="AR54" s="194">
        <f t="shared" si="1"/>
        <v>0</v>
      </c>
      <c r="AS54" s="647">
        <f t="shared" ref="AS54" si="46">ROUND((AR54+AR55)/2,0)</f>
        <v>0</v>
      </c>
    </row>
    <row r="55" spans="1:45" ht="16.899999999999999" customHeight="1">
      <c r="A55" s="644"/>
      <c r="B55" s="646"/>
      <c r="C55" s="195">
        <v>2</v>
      </c>
      <c r="D55" s="196"/>
      <c r="E55" s="197"/>
      <c r="F55" s="197"/>
      <c r="G55" s="197"/>
      <c r="H55" s="197"/>
      <c r="I55" s="197"/>
      <c r="J55" s="197"/>
      <c r="K55" s="198"/>
      <c r="L55" s="199"/>
      <c r="M55" s="200"/>
      <c r="N55" s="200"/>
      <c r="O55" s="200"/>
      <c r="P55" s="200"/>
      <c r="Q55" s="201"/>
      <c r="R55" s="199"/>
      <c r="S55" s="200"/>
      <c r="T55" s="200"/>
      <c r="U55" s="201"/>
      <c r="V55" s="199"/>
      <c r="W55" s="200"/>
      <c r="X55" s="200"/>
      <c r="Y55" s="201"/>
      <c r="Z55" s="199"/>
      <c r="AA55" s="200"/>
      <c r="AB55" s="200"/>
      <c r="AC55" s="200"/>
      <c r="AD55" s="201"/>
      <c r="AE55" s="199"/>
      <c r="AF55" s="200"/>
      <c r="AG55" s="200"/>
      <c r="AH55" s="200"/>
      <c r="AI55" s="201"/>
      <c r="AJ55" s="199"/>
      <c r="AK55" s="200"/>
      <c r="AL55" s="200"/>
      <c r="AM55" s="200"/>
      <c r="AN55" s="201"/>
      <c r="AO55" s="199"/>
      <c r="AP55" s="200"/>
      <c r="AQ55" s="201"/>
      <c r="AR55" s="202">
        <f t="shared" si="1"/>
        <v>0</v>
      </c>
      <c r="AS55" s="648"/>
    </row>
    <row r="56" spans="1:45" ht="16.899999999999999" customHeight="1">
      <c r="A56" s="644">
        <v>25</v>
      </c>
      <c r="B56" s="645" t="str">
        <f t="shared" ref="B56" ca="1" si="47">INDIRECT("'A-RACHNATMAK'!b"&amp;(ROW(B49)-1)*1.5+11)</f>
        <v>ગરણિયા રાધાબેન લક્ષ્મણભાઇ</v>
      </c>
      <c r="C56" s="187">
        <v>1</v>
      </c>
      <c r="D56" s="188"/>
      <c r="E56" s="189"/>
      <c r="F56" s="189"/>
      <c r="G56" s="189"/>
      <c r="H56" s="189"/>
      <c r="I56" s="189"/>
      <c r="J56" s="189"/>
      <c r="K56" s="190"/>
      <c r="L56" s="191"/>
      <c r="M56" s="192"/>
      <c r="N56" s="192"/>
      <c r="O56" s="192"/>
      <c r="P56" s="192"/>
      <c r="Q56" s="193"/>
      <c r="R56" s="191"/>
      <c r="S56" s="192"/>
      <c r="T56" s="192"/>
      <c r="U56" s="193"/>
      <c r="V56" s="191"/>
      <c r="W56" s="192"/>
      <c r="X56" s="192"/>
      <c r="Y56" s="193"/>
      <c r="Z56" s="191"/>
      <c r="AA56" s="192"/>
      <c r="AB56" s="192"/>
      <c r="AC56" s="192"/>
      <c r="AD56" s="193"/>
      <c r="AE56" s="191"/>
      <c r="AF56" s="192"/>
      <c r="AG56" s="192"/>
      <c r="AH56" s="192"/>
      <c r="AI56" s="193"/>
      <c r="AJ56" s="191"/>
      <c r="AK56" s="192"/>
      <c r="AL56" s="192"/>
      <c r="AM56" s="192"/>
      <c r="AN56" s="193"/>
      <c r="AO56" s="191"/>
      <c r="AP56" s="192"/>
      <c r="AQ56" s="193"/>
      <c r="AR56" s="194">
        <f t="shared" si="1"/>
        <v>0</v>
      </c>
      <c r="AS56" s="647">
        <f t="shared" ref="AS56" si="48">ROUND((AR56+AR57)/2,0)</f>
        <v>0</v>
      </c>
    </row>
    <row r="57" spans="1:45" ht="16.899999999999999" customHeight="1">
      <c r="A57" s="644"/>
      <c r="B57" s="646"/>
      <c r="C57" s="195">
        <v>2</v>
      </c>
      <c r="D57" s="196"/>
      <c r="E57" s="197"/>
      <c r="F57" s="197"/>
      <c r="G57" s="197"/>
      <c r="H57" s="197"/>
      <c r="I57" s="197"/>
      <c r="J57" s="197"/>
      <c r="K57" s="198"/>
      <c r="L57" s="199"/>
      <c r="M57" s="200"/>
      <c r="N57" s="200"/>
      <c r="O57" s="200"/>
      <c r="P57" s="200"/>
      <c r="Q57" s="201"/>
      <c r="R57" s="199"/>
      <c r="S57" s="200"/>
      <c r="T57" s="200"/>
      <c r="U57" s="201"/>
      <c r="V57" s="199"/>
      <c r="W57" s="200"/>
      <c r="X57" s="200"/>
      <c r="Y57" s="201"/>
      <c r="Z57" s="199"/>
      <c r="AA57" s="200"/>
      <c r="AB57" s="200"/>
      <c r="AC57" s="200"/>
      <c r="AD57" s="201"/>
      <c r="AE57" s="199"/>
      <c r="AF57" s="200"/>
      <c r="AG57" s="200"/>
      <c r="AH57" s="200"/>
      <c r="AI57" s="201"/>
      <c r="AJ57" s="199"/>
      <c r="AK57" s="200"/>
      <c r="AL57" s="200"/>
      <c r="AM57" s="200"/>
      <c r="AN57" s="201"/>
      <c r="AO57" s="199"/>
      <c r="AP57" s="200"/>
      <c r="AQ57" s="201"/>
      <c r="AR57" s="202">
        <f t="shared" si="1"/>
        <v>0</v>
      </c>
      <c r="AS57" s="648"/>
    </row>
    <row r="58" spans="1:45" ht="16.899999999999999" customHeight="1">
      <c r="A58" s="644">
        <v>26</v>
      </c>
      <c r="B58" s="645" t="str">
        <f t="shared" ref="B58" ca="1" si="49">INDIRECT("'A-RACHNATMAK'!b"&amp;(ROW(B51)-1)*1.5+11)</f>
        <v>ગૌસ્વામિ મયુરીબેન રમેશગીરી</v>
      </c>
      <c r="C58" s="187">
        <v>1</v>
      </c>
      <c r="D58" s="188"/>
      <c r="E58" s="189"/>
      <c r="F58" s="189"/>
      <c r="G58" s="189"/>
      <c r="H58" s="189"/>
      <c r="I58" s="189"/>
      <c r="J58" s="189"/>
      <c r="K58" s="190"/>
      <c r="L58" s="191"/>
      <c r="M58" s="192"/>
      <c r="N58" s="192"/>
      <c r="O58" s="192"/>
      <c r="P58" s="192"/>
      <c r="Q58" s="193"/>
      <c r="R58" s="191"/>
      <c r="S58" s="192"/>
      <c r="T58" s="192"/>
      <c r="U58" s="193"/>
      <c r="V58" s="191"/>
      <c r="W58" s="192"/>
      <c r="X58" s="192"/>
      <c r="Y58" s="193"/>
      <c r="Z58" s="191"/>
      <c r="AA58" s="192"/>
      <c r="AB58" s="192"/>
      <c r="AC58" s="192"/>
      <c r="AD58" s="193"/>
      <c r="AE58" s="191"/>
      <c r="AF58" s="192"/>
      <c r="AG58" s="192"/>
      <c r="AH58" s="192"/>
      <c r="AI58" s="193"/>
      <c r="AJ58" s="191"/>
      <c r="AK58" s="192"/>
      <c r="AL58" s="192"/>
      <c r="AM58" s="192"/>
      <c r="AN58" s="193"/>
      <c r="AO58" s="191"/>
      <c r="AP58" s="192"/>
      <c r="AQ58" s="193"/>
      <c r="AR58" s="194">
        <f t="shared" si="1"/>
        <v>0</v>
      </c>
      <c r="AS58" s="647">
        <f t="shared" ref="AS58" si="50">ROUND((AR58+AR59)/2,0)</f>
        <v>0</v>
      </c>
    </row>
    <row r="59" spans="1:45" ht="16.899999999999999" customHeight="1">
      <c r="A59" s="644"/>
      <c r="B59" s="646"/>
      <c r="C59" s="195">
        <v>2</v>
      </c>
      <c r="D59" s="196"/>
      <c r="E59" s="197"/>
      <c r="F59" s="197"/>
      <c r="G59" s="197"/>
      <c r="H59" s="197"/>
      <c r="I59" s="197"/>
      <c r="J59" s="197"/>
      <c r="K59" s="198"/>
      <c r="L59" s="199"/>
      <c r="M59" s="200"/>
      <c r="N59" s="200"/>
      <c r="O59" s="200"/>
      <c r="P59" s="200"/>
      <c r="Q59" s="201"/>
      <c r="R59" s="199"/>
      <c r="S59" s="200"/>
      <c r="T59" s="200"/>
      <c r="U59" s="201"/>
      <c r="V59" s="199"/>
      <c r="W59" s="200"/>
      <c r="X59" s="200"/>
      <c r="Y59" s="201"/>
      <c r="Z59" s="199"/>
      <c r="AA59" s="200"/>
      <c r="AB59" s="200"/>
      <c r="AC59" s="200"/>
      <c r="AD59" s="201"/>
      <c r="AE59" s="199"/>
      <c r="AF59" s="200"/>
      <c r="AG59" s="200"/>
      <c r="AH59" s="200"/>
      <c r="AI59" s="201"/>
      <c r="AJ59" s="199"/>
      <c r="AK59" s="200"/>
      <c r="AL59" s="200"/>
      <c r="AM59" s="200"/>
      <c r="AN59" s="201"/>
      <c r="AO59" s="199"/>
      <c r="AP59" s="200"/>
      <c r="AQ59" s="201"/>
      <c r="AR59" s="202">
        <f t="shared" si="1"/>
        <v>0</v>
      </c>
      <c r="AS59" s="648"/>
    </row>
    <row r="60" spans="1:45" ht="16.899999999999999" customHeight="1">
      <c r="A60" s="644">
        <v>27</v>
      </c>
      <c r="B60" s="645" t="str">
        <f t="shared" ref="B60" ca="1" si="51">INDIRECT("'A-RACHNATMAK'!b"&amp;(ROW(B53)-1)*1.5+11)</f>
        <v>બતાડા જાનકી વાલાભાઇ</v>
      </c>
      <c r="C60" s="187">
        <v>1</v>
      </c>
      <c r="D60" s="188"/>
      <c r="E60" s="189"/>
      <c r="F60" s="189"/>
      <c r="G60" s="189"/>
      <c r="H60" s="189"/>
      <c r="I60" s="189"/>
      <c r="J60" s="189"/>
      <c r="K60" s="190"/>
      <c r="L60" s="191"/>
      <c r="M60" s="192"/>
      <c r="N60" s="192"/>
      <c r="O60" s="192"/>
      <c r="P60" s="192"/>
      <c r="Q60" s="193"/>
      <c r="R60" s="191"/>
      <c r="S60" s="192"/>
      <c r="T60" s="192"/>
      <c r="U60" s="193"/>
      <c r="V60" s="191"/>
      <c r="W60" s="192"/>
      <c r="X60" s="192"/>
      <c r="Y60" s="193"/>
      <c r="Z60" s="191"/>
      <c r="AA60" s="192"/>
      <c r="AB60" s="192"/>
      <c r="AC60" s="192"/>
      <c r="AD60" s="193"/>
      <c r="AE60" s="191"/>
      <c r="AF60" s="192"/>
      <c r="AG60" s="192"/>
      <c r="AH60" s="192"/>
      <c r="AI60" s="193"/>
      <c r="AJ60" s="191"/>
      <c r="AK60" s="192"/>
      <c r="AL60" s="192"/>
      <c r="AM60" s="192"/>
      <c r="AN60" s="193"/>
      <c r="AO60" s="191"/>
      <c r="AP60" s="192"/>
      <c r="AQ60" s="193"/>
      <c r="AR60" s="194">
        <f t="shared" si="1"/>
        <v>0</v>
      </c>
      <c r="AS60" s="647">
        <f t="shared" ref="AS60" si="52">ROUND((AR60+AR61)/2,0)</f>
        <v>0</v>
      </c>
    </row>
    <row r="61" spans="1:45" ht="16.899999999999999" customHeight="1">
      <c r="A61" s="644"/>
      <c r="B61" s="646"/>
      <c r="C61" s="195">
        <v>2</v>
      </c>
      <c r="D61" s="196"/>
      <c r="E61" s="197"/>
      <c r="F61" s="197"/>
      <c r="G61" s="197"/>
      <c r="H61" s="197"/>
      <c r="I61" s="197"/>
      <c r="J61" s="197"/>
      <c r="K61" s="198"/>
      <c r="L61" s="199"/>
      <c r="M61" s="200"/>
      <c r="N61" s="200"/>
      <c r="O61" s="200"/>
      <c r="P61" s="200"/>
      <c r="Q61" s="201"/>
      <c r="R61" s="199"/>
      <c r="S61" s="200"/>
      <c r="T61" s="200"/>
      <c r="U61" s="201"/>
      <c r="V61" s="199"/>
      <c r="W61" s="200"/>
      <c r="X61" s="200"/>
      <c r="Y61" s="201"/>
      <c r="Z61" s="199"/>
      <c r="AA61" s="200"/>
      <c r="AB61" s="200"/>
      <c r="AC61" s="200"/>
      <c r="AD61" s="201"/>
      <c r="AE61" s="199"/>
      <c r="AF61" s="200"/>
      <c r="AG61" s="200"/>
      <c r="AH61" s="200"/>
      <c r="AI61" s="201"/>
      <c r="AJ61" s="199"/>
      <c r="AK61" s="200"/>
      <c r="AL61" s="200"/>
      <c r="AM61" s="200"/>
      <c r="AN61" s="201"/>
      <c r="AO61" s="199"/>
      <c r="AP61" s="200"/>
      <c r="AQ61" s="201"/>
      <c r="AR61" s="202">
        <f t="shared" si="1"/>
        <v>0</v>
      </c>
      <c r="AS61" s="648"/>
    </row>
    <row r="62" spans="1:45" ht="16.899999999999999" customHeight="1">
      <c r="A62" s="644">
        <v>28</v>
      </c>
      <c r="B62" s="645" t="str">
        <f t="shared" ref="B62" ca="1" si="53">INDIRECT("'A-RACHNATMAK'!b"&amp;(ROW(B55)-1)*1.5+11)</f>
        <v>બતાડા ક્રિષ્નાબેન દેવશીભાઇ</v>
      </c>
      <c r="C62" s="187">
        <v>1</v>
      </c>
      <c r="D62" s="188"/>
      <c r="E62" s="189"/>
      <c r="F62" s="189"/>
      <c r="G62" s="189"/>
      <c r="H62" s="189"/>
      <c r="I62" s="189"/>
      <c r="J62" s="189"/>
      <c r="K62" s="190"/>
      <c r="L62" s="191"/>
      <c r="M62" s="192"/>
      <c r="N62" s="192"/>
      <c r="O62" s="192"/>
      <c r="P62" s="192"/>
      <c r="Q62" s="193"/>
      <c r="R62" s="191"/>
      <c r="S62" s="192"/>
      <c r="T62" s="192"/>
      <c r="U62" s="193"/>
      <c r="V62" s="191"/>
      <c r="W62" s="192"/>
      <c r="X62" s="192"/>
      <c r="Y62" s="193"/>
      <c r="Z62" s="191"/>
      <c r="AA62" s="192"/>
      <c r="AB62" s="192"/>
      <c r="AC62" s="192"/>
      <c r="AD62" s="193"/>
      <c r="AE62" s="191"/>
      <c r="AF62" s="192"/>
      <c r="AG62" s="192"/>
      <c r="AH62" s="192"/>
      <c r="AI62" s="193"/>
      <c r="AJ62" s="191"/>
      <c r="AK62" s="192"/>
      <c r="AL62" s="192"/>
      <c r="AM62" s="192"/>
      <c r="AN62" s="193"/>
      <c r="AO62" s="191"/>
      <c r="AP62" s="192"/>
      <c r="AQ62" s="193"/>
      <c r="AR62" s="194">
        <f t="shared" si="1"/>
        <v>0</v>
      </c>
      <c r="AS62" s="647">
        <f t="shared" ref="AS62" si="54">ROUND((AR62+AR63)/2,0)</f>
        <v>0</v>
      </c>
    </row>
    <row r="63" spans="1:45" ht="16.899999999999999" customHeight="1">
      <c r="A63" s="644"/>
      <c r="B63" s="646"/>
      <c r="C63" s="195">
        <v>2</v>
      </c>
      <c r="D63" s="196"/>
      <c r="E63" s="197"/>
      <c r="F63" s="197"/>
      <c r="G63" s="197"/>
      <c r="H63" s="197"/>
      <c r="I63" s="197"/>
      <c r="J63" s="197"/>
      <c r="K63" s="198"/>
      <c r="L63" s="199"/>
      <c r="M63" s="200"/>
      <c r="N63" s="200"/>
      <c r="O63" s="200"/>
      <c r="P63" s="200"/>
      <c r="Q63" s="201"/>
      <c r="R63" s="199"/>
      <c r="S63" s="200"/>
      <c r="T63" s="200"/>
      <c r="U63" s="201"/>
      <c r="V63" s="199"/>
      <c r="W63" s="200"/>
      <c r="X63" s="200"/>
      <c r="Y63" s="201"/>
      <c r="Z63" s="199"/>
      <c r="AA63" s="200"/>
      <c r="AB63" s="200"/>
      <c r="AC63" s="200"/>
      <c r="AD63" s="201"/>
      <c r="AE63" s="199"/>
      <c r="AF63" s="200"/>
      <c r="AG63" s="200"/>
      <c r="AH63" s="200"/>
      <c r="AI63" s="201"/>
      <c r="AJ63" s="199"/>
      <c r="AK63" s="200"/>
      <c r="AL63" s="200"/>
      <c r="AM63" s="200"/>
      <c r="AN63" s="201"/>
      <c r="AO63" s="199"/>
      <c r="AP63" s="200"/>
      <c r="AQ63" s="201"/>
      <c r="AR63" s="202">
        <f t="shared" si="1"/>
        <v>0</v>
      </c>
      <c r="AS63" s="648"/>
    </row>
    <row r="64" spans="1:45" ht="16.899999999999999" customHeight="1">
      <c r="A64" s="644">
        <v>29</v>
      </c>
      <c r="B64" s="645" t="str">
        <f t="shared" ref="B64" ca="1" si="55">INDIRECT("'A-RACHNATMAK'!b"&amp;(ROW(B57)-1)*1.5+11)</f>
        <v>પરમાર અનિષા રમેશભાઇ</v>
      </c>
      <c r="C64" s="187">
        <v>1</v>
      </c>
      <c r="D64" s="188"/>
      <c r="E64" s="189"/>
      <c r="F64" s="189"/>
      <c r="G64" s="189"/>
      <c r="H64" s="189"/>
      <c r="I64" s="189"/>
      <c r="J64" s="189"/>
      <c r="K64" s="190"/>
      <c r="L64" s="191"/>
      <c r="M64" s="192"/>
      <c r="N64" s="192"/>
      <c r="O64" s="192"/>
      <c r="P64" s="192"/>
      <c r="Q64" s="193"/>
      <c r="R64" s="191"/>
      <c r="S64" s="192"/>
      <c r="T64" s="192"/>
      <c r="U64" s="193"/>
      <c r="V64" s="191"/>
      <c r="W64" s="192"/>
      <c r="X64" s="192"/>
      <c r="Y64" s="193"/>
      <c r="Z64" s="191"/>
      <c r="AA64" s="192"/>
      <c r="AB64" s="192"/>
      <c r="AC64" s="192"/>
      <c r="AD64" s="193"/>
      <c r="AE64" s="191"/>
      <c r="AF64" s="192"/>
      <c r="AG64" s="192"/>
      <c r="AH64" s="192"/>
      <c r="AI64" s="193"/>
      <c r="AJ64" s="191"/>
      <c r="AK64" s="192"/>
      <c r="AL64" s="192"/>
      <c r="AM64" s="192"/>
      <c r="AN64" s="193"/>
      <c r="AO64" s="191"/>
      <c r="AP64" s="192"/>
      <c r="AQ64" s="193"/>
      <c r="AR64" s="194">
        <f t="shared" si="1"/>
        <v>0</v>
      </c>
      <c r="AS64" s="647">
        <f t="shared" ref="AS64" si="56">ROUND((AR64+AR65)/2,0)</f>
        <v>0</v>
      </c>
    </row>
    <row r="65" spans="1:45" ht="16.899999999999999" customHeight="1">
      <c r="A65" s="644"/>
      <c r="B65" s="646"/>
      <c r="C65" s="195">
        <v>2</v>
      </c>
      <c r="D65" s="196"/>
      <c r="E65" s="197"/>
      <c r="F65" s="197"/>
      <c r="G65" s="197"/>
      <c r="H65" s="197"/>
      <c r="I65" s="197"/>
      <c r="J65" s="197"/>
      <c r="K65" s="198"/>
      <c r="L65" s="199"/>
      <c r="M65" s="200"/>
      <c r="N65" s="200"/>
      <c r="O65" s="200"/>
      <c r="P65" s="200"/>
      <c r="Q65" s="201"/>
      <c r="R65" s="199"/>
      <c r="S65" s="200"/>
      <c r="T65" s="200"/>
      <c r="U65" s="201"/>
      <c r="V65" s="199"/>
      <c r="W65" s="200"/>
      <c r="X65" s="200"/>
      <c r="Y65" s="201"/>
      <c r="Z65" s="199"/>
      <c r="AA65" s="200"/>
      <c r="AB65" s="200"/>
      <c r="AC65" s="200"/>
      <c r="AD65" s="201"/>
      <c r="AE65" s="199"/>
      <c r="AF65" s="200"/>
      <c r="AG65" s="200"/>
      <c r="AH65" s="200"/>
      <c r="AI65" s="201"/>
      <c r="AJ65" s="199"/>
      <c r="AK65" s="200"/>
      <c r="AL65" s="200"/>
      <c r="AM65" s="200"/>
      <c r="AN65" s="201"/>
      <c r="AO65" s="199"/>
      <c r="AP65" s="200"/>
      <c r="AQ65" s="201"/>
      <c r="AR65" s="202">
        <f t="shared" si="1"/>
        <v>0</v>
      </c>
      <c r="AS65" s="648"/>
    </row>
    <row r="66" spans="1:45" ht="16.899999999999999" customHeight="1">
      <c r="A66" s="644">
        <v>30</v>
      </c>
      <c r="B66" s="645" t="str">
        <f t="shared" ref="B66" ca="1" si="57">INDIRECT("'A-RACHNATMAK'!b"&amp;(ROW(B59)-1)*1.5+11)</f>
        <v>મકરૂબિયા નમ્રતા વશરામભાઇ</v>
      </c>
      <c r="C66" s="187">
        <v>1</v>
      </c>
      <c r="D66" s="188">
        <v>7</v>
      </c>
      <c r="E66" s="189">
        <v>8</v>
      </c>
      <c r="F66" s="189">
        <v>5</v>
      </c>
      <c r="G66" s="189">
        <v>6</v>
      </c>
      <c r="H66" s="189">
        <v>7</v>
      </c>
      <c r="I66" s="189">
        <v>8</v>
      </c>
      <c r="J66" s="189"/>
      <c r="K66" s="190"/>
      <c r="L66" s="191"/>
      <c r="M66" s="192"/>
      <c r="N66" s="192"/>
      <c r="O66" s="192"/>
      <c r="P66" s="192"/>
      <c r="Q66" s="193"/>
      <c r="R66" s="191"/>
      <c r="S66" s="192"/>
      <c r="T66" s="192"/>
      <c r="U66" s="193"/>
      <c r="V66" s="191"/>
      <c r="W66" s="192"/>
      <c r="X66" s="192"/>
      <c r="Y66" s="193"/>
      <c r="Z66" s="191"/>
      <c r="AA66" s="192"/>
      <c r="AB66" s="192"/>
      <c r="AC66" s="192"/>
      <c r="AD66" s="193"/>
      <c r="AE66" s="191"/>
      <c r="AF66" s="192"/>
      <c r="AG66" s="192"/>
      <c r="AH66" s="192"/>
      <c r="AI66" s="193"/>
      <c r="AJ66" s="191"/>
      <c r="AK66" s="192"/>
      <c r="AL66" s="192"/>
      <c r="AM66" s="192"/>
      <c r="AN66" s="193"/>
      <c r="AO66" s="191"/>
      <c r="AP66" s="192"/>
      <c r="AQ66" s="193"/>
      <c r="AR66" s="194">
        <f t="shared" si="1"/>
        <v>41</v>
      </c>
      <c r="AS66" s="647">
        <f t="shared" ref="AS66" si="58">ROUND((AR66+AR67)/2,0)</f>
        <v>21</v>
      </c>
    </row>
    <row r="67" spans="1:45" ht="16.899999999999999" customHeight="1">
      <c r="A67" s="644"/>
      <c r="B67" s="646"/>
      <c r="C67" s="195">
        <v>2</v>
      </c>
      <c r="D67" s="196"/>
      <c r="E67" s="197"/>
      <c r="F67" s="197"/>
      <c r="G67" s="197"/>
      <c r="H67" s="197"/>
      <c r="I67" s="197"/>
      <c r="J67" s="197"/>
      <c r="K67" s="198"/>
      <c r="L67" s="199"/>
      <c r="M67" s="200"/>
      <c r="N67" s="200"/>
      <c r="O67" s="200"/>
      <c r="P67" s="200"/>
      <c r="Q67" s="201"/>
      <c r="R67" s="199"/>
      <c r="S67" s="200"/>
      <c r="T67" s="200"/>
      <c r="U67" s="201"/>
      <c r="V67" s="199"/>
      <c r="W67" s="200"/>
      <c r="X67" s="200"/>
      <c r="Y67" s="201"/>
      <c r="Z67" s="199"/>
      <c r="AA67" s="200"/>
      <c r="AB67" s="200"/>
      <c r="AC67" s="200"/>
      <c r="AD67" s="201"/>
      <c r="AE67" s="199"/>
      <c r="AF67" s="200"/>
      <c r="AG67" s="200"/>
      <c r="AH67" s="200"/>
      <c r="AI67" s="201"/>
      <c r="AJ67" s="199"/>
      <c r="AK67" s="200"/>
      <c r="AL67" s="200"/>
      <c r="AM67" s="200"/>
      <c r="AN67" s="201"/>
      <c r="AO67" s="199"/>
      <c r="AP67" s="200"/>
      <c r="AQ67" s="201"/>
      <c r="AR67" s="202">
        <f t="shared" si="1"/>
        <v>0</v>
      </c>
      <c r="AS67" s="648"/>
    </row>
    <row r="68" spans="1:45" ht="16.899999999999999" customHeight="1">
      <c r="A68" s="644">
        <v>31</v>
      </c>
      <c r="B68" s="645">
        <f t="shared" ref="B68" ca="1" si="59">INDIRECT("'A-RACHNATMAK'!b"&amp;(ROW(B61)-1)*1.5+11)</f>
        <v>0</v>
      </c>
      <c r="C68" s="187">
        <v>1</v>
      </c>
      <c r="D68" s="188"/>
      <c r="E68" s="189"/>
      <c r="F68" s="189"/>
      <c r="G68" s="189"/>
      <c r="H68" s="189"/>
      <c r="I68" s="189"/>
      <c r="J68" s="189"/>
      <c r="K68" s="190"/>
      <c r="L68" s="191"/>
      <c r="M68" s="192"/>
      <c r="N68" s="192"/>
      <c r="O68" s="192"/>
      <c r="P68" s="192"/>
      <c r="Q68" s="193"/>
      <c r="R68" s="191"/>
      <c r="S68" s="192"/>
      <c r="T68" s="192"/>
      <c r="U68" s="193"/>
      <c r="V68" s="191"/>
      <c r="W68" s="192"/>
      <c r="X68" s="192"/>
      <c r="Y68" s="193"/>
      <c r="Z68" s="191"/>
      <c r="AA68" s="192"/>
      <c r="AB68" s="192"/>
      <c r="AC68" s="192"/>
      <c r="AD68" s="193"/>
      <c r="AE68" s="191"/>
      <c r="AF68" s="192"/>
      <c r="AG68" s="192"/>
      <c r="AH68" s="192"/>
      <c r="AI68" s="193"/>
      <c r="AJ68" s="191"/>
      <c r="AK68" s="192"/>
      <c r="AL68" s="192"/>
      <c r="AM68" s="192"/>
      <c r="AN68" s="193"/>
      <c r="AO68" s="191"/>
      <c r="AP68" s="192"/>
      <c r="AQ68" s="193"/>
      <c r="AR68" s="194">
        <f t="shared" si="1"/>
        <v>0</v>
      </c>
      <c r="AS68" s="647">
        <f t="shared" ref="AS68" si="60">ROUND((AR68+AR69)/2,0)</f>
        <v>0</v>
      </c>
    </row>
    <row r="69" spans="1:45" ht="16.899999999999999" customHeight="1">
      <c r="A69" s="644"/>
      <c r="B69" s="646"/>
      <c r="C69" s="195">
        <v>2</v>
      </c>
      <c r="D69" s="196"/>
      <c r="E69" s="197"/>
      <c r="F69" s="197"/>
      <c r="G69" s="197"/>
      <c r="H69" s="197"/>
      <c r="I69" s="197"/>
      <c r="J69" s="197"/>
      <c r="K69" s="198"/>
      <c r="L69" s="199"/>
      <c r="M69" s="200"/>
      <c r="N69" s="200"/>
      <c r="O69" s="200"/>
      <c r="P69" s="200"/>
      <c r="Q69" s="201"/>
      <c r="R69" s="199"/>
      <c r="S69" s="200"/>
      <c r="T69" s="200"/>
      <c r="U69" s="201"/>
      <c r="V69" s="199"/>
      <c r="W69" s="200"/>
      <c r="X69" s="200"/>
      <c r="Y69" s="201"/>
      <c r="Z69" s="199"/>
      <c r="AA69" s="200"/>
      <c r="AB69" s="200"/>
      <c r="AC69" s="200"/>
      <c r="AD69" s="201"/>
      <c r="AE69" s="199"/>
      <c r="AF69" s="200"/>
      <c r="AG69" s="200"/>
      <c r="AH69" s="200"/>
      <c r="AI69" s="201"/>
      <c r="AJ69" s="199"/>
      <c r="AK69" s="200"/>
      <c r="AL69" s="200"/>
      <c r="AM69" s="200"/>
      <c r="AN69" s="201"/>
      <c r="AO69" s="199"/>
      <c r="AP69" s="200"/>
      <c r="AQ69" s="201"/>
      <c r="AR69" s="202">
        <f t="shared" si="1"/>
        <v>0</v>
      </c>
      <c r="AS69" s="648"/>
    </row>
    <row r="70" spans="1:45" ht="16.899999999999999" customHeight="1">
      <c r="A70" s="644">
        <v>32</v>
      </c>
      <c r="B70" s="645">
        <f t="shared" ref="B70" ca="1" si="61">INDIRECT("'A-RACHNATMAK'!b"&amp;(ROW(B63)-1)*1.5+11)</f>
        <v>0</v>
      </c>
      <c r="C70" s="187">
        <v>1</v>
      </c>
      <c r="D70" s="188"/>
      <c r="E70" s="189"/>
      <c r="F70" s="189"/>
      <c r="G70" s="189"/>
      <c r="H70" s="189"/>
      <c r="I70" s="189"/>
      <c r="J70" s="189"/>
      <c r="K70" s="190"/>
      <c r="L70" s="191"/>
      <c r="M70" s="192"/>
      <c r="N70" s="192"/>
      <c r="O70" s="192"/>
      <c r="P70" s="192"/>
      <c r="Q70" s="193"/>
      <c r="R70" s="191"/>
      <c r="S70" s="192"/>
      <c r="T70" s="192"/>
      <c r="U70" s="193"/>
      <c r="V70" s="191"/>
      <c r="W70" s="192"/>
      <c r="X70" s="192"/>
      <c r="Y70" s="193"/>
      <c r="Z70" s="191"/>
      <c r="AA70" s="192"/>
      <c r="AB70" s="192"/>
      <c r="AC70" s="192"/>
      <c r="AD70" s="193"/>
      <c r="AE70" s="191"/>
      <c r="AF70" s="192"/>
      <c r="AG70" s="192"/>
      <c r="AH70" s="192"/>
      <c r="AI70" s="193"/>
      <c r="AJ70" s="191"/>
      <c r="AK70" s="192"/>
      <c r="AL70" s="192"/>
      <c r="AM70" s="192"/>
      <c r="AN70" s="193"/>
      <c r="AO70" s="191"/>
      <c r="AP70" s="192"/>
      <c r="AQ70" s="193"/>
      <c r="AR70" s="194">
        <f t="shared" si="1"/>
        <v>0</v>
      </c>
      <c r="AS70" s="647">
        <f t="shared" ref="AS70" si="62">ROUND((AR70+AR71)/2,0)</f>
        <v>0</v>
      </c>
    </row>
    <row r="71" spans="1:45" ht="16.899999999999999" customHeight="1">
      <c r="A71" s="644"/>
      <c r="B71" s="646"/>
      <c r="C71" s="195">
        <v>2</v>
      </c>
      <c r="D71" s="196"/>
      <c r="E71" s="197"/>
      <c r="F71" s="197"/>
      <c r="G71" s="197"/>
      <c r="H71" s="197"/>
      <c r="I71" s="197"/>
      <c r="J71" s="197"/>
      <c r="K71" s="198"/>
      <c r="L71" s="199"/>
      <c r="M71" s="200"/>
      <c r="N71" s="200"/>
      <c r="O71" s="200"/>
      <c r="P71" s="200"/>
      <c r="Q71" s="201"/>
      <c r="R71" s="199"/>
      <c r="S71" s="200"/>
      <c r="T71" s="200"/>
      <c r="U71" s="201"/>
      <c r="V71" s="199"/>
      <c r="W71" s="200"/>
      <c r="X71" s="200"/>
      <c r="Y71" s="201"/>
      <c r="Z71" s="199"/>
      <c r="AA71" s="200"/>
      <c r="AB71" s="200"/>
      <c r="AC71" s="200"/>
      <c r="AD71" s="201"/>
      <c r="AE71" s="199"/>
      <c r="AF71" s="200"/>
      <c r="AG71" s="200"/>
      <c r="AH71" s="200"/>
      <c r="AI71" s="201"/>
      <c r="AJ71" s="199"/>
      <c r="AK71" s="200"/>
      <c r="AL71" s="200"/>
      <c r="AM71" s="200"/>
      <c r="AN71" s="201"/>
      <c r="AO71" s="199"/>
      <c r="AP71" s="200"/>
      <c r="AQ71" s="201"/>
      <c r="AR71" s="202">
        <f t="shared" si="1"/>
        <v>0</v>
      </c>
      <c r="AS71" s="648"/>
    </row>
    <row r="72" spans="1:45" ht="16.899999999999999" customHeight="1">
      <c r="A72" s="644">
        <v>33</v>
      </c>
      <c r="B72" s="645">
        <f t="shared" ref="B72" ca="1" si="63">INDIRECT("'A-RACHNATMAK'!b"&amp;(ROW(B65)-1)*1.5+11)</f>
        <v>0</v>
      </c>
      <c r="C72" s="187">
        <v>1</v>
      </c>
      <c r="D72" s="188"/>
      <c r="E72" s="189"/>
      <c r="F72" s="189"/>
      <c r="G72" s="189"/>
      <c r="H72" s="189"/>
      <c r="I72" s="189"/>
      <c r="J72" s="189"/>
      <c r="K72" s="190"/>
      <c r="L72" s="191"/>
      <c r="M72" s="192"/>
      <c r="N72" s="192"/>
      <c r="O72" s="192"/>
      <c r="P72" s="192"/>
      <c r="Q72" s="193"/>
      <c r="R72" s="191"/>
      <c r="S72" s="192"/>
      <c r="T72" s="192"/>
      <c r="U72" s="193"/>
      <c r="V72" s="191"/>
      <c r="W72" s="192"/>
      <c r="X72" s="192"/>
      <c r="Y72" s="193"/>
      <c r="Z72" s="191"/>
      <c r="AA72" s="192"/>
      <c r="AB72" s="192"/>
      <c r="AC72" s="192"/>
      <c r="AD72" s="193"/>
      <c r="AE72" s="191"/>
      <c r="AF72" s="192"/>
      <c r="AG72" s="192"/>
      <c r="AH72" s="192"/>
      <c r="AI72" s="193"/>
      <c r="AJ72" s="191"/>
      <c r="AK72" s="192"/>
      <c r="AL72" s="192"/>
      <c r="AM72" s="192"/>
      <c r="AN72" s="193"/>
      <c r="AO72" s="191"/>
      <c r="AP72" s="192"/>
      <c r="AQ72" s="193"/>
      <c r="AR72" s="194">
        <f t="shared" si="1"/>
        <v>0</v>
      </c>
      <c r="AS72" s="647">
        <f t="shared" ref="AS72" si="64">ROUND((AR72+AR73)/2,0)</f>
        <v>0</v>
      </c>
    </row>
    <row r="73" spans="1:45" ht="16.899999999999999" customHeight="1">
      <c r="A73" s="644"/>
      <c r="B73" s="646"/>
      <c r="C73" s="195">
        <v>2</v>
      </c>
      <c r="D73" s="196"/>
      <c r="E73" s="197"/>
      <c r="F73" s="197"/>
      <c r="G73" s="197"/>
      <c r="H73" s="197"/>
      <c r="I73" s="197"/>
      <c r="J73" s="197"/>
      <c r="K73" s="198"/>
      <c r="L73" s="199"/>
      <c r="M73" s="200"/>
      <c r="N73" s="200"/>
      <c r="O73" s="200"/>
      <c r="P73" s="200"/>
      <c r="Q73" s="201"/>
      <c r="R73" s="199"/>
      <c r="S73" s="200"/>
      <c r="T73" s="200"/>
      <c r="U73" s="201"/>
      <c r="V73" s="199"/>
      <c r="W73" s="200"/>
      <c r="X73" s="200"/>
      <c r="Y73" s="201"/>
      <c r="Z73" s="199"/>
      <c r="AA73" s="200"/>
      <c r="AB73" s="200"/>
      <c r="AC73" s="200"/>
      <c r="AD73" s="201"/>
      <c r="AE73" s="199"/>
      <c r="AF73" s="200"/>
      <c r="AG73" s="200"/>
      <c r="AH73" s="200"/>
      <c r="AI73" s="201"/>
      <c r="AJ73" s="199"/>
      <c r="AK73" s="200"/>
      <c r="AL73" s="200"/>
      <c r="AM73" s="200"/>
      <c r="AN73" s="201"/>
      <c r="AO73" s="199"/>
      <c r="AP73" s="200"/>
      <c r="AQ73" s="201"/>
      <c r="AR73" s="202">
        <f t="shared" si="1"/>
        <v>0</v>
      </c>
      <c r="AS73" s="648"/>
    </row>
    <row r="74" spans="1:45" ht="16.899999999999999" customHeight="1">
      <c r="A74" s="644">
        <v>34</v>
      </c>
      <c r="B74" s="645">
        <f t="shared" ref="B74" ca="1" si="65">INDIRECT("'A-RACHNATMAK'!b"&amp;(ROW(B67)-1)*1.5+11)</f>
        <v>0</v>
      </c>
      <c r="C74" s="187">
        <v>1</v>
      </c>
      <c r="D74" s="188"/>
      <c r="E74" s="189"/>
      <c r="F74" s="189"/>
      <c r="G74" s="189"/>
      <c r="H74" s="189"/>
      <c r="I74" s="189"/>
      <c r="J74" s="189"/>
      <c r="K74" s="190"/>
      <c r="L74" s="191"/>
      <c r="M74" s="192"/>
      <c r="N74" s="192"/>
      <c r="O74" s="192"/>
      <c r="P74" s="192"/>
      <c r="Q74" s="193"/>
      <c r="R74" s="191"/>
      <c r="S74" s="192"/>
      <c r="T74" s="192"/>
      <c r="U74" s="193"/>
      <c r="V74" s="191"/>
      <c r="W74" s="192"/>
      <c r="X74" s="192"/>
      <c r="Y74" s="193"/>
      <c r="Z74" s="191"/>
      <c r="AA74" s="192"/>
      <c r="AB74" s="192"/>
      <c r="AC74" s="192"/>
      <c r="AD74" s="193"/>
      <c r="AE74" s="191"/>
      <c r="AF74" s="192"/>
      <c r="AG74" s="192"/>
      <c r="AH74" s="192"/>
      <c r="AI74" s="193"/>
      <c r="AJ74" s="191"/>
      <c r="AK74" s="192"/>
      <c r="AL74" s="192"/>
      <c r="AM74" s="192"/>
      <c r="AN74" s="193"/>
      <c r="AO74" s="191"/>
      <c r="AP74" s="192"/>
      <c r="AQ74" s="193"/>
      <c r="AR74" s="194">
        <f t="shared" ref="AR74:AR77" si="66">SUM(D74:AQ74)</f>
        <v>0</v>
      </c>
      <c r="AS74" s="647">
        <f t="shared" ref="AS74" si="67">ROUND((AR74+AR75)/2,0)</f>
        <v>0</v>
      </c>
    </row>
    <row r="75" spans="1:45" ht="16.899999999999999" customHeight="1">
      <c r="A75" s="644"/>
      <c r="B75" s="646"/>
      <c r="C75" s="195">
        <v>2</v>
      </c>
      <c r="D75" s="196"/>
      <c r="E75" s="197"/>
      <c r="F75" s="197"/>
      <c r="G75" s="197"/>
      <c r="H75" s="197"/>
      <c r="I75" s="197"/>
      <c r="J75" s="197"/>
      <c r="K75" s="198"/>
      <c r="L75" s="199"/>
      <c r="M75" s="200"/>
      <c r="N75" s="200"/>
      <c r="O75" s="200"/>
      <c r="P75" s="200"/>
      <c r="Q75" s="201"/>
      <c r="R75" s="199"/>
      <c r="S75" s="200"/>
      <c r="T75" s="200"/>
      <c r="U75" s="201"/>
      <c r="V75" s="199"/>
      <c r="W75" s="200"/>
      <c r="X75" s="200"/>
      <c r="Y75" s="201"/>
      <c r="Z75" s="199"/>
      <c r="AA75" s="200"/>
      <c r="AB75" s="200"/>
      <c r="AC75" s="200"/>
      <c r="AD75" s="201"/>
      <c r="AE75" s="199"/>
      <c r="AF75" s="200"/>
      <c r="AG75" s="200"/>
      <c r="AH75" s="200"/>
      <c r="AI75" s="201"/>
      <c r="AJ75" s="199"/>
      <c r="AK75" s="200"/>
      <c r="AL75" s="200"/>
      <c r="AM75" s="200"/>
      <c r="AN75" s="201"/>
      <c r="AO75" s="199"/>
      <c r="AP75" s="200"/>
      <c r="AQ75" s="201"/>
      <c r="AR75" s="202">
        <f t="shared" si="66"/>
        <v>0</v>
      </c>
      <c r="AS75" s="648"/>
    </row>
    <row r="76" spans="1:45" ht="16.899999999999999" customHeight="1">
      <c r="A76" s="644">
        <v>35</v>
      </c>
      <c r="B76" s="645">
        <f t="shared" ref="B76" ca="1" si="68">INDIRECT("'A-RACHNATMAK'!b"&amp;(ROW(B69)-1)*1.5+11)</f>
        <v>0</v>
      </c>
      <c r="C76" s="187">
        <v>1</v>
      </c>
      <c r="D76" s="188"/>
      <c r="E76" s="189"/>
      <c r="F76" s="189"/>
      <c r="G76" s="189"/>
      <c r="H76" s="189"/>
      <c r="I76" s="189"/>
      <c r="J76" s="189"/>
      <c r="K76" s="190"/>
      <c r="L76" s="191"/>
      <c r="M76" s="192"/>
      <c r="N76" s="192"/>
      <c r="O76" s="192"/>
      <c r="P76" s="192"/>
      <c r="Q76" s="193"/>
      <c r="R76" s="191"/>
      <c r="S76" s="192"/>
      <c r="T76" s="192"/>
      <c r="U76" s="193"/>
      <c r="V76" s="191"/>
      <c r="W76" s="192"/>
      <c r="X76" s="192"/>
      <c r="Y76" s="193"/>
      <c r="Z76" s="191"/>
      <c r="AA76" s="192"/>
      <c r="AB76" s="192"/>
      <c r="AC76" s="192"/>
      <c r="AD76" s="193"/>
      <c r="AE76" s="191"/>
      <c r="AF76" s="192"/>
      <c r="AG76" s="192"/>
      <c r="AH76" s="192"/>
      <c r="AI76" s="193"/>
      <c r="AJ76" s="191"/>
      <c r="AK76" s="192"/>
      <c r="AL76" s="192"/>
      <c r="AM76" s="192"/>
      <c r="AN76" s="193"/>
      <c r="AO76" s="191"/>
      <c r="AP76" s="192"/>
      <c r="AQ76" s="193"/>
      <c r="AR76" s="194">
        <f t="shared" si="66"/>
        <v>0</v>
      </c>
      <c r="AS76" s="647">
        <f t="shared" ref="AS76" si="69">ROUND((AR76+AR77)/2,0)</f>
        <v>0</v>
      </c>
    </row>
    <row r="77" spans="1:45" ht="16.899999999999999" customHeight="1">
      <c r="A77" s="644"/>
      <c r="B77" s="649"/>
      <c r="C77" s="195">
        <v>2</v>
      </c>
      <c r="D77" s="196"/>
      <c r="E77" s="197"/>
      <c r="F77" s="197"/>
      <c r="G77" s="197"/>
      <c r="H77" s="197"/>
      <c r="I77" s="197"/>
      <c r="J77" s="197"/>
      <c r="K77" s="198"/>
      <c r="L77" s="199"/>
      <c r="M77" s="200"/>
      <c r="N77" s="200"/>
      <c r="O77" s="200"/>
      <c r="P77" s="200"/>
      <c r="Q77" s="201"/>
      <c r="R77" s="199"/>
      <c r="S77" s="200"/>
      <c r="T77" s="200"/>
      <c r="U77" s="201"/>
      <c r="V77" s="199"/>
      <c r="W77" s="200"/>
      <c r="X77" s="200"/>
      <c r="Y77" s="201"/>
      <c r="Z77" s="199"/>
      <c r="AA77" s="200"/>
      <c r="AB77" s="200"/>
      <c r="AC77" s="200"/>
      <c r="AD77" s="201"/>
      <c r="AE77" s="199"/>
      <c r="AF77" s="200"/>
      <c r="AG77" s="200"/>
      <c r="AH77" s="200"/>
      <c r="AI77" s="201"/>
      <c r="AJ77" s="199"/>
      <c r="AK77" s="200"/>
      <c r="AL77" s="200"/>
      <c r="AM77" s="200"/>
      <c r="AN77" s="201"/>
      <c r="AO77" s="199"/>
      <c r="AP77" s="200"/>
      <c r="AQ77" s="201"/>
      <c r="AR77" s="202">
        <f t="shared" si="66"/>
        <v>0</v>
      </c>
      <c r="AS77" s="648"/>
    </row>
    <row r="78" spans="1:45" ht="19.5" customHeight="1"/>
    <row r="79" spans="1:45" ht="21.75" customHeight="1"/>
    <row r="80" spans="1:45" ht="21.75" customHeight="1"/>
    <row r="81" spans="2:43" ht="15" customHeight="1">
      <c r="B81" s="228" t="s">
        <v>263</v>
      </c>
      <c r="AJ81" s="650" t="s">
        <v>264</v>
      </c>
      <c r="AK81" s="650"/>
      <c r="AL81" s="650"/>
      <c r="AM81" s="650"/>
      <c r="AN81" s="650"/>
      <c r="AO81" s="650"/>
      <c r="AP81" s="650"/>
      <c r="AQ81" s="650"/>
    </row>
  </sheetData>
  <sheetProtection password="DC6E" sheet="1" objects="1" scenarios="1"/>
  <mergeCells count="133">
    <mergeCell ref="B1:AS1"/>
    <mergeCell ref="B2:AS2"/>
    <mergeCell ref="AJ81:AQ81"/>
    <mergeCell ref="D5:K5"/>
    <mergeCell ref="D6:K6"/>
    <mergeCell ref="L5:Q5"/>
    <mergeCell ref="L6:Q6"/>
    <mergeCell ref="R5:AI5"/>
    <mergeCell ref="AJ6:AN6"/>
    <mergeCell ref="AO6:AQ6"/>
    <mergeCell ref="AJ5:AQ5"/>
    <mergeCell ref="AR5:AS6"/>
    <mergeCell ref="R6:U6"/>
    <mergeCell ref="V6:Y6"/>
    <mergeCell ref="Z6:AD6"/>
    <mergeCell ref="AE6:AI6"/>
    <mergeCell ref="P3:S3"/>
    <mergeCell ref="B5:B7"/>
    <mergeCell ref="C5:C7"/>
    <mergeCell ref="AS8:AS9"/>
    <mergeCell ref="AS10:AS11"/>
    <mergeCell ref="AS20:AS21"/>
    <mergeCell ref="AS22:AS23"/>
    <mergeCell ref="AS24:AS25"/>
    <mergeCell ref="A8:A9"/>
    <mergeCell ref="B8:B9"/>
    <mergeCell ref="A10:A11"/>
    <mergeCell ref="A12:A13"/>
    <mergeCell ref="A34:A35"/>
    <mergeCell ref="A36:A37"/>
    <mergeCell ref="A14:A15"/>
    <mergeCell ref="A16:A17"/>
    <mergeCell ref="A18:A19"/>
    <mergeCell ref="A20:A21"/>
    <mergeCell ref="A22:A23"/>
    <mergeCell ref="A24:A25"/>
    <mergeCell ref="B22:B23"/>
    <mergeCell ref="A26:A27"/>
    <mergeCell ref="A28:A29"/>
    <mergeCell ref="A30:A31"/>
    <mergeCell ref="A32:A33"/>
    <mergeCell ref="B32:B33"/>
    <mergeCell ref="B34:B35"/>
    <mergeCell ref="A38:A39"/>
    <mergeCell ref="A40:A41"/>
    <mergeCell ref="A42:A43"/>
    <mergeCell ref="B10:B11"/>
    <mergeCell ref="B12:B13"/>
    <mergeCell ref="B14:B15"/>
    <mergeCell ref="B16:B17"/>
    <mergeCell ref="B18:B19"/>
    <mergeCell ref="B20:B21"/>
    <mergeCell ref="B36:B37"/>
    <mergeCell ref="B38:B39"/>
    <mergeCell ref="B40:B41"/>
    <mergeCell ref="B42:B43"/>
    <mergeCell ref="B24:B25"/>
    <mergeCell ref="B26:B27"/>
    <mergeCell ref="B28:B29"/>
    <mergeCell ref="B30:B31"/>
    <mergeCell ref="AS48:AS49"/>
    <mergeCell ref="AS50:AS51"/>
    <mergeCell ref="AS52:AS53"/>
    <mergeCell ref="AS54:AS55"/>
    <mergeCell ref="AS56:AS57"/>
    <mergeCell ref="AS58:AS59"/>
    <mergeCell ref="AS60:AS61"/>
    <mergeCell ref="AS62:AS63"/>
    <mergeCell ref="AS12:AS13"/>
    <mergeCell ref="AS14:AS15"/>
    <mergeCell ref="AS16:AS17"/>
    <mergeCell ref="AS18:AS19"/>
    <mergeCell ref="AS26:AS27"/>
    <mergeCell ref="AS28:AS29"/>
    <mergeCell ref="AS30:AS31"/>
    <mergeCell ref="AS44:AS45"/>
    <mergeCell ref="AS46:AS47"/>
    <mergeCell ref="AS32:AS33"/>
    <mergeCell ref="AS34:AS35"/>
    <mergeCell ref="AS36:AS37"/>
    <mergeCell ref="AS38:AS39"/>
    <mergeCell ref="AS40:AS41"/>
    <mergeCell ref="AS42:AS43"/>
    <mergeCell ref="F3:G3"/>
    <mergeCell ref="H3:I3"/>
    <mergeCell ref="N3:O3"/>
    <mergeCell ref="AD3:AE3"/>
    <mergeCell ref="AF3:AG3"/>
    <mergeCell ref="AJ3:AK3"/>
    <mergeCell ref="Z3:AA3"/>
    <mergeCell ref="V3:Y3"/>
    <mergeCell ref="AL3:AO3"/>
    <mergeCell ref="A44:A45"/>
    <mergeCell ref="B44:B45"/>
    <mergeCell ref="A46:A47"/>
    <mergeCell ref="B46:B47"/>
    <mergeCell ref="A48:A49"/>
    <mergeCell ref="B48:B49"/>
    <mergeCell ref="A50:A51"/>
    <mergeCell ref="B50:B51"/>
    <mergeCell ref="A52:A53"/>
    <mergeCell ref="B52:B53"/>
    <mergeCell ref="A54:A55"/>
    <mergeCell ref="B54:B55"/>
    <mergeCell ref="A56:A57"/>
    <mergeCell ref="B56:B57"/>
    <mergeCell ref="A58:A59"/>
    <mergeCell ref="B58:B59"/>
    <mergeCell ref="A60:A61"/>
    <mergeCell ref="B60:B61"/>
    <mergeCell ref="A62:A63"/>
    <mergeCell ref="B62:B63"/>
    <mergeCell ref="A64:A65"/>
    <mergeCell ref="B64:B65"/>
    <mergeCell ref="AS64:AS65"/>
    <mergeCell ref="A66:A67"/>
    <mergeCell ref="B66:B67"/>
    <mergeCell ref="AS66:AS67"/>
    <mergeCell ref="A68:A69"/>
    <mergeCell ref="B68:B69"/>
    <mergeCell ref="AS68:AS69"/>
    <mergeCell ref="A70:A71"/>
    <mergeCell ref="B70:B71"/>
    <mergeCell ref="AS70:AS71"/>
    <mergeCell ref="A76:A77"/>
    <mergeCell ref="B76:B77"/>
    <mergeCell ref="AS76:AS77"/>
    <mergeCell ref="A72:A73"/>
    <mergeCell ref="B72:B73"/>
    <mergeCell ref="AS72:AS73"/>
    <mergeCell ref="A74:A75"/>
    <mergeCell ref="B74:B75"/>
    <mergeCell ref="AS74:AS75"/>
  </mergeCells>
  <conditionalFormatting sqref="B8:B77">
    <cfRule type="cellIs" dxfId="9" priority="2" operator="equal">
      <formula>0</formula>
    </cfRule>
  </conditionalFormatting>
  <dataValidations count="1">
    <dataValidation type="whole" allowBlank="1" showInputMessage="1" showErrorMessage="1" errorTitle="સૂચના" error="આ ખાનામાં 0 થી 10 સુધીની સંખ્યા ઉમેરો..." sqref="D8:AQ77">
      <formula1>0</formula1>
      <formula2>10</formula2>
    </dataValidation>
  </dataValidations>
  <hyperlinks>
    <hyperlink ref="A1" location="INDEX!A1" display="IN"/>
  </hyperlinks>
  <pageMargins left="0.2" right="0.2" top="0.25" bottom="0.2" header="0" footer="0"/>
  <pageSetup paperSize="5" scale="97" pageOrder="overThenDown" orientation="landscape" horizontalDpi="4294967292" verticalDpi="300" r:id="rId1"/>
  <rowBreaks count="3" manualBreakCount="3">
    <brk id="23" max="16383" man="1"/>
    <brk id="43" max="16383" man="1"/>
    <brk id="63"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5" tint="-0.249977111117893"/>
  </sheetPr>
  <dimension ref="A1:X37"/>
  <sheetViews>
    <sheetView showGridLines="0" view="pageBreakPreview" zoomScaleSheetLayoutView="100" workbookViewId="0">
      <pane ySplit="1" topLeftCell="A20" activePane="bottomLeft" state="frozen"/>
      <selection pane="bottomLeft" sqref="A1:C1"/>
    </sheetView>
  </sheetViews>
  <sheetFormatPr defaultColWidth="0" defaultRowHeight="15" zeroHeight="1"/>
  <cols>
    <col min="1" max="1" width="2.140625" style="41" customWidth="1"/>
    <col min="2" max="2" width="1.7109375" style="41" customWidth="1"/>
    <col min="3" max="3" width="10.42578125" style="41" customWidth="1"/>
    <col min="4" max="21" width="4.42578125" style="41" customWidth="1"/>
    <col min="22" max="22" width="9" style="41" customWidth="1"/>
    <col min="23" max="23" width="1.85546875" style="41" customWidth="1"/>
    <col min="24" max="24" width="2.42578125" style="41" customWidth="1"/>
    <col min="25" max="16384" width="9.140625" style="41" hidden="1"/>
  </cols>
  <sheetData>
    <row r="1" spans="1:24" ht="21.75" customHeight="1" thickBot="1">
      <c r="A1" s="651" t="s">
        <v>492</v>
      </c>
      <c r="B1" s="651"/>
      <c r="C1" s="651"/>
    </row>
    <row r="2" spans="1:24" ht="20.25" thickBot="1">
      <c r="A2" s="214"/>
      <c r="B2" s="215"/>
      <c r="C2" s="215"/>
      <c r="D2" s="215"/>
      <c r="E2" s="215"/>
      <c r="F2" s="215"/>
      <c r="G2" s="216" t="s">
        <v>184</v>
      </c>
      <c r="H2" s="216"/>
      <c r="I2" s="216"/>
      <c r="J2" s="216"/>
      <c r="K2" s="216"/>
      <c r="L2" s="216"/>
      <c r="M2" s="216"/>
      <c r="N2" s="216"/>
      <c r="O2" s="216"/>
      <c r="P2" s="216"/>
      <c r="Q2" s="216"/>
      <c r="R2" s="216"/>
      <c r="S2" s="216"/>
      <c r="T2" s="216"/>
      <c r="U2" s="216"/>
      <c r="V2" s="216"/>
      <c r="W2" s="216"/>
      <c r="X2" s="217"/>
    </row>
    <row r="3" spans="1:24" ht="66.75" customHeight="1">
      <c r="A3" s="218"/>
      <c r="B3" s="63"/>
      <c r="C3" s="652" t="s">
        <v>199</v>
      </c>
      <c r="D3" s="652"/>
      <c r="E3" s="652"/>
      <c r="F3" s="652"/>
      <c r="G3" s="652"/>
      <c r="H3" s="652"/>
      <c r="I3" s="652"/>
      <c r="J3" s="652"/>
      <c r="K3" s="652"/>
      <c r="L3" s="652"/>
      <c r="M3" s="652"/>
      <c r="N3" s="652"/>
      <c r="O3" s="652"/>
      <c r="P3" s="652"/>
      <c r="Q3" s="652"/>
      <c r="R3" s="652"/>
      <c r="S3" s="652"/>
      <c r="T3" s="652"/>
      <c r="U3" s="652"/>
      <c r="V3" s="652"/>
      <c r="W3" s="64"/>
      <c r="X3" s="219"/>
    </row>
    <row r="4" spans="1:24" ht="75.75" customHeight="1">
      <c r="A4" s="220"/>
      <c r="B4" s="65"/>
      <c r="C4" s="653" t="str">
        <f>SCHOOL!B8</f>
        <v>જિલ્લા પંચાયત શિક્ષણ સમિતિ, અમરેલી</v>
      </c>
      <c r="D4" s="653"/>
      <c r="E4" s="653"/>
      <c r="F4" s="653"/>
      <c r="G4" s="653"/>
      <c r="H4" s="653"/>
      <c r="I4" s="653"/>
      <c r="J4" s="653"/>
      <c r="K4" s="653"/>
      <c r="L4" s="653"/>
      <c r="M4" s="653"/>
      <c r="N4" s="653"/>
      <c r="O4" s="653"/>
      <c r="P4" s="653"/>
      <c r="Q4" s="653"/>
      <c r="R4" s="653"/>
      <c r="S4" s="653"/>
      <c r="T4" s="653"/>
      <c r="U4" s="653"/>
      <c r="V4" s="653"/>
      <c r="W4" s="66"/>
      <c r="X4" s="219"/>
    </row>
    <row r="5" spans="1:24">
      <c r="A5" s="220"/>
      <c r="B5" s="65"/>
      <c r="C5" s="42"/>
      <c r="D5" s="42"/>
      <c r="E5" s="42"/>
      <c r="F5" s="42"/>
      <c r="G5" s="42"/>
      <c r="H5" s="42"/>
      <c r="I5" s="42"/>
      <c r="J5" s="42"/>
      <c r="K5" s="42"/>
      <c r="L5" s="42"/>
      <c r="M5" s="42"/>
      <c r="N5" s="42"/>
      <c r="O5" s="42"/>
      <c r="P5" s="42"/>
      <c r="Q5" s="42"/>
      <c r="R5" s="42"/>
      <c r="S5" s="42"/>
      <c r="T5" s="42"/>
      <c r="U5" s="42"/>
      <c r="V5" s="42"/>
      <c r="W5" s="67"/>
      <c r="X5" s="219"/>
    </row>
    <row r="6" spans="1:24">
      <c r="A6" s="220"/>
      <c r="B6" s="65"/>
      <c r="C6" s="42"/>
      <c r="D6" s="42"/>
      <c r="E6" s="42"/>
      <c r="F6" s="42"/>
      <c r="G6" s="42"/>
      <c r="H6" s="42"/>
      <c r="I6" s="42"/>
      <c r="J6" s="42"/>
      <c r="K6" s="42"/>
      <c r="L6" s="42"/>
      <c r="M6" s="42"/>
      <c r="N6" s="42"/>
      <c r="O6" s="42"/>
      <c r="P6" s="42"/>
      <c r="Q6" s="42"/>
      <c r="R6" s="42"/>
      <c r="S6" s="42"/>
      <c r="T6" s="42"/>
      <c r="U6" s="42"/>
      <c r="V6" s="42"/>
      <c r="W6" s="67"/>
      <c r="X6" s="219"/>
    </row>
    <row r="7" spans="1:24">
      <c r="A7" s="220"/>
      <c r="B7" s="65"/>
      <c r="C7" s="42"/>
      <c r="D7" s="42"/>
      <c r="E7" s="42"/>
      <c r="F7" s="42"/>
      <c r="G7" s="42"/>
      <c r="H7" s="42"/>
      <c r="I7" s="42"/>
      <c r="J7" s="42"/>
      <c r="K7" s="42"/>
      <c r="L7" s="42"/>
      <c r="M7" s="42"/>
      <c r="N7" s="42"/>
      <c r="O7" s="42"/>
      <c r="P7" s="42"/>
      <c r="Q7" s="42"/>
      <c r="R7" s="42"/>
      <c r="S7" s="42"/>
      <c r="T7" s="42"/>
      <c r="U7" s="42"/>
      <c r="V7" s="42"/>
      <c r="W7" s="67"/>
      <c r="X7" s="219"/>
    </row>
    <row r="8" spans="1:24">
      <c r="A8" s="220"/>
      <c r="B8" s="65"/>
      <c r="C8" s="42"/>
      <c r="D8" s="42"/>
      <c r="E8" s="42"/>
      <c r="F8" s="42"/>
      <c r="G8" s="42"/>
      <c r="H8" s="42"/>
      <c r="I8" s="42"/>
      <c r="J8" s="42"/>
      <c r="K8" s="42"/>
      <c r="L8" s="42"/>
      <c r="M8" s="42"/>
      <c r="N8" s="42"/>
      <c r="O8" s="42"/>
      <c r="P8" s="42"/>
      <c r="Q8" s="42"/>
      <c r="R8" s="42"/>
      <c r="S8" s="42"/>
      <c r="T8" s="42"/>
      <c r="U8" s="42"/>
      <c r="V8" s="42"/>
      <c r="W8" s="67"/>
      <c r="X8" s="219"/>
    </row>
    <row r="9" spans="1:24">
      <c r="A9" s="220"/>
      <c r="B9" s="65"/>
      <c r="C9" s="42"/>
      <c r="D9" s="42"/>
      <c r="E9" s="42"/>
      <c r="F9" s="42"/>
      <c r="G9" s="42"/>
      <c r="H9" s="42"/>
      <c r="I9" s="42"/>
      <c r="J9" s="42"/>
      <c r="K9" s="42"/>
      <c r="L9" s="42"/>
      <c r="M9" s="42"/>
      <c r="N9" s="42"/>
      <c r="O9" s="42"/>
      <c r="P9" s="42"/>
      <c r="Q9" s="42"/>
      <c r="R9" s="42"/>
      <c r="S9" s="42"/>
      <c r="T9" s="42"/>
      <c r="U9" s="42"/>
      <c r="V9" s="42"/>
      <c r="W9" s="67"/>
      <c r="X9" s="219"/>
    </row>
    <row r="10" spans="1:24">
      <c r="A10" s="220"/>
      <c r="B10" s="65"/>
      <c r="C10" s="42"/>
      <c r="D10" s="42"/>
      <c r="E10" s="42"/>
      <c r="F10" s="42"/>
      <c r="G10" s="42"/>
      <c r="H10" s="42"/>
      <c r="I10" s="42"/>
      <c r="J10" s="42"/>
      <c r="K10" s="42"/>
      <c r="L10" s="42"/>
      <c r="M10" s="42"/>
      <c r="N10" s="42"/>
      <c r="O10" s="42"/>
      <c r="P10" s="42"/>
      <c r="Q10" s="42"/>
      <c r="R10" s="42"/>
      <c r="S10" s="42"/>
      <c r="T10" s="42"/>
      <c r="U10" s="42"/>
      <c r="V10" s="42"/>
      <c r="W10" s="67"/>
      <c r="X10" s="219"/>
    </row>
    <row r="11" spans="1:24">
      <c r="A11" s="220"/>
      <c r="B11" s="65"/>
      <c r="C11" s="42"/>
      <c r="D11" s="42"/>
      <c r="E11" s="42"/>
      <c r="F11" s="42"/>
      <c r="G11" s="42"/>
      <c r="H11" s="42"/>
      <c r="I11" s="42"/>
      <c r="J11" s="42"/>
      <c r="K11" s="42"/>
      <c r="L11" s="42"/>
      <c r="M11" s="42"/>
      <c r="N11" s="42"/>
      <c r="O11" s="42"/>
      <c r="P11" s="42"/>
      <c r="Q11" s="42"/>
      <c r="R11" s="42"/>
      <c r="S11" s="42"/>
      <c r="T11" s="42"/>
      <c r="U11" s="42"/>
      <c r="V11" s="42"/>
      <c r="W11" s="67"/>
      <c r="X11" s="219"/>
    </row>
    <row r="12" spans="1:24">
      <c r="A12" s="220"/>
      <c r="B12" s="65"/>
      <c r="C12" s="42"/>
      <c r="D12" s="42"/>
      <c r="E12" s="42"/>
      <c r="F12" s="42"/>
      <c r="G12" s="42"/>
      <c r="H12" s="42"/>
      <c r="I12" s="42"/>
      <c r="J12" s="42"/>
      <c r="K12" s="42"/>
      <c r="L12" s="42"/>
      <c r="M12" s="42"/>
      <c r="N12" s="42"/>
      <c r="O12" s="42"/>
      <c r="P12" s="42"/>
      <c r="Q12" s="42"/>
      <c r="R12" s="42"/>
      <c r="S12" s="42"/>
      <c r="T12" s="42"/>
      <c r="U12" s="42"/>
      <c r="V12" s="42"/>
      <c r="W12" s="67"/>
      <c r="X12" s="219"/>
    </row>
    <row r="13" spans="1:24" ht="38.25" customHeight="1">
      <c r="A13" s="220"/>
      <c r="B13" s="65"/>
      <c r="C13" s="42"/>
      <c r="D13" s="42"/>
      <c r="E13" s="42"/>
      <c r="F13" s="42"/>
      <c r="G13" s="42"/>
      <c r="H13" s="42"/>
      <c r="I13" s="42"/>
      <c r="J13" s="42"/>
      <c r="K13" s="42"/>
      <c r="L13" s="42"/>
      <c r="M13" s="42"/>
      <c r="N13" s="42"/>
      <c r="O13" s="42"/>
      <c r="P13" s="42"/>
      <c r="Q13" s="42"/>
      <c r="R13" s="42"/>
      <c r="S13" s="42"/>
      <c r="T13" s="42"/>
      <c r="U13" s="42"/>
      <c r="V13" s="42"/>
      <c r="W13" s="67"/>
      <c r="X13" s="219"/>
    </row>
    <row r="14" spans="1:24" ht="24.95" customHeight="1">
      <c r="A14" s="220"/>
      <c r="B14" s="65"/>
      <c r="C14" s="57"/>
      <c r="D14" s="654" t="s">
        <v>182</v>
      </c>
      <c r="E14" s="655"/>
      <c r="F14" s="655"/>
      <c r="G14" s="655"/>
      <c r="H14" s="656" t="str">
        <f>SCHOOL!B3</f>
        <v>શ્રી ખારા પ્રાથમિક શાળા</v>
      </c>
      <c r="I14" s="656"/>
      <c r="J14" s="656"/>
      <c r="K14" s="656"/>
      <c r="L14" s="656"/>
      <c r="M14" s="656"/>
      <c r="N14" s="656"/>
      <c r="O14" s="655" t="s">
        <v>181</v>
      </c>
      <c r="P14" s="655"/>
      <c r="Q14" s="655"/>
      <c r="R14" s="656" t="str">
        <f>SCHOOL!B4</f>
        <v>ખારા</v>
      </c>
      <c r="S14" s="656"/>
      <c r="T14" s="656"/>
      <c r="U14" s="657"/>
      <c r="V14" s="57"/>
      <c r="W14" s="68"/>
      <c r="X14" s="219"/>
    </row>
    <row r="15" spans="1:24" ht="24.95" customHeight="1">
      <c r="A15" s="220"/>
      <c r="B15" s="65"/>
      <c r="C15" s="57"/>
      <c r="D15" s="658" t="s">
        <v>12</v>
      </c>
      <c r="E15" s="659"/>
      <c r="F15" s="659"/>
      <c r="G15" s="659"/>
      <c r="H15" s="660">
        <f>SCHOOL!D3</f>
        <v>1</v>
      </c>
      <c r="I15" s="660"/>
      <c r="J15" s="660"/>
      <c r="K15" s="660"/>
      <c r="L15" s="660"/>
      <c r="M15" s="660"/>
      <c r="N15" s="660"/>
      <c r="O15" s="659" t="s">
        <v>1</v>
      </c>
      <c r="P15" s="659"/>
      <c r="Q15" s="659"/>
      <c r="R15" s="661" t="str">
        <f>SCHOOL!B5</f>
        <v>લીલીયા</v>
      </c>
      <c r="S15" s="661"/>
      <c r="T15" s="661"/>
      <c r="U15" s="662"/>
      <c r="V15" s="57"/>
      <c r="W15" s="69"/>
      <c r="X15" s="219"/>
    </row>
    <row r="16" spans="1:24" ht="24.95" customHeight="1">
      <c r="A16" s="220"/>
      <c r="B16" s="65"/>
      <c r="C16" s="57"/>
      <c r="D16" s="658" t="s">
        <v>180</v>
      </c>
      <c r="E16" s="659"/>
      <c r="F16" s="659"/>
      <c r="G16" s="659"/>
      <c r="H16" s="661" t="str">
        <f>SCHOOL!D5</f>
        <v>નરેશભાઇ કે. ઢાકેચા</v>
      </c>
      <c r="I16" s="661"/>
      <c r="J16" s="661"/>
      <c r="K16" s="661"/>
      <c r="L16" s="661"/>
      <c r="M16" s="661"/>
      <c r="N16" s="661"/>
      <c r="O16" s="659" t="s">
        <v>2</v>
      </c>
      <c r="P16" s="659"/>
      <c r="Q16" s="659"/>
      <c r="R16" s="661" t="str">
        <f>SCHOOL!B6</f>
        <v>અમરેલી</v>
      </c>
      <c r="S16" s="661"/>
      <c r="T16" s="661"/>
      <c r="U16" s="662"/>
      <c r="V16" s="57"/>
      <c r="W16" s="69"/>
      <c r="X16" s="219"/>
    </row>
    <row r="17" spans="1:24" ht="24.95" customHeight="1">
      <c r="A17" s="220"/>
      <c r="B17" s="65"/>
      <c r="C17" s="57"/>
      <c r="D17" s="658" t="s">
        <v>179</v>
      </c>
      <c r="E17" s="659"/>
      <c r="F17" s="659"/>
      <c r="G17" s="659"/>
      <c r="H17" s="661" t="str">
        <f>SCHOOL!B9</f>
        <v>પાંચતલાવડા</v>
      </c>
      <c r="I17" s="661"/>
      <c r="J17" s="661"/>
      <c r="K17" s="661"/>
      <c r="L17" s="661"/>
      <c r="M17" s="661"/>
      <c r="N17" s="661"/>
      <c r="O17" s="659" t="s">
        <v>148</v>
      </c>
      <c r="P17" s="659"/>
      <c r="Q17" s="659"/>
      <c r="R17" s="661" t="str">
        <f>SCHOOL!D4</f>
        <v xml:space="preserve"> ---</v>
      </c>
      <c r="S17" s="661"/>
      <c r="T17" s="661"/>
      <c r="U17" s="662"/>
      <c r="V17" s="57"/>
      <c r="W17" s="69"/>
      <c r="X17" s="219"/>
    </row>
    <row r="18" spans="1:24" ht="24.95" customHeight="1">
      <c r="A18" s="220"/>
      <c r="B18" s="65"/>
      <c r="C18" s="57"/>
      <c r="D18" s="663" t="s">
        <v>178</v>
      </c>
      <c r="E18" s="664"/>
      <c r="F18" s="664"/>
      <c r="G18" s="664"/>
      <c r="H18" s="665" t="str">
        <f>SCHOOL!B10</f>
        <v>પાંચતલાવડા</v>
      </c>
      <c r="I18" s="665"/>
      <c r="J18" s="665"/>
      <c r="K18" s="665"/>
      <c r="L18" s="665"/>
      <c r="M18" s="665"/>
      <c r="N18" s="665"/>
      <c r="O18" s="664" t="s">
        <v>177</v>
      </c>
      <c r="P18" s="664"/>
      <c r="Q18" s="664"/>
      <c r="R18" s="666">
        <f>SCHOOL!D7</f>
        <v>0</v>
      </c>
      <c r="S18" s="666"/>
      <c r="T18" s="666"/>
      <c r="U18" s="667"/>
      <c r="V18" s="57"/>
      <c r="W18" s="69"/>
      <c r="X18" s="219"/>
    </row>
    <row r="19" spans="1:24" ht="45" customHeight="1">
      <c r="A19" s="220"/>
      <c r="B19" s="65"/>
      <c r="C19" s="42"/>
      <c r="D19" s="42"/>
      <c r="E19" s="42"/>
      <c r="F19" s="42"/>
      <c r="G19" s="42"/>
      <c r="H19" s="42"/>
      <c r="I19" s="42"/>
      <c r="J19" s="42"/>
      <c r="K19" s="42"/>
      <c r="L19" s="42"/>
      <c r="M19" s="42"/>
      <c r="N19" s="42"/>
      <c r="O19" s="42"/>
      <c r="P19" s="42"/>
      <c r="Q19" s="42"/>
      <c r="R19" s="42"/>
      <c r="S19" s="42"/>
      <c r="T19" s="42"/>
      <c r="U19" s="42" t="s">
        <v>176</v>
      </c>
      <c r="V19" s="42"/>
      <c r="W19" s="67"/>
      <c r="X19" s="219"/>
    </row>
    <row r="20" spans="1:24" ht="34.5" customHeight="1">
      <c r="A20" s="221"/>
      <c r="B20" s="70"/>
      <c r="C20" s="668" t="s">
        <v>198</v>
      </c>
      <c r="D20" s="668"/>
      <c r="E20" s="668"/>
      <c r="F20" s="668"/>
      <c r="G20" s="668"/>
      <c r="H20" s="668"/>
      <c r="I20" s="668"/>
      <c r="J20" s="668"/>
      <c r="K20" s="668"/>
      <c r="L20" s="668"/>
      <c r="M20" s="668"/>
      <c r="N20" s="668"/>
      <c r="O20" s="668"/>
      <c r="P20" s="668"/>
      <c r="Q20" s="668"/>
      <c r="R20" s="668"/>
      <c r="S20" s="668"/>
      <c r="T20" s="668"/>
      <c r="U20" s="668"/>
      <c r="V20" s="668"/>
      <c r="W20" s="71"/>
      <c r="X20" s="222"/>
    </row>
    <row r="21" spans="1:24" ht="24.95" customHeight="1">
      <c r="A21" s="220"/>
      <c r="B21" s="65"/>
      <c r="C21" s="669" t="s">
        <v>33</v>
      </c>
      <c r="D21" s="670" t="s">
        <v>175</v>
      </c>
      <c r="E21" s="670"/>
      <c r="F21" s="670"/>
      <c r="G21" s="669" t="s">
        <v>174</v>
      </c>
      <c r="H21" s="669"/>
      <c r="I21" s="669"/>
      <c r="J21" s="669"/>
      <c r="K21" s="669"/>
      <c r="L21" s="669"/>
      <c r="M21" s="669"/>
      <c r="N21" s="669"/>
      <c r="O21" s="669"/>
      <c r="P21" s="669"/>
      <c r="Q21" s="669"/>
      <c r="R21" s="669"/>
      <c r="S21" s="669"/>
      <c r="T21" s="669"/>
      <c r="U21" s="669"/>
      <c r="V21" s="669" t="s">
        <v>15</v>
      </c>
      <c r="W21" s="72"/>
      <c r="X21" s="219"/>
    </row>
    <row r="22" spans="1:24" ht="24.95" customHeight="1">
      <c r="A22" s="220"/>
      <c r="B22" s="65"/>
      <c r="C22" s="669"/>
      <c r="D22" s="670"/>
      <c r="E22" s="670"/>
      <c r="F22" s="670"/>
      <c r="G22" s="671" t="s">
        <v>83</v>
      </c>
      <c r="H22" s="671"/>
      <c r="I22" s="671"/>
      <c r="J22" s="671" t="s">
        <v>173</v>
      </c>
      <c r="K22" s="671"/>
      <c r="L22" s="671"/>
      <c r="M22" s="671" t="s">
        <v>161</v>
      </c>
      <c r="N22" s="671"/>
      <c r="O22" s="671"/>
      <c r="P22" s="671" t="s">
        <v>172</v>
      </c>
      <c r="Q22" s="671"/>
      <c r="R22" s="671"/>
      <c r="S22" s="671" t="s">
        <v>171</v>
      </c>
      <c r="T22" s="671"/>
      <c r="U22" s="671"/>
      <c r="V22" s="669"/>
      <c r="W22" s="72"/>
      <c r="X22" s="219"/>
    </row>
    <row r="23" spans="1:24" ht="24.95" customHeight="1">
      <c r="A23" s="220"/>
      <c r="B23" s="65"/>
      <c r="C23" s="669"/>
      <c r="D23" s="43" t="s">
        <v>170</v>
      </c>
      <c r="E23" s="43" t="s">
        <v>169</v>
      </c>
      <c r="F23" s="44" t="s">
        <v>104</v>
      </c>
      <c r="G23" s="43" t="s">
        <v>170</v>
      </c>
      <c r="H23" s="43" t="s">
        <v>169</v>
      </c>
      <c r="I23" s="44" t="s">
        <v>104</v>
      </c>
      <c r="J23" s="43" t="s">
        <v>170</v>
      </c>
      <c r="K23" s="43" t="s">
        <v>169</v>
      </c>
      <c r="L23" s="44" t="s">
        <v>104</v>
      </c>
      <c r="M23" s="43" t="s">
        <v>170</v>
      </c>
      <c r="N23" s="43" t="s">
        <v>169</v>
      </c>
      <c r="O23" s="44" t="s">
        <v>104</v>
      </c>
      <c r="P23" s="43" t="s">
        <v>170</v>
      </c>
      <c r="Q23" s="43" t="s">
        <v>169</v>
      </c>
      <c r="R23" s="44" t="s">
        <v>104</v>
      </c>
      <c r="S23" s="43" t="s">
        <v>170</v>
      </c>
      <c r="T23" s="43" t="s">
        <v>169</v>
      </c>
      <c r="U23" s="44" t="s">
        <v>104</v>
      </c>
      <c r="V23" s="669"/>
      <c r="W23" s="72"/>
      <c r="X23" s="219"/>
    </row>
    <row r="24" spans="1:24" ht="24.95" customHeight="1">
      <c r="A24" s="220"/>
      <c r="B24" s="65"/>
      <c r="C24" s="45" t="s">
        <v>168</v>
      </c>
      <c r="D24" s="37">
        <v>2</v>
      </c>
      <c r="E24" s="37">
        <v>1</v>
      </c>
      <c r="F24" s="38">
        <f>SUM(D24:E24)</f>
        <v>3</v>
      </c>
      <c r="G24" s="37">
        <v>0</v>
      </c>
      <c r="H24" s="37">
        <v>0</v>
      </c>
      <c r="I24" s="38">
        <f>SUM(G24:H24)</f>
        <v>0</v>
      </c>
      <c r="J24" s="37">
        <v>0</v>
      </c>
      <c r="K24" s="37">
        <v>1</v>
      </c>
      <c r="L24" s="38">
        <f>SUM(J24:K24)</f>
        <v>1</v>
      </c>
      <c r="M24" s="37">
        <v>2</v>
      </c>
      <c r="N24" s="37">
        <v>0</v>
      </c>
      <c r="O24" s="38">
        <f>SUM(M24:N24)</f>
        <v>2</v>
      </c>
      <c r="P24" s="37">
        <v>0</v>
      </c>
      <c r="Q24" s="37">
        <v>0</v>
      </c>
      <c r="R24" s="38">
        <f>SUM(P24:Q24)</f>
        <v>0</v>
      </c>
      <c r="S24" s="37">
        <v>0</v>
      </c>
      <c r="T24" s="37">
        <v>0</v>
      </c>
      <c r="U24" s="38">
        <f>SUM(S24:T24)</f>
        <v>0</v>
      </c>
      <c r="V24" s="46"/>
      <c r="W24" s="73"/>
      <c r="X24" s="219"/>
    </row>
    <row r="25" spans="1:24" ht="24.95" customHeight="1">
      <c r="A25" s="220"/>
      <c r="B25" s="65"/>
      <c r="C25" s="45" t="s">
        <v>167</v>
      </c>
      <c r="D25" s="37">
        <v>0</v>
      </c>
      <c r="E25" s="37">
        <v>0</v>
      </c>
      <c r="F25" s="38">
        <f>SUM(D25:E25)</f>
        <v>0</v>
      </c>
      <c r="G25" s="37">
        <v>0</v>
      </c>
      <c r="H25" s="37">
        <v>0</v>
      </c>
      <c r="I25" s="38">
        <f>SUM(G25:H25)</f>
        <v>0</v>
      </c>
      <c r="J25" s="37">
        <v>0</v>
      </c>
      <c r="K25" s="37">
        <v>0</v>
      </c>
      <c r="L25" s="38">
        <f>SUM(J25:K25)</f>
        <v>0</v>
      </c>
      <c r="M25" s="37">
        <v>0</v>
      </c>
      <c r="N25" s="37">
        <v>0</v>
      </c>
      <c r="O25" s="38">
        <f>SUM(M25:N25)</f>
        <v>0</v>
      </c>
      <c r="P25" s="37">
        <v>0</v>
      </c>
      <c r="Q25" s="37">
        <v>0</v>
      </c>
      <c r="R25" s="38">
        <f>SUM(P25:Q25)</f>
        <v>0</v>
      </c>
      <c r="S25" s="37">
        <v>0</v>
      </c>
      <c r="T25" s="37">
        <v>0</v>
      </c>
      <c r="U25" s="38">
        <f>SUM(S25:T25)</f>
        <v>0</v>
      </c>
      <c r="V25" s="46"/>
      <c r="W25" s="73"/>
      <c r="X25" s="219"/>
    </row>
    <row r="26" spans="1:24" ht="24.95" customHeight="1">
      <c r="A26" s="220"/>
      <c r="B26" s="65"/>
      <c r="C26" s="45" t="s">
        <v>166</v>
      </c>
      <c r="D26" s="37">
        <v>23</v>
      </c>
      <c r="E26" s="37">
        <v>13</v>
      </c>
      <c r="F26" s="38">
        <f>SUM(D26:E26)</f>
        <v>36</v>
      </c>
      <c r="G26" s="37">
        <v>4</v>
      </c>
      <c r="H26" s="37">
        <v>1</v>
      </c>
      <c r="I26" s="38">
        <f>SUM(G26:H26)</f>
        <v>5</v>
      </c>
      <c r="J26" s="37">
        <v>6</v>
      </c>
      <c r="K26" s="37">
        <v>6</v>
      </c>
      <c r="L26" s="38">
        <f>SUM(J26:K26)</f>
        <v>12</v>
      </c>
      <c r="M26" s="37">
        <v>13</v>
      </c>
      <c r="N26" s="37">
        <v>6</v>
      </c>
      <c r="O26" s="38">
        <f>SUM(M26:N26)</f>
        <v>19</v>
      </c>
      <c r="P26" s="37">
        <v>0</v>
      </c>
      <c r="Q26" s="37">
        <v>0</v>
      </c>
      <c r="R26" s="38">
        <f>SUM(P26:Q26)</f>
        <v>0</v>
      </c>
      <c r="S26" s="37">
        <v>0</v>
      </c>
      <c r="T26" s="37">
        <v>0</v>
      </c>
      <c r="U26" s="38">
        <f>SUM(S26:T26)</f>
        <v>0</v>
      </c>
      <c r="V26" s="46"/>
      <c r="W26" s="73"/>
      <c r="X26" s="219"/>
    </row>
    <row r="27" spans="1:24" ht="24.95" customHeight="1">
      <c r="A27" s="220"/>
      <c r="B27" s="65"/>
      <c r="C27" s="45" t="s">
        <v>165</v>
      </c>
      <c r="D27" s="37">
        <v>2</v>
      </c>
      <c r="E27" s="37">
        <v>3</v>
      </c>
      <c r="F27" s="38">
        <f>SUM(D27:E27)</f>
        <v>5</v>
      </c>
      <c r="G27" s="37">
        <v>2</v>
      </c>
      <c r="H27" s="37">
        <v>1</v>
      </c>
      <c r="I27" s="38">
        <f>SUM(G27:H27)</f>
        <v>3</v>
      </c>
      <c r="J27" s="37">
        <v>0</v>
      </c>
      <c r="K27" s="37">
        <v>2</v>
      </c>
      <c r="L27" s="38">
        <f>SUM(J27:K27)</f>
        <v>2</v>
      </c>
      <c r="M27" s="37">
        <v>0</v>
      </c>
      <c r="N27" s="37">
        <v>0</v>
      </c>
      <c r="O27" s="38">
        <f>SUM(M27:N27)</f>
        <v>0</v>
      </c>
      <c r="P27" s="37">
        <v>0</v>
      </c>
      <c r="Q27" s="37">
        <v>0</v>
      </c>
      <c r="R27" s="38">
        <f>SUM(P27:Q27)</f>
        <v>0</v>
      </c>
      <c r="S27" s="37">
        <v>0</v>
      </c>
      <c r="T27" s="37">
        <v>0</v>
      </c>
      <c r="U27" s="38">
        <f>SUM(S27:T27)</f>
        <v>0</v>
      </c>
      <c r="V27" s="46"/>
      <c r="W27" s="73"/>
      <c r="X27" s="219"/>
    </row>
    <row r="28" spans="1:24" ht="24.95" customHeight="1">
      <c r="A28" s="220"/>
      <c r="B28" s="65"/>
      <c r="C28" s="47" t="s">
        <v>104</v>
      </c>
      <c r="D28" s="39">
        <f t="shared" ref="D28:U28" si="0">SUM(D24:D27)</f>
        <v>27</v>
      </c>
      <c r="E28" s="39">
        <f t="shared" si="0"/>
        <v>17</v>
      </c>
      <c r="F28" s="40">
        <f t="shared" si="0"/>
        <v>44</v>
      </c>
      <c r="G28" s="39">
        <f t="shared" si="0"/>
        <v>6</v>
      </c>
      <c r="H28" s="39">
        <f t="shared" si="0"/>
        <v>2</v>
      </c>
      <c r="I28" s="40">
        <f t="shared" si="0"/>
        <v>8</v>
      </c>
      <c r="J28" s="39">
        <f t="shared" si="0"/>
        <v>6</v>
      </c>
      <c r="K28" s="39">
        <f t="shared" si="0"/>
        <v>9</v>
      </c>
      <c r="L28" s="40">
        <f t="shared" si="0"/>
        <v>15</v>
      </c>
      <c r="M28" s="39">
        <f t="shared" si="0"/>
        <v>15</v>
      </c>
      <c r="N28" s="39">
        <f t="shared" si="0"/>
        <v>6</v>
      </c>
      <c r="O28" s="40">
        <f t="shared" si="0"/>
        <v>21</v>
      </c>
      <c r="P28" s="39">
        <f t="shared" si="0"/>
        <v>0</v>
      </c>
      <c r="Q28" s="39">
        <f t="shared" si="0"/>
        <v>0</v>
      </c>
      <c r="R28" s="40">
        <f t="shared" si="0"/>
        <v>0</v>
      </c>
      <c r="S28" s="39">
        <f t="shared" si="0"/>
        <v>0</v>
      </c>
      <c r="T28" s="39">
        <f t="shared" si="0"/>
        <v>0</v>
      </c>
      <c r="U28" s="40">
        <f t="shared" si="0"/>
        <v>0</v>
      </c>
      <c r="V28" s="46"/>
      <c r="W28" s="74"/>
      <c r="X28" s="219"/>
    </row>
    <row r="29" spans="1:24" ht="52.5" customHeight="1">
      <c r="A29" s="220"/>
      <c r="B29" s="65"/>
      <c r="C29" s="42"/>
      <c r="D29" s="42"/>
      <c r="E29" s="42"/>
      <c r="F29" s="42"/>
      <c r="G29" s="42"/>
      <c r="H29" s="42"/>
      <c r="I29" s="42"/>
      <c r="J29" s="42"/>
      <c r="K29" s="42"/>
      <c r="L29" s="42"/>
      <c r="M29" s="42"/>
      <c r="N29" s="42"/>
      <c r="O29" s="42"/>
      <c r="P29" s="42"/>
      <c r="Q29" s="42"/>
      <c r="R29" s="42"/>
      <c r="S29" s="42"/>
      <c r="T29" s="42"/>
      <c r="U29" s="42"/>
      <c r="V29" s="42"/>
      <c r="W29" s="67"/>
      <c r="X29" s="219"/>
    </row>
    <row r="30" spans="1:24" ht="159" customHeight="1">
      <c r="A30" s="220"/>
      <c r="B30" s="65"/>
      <c r="C30" s="42"/>
      <c r="D30" s="48"/>
      <c r="E30" s="42"/>
      <c r="F30" s="42"/>
      <c r="G30" s="42"/>
      <c r="H30" s="42"/>
      <c r="I30" s="42"/>
      <c r="J30" s="42"/>
      <c r="K30" s="42"/>
      <c r="L30" s="42"/>
      <c r="M30" s="42"/>
      <c r="N30" s="42"/>
      <c r="O30" s="42"/>
      <c r="P30" s="42"/>
      <c r="Q30" s="42"/>
      <c r="R30" s="42"/>
      <c r="S30" s="42"/>
      <c r="T30" s="42"/>
      <c r="U30" s="42"/>
      <c r="V30" s="42"/>
      <c r="W30" s="67"/>
      <c r="X30" s="219"/>
    </row>
    <row r="31" spans="1:24" ht="19.5" customHeight="1">
      <c r="A31" s="220"/>
      <c r="B31" s="65"/>
      <c r="C31" s="42"/>
      <c r="D31" s="42"/>
      <c r="E31" s="42"/>
      <c r="F31" s="42"/>
      <c r="G31" s="42"/>
      <c r="H31" s="42"/>
      <c r="I31" s="42"/>
      <c r="J31" s="42"/>
      <c r="K31" s="672" t="s">
        <v>164</v>
      </c>
      <c r="L31" s="672"/>
      <c r="M31" s="672"/>
      <c r="N31" s="672"/>
      <c r="O31" s="42"/>
      <c r="P31" s="42"/>
      <c r="Q31" s="42"/>
      <c r="R31" s="42"/>
      <c r="S31" s="42"/>
      <c r="T31" s="42"/>
      <c r="U31" s="42"/>
      <c r="V31" s="42"/>
      <c r="W31" s="67"/>
      <c r="X31" s="219"/>
    </row>
    <row r="32" spans="1:24" ht="27.75" customHeight="1">
      <c r="A32" s="220"/>
      <c r="B32" s="65"/>
      <c r="C32" s="42"/>
      <c r="D32" s="42"/>
      <c r="E32" s="672" t="s">
        <v>163</v>
      </c>
      <c r="F32" s="672"/>
      <c r="G32" s="672"/>
      <c r="H32" s="672"/>
      <c r="I32" s="42"/>
      <c r="J32" s="48"/>
      <c r="K32" s="48"/>
      <c r="L32" s="42"/>
      <c r="M32" s="42"/>
      <c r="N32" s="42"/>
      <c r="O32" s="42"/>
      <c r="P32" s="42"/>
      <c r="Q32" s="672" t="s">
        <v>162</v>
      </c>
      <c r="R32" s="672"/>
      <c r="S32" s="672"/>
      <c r="T32" s="672"/>
      <c r="U32" s="42"/>
      <c r="V32" s="42"/>
      <c r="W32" s="67"/>
      <c r="X32" s="219"/>
    </row>
    <row r="33" spans="1:24" ht="23.25" customHeight="1">
      <c r="A33" s="220"/>
      <c r="B33" s="65"/>
      <c r="C33" s="42"/>
      <c r="D33" s="42"/>
      <c r="E33" s="673"/>
      <c r="F33" s="673"/>
      <c r="G33" s="673"/>
      <c r="H33" s="673"/>
      <c r="I33" s="42"/>
      <c r="J33" s="42"/>
      <c r="K33" s="42"/>
      <c r="L33" s="42"/>
      <c r="M33" s="42"/>
      <c r="N33" s="42"/>
      <c r="O33" s="42"/>
      <c r="P33" s="42"/>
      <c r="Q33" s="674"/>
      <c r="R33" s="674"/>
      <c r="S33" s="674"/>
      <c r="T33" s="674"/>
      <c r="U33" s="42"/>
      <c r="V33" s="42"/>
      <c r="W33" s="67"/>
      <c r="X33" s="219"/>
    </row>
    <row r="34" spans="1:24">
      <c r="A34" s="220"/>
      <c r="B34" s="65"/>
      <c r="C34" s="42"/>
      <c r="D34" s="42"/>
      <c r="E34" s="42"/>
      <c r="F34" s="42"/>
      <c r="G34" s="42"/>
      <c r="H34" s="42"/>
      <c r="I34" s="42"/>
      <c r="J34" s="42"/>
      <c r="K34" s="42"/>
      <c r="L34" s="42"/>
      <c r="M34" s="42"/>
      <c r="N34" s="42"/>
      <c r="O34" s="42"/>
      <c r="P34" s="42"/>
      <c r="Q34" s="42"/>
      <c r="R34" s="42"/>
      <c r="S34" s="42"/>
      <c r="T34" s="42"/>
      <c r="U34" s="42"/>
      <c r="V34" s="42"/>
      <c r="W34" s="67"/>
      <c r="X34" s="219"/>
    </row>
    <row r="35" spans="1:24" ht="15.75" thickBot="1">
      <c r="A35" s="220"/>
      <c r="B35" s="75"/>
      <c r="C35" s="76"/>
      <c r="D35" s="76"/>
      <c r="E35" s="76"/>
      <c r="F35" s="76"/>
      <c r="G35" s="76"/>
      <c r="H35" s="76"/>
      <c r="I35" s="76"/>
      <c r="J35" s="76"/>
      <c r="K35" s="76"/>
      <c r="L35" s="76"/>
      <c r="M35" s="76"/>
      <c r="N35" s="76"/>
      <c r="O35" s="76"/>
      <c r="P35" s="76"/>
      <c r="Q35" s="76"/>
      <c r="R35" s="76"/>
      <c r="S35" s="76"/>
      <c r="T35" s="76"/>
      <c r="U35" s="76"/>
      <c r="V35" s="76"/>
      <c r="W35" s="77"/>
      <c r="X35" s="219"/>
    </row>
    <row r="36" spans="1:24" ht="15.75" thickBot="1">
      <c r="A36" s="223"/>
      <c r="B36" s="224"/>
      <c r="C36" s="224"/>
      <c r="D36" s="224"/>
      <c r="E36" s="224"/>
      <c r="F36" s="224"/>
      <c r="G36" s="224"/>
      <c r="H36" s="224"/>
      <c r="I36" s="224"/>
      <c r="J36" s="224"/>
      <c r="K36" s="224"/>
      <c r="L36" s="224"/>
      <c r="M36" s="224"/>
      <c r="N36" s="224"/>
      <c r="O36" s="224"/>
      <c r="P36" s="224"/>
      <c r="Q36" s="224"/>
      <c r="R36" s="224"/>
      <c r="S36" s="224"/>
      <c r="T36" s="224"/>
      <c r="U36" s="224"/>
      <c r="V36" s="224"/>
      <c r="W36" s="224"/>
      <c r="X36" s="225"/>
    </row>
    <row r="37" spans="1:24" hidden="1">
      <c r="A37" s="49"/>
      <c r="B37" s="49"/>
      <c r="C37" s="49"/>
      <c r="D37" s="49"/>
      <c r="E37" s="49"/>
      <c r="F37" s="49"/>
      <c r="G37" s="49"/>
      <c r="H37" s="49"/>
      <c r="I37" s="49"/>
      <c r="J37" s="49"/>
      <c r="K37" s="49"/>
      <c r="L37" s="49"/>
      <c r="M37" s="49"/>
      <c r="N37" s="49"/>
      <c r="O37" s="49"/>
      <c r="P37" s="49"/>
      <c r="Q37" s="49"/>
      <c r="R37" s="49"/>
      <c r="S37" s="49"/>
      <c r="T37" s="49"/>
      <c r="U37" s="49"/>
      <c r="V37" s="49"/>
      <c r="W37" s="49"/>
      <c r="X37" s="49"/>
    </row>
  </sheetData>
  <sheetProtection password="DC6E" sheet="1" objects="1" scenarios="1"/>
  <mergeCells count="38">
    <mergeCell ref="K31:N31"/>
    <mergeCell ref="E32:H32"/>
    <mergeCell ref="Q32:T32"/>
    <mergeCell ref="E33:H33"/>
    <mergeCell ref="Q33:T33"/>
    <mergeCell ref="C20:V20"/>
    <mergeCell ref="C21:C23"/>
    <mergeCell ref="D21:F22"/>
    <mergeCell ref="G21:U21"/>
    <mergeCell ref="V21:V23"/>
    <mergeCell ref="G22:I22"/>
    <mergeCell ref="J22:L22"/>
    <mergeCell ref="M22:O22"/>
    <mergeCell ref="P22:R22"/>
    <mergeCell ref="S22:U22"/>
    <mergeCell ref="D17:G17"/>
    <mergeCell ref="H17:N17"/>
    <mergeCell ref="O17:Q17"/>
    <mergeCell ref="R17:U17"/>
    <mergeCell ref="D18:G18"/>
    <mergeCell ref="H18:N18"/>
    <mergeCell ref="O18:Q18"/>
    <mergeCell ref="R18:U18"/>
    <mergeCell ref="D15:G15"/>
    <mergeCell ref="H15:N15"/>
    <mergeCell ref="O15:Q15"/>
    <mergeCell ref="R15:U15"/>
    <mergeCell ref="D16:G16"/>
    <mergeCell ref="H16:N16"/>
    <mergeCell ref="O16:Q16"/>
    <mergeCell ref="R16:U16"/>
    <mergeCell ref="A1:C1"/>
    <mergeCell ref="C3:V3"/>
    <mergeCell ref="C4:V4"/>
    <mergeCell ref="D14:G14"/>
    <mergeCell ref="H14:N14"/>
    <mergeCell ref="O14:Q14"/>
    <mergeCell ref="R14:U14"/>
  </mergeCells>
  <hyperlinks>
    <hyperlink ref="A1:C1" location="INDEX!A1" display="INDEX"/>
  </hyperlinks>
  <pageMargins left="0.25" right="0.25" top="0.2" bottom="0.25" header="0" footer="0"/>
  <pageSetup paperSize="5" scale="89"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5" tint="-0.249977111117893"/>
  </sheetPr>
  <dimension ref="A1:AO40"/>
  <sheetViews>
    <sheetView showGridLines="0" showZeros="0" view="pageBreakPreview" zoomScaleSheetLayoutView="100" workbookViewId="0">
      <pane xSplit="4" ySplit="5" topLeftCell="E6" activePane="bottomRight" state="frozen"/>
      <selection pane="topRight" activeCell="E1" sqref="E1"/>
      <selection pane="bottomLeft" activeCell="A6" sqref="A6"/>
      <selection pane="bottomRight"/>
    </sheetView>
  </sheetViews>
  <sheetFormatPr defaultColWidth="0" defaultRowHeight="15" zeroHeight="1"/>
  <cols>
    <col min="1" max="1" width="6" style="138" customWidth="1"/>
    <col min="2" max="2" width="32.7109375" style="138" customWidth="1"/>
    <col min="3" max="3" width="7.85546875" style="138" customWidth="1"/>
    <col min="4" max="4" width="12.7109375" style="138" customWidth="1"/>
    <col min="5" max="10" width="5.85546875" style="138" customWidth="1"/>
    <col min="11" max="11" width="6.28515625" style="138" customWidth="1"/>
    <col min="12" max="12" width="4.7109375" style="138" customWidth="1"/>
    <col min="13" max="18" width="5.28515625" style="138" customWidth="1"/>
    <col min="19" max="19" width="5.42578125" style="138" customWidth="1"/>
    <col min="20" max="20" width="4.7109375" style="138" customWidth="1"/>
    <col min="21" max="26" width="5.28515625" style="138" customWidth="1"/>
    <col min="27" max="27" width="5.5703125" style="138" customWidth="1"/>
    <col min="28" max="28" width="4.7109375" style="138" customWidth="1"/>
    <col min="29" max="29" width="4.5703125" style="138" customWidth="1"/>
    <col min="30" max="30" width="3.42578125" style="138" customWidth="1"/>
    <col min="31" max="38" width="4" style="138" hidden="1" customWidth="1"/>
    <col min="39" max="39" width="7.42578125" style="138" customWidth="1"/>
    <col min="40" max="40" width="7" style="138" customWidth="1"/>
    <col min="41" max="41" width="4.85546875" style="138" customWidth="1"/>
    <col min="42" max="16384" width="9.140625" style="138" hidden="1"/>
  </cols>
  <sheetData>
    <row r="1" spans="1:41" ht="18" customHeight="1">
      <c r="A1" s="466" t="s">
        <v>492</v>
      </c>
      <c r="B1" s="163"/>
      <c r="C1" s="163"/>
      <c r="D1" s="163"/>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164"/>
      <c r="AO1" s="164"/>
    </row>
    <row r="2" spans="1:41" ht="23.25" customHeight="1">
      <c r="A2" s="209"/>
      <c r="B2" s="94"/>
      <c r="C2" s="95"/>
      <c r="D2" s="96" t="s">
        <v>16</v>
      </c>
      <c r="E2" s="675" t="s">
        <v>51</v>
      </c>
      <c r="F2" s="676"/>
      <c r="G2" s="676"/>
      <c r="H2" s="676"/>
      <c r="I2" s="676"/>
      <c r="J2" s="676"/>
      <c r="K2" s="676"/>
      <c r="L2" s="677"/>
      <c r="M2" s="678" t="s">
        <v>52</v>
      </c>
      <c r="N2" s="676"/>
      <c r="O2" s="676"/>
      <c r="P2" s="676"/>
      <c r="Q2" s="676"/>
      <c r="R2" s="676"/>
      <c r="S2" s="676"/>
      <c r="T2" s="677"/>
      <c r="U2" s="675" t="s">
        <v>344</v>
      </c>
      <c r="V2" s="676"/>
      <c r="W2" s="676"/>
      <c r="X2" s="676"/>
      <c r="Y2" s="676"/>
      <c r="Z2" s="676"/>
      <c r="AA2" s="676"/>
      <c r="AB2" s="677"/>
      <c r="AC2" s="679" t="s">
        <v>185</v>
      </c>
      <c r="AD2" s="680" t="s">
        <v>17</v>
      </c>
      <c r="AE2" s="688" t="s">
        <v>51</v>
      </c>
      <c r="AF2" s="688" t="s">
        <v>52</v>
      </c>
      <c r="AG2" s="688" t="s">
        <v>186</v>
      </c>
      <c r="AH2" s="691" t="s">
        <v>187</v>
      </c>
      <c r="AI2" s="688" t="s">
        <v>53</v>
      </c>
      <c r="AJ2" s="691" t="s">
        <v>54</v>
      </c>
      <c r="AK2" s="691" t="s">
        <v>188</v>
      </c>
      <c r="AL2" s="691" t="s">
        <v>57</v>
      </c>
      <c r="AM2" s="692" t="s">
        <v>189</v>
      </c>
      <c r="AN2" s="689" t="s">
        <v>190</v>
      </c>
      <c r="AO2" s="690" t="s">
        <v>191</v>
      </c>
    </row>
    <row r="3" spans="1:41" ht="21" customHeight="1">
      <c r="A3" s="693"/>
      <c r="B3" s="694" t="s">
        <v>82</v>
      </c>
      <c r="C3" s="696" t="s">
        <v>192</v>
      </c>
      <c r="D3" s="97" t="s">
        <v>92</v>
      </c>
      <c r="E3" s="687" t="s">
        <v>193</v>
      </c>
      <c r="F3" s="686"/>
      <c r="G3" s="686"/>
      <c r="H3" s="686" t="s">
        <v>194</v>
      </c>
      <c r="I3" s="686"/>
      <c r="J3" s="686"/>
      <c r="K3" s="681" t="s">
        <v>29</v>
      </c>
      <c r="L3" s="683" t="s">
        <v>17</v>
      </c>
      <c r="M3" s="685" t="s">
        <v>193</v>
      </c>
      <c r="N3" s="686"/>
      <c r="O3" s="686"/>
      <c r="P3" s="686" t="s">
        <v>194</v>
      </c>
      <c r="Q3" s="686"/>
      <c r="R3" s="686"/>
      <c r="S3" s="681" t="s">
        <v>29</v>
      </c>
      <c r="T3" s="683" t="s">
        <v>17</v>
      </c>
      <c r="U3" s="687" t="s">
        <v>193</v>
      </c>
      <c r="V3" s="686"/>
      <c r="W3" s="686"/>
      <c r="X3" s="686" t="s">
        <v>194</v>
      </c>
      <c r="Y3" s="686"/>
      <c r="Z3" s="686"/>
      <c r="AA3" s="681" t="s">
        <v>29</v>
      </c>
      <c r="AB3" s="683" t="s">
        <v>17</v>
      </c>
      <c r="AC3" s="679"/>
      <c r="AD3" s="680"/>
      <c r="AE3" s="688"/>
      <c r="AF3" s="688"/>
      <c r="AG3" s="688"/>
      <c r="AH3" s="691"/>
      <c r="AI3" s="688"/>
      <c r="AJ3" s="691"/>
      <c r="AK3" s="691"/>
      <c r="AL3" s="691"/>
      <c r="AM3" s="692"/>
      <c r="AN3" s="689"/>
      <c r="AO3" s="690"/>
    </row>
    <row r="4" spans="1:41" ht="135" customHeight="1">
      <c r="A4" s="693"/>
      <c r="B4" s="695"/>
      <c r="C4" s="697"/>
      <c r="D4" s="98" t="s">
        <v>195</v>
      </c>
      <c r="E4" s="91" t="s">
        <v>81</v>
      </c>
      <c r="F4" s="79" t="s">
        <v>200</v>
      </c>
      <c r="G4" s="80" t="s">
        <v>196</v>
      </c>
      <c r="H4" s="79" t="s">
        <v>81</v>
      </c>
      <c r="I4" s="79" t="s">
        <v>200</v>
      </c>
      <c r="J4" s="80" t="s">
        <v>196</v>
      </c>
      <c r="K4" s="682"/>
      <c r="L4" s="684"/>
      <c r="M4" s="207" t="s">
        <v>81</v>
      </c>
      <c r="N4" s="79" t="s">
        <v>200</v>
      </c>
      <c r="O4" s="80" t="s">
        <v>196</v>
      </c>
      <c r="P4" s="79" t="s">
        <v>81</v>
      </c>
      <c r="Q4" s="79" t="s">
        <v>200</v>
      </c>
      <c r="R4" s="80" t="s">
        <v>196</v>
      </c>
      <c r="S4" s="682"/>
      <c r="T4" s="684"/>
      <c r="U4" s="91" t="s">
        <v>81</v>
      </c>
      <c r="V4" s="79" t="s">
        <v>200</v>
      </c>
      <c r="W4" s="80" t="s">
        <v>196</v>
      </c>
      <c r="X4" s="79" t="s">
        <v>81</v>
      </c>
      <c r="Y4" s="79" t="s">
        <v>200</v>
      </c>
      <c r="Z4" s="80" t="s">
        <v>196</v>
      </c>
      <c r="AA4" s="682"/>
      <c r="AB4" s="684"/>
      <c r="AC4" s="679"/>
      <c r="AD4" s="680"/>
      <c r="AE4" s="688"/>
      <c r="AF4" s="688"/>
      <c r="AG4" s="688"/>
      <c r="AH4" s="691"/>
      <c r="AI4" s="688"/>
      <c r="AJ4" s="691"/>
      <c r="AK4" s="691"/>
      <c r="AL4" s="691"/>
      <c r="AM4" s="692"/>
      <c r="AN4" s="689"/>
      <c r="AO4" s="690"/>
    </row>
    <row r="5" spans="1:41" ht="18.75" thickBot="1">
      <c r="A5" s="210"/>
      <c r="B5" s="93"/>
      <c r="C5" s="137"/>
      <c r="D5" s="136" t="s">
        <v>197</v>
      </c>
      <c r="E5" s="84">
        <v>40</v>
      </c>
      <c r="F5" s="85">
        <v>40</v>
      </c>
      <c r="G5" s="85">
        <v>20</v>
      </c>
      <c r="H5" s="85">
        <v>40</v>
      </c>
      <c r="I5" s="85">
        <v>40</v>
      </c>
      <c r="J5" s="85">
        <v>20</v>
      </c>
      <c r="K5" s="85">
        <v>200</v>
      </c>
      <c r="L5" s="90"/>
      <c r="M5" s="208">
        <v>40</v>
      </c>
      <c r="N5" s="85">
        <v>40</v>
      </c>
      <c r="O5" s="85">
        <v>20</v>
      </c>
      <c r="P5" s="85">
        <v>40</v>
      </c>
      <c r="Q5" s="85">
        <v>40</v>
      </c>
      <c r="R5" s="85">
        <v>20</v>
      </c>
      <c r="S5" s="85">
        <v>200</v>
      </c>
      <c r="T5" s="86"/>
      <c r="U5" s="84">
        <v>40</v>
      </c>
      <c r="V5" s="85">
        <v>40</v>
      </c>
      <c r="W5" s="85">
        <v>20</v>
      </c>
      <c r="X5" s="85">
        <v>40</v>
      </c>
      <c r="Y5" s="85">
        <v>40</v>
      </c>
      <c r="Z5" s="85">
        <v>20</v>
      </c>
      <c r="AA5" s="85">
        <v>200</v>
      </c>
      <c r="AB5" s="86"/>
      <c r="AC5" s="84">
        <v>200</v>
      </c>
      <c r="AD5" s="90"/>
      <c r="AE5" s="78">
        <v>200</v>
      </c>
      <c r="AF5" s="78">
        <v>200</v>
      </c>
      <c r="AG5" s="78">
        <v>200</v>
      </c>
      <c r="AH5" s="78">
        <v>200</v>
      </c>
      <c r="AI5" s="78">
        <v>200</v>
      </c>
      <c r="AJ5" s="78">
        <v>200</v>
      </c>
      <c r="AK5" s="78">
        <v>200</v>
      </c>
      <c r="AL5" s="78">
        <v>100</v>
      </c>
      <c r="AM5" s="84">
        <v>800</v>
      </c>
      <c r="AN5" s="99">
        <v>1</v>
      </c>
      <c r="AO5" s="100"/>
    </row>
    <row r="6" spans="1:41" ht="24.6" customHeight="1">
      <c r="A6" s="259">
        <v>1</v>
      </c>
      <c r="B6" s="261" t="str">
        <f ca="1">INDIRECT("'A-RACHNATMAK'!b"&amp;(ROW(A1)-1)*3+11)</f>
        <v>ગોહેલ રાજેશભાઇ ચીથરભાઇ</v>
      </c>
      <c r="C6" s="165">
        <f>STUDENTS!D4</f>
        <v>1555</v>
      </c>
      <c r="D6" s="166">
        <f>STUDENTS!D6</f>
        <v>35170</v>
      </c>
      <c r="E6" s="244">
        <f ca="1">INDIRECT("'A-RACHNATMAK'!Z"&amp;(ROW(A1)-1)*3+11)</f>
        <v>3</v>
      </c>
      <c r="F6" s="245">
        <v>25</v>
      </c>
      <c r="G6" s="245">
        <v>12</v>
      </c>
      <c r="H6" s="246">
        <f ca="1">INDIRECT("'A-RACHNATMAK'!ba"&amp;(ROW(A1)-1)*3+11)</f>
        <v>3</v>
      </c>
      <c r="I6" s="245">
        <v>31</v>
      </c>
      <c r="J6" s="245">
        <v>15</v>
      </c>
      <c r="K6" s="247">
        <f ca="1">SUM(E6:J6)</f>
        <v>89</v>
      </c>
      <c r="L6" s="248" t="str">
        <f ca="1">IF(K6&gt;160,"A",IF(K6&gt;130,"B",IF(K6&gt;100,"C",IF(K6&gt;70,"D",IF(K6&gt;0,"E","")))))</f>
        <v>D</v>
      </c>
      <c r="M6" s="244">
        <f ca="1">INDIRECT("'A-RACHNATMAK'!Z"&amp;(ROW(A1)-1)*3+123)</f>
        <v>6</v>
      </c>
      <c r="N6" s="245">
        <v>25</v>
      </c>
      <c r="O6" s="245">
        <v>12</v>
      </c>
      <c r="P6" s="246">
        <f ca="1">INDIRECT("'A-RACHNATMAK'!ba"&amp;(ROW(A1)-1)*3+123)</f>
        <v>0</v>
      </c>
      <c r="Q6" s="245">
        <v>31</v>
      </c>
      <c r="R6" s="245">
        <v>15</v>
      </c>
      <c r="S6" s="247">
        <f ca="1">SUM(M6:R6)</f>
        <v>89</v>
      </c>
      <c r="T6" s="248" t="str">
        <f ca="1">IF(S6&gt;160,"A",IF(S6&gt;130,"B",IF(S6&gt;100,"C",IF(S6&gt;70,"D",IF(S6&gt;0,"E","")))))</f>
        <v>D</v>
      </c>
      <c r="U6" s="244">
        <f ca="1">INDIRECT("'A-RACHNATMAK'!Z"&amp;(ROW(A1)-1)*3+235)</f>
        <v>0</v>
      </c>
      <c r="V6" s="245">
        <v>25</v>
      </c>
      <c r="W6" s="245">
        <v>12</v>
      </c>
      <c r="X6" s="246">
        <f ca="1">INDIRECT("'A-RACHNATMAK'!ba"&amp;(ROW(A1)-1)*3+235)</f>
        <v>0</v>
      </c>
      <c r="Y6" s="245">
        <v>31</v>
      </c>
      <c r="Z6" s="245">
        <v>15</v>
      </c>
      <c r="AA6" s="247">
        <f ca="1">SUM(U6:Z6)</f>
        <v>83</v>
      </c>
      <c r="AB6" s="248" t="str">
        <f ca="1">IF(AA6&gt;160,"A",IF(AA6&gt;130,"B",IF(AA6&gt;100,"C",IF(AA6&gt;70,"D",IF(AA6&gt;0,"E","")))))</f>
        <v>D</v>
      </c>
      <c r="AC6" s="133">
        <f ca="1">INDIRECT("'B-VV STD-3-4'!AS"&amp;(ROW(A1)-1)*2+8)</f>
        <v>0</v>
      </c>
      <c r="AD6" s="81" t="str">
        <f ca="1">IF(AC6&gt;320,"A",IF(AC6&gt;260,"B",IF(AC6&gt;200,"C",IF(AC6&gt;140,"D",IF(AC6&gt;0,"E","")))))</f>
        <v/>
      </c>
      <c r="AE6" s="87">
        <v>68</v>
      </c>
      <c r="AF6" s="87">
        <v>68</v>
      </c>
      <c r="AG6" s="87">
        <v>68</v>
      </c>
      <c r="AH6" s="87">
        <v>68</v>
      </c>
      <c r="AI6" s="87">
        <v>76.666666666666671</v>
      </c>
      <c r="AJ6" s="87">
        <v>68</v>
      </c>
      <c r="AK6" s="87">
        <v>77.142857142857139</v>
      </c>
      <c r="AL6" s="87">
        <v>34</v>
      </c>
      <c r="AM6" s="101">
        <f ca="1">K6+S6+AA6+AC6</f>
        <v>261</v>
      </c>
      <c r="AN6" s="107">
        <f ca="1">ROUND(AM6/8,2)</f>
        <v>32.630000000000003</v>
      </c>
      <c r="AO6" s="81" t="str">
        <f ca="1">IF(AM6&gt;640,"A",IF(AM6&gt;520,"B",IF(AM6&gt;400,"C",IF(AM6&gt;2700,"D",IF(AM6&gt;0,"E","")))))</f>
        <v>E</v>
      </c>
    </row>
    <row r="7" spans="1:41" ht="24.6" customHeight="1">
      <c r="A7" s="259">
        <v>2</v>
      </c>
      <c r="B7" s="262" t="str">
        <f t="shared" ref="B7:B40" ca="1" si="0">INDIRECT("'A-RACHNATMAK'!b"&amp;(ROW(A2)-1)*3+11)</f>
        <v>ખિમસુરીયા સાહિલકુમાર અરજણભાઇ</v>
      </c>
      <c r="C7" s="167">
        <f>STUDENTS!D16</f>
        <v>0</v>
      </c>
      <c r="D7" s="168">
        <f>STUDENTS!D18</f>
        <v>0</v>
      </c>
      <c r="E7" s="249">
        <f ca="1">INDIRECT("'A-RACHNATMAK'!Z"&amp;(ROW(A2)-1)*3+11)</f>
        <v>6</v>
      </c>
      <c r="F7" s="250"/>
      <c r="G7" s="250"/>
      <c r="H7" s="251">
        <f t="shared" ref="H7:H40" ca="1" si="1">INDIRECT("'A-RACHNATMAK'!ba"&amp;(ROW(A2)-1)*3+11)</f>
        <v>6</v>
      </c>
      <c r="I7" s="250"/>
      <c r="J7" s="250"/>
      <c r="K7" s="252">
        <f t="shared" ref="K7:K40" ca="1" si="2">SUM(E7:J7)</f>
        <v>12</v>
      </c>
      <c r="L7" s="253" t="str">
        <f t="shared" ref="L7:L40" ca="1" si="3">IF(K7&gt;160,"A",IF(K7&gt;130,"B",IF(K7&gt;100,"C",IF(K7&gt;70,"D",IF(K7&gt;0,"E","")))))</f>
        <v>E</v>
      </c>
      <c r="M7" s="249">
        <f t="shared" ref="M7:M40" ca="1" si="4">INDIRECT("'A-RACHNATMAK'!Z"&amp;(ROW(A2)-1)*3+123)</f>
        <v>0</v>
      </c>
      <c r="N7" s="250"/>
      <c r="O7" s="250"/>
      <c r="P7" s="251">
        <f t="shared" ref="P7:P40" ca="1" si="5">INDIRECT("'A-RACHNATMAK'!ba"&amp;(ROW(A2)-1)*3+123)</f>
        <v>0</v>
      </c>
      <c r="Q7" s="250"/>
      <c r="R7" s="250"/>
      <c r="S7" s="252">
        <f t="shared" ref="S7:S40" ca="1" si="6">SUM(M7:R7)</f>
        <v>0</v>
      </c>
      <c r="T7" s="253" t="str">
        <f t="shared" ref="T7:T40" ca="1" si="7">IF(S7&gt;160,"A",IF(S7&gt;130,"B",IF(S7&gt;100,"C",IF(S7&gt;70,"D",IF(S7&gt;0,"E","")))))</f>
        <v/>
      </c>
      <c r="U7" s="249">
        <f t="shared" ref="U7:U40" ca="1" si="8">INDIRECT("'A-RACHNATMAK'!Z"&amp;(ROW(A2)-1)*3+235)</f>
        <v>0</v>
      </c>
      <c r="V7" s="250"/>
      <c r="W7" s="250"/>
      <c r="X7" s="251">
        <f t="shared" ref="X7:X40" ca="1" si="9">INDIRECT("'A-RACHNATMAK'!ba"&amp;(ROW(A2)-1)*3+235)</f>
        <v>0</v>
      </c>
      <c r="Y7" s="250"/>
      <c r="Z7" s="250"/>
      <c r="AA7" s="252">
        <f t="shared" ref="AA7:AA40" ca="1" si="10">SUM(U7:Z7)</f>
        <v>0</v>
      </c>
      <c r="AB7" s="253" t="str">
        <f t="shared" ref="AB7:AB40" ca="1" si="11">IF(AA7&gt;160,"A",IF(AA7&gt;130,"B",IF(AA7&gt;100,"C",IF(AA7&gt;70,"D",IF(AA7&gt;0,"E","")))))</f>
        <v/>
      </c>
      <c r="AC7" s="134">
        <f t="shared" ref="AC7:AC40" ca="1" si="12">INDIRECT("'B-VV STD-3-4'!AS"&amp;(ROW(A2)-1)*2+8)</f>
        <v>0</v>
      </c>
      <c r="AD7" s="82" t="str">
        <f t="shared" ref="AD7:AD40" ca="1" si="13">IF(AC7&gt;320,"A",IF(AC7&gt;260,"B",IF(AC7&gt;200,"C",IF(AC7&gt;140,"D",IF(AC7&gt;0,"E","")))))</f>
        <v/>
      </c>
      <c r="AE7" s="88">
        <v>68</v>
      </c>
      <c r="AF7" s="88">
        <v>68</v>
      </c>
      <c r="AG7" s="88">
        <v>68</v>
      </c>
      <c r="AH7" s="88">
        <v>68</v>
      </c>
      <c r="AI7" s="88">
        <v>76.666666666666671</v>
      </c>
      <c r="AJ7" s="88">
        <v>68</v>
      </c>
      <c r="AK7" s="88">
        <v>77.142857142857139</v>
      </c>
      <c r="AL7" s="88">
        <v>34</v>
      </c>
      <c r="AM7" s="102">
        <f t="shared" ref="AM7:AM40" ca="1" si="14">K7+S7+AA7+AC7</f>
        <v>12</v>
      </c>
      <c r="AN7" s="103">
        <f t="shared" ref="AN7:AN40" ca="1" si="15">ROUND(AM7/8,2)</f>
        <v>1.5</v>
      </c>
      <c r="AO7" s="82" t="str">
        <f t="shared" ref="AO7:AO40" ca="1" si="16">IF(AM7&gt;640,"A",IF(AM7&gt;520,"B",IF(AM7&gt;400,"C",IF(AM7&gt;2700,"D",IF(AM7&gt;0,"E","")))))</f>
        <v>E</v>
      </c>
    </row>
    <row r="8" spans="1:41" ht="24.6" customHeight="1">
      <c r="A8" s="259">
        <v>3</v>
      </c>
      <c r="B8" s="262" t="str">
        <f t="shared" ca="1" si="0"/>
        <v>ગરણિયા મયુરકુમાર અશોકભાઇ</v>
      </c>
      <c r="C8" s="167">
        <f>STUDENTS!D28</f>
        <v>0</v>
      </c>
      <c r="D8" s="168">
        <f>STUDENTS!D30</f>
        <v>0</v>
      </c>
      <c r="E8" s="249">
        <f t="shared" ref="E8:E40" ca="1" si="17">INDIRECT("'A-RACHNATMAK'!Z"&amp;(ROW(A3)-1)*3+11)</f>
        <v>0</v>
      </c>
      <c r="F8" s="250"/>
      <c r="G8" s="250"/>
      <c r="H8" s="251">
        <f t="shared" ca="1" si="1"/>
        <v>3</v>
      </c>
      <c r="I8" s="250"/>
      <c r="J8" s="250"/>
      <c r="K8" s="252">
        <f t="shared" ca="1" si="2"/>
        <v>3</v>
      </c>
      <c r="L8" s="253" t="str">
        <f t="shared" ca="1" si="3"/>
        <v>E</v>
      </c>
      <c r="M8" s="249">
        <f t="shared" ca="1" si="4"/>
        <v>0</v>
      </c>
      <c r="N8" s="250"/>
      <c r="O8" s="250"/>
      <c r="P8" s="251">
        <f t="shared" ca="1" si="5"/>
        <v>0</v>
      </c>
      <c r="Q8" s="250"/>
      <c r="R8" s="250"/>
      <c r="S8" s="252">
        <f t="shared" ca="1" si="6"/>
        <v>0</v>
      </c>
      <c r="T8" s="253" t="str">
        <f t="shared" ca="1" si="7"/>
        <v/>
      </c>
      <c r="U8" s="249">
        <f t="shared" ca="1" si="8"/>
        <v>0</v>
      </c>
      <c r="V8" s="250"/>
      <c r="W8" s="250"/>
      <c r="X8" s="251">
        <f t="shared" ca="1" si="9"/>
        <v>0</v>
      </c>
      <c r="Y8" s="250"/>
      <c r="Z8" s="250"/>
      <c r="AA8" s="252">
        <f t="shared" ca="1" si="10"/>
        <v>0</v>
      </c>
      <c r="AB8" s="253" t="str">
        <f t="shared" ca="1" si="11"/>
        <v/>
      </c>
      <c r="AC8" s="134">
        <f t="shared" ca="1" si="12"/>
        <v>0</v>
      </c>
      <c r="AD8" s="82" t="str">
        <f t="shared" ca="1" si="13"/>
        <v/>
      </c>
      <c r="AE8" s="88">
        <v>68</v>
      </c>
      <c r="AF8" s="88">
        <v>68</v>
      </c>
      <c r="AG8" s="88">
        <v>68</v>
      </c>
      <c r="AH8" s="88">
        <v>68</v>
      </c>
      <c r="AI8" s="88">
        <v>76.666666666666671</v>
      </c>
      <c r="AJ8" s="88">
        <v>68</v>
      </c>
      <c r="AK8" s="88">
        <v>77.142857142857139</v>
      </c>
      <c r="AL8" s="88">
        <v>34</v>
      </c>
      <c r="AM8" s="102">
        <f t="shared" ca="1" si="14"/>
        <v>3</v>
      </c>
      <c r="AN8" s="103">
        <f t="shared" ca="1" si="15"/>
        <v>0.38</v>
      </c>
      <c r="AO8" s="82" t="str">
        <f t="shared" ca="1" si="16"/>
        <v>E</v>
      </c>
    </row>
    <row r="9" spans="1:41" ht="24.6" customHeight="1">
      <c r="A9" s="259">
        <v>4</v>
      </c>
      <c r="B9" s="262" t="str">
        <f t="shared" ca="1" si="0"/>
        <v>ગરણિયા અલ્પેશકુમાર મેરામભાઇ</v>
      </c>
      <c r="C9" s="167">
        <f>STUDENTS!D40</f>
        <v>0</v>
      </c>
      <c r="D9" s="168">
        <f>STUDENTS!D42</f>
        <v>0</v>
      </c>
      <c r="E9" s="249">
        <f t="shared" ca="1" si="17"/>
        <v>0</v>
      </c>
      <c r="F9" s="250"/>
      <c r="G9" s="250"/>
      <c r="H9" s="251">
        <f t="shared" ca="1" si="1"/>
        <v>0</v>
      </c>
      <c r="I9" s="250"/>
      <c r="J9" s="250"/>
      <c r="K9" s="252">
        <f t="shared" ca="1" si="2"/>
        <v>0</v>
      </c>
      <c r="L9" s="253" t="str">
        <f t="shared" ca="1" si="3"/>
        <v/>
      </c>
      <c r="M9" s="249">
        <f t="shared" ca="1" si="4"/>
        <v>0</v>
      </c>
      <c r="N9" s="250"/>
      <c r="O9" s="250"/>
      <c r="P9" s="251">
        <f t="shared" ca="1" si="5"/>
        <v>0</v>
      </c>
      <c r="Q9" s="250"/>
      <c r="R9" s="250"/>
      <c r="S9" s="252">
        <f t="shared" ca="1" si="6"/>
        <v>0</v>
      </c>
      <c r="T9" s="253" t="str">
        <f t="shared" ca="1" si="7"/>
        <v/>
      </c>
      <c r="U9" s="249">
        <f t="shared" ca="1" si="8"/>
        <v>0</v>
      </c>
      <c r="V9" s="250"/>
      <c r="W9" s="250"/>
      <c r="X9" s="251">
        <f t="shared" ca="1" si="9"/>
        <v>0</v>
      </c>
      <c r="Y9" s="250"/>
      <c r="Z9" s="250"/>
      <c r="AA9" s="252">
        <f t="shared" ca="1" si="10"/>
        <v>0</v>
      </c>
      <c r="AB9" s="253" t="str">
        <f t="shared" ca="1" si="11"/>
        <v/>
      </c>
      <c r="AC9" s="134">
        <f t="shared" ca="1" si="12"/>
        <v>0</v>
      </c>
      <c r="AD9" s="82" t="str">
        <f t="shared" ca="1" si="13"/>
        <v/>
      </c>
      <c r="AE9" s="88">
        <v>68</v>
      </c>
      <c r="AF9" s="88">
        <v>68</v>
      </c>
      <c r="AG9" s="88">
        <v>68</v>
      </c>
      <c r="AH9" s="88">
        <v>68</v>
      </c>
      <c r="AI9" s="88">
        <v>76.666666666666671</v>
      </c>
      <c r="AJ9" s="88">
        <v>68</v>
      </c>
      <c r="AK9" s="88">
        <v>77.142857142857139</v>
      </c>
      <c r="AL9" s="88">
        <v>34</v>
      </c>
      <c r="AM9" s="102">
        <f t="shared" ca="1" si="14"/>
        <v>0</v>
      </c>
      <c r="AN9" s="103">
        <f t="shared" ca="1" si="15"/>
        <v>0</v>
      </c>
      <c r="AO9" s="82" t="str">
        <f t="shared" ca="1" si="16"/>
        <v/>
      </c>
    </row>
    <row r="10" spans="1:41" ht="24.6" customHeight="1">
      <c r="A10" s="259">
        <v>5</v>
      </c>
      <c r="B10" s="262" t="str">
        <f t="shared" ca="1" si="0"/>
        <v>ગરણિયા મિલન પોપટભાઇ</v>
      </c>
      <c r="C10" s="167">
        <f>STUDENTS!D52</f>
        <v>0</v>
      </c>
      <c r="D10" s="168">
        <f>STUDENTS!D54</f>
        <v>0</v>
      </c>
      <c r="E10" s="249">
        <f t="shared" ca="1" si="17"/>
        <v>3</v>
      </c>
      <c r="F10" s="250"/>
      <c r="G10" s="250"/>
      <c r="H10" s="251">
        <f t="shared" ca="1" si="1"/>
        <v>0</v>
      </c>
      <c r="I10" s="250"/>
      <c r="J10" s="250"/>
      <c r="K10" s="252">
        <f t="shared" ca="1" si="2"/>
        <v>3</v>
      </c>
      <c r="L10" s="253" t="str">
        <f t="shared" ca="1" si="3"/>
        <v>E</v>
      </c>
      <c r="M10" s="249">
        <f t="shared" ca="1" si="4"/>
        <v>0</v>
      </c>
      <c r="N10" s="250"/>
      <c r="O10" s="250"/>
      <c r="P10" s="251">
        <f t="shared" ca="1" si="5"/>
        <v>3</v>
      </c>
      <c r="Q10" s="250"/>
      <c r="R10" s="250"/>
      <c r="S10" s="252">
        <f t="shared" ca="1" si="6"/>
        <v>3</v>
      </c>
      <c r="T10" s="253" t="str">
        <f t="shared" ca="1" si="7"/>
        <v>E</v>
      </c>
      <c r="U10" s="249">
        <f t="shared" ca="1" si="8"/>
        <v>0</v>
      </c>
      <c r="V10" s="250"/>
      <c r="W10" s="250"/>
      <c r="X10" s="251">
        <f t="shared" ca="1" si="9"/>
        <v>0</v>
      </c>
      <c r="Y10" s="250"/>
      <c r="Z10" s="250"/>
      <c r="AA10" s="252">
        <f t="shared" ca="1" si="10"/>
        <v>0</v>
      </c>
      <c r="AB10" s="253" t="str">
        <f t="shared" ca="1" si="11"/>
        <v/>
      </c>
      <c r="AC10" s="134">
        <f t="shared" ca="1" si="12"/>
        <v>0</v>
      </c>
      <c r="AD10" s="82" t="str">
        <f t="shared" ca="1" si="13"/>
        <v/>
      </c>
      <c r="AE10" s="88">
        <v>68</v>
      </c>
      <c r="AF10" s="88">
        <v>68</v>
      </c>
      <c r="AG10" s="88">
        <v>68</v>
      </c>
      <c r="AH10" s="88">
        <v>68</v>
      </c>
      <c r="AI10" s="88">
        <v>76.666666666666671</v>
      </c>
      <c r="AJ10" s="88">
        <v>68</v>
      </c>
      <c r="AK10" s="88">
        <v>77.142857142857139</v>
      </c>
      <c r="AL10" s="88">
        <v>34</v>
      </c>
      <c r="AM10" s="102">
        <f t="shared" ca="1" si="14"/>
        <v>6</v>
      </c>
      <c r="AN10" s="103">
        <f t="shared" ca="1" si="15"/>
        <v>0.75</v>
      </c>
      <c r="AO10" s="82" t="str">
        <f t="shared" ca="1" si="16"/>
        <v>E</v>
      </c>
    </row>
    <row r="11" spans="1:41" ht="24.6" customHeight="1">
      <c r="A11" s="259">
        <v>6</v>
      </c>
      <c r="B11" s="262" t="str">
        <f t="shared" ca="1" si="0"/>
        <v>ગરણિયા મોહિત રાવતભાઇ</v>
      </c>
      <c r="C11" s="167">
        <f>STUDENTS!D64</f>
        <v>0</v>
      </c>
      <c r="D11" s="168">
        <f>STUDENTS!D66</f>
        <v>0</v>
      </c>
      <c r="E11" s="249">
        <f t="shared" ca="1" si="17"/>
        <v>0</v>
      </c>
      <c r="F11" s="250"/>
      <c r="G11" s="250"/>
      <c r="H11" s="251">
        <f t="shared" ca="1" si="1"/>
        <v>0</v>
      </c>
      <c r="I11" s="250"/>
      <c r="J11" s="250"/>
      <c r="K11" s="252">
        <f t="shared" ca="1" si="2"/>
        <v>0</v>
      </c>
      <c r="L11" s="253" t="str">
        <f t="shared" ca="1" si="3"/>
        <v/>
      </c>
      <c r="M11" s="249">
        <f t="shared" ca="1" si="4"/>
        <v>0</v>
      </c>
      <c r="N11" s="250"/>
      <c r="O11" s="250"/>
      <c r="P11" s="251">
        <f t="shared" ca="1" si="5"/>
        <v>0</v>
      </c>
      <c r="Q11" s="250"/>
      <c r="R11" s="250"/>
      <c r="S11" s="252">
        <f t="shared" ca="1" si="6"/>
        <v>0</v>
      </c>
      <c r="T11" s="253" t="str">
        <f t="shared" ca="1" si="7"/>
        <v/>
      </c>
      <c r="U11" s="249">
        <f t="shared" ca="1" si="8"/>
        <v>0</v>
      </c>
      <c r="V11" s="250"/>
      <c r="W11" s="250"/>
      <c r="X11" s="251">
        <f t="shared" ca="1" si="9"/>
        <v>0</v>
      </c>
      <c r="Y11" s="250"/>
      <c r="Z11" s="250"/>
      <c r="AA11" s="252">
        <f t="shared" ca="1" si="10"/>
        <v>0</v>
      </c>
      <c r="AB11" s="253" t="str">
        <f t="shared" ca="1" si="11"/>
        <v/>
      </c>
      <c r="AC11" s="134">
        <f t="shared" ca="1" si="12"/>
        <v>0</v>
      </c>
      <c r="AD11" s="82" t="str">
        <f t="shared" ca="1" si="13"/>
        <v/>
      </c>
      <c r="AE11" s="88">
        <v>68</v>
      </c>
      <c r="AF11" s="88">
        <v>68</v>
      </c>
      <c r="AG11" s="88">
        <v>68</v>
      </c>
      <c r="AH11" s="88">
        <v>68</v>
      </c>
      <c r="AI11" s="88">
        <v>76.666666666666671</v>
      </c>
      <c r="AJ11" s="88">
        <v>68</v>
      </c>
      <c r="AK11" s="88">
        <v>77.142857142857139</v>
      </c>
      <c r="AL11" s="88">
        <v>34</v>
      </c>
      <c r="AM11" s="102">
        <f t="shared" ca="1" si="14"/>
        <v>0</v>
      </c>
      <c r="AN11" s="103">
        <f t="shared" ca="1" si="15"/>
        <v>0</v>
      </c>
      <c r="AO11" s="82" t="str">
        <f t="shared" ca="1" si="16"/>
        <v/>
      </c>
    </row>
    <row r="12" spans="1:41" ht="24.6" customHeight="1">
      <c r="A12" s="259">
        <v>7</v>
      </c>
      <c r="B12" s="262" t="str">
        <f t="shared" ca="1" si="0"/>
        <v>ગરણિયા સુમિત પોપટભાઇ</v>
      </c>
      <c r="C12" s="167">
        <f>STUDENTS!D76</f>
        <v>0</v>
      </c>
      <c r="D12" s="168">
        <f>STUDENTS!D78</f>
        <v>0</v>
      </c>
      <c r="E12" s="249">
        <f t="shared" ca="1" si="17"/>
        <v>0</v>
      </c>
      <c r="F12" s="250"/>
      <c r="G12" s="250"/>
      <c r="H12" s="251">
        <f t="shared" ca="1" si="1"/>
        <v>0</v>
      </c>
      <c r="I12" s="250"/>
      <c r="J12" s="250"/>
      <c r="K12" s="252">
        <f t="shared" ca="1" si="2"/>
        <v>0</v>
      </c>
      <c r="L12" s="253" t="str">
        <f t="shared" ca="1" si="3"/>
        <v/>
      </c>
      <c r="M12" s="249">
        <f t="shared" ca="1" si="4"/>
        <v>0</v>
      </c>
      <c r="N12" s="250"/>
      <c r="O12" s="250"/>
      <c r="P12" s="251">
        <f t="shared" ca="1" si="5"/>
        <v>0</v>
      </c>
      <c r="Q12" s="250"/>
      <c r="R12" s="250"/>
      <c r="S12" s="252">
        <f t="shared" ca="1" si="6"/>
        <v>0</v>
      </c>
      <c r="T12" s="253" t="str">
        <f t="shared" ca="1" si="7"/>
        <v/>
      </c>
      <c r="U12" s="249">
        <f t="shared" ca="1" si="8"/>
        <v>0</v>
      </c>
      <c r="V12" s="250"/>
      <c r="W12" s="250"/>
      <c r="X12" s="251">
        <f t="shared" ca="1" si="9"/>
        <v>0</v>
      </c>
      <c r="Y12" s="250"/>
      <c r="Z12" s="250"/>
      <c r="AA12" s="252">
        <f t="shared" ca="1" si="10"/>
        <v>0</v>
      </c>
      <c r="AB12" s="253" t="str">
        <f t="shared" ca="1" si="11"/>
        <v/>
      </c>
      <c r="AC12" s="134">
        <f t="shared" ca="1" si="12"/>
        <v>0</v>
      </c>
      <c r="AD12" s="82" t="str">
        <f t="shared" ca="1" si="13"/>
        <v/>
      </c>
      <c r="AE12" s="88">
        <v>68</v>
      </c>
      <c r="AF12" s="88">
        <v>68</v>
      </c>
      <c r="AG12" s="88">
        <v>68</v>
      </c>
      <c r="AH12" s="88">
        <v>68</v>
      </c>
      <c r="AI12" s="88">
        <v>76.666666666666671</v>
      </c>
      <c r="AJ12" s="88">
        <v>68</v>
      </c>
      <c r="AK12" s="88">
        <v>77.142857142857139</v>
      </c>
      <c r="AL12" s="88">
        <v>34</v>
      </c>
      <c r="AM12" s="102">
        <f t="shared" ca="1" si="14"/>
        <v>0</v>
      </c>
      <c r="AN12" s="103">
        <f t="shared" ca="1" si="15"/>
        <v>0</v>
      </c>
      <c r="AO12" s="82" t="str">
        <f t="shared" ca="1" si="16"/>
        <v/>
      </c>
    </row>
    <row r="13" spans="1:41" ht="24.6" customHeight="1">
      <c r="A13" s="259">
        <v>8</v>
      </c>
      <c r="B13" s="262" t="str">
        <f t="shared" ca="1" si="0"/>
        <v>ગરણિયા રામકુભાઇ સાર્દૂળભાઇ</v>
      </c>
      <c r="C13" s="167">
        <f>STUDENTS!D88</f>
        <v>0</v>
      </c>
      <c r="D13" s="168">
        <f>STUDENTS!D90</f>
        <v>0</v>
      </c>
      <c r="E13" s="249">
        <f t="shared" ca="1" si="17"/>
        <v>3</v>
      </c>
      <c r="F13" s="250"/>
      <c r="G13" s="250"/>
      <c r="H13" s="251">
        <f t="shared" ca="1" si="1"/>
        <v>0</v>
      </c>
      <c r="I13" s="250"/>
      <c r="J13" s="250"/>
      <c r="K13" s="252">
        <f t="shared" ca="1" si="2"/>
        <v>3</v>
      </c>
      <c r="L13" s="253" t="str">
        <f t="shared" ca="1" si="3"/>
        <v>E</v>
      </c>
      <c r="M13" s="249">
        <f t="shared" ca="1" si="4"/>
        <v>0</v>
      </c>
      <c r="N13" s="250"/>
      <c r="O13" s="250"/>
      <c r="P13" s="251">
        <f t="shared" ca="1" si="5"/>
        <v>0</v>
      </c>
      <c r="Q13" s="250"/>
      <c r="R13" s="250"/>
      <c r="S13" s="252">
        <f t="shared" ca="1" si="6"/>
        <v>0</v>
      </c>
      <c r="T13" s="253" t="str">
        <f t="shared" ca="1" si="7"/>
        <v/>
      </c>
      <c r="U13" s="249">
        <f t="shared" ca="1" si="8"/>
        <v>0</v>
      </c>
      <c r="V13" s="250"/>
      <c r="W13" s="250"/>
      <c r="X13" s="251">
        <f t="shared" ca="1" si="9"/>
        <v>0</v>
      </c>
      <c r="Y13" s="250"/>
      <c r="Z13" s="250"/>
      <c r="AA13" s="252">
        <f t="shared" ca="1" si="10"/>
        <v>0</v>
      </c>
      <c r="AB13" s="253" t="str">
        <f t="shared" ca="1" si="11"/>
        <v/>
      </c>
      <c r="AC13" s="134">
        <f t="shared" ca="1" si="12"/>
        <v>34</v>
      </c>
      <c r="AD13" s="82" t="str">
        <f t="shared" ca="1" si="13"/>
        <v>E</v>
      </c>
      <c r="AE13" s="88">
        <v>68</v>
      </c>
      <c r="AF13" s="88">
        <v>68</v>
      </c>
      <c r="AG13" s="88">
        <v>68</v>
      </c>
      <c r="AH13" s="88">
        <v>68</v>
      </c>
      <c r="AI13" s="88">
        <v>76.666666666666671</v>
      </c>
      <c r="AJ13" s="88">
        <v>68</v>
      </c>
      <c r="AK13" s="88">
        <v>77.142857142857139</v>
      </c>
      <c r="AL13" s="88">
        <v>34</v>
      </c>
      <c r="AM13" s="102">
        <f t="shared" ca="1" si="14"/>
        <v>37</v>
      </c>
      <c r="AN13" s="103">
        <f t="shared" ca="1" si="15"/>
        <v>4.63</v>
      </c>
      <c r="AO13" s="82" t="str">
        <f t="shared" ca="1" si="16"/>
        <v>E</v>
      </c>
    </row>
    <row r="14" spans="1:41" ht="24.6" customHeight="1">
      <c r="A14" s="259">
        <v>9</v>
      </c>
      <c r="B14" s="262" t="str">
        <f t="shared" ca="1" si="0"/>
        <v>ડેર હિતેષકુમાર પ્રતાપભાઇ</v>
      </c>
      <c r="C14" s="167">
        <f>STUDENTS!D100</f>
        <v>0</v>
      </c>
      <c r="D14" s="168">
        <f>STUDENTS!D102</f>
        <v>0</v>
      </c>
      <c r="E14" s="249">
        <f t="shared" ca="1" si="17"/>
        <v>0</v>
      </c>
      <c r="F14" s="250"/>
      <c r="G14" s="250"/>
      <c r="H14" s="251">
        <f t="shared" ca="1" si="1"/>
        <v>0</v>
      </c>
      <c r="I14" s="250"/>
      <c r="J14" s="250"/>
      <c r="K14" s="252">
        <f t="shared" ca="1" si="2"/>
        <v>0</v>
      </c>
      <c r="L14" s="253" t="str">
        <f t="shared" ca="1" si="3"/>
        <v/>
      </c>
      <c r="M14" s="249">
        <f t="shared" ca="1" si="4"/>
        <v>0</v>
      </c>
      <c r="N14" s="250"/>
      <c r="O14" s="250"/>
      <c r="P14" s="251">
        <f t="shared" ca="1" si="5"/>
        <v>0</v>
      </c>
      <c r="Q14" s="250"/>
      <c r="R14" s="250"/>
      <c r="S14" s="252">
        <f t="shared" ca="1" si="6"/>
        <v>0</v>
      </c>
      <c r="T14" s="253" t="str">
        <f t="shared" ca="1" si="7"/>
        <v/>
      </c>
      <c r="U14" s="249">
        <f t="shared" ca="1" si="8"/>
        <v>0</v>
      </c>
      <c r="V14" s="250"/>
      <c r="W14" s="250"/>
      <c r="X14" s="251">
        <f t="shared" ca="1" si="9"/>
        <v>0</v>
      </c>
      <c r="Y14" s="250"/>
      <c r="Z14" s="250"/>
      <c r="AA14" s="252">
        <f t="shared" ca="1" si="10"/>
        <v>0</v>
      </c>
      <c r="AB14" s="253" t="str">
        <f t="shared" ca="1" si="11"/>
        <v/>
      </c>
      <c r="AC14" s="134">
        <f t="shared" ca="1" si="12"/>
        <v>0</v>
      </c>
      <c r="AD14" s="82" t="str">
        <f t="shared" ca="1" si="13"/>
        <v/>
      </c>
      <c r="AE14" s="88">
        <v>68</v>
      </c>
      <c r="AF14" s="88">
        <v>68</v>
      </c>
      <c r="AG14" s="88">
        <v>68</v>
      </c>
      <c r="AH14" s="88">
        <v>68</v>
      </c>
      <c r="AI14" s="88">
        <v>76.666666666666671</v>
      </c>
      <c r="AJ14" s="88">
        <v>68</v>
      </c>
      <c r="AK14" s="88">
        <v>77.142857142857139</v>
      </c>
      <c r="AL14" s="88">
        <v>34</v>
      </c>
      <c r="AM14" s="102">
        <f t="shared" ca="1" si="14"/>
        <v>0</v>
      </c>
      <c r="AN14" s="103">
        <f t="shared" ca="1" si="15"/>
        <v>0</v>
      </c>
      <c r="AO14" s="82" t="str">
        <f t="shared" ca="1" si="16"/>
        <v/>
      </c>
    </row>
    <row r="15" spans="1:41" ht="24.6" customHeight="1">
      <c r="A15" s="259">
        <v>10</v>
      </c>
      <c r="B15" s="262" t="str">
        <f t="shared" ca="1" si="0"/>
        <v>વેકરીયા વિશાલકુમાર દિપકભાઇ</v>
      </c>
      <c r="C15" s="167">
        <f>STUDENTS!D112</f>
        <v>0</v>
      </c>
      <c r="D15" s="168">
        <f>STUDENTS!D114</f>
        <v>0</v>
      </c>
      <c r="E15" s="249">
        <f t="shared" ca="1" si="17"/>
        <v>0</v>
      </c>
      <c r="F15" s="250"/>
      <c r="G15" s="250"/>
      <c r="H15" s="251">
        <f t="shared" ca="1" si="1"/>
        <v>0</v>
      </c>
      <c r="I15" s="250"/>
      <c r="J15" s="250"/>
      <c r="K15" s="252">
        <f t="shared" ca="1" si="2"/>
        <v>0</v>
      </c>
      <c r="L15" s="253" t="str">
        <f t="shared" ca="1" si="3"/>
        <v/>
      </c>
      <c r="M15" s="249">
        <f t="shared" ca="1" si="4"/>
        <v>0</v>
      </c>
      <c r="N15" s="250"/>
      <c r="O15" s="250"/>
      <c r="P15" s="251">
        <f t="shared" ca="1" si="5"/>
        <v>0</v>
      </c>
      <c r="Q15" s="250"/>
      <c r="R15" s="250"/>
      <c r="S15" s="252">
        <f t="shared" ca="1" si="6"/>
        <v>0</v>
      </c>
      <c r="T15" s="253" t="str">
        <f t="shared" ca="1" si="7"/>
        <v/>
      </c>
      <c r="U15" s="249">
        <f t="shared" ca="1" si="8"/>
        <v>0</v>
      </c>
      <c r="V15" s="250"/>
      <c r="W15" s="250"/>
      <c r="X15" s="251">
        <f t="shared" ca="1" si="9"/>
        <v>0</v>
      </c>
      <c r="Y15" s="250"/>
      <c r="Z15" s="250"/>
      <c r="AA15" s="252">
        <f t="shared" ca="1" si="10"/>
        <v>0</v>
      </c>
      <c r="AB15" s="253" t="str">
        <f t="shared" ca="1" si="11"/>
        <v/>
      </c>
      <c r="AC15" s="134">
        <f t="shared" ca="1" si="12"/>
        <v>0</v>
      </c>
      <c r="AD15" s="82" t="str">
        <f t="shared" ca="1" si="13"/>
        <v/>
      </c>
      <c r="AE15" s="88">
        <v>68</v>
      </c>
      <c r="AF15" s="88">
        <v>68</v>
      </c>
      <c r="AG15" s="88">
        <v>68</v>
      </c>
      <c r="AH15" s="88">
        <v>68</v>
      </c>
      <c r="AI15" s="88">
        <v>76.666666666666671</v>
      </c>
      <c r="AJ15" s="88">
        <v>68</v>
      </c>
      <c r="AK15" s="88">
        <v>77.142857142857139</v>
      </c>
      <c r="AL15" s="88">
        <v>34</v>
      </c>
      <c r="AM15" s="102">
        <f t="shared" ca="1" si="14"/>
        <v>0</v>
      </c>
      <c r="AN15" s="103">
        <f t="shared" ca="1" si="15"/>
        <v>0</v>
      </c>
      <c r="AO15" s="82" t="str">
        <f t="shared" ca="1" si="16"/>
        <v/>
      </c>
    </row>
    <row r="16" spans="1:41" ht="24.6" customHeight="1">
      <c r="A16" s="259">
        <v>11</v>
      </c>
      <c r="B16" s="262" t="str">
        <f t="shared" ca="1" si="0"/>
        <v>માણસુરીયા મહેન્દ્રભાઇ ભૂપતભાઇ</v>
      </c>
      <c r="C16" s="167">
        <f>STUDENTS!D124</f>
        <v>0</v>
      </c>
      <c r="D16" s="168">
        <f>STUDENTS!D126</f>
        <v>0</v>
      </c>
      <c r="E16" s="249">
        <f t="shared" ca="1" si="17"/>
        <v>0</v>
      </c>
      <c r="F16" s="250"/>
      <c r="G16" s="250"/>
      <c r="H16" s="251">
        <f t="shared" ca="1" si="1"/>
        <v>0</v>
      </c>
      <c r="I16" s="250"/>
      <c r="J16" s="250"/>
      <c r="K16" s="252">
        <f t="shared" ca="1" si="2"/>
        <v>0</v>
      </c>
      <c r="L16" s="253" t="str">
        <f t="shared" ca="1" si="3"/>
        <v/>
      </c>
      <c r="M16" s="249">
        <f t="shared" ca="1" si="4"/>
        <v>0</v>
      </c>
      <c r="N16" s="250"/>
      <c r="O16" s="250"/>
      <c r="P16" s="251">
        <f t="shared" ca="1" si="5"/>
        <v>0</v>
      </c>
      <c r="Q16" s="250"/>
      <c r="R16" s="250"/>
      <c r="S16" s="252">
        <f t="shared" ca="1" si="6"/>
        <v>0</v>
      </c>
      <c r="T16" s="253" t="str">
        <f t="shared" ca="1" si="7"/>
        <v/>
      </c>
      <c r="U16" s="249">
        <f t="shared" ca="1" si="8"/>
        <v>0</v>
      </c>
      <c r="V16" s="250"/>
      <c r="W16" s="250"/>
      <c r="X16" s="251">
        <f t="shared" ca="1" si="9"/>
        <v>0</v>
      </c>
      <c r="Y16" s="250"/>
      <c r="Z16" s="250"/>
      <c r="AA16" s="252">
        <f t="shared" ca="1" si="10"/>
        <v>0</v>
      </c>
      <c r="AB16" s="253" t="str">
        <f t="shared" ca="1" si="11"/>
        <v/>
      </c>
      <c r="AC16" s="134">
        <f t="shared" ca="1" si="12"/>
        <v>0</v>
      </c>
      <c r="AD16" s="82" t="str">
        <f t="shared" ca="1" si="13"/>
        <v/>
      </c>
      <c r="AE16" s="88">
        <v>68</v>
      </c>
      <c r="AF16" s="88">
        <v>68</v>
      </c>
      <c r="AG16" s="88">
        <v>68</v>
      </c>
      <c r="AH16" s="88">
        <v>68</v>
      </c>
      <c r="AI16" s="88">
        <v>76.666666666666671</v>
      </c>
      <c r="AJ16" s="88">
        <v>68</v>
      </c>
      <c r="AK16" s="88">
        <v>77.142857142857139</v>
      </c>
      <c r="AL16" s="88">
        <v>34</v>
      </c>
      <c r="AM16" s="102">
        <f t="shared" ca="1" si="14"/>
        <v>0</v>
      </c>
      <c r="AN16" s="103">
        <f t="shared" ca="1" si="15"/>
        <v>0</v>
      </c>
      <c r="AO16" s="82" t="str">
        <f t="shared" ca="1" si="16"/>
        <v/>
      </c>
    </row>
    <row r="17" spans="1:41" ht="24.6" customHeight="1">
      <c r="A17" s="259">
        <v>12</v>
      </c>
      <c r="B17" s="262" t="str">
        <f t="shared" ca="1" si="0"/>
        <v>પરમાર અજયકુમાર રમેશભાઇ</v>
      </c>
      <c r="C17" s="167">
        <f>STUDENTS!D136</f>
        <v>0</v>
      </c>
      <c r="D17" s="168">
        <f>STUDENTS!D138</f>
        <v>0</v>
      </c>
      <c r="E17" s="249">
        <f t="shared" ca="1" si="17"/>
        <v>0</v>
      </c>
      <c r="F17" s="250"/>
      <c r="G17" s="250"/>
      <c r="H17" s="251">
        <f t="shared" ca="1" si="1"/>
        <v>0</v>
      </c>
      <c r="I17" s="250"/>
      <c r="J17" s="250"/>
      <c r="K17" s="252">
        <f t="shared" ca="1" si="2"/>
        <v>0</v>
      </c>
      <c r="L17" s="253" t="str">
        <f t="shared" ca="1" si="3"/>
        <v/>
      </c>
      <c r="M17" s="249">
        <f t="shared" ca="1" si="4"/>
        <v>0</v>
      </c>
      <c r="N17" s="250"/>
      <c r="O17" s="250"/>
      <c r="P17" s="251">
        <f t="shared" ca="1" si="5"/>
        <v>0</v>
      </c>
      <c r="Q17" s="250"/>
      <c r="R17" s="250"/>
      <c r="S17" s="252">
        <f t="shared" ca="1" si="6"/>
        <v>0</v>
      </c>
      <c r="T17" s="253" t="str">
        <f t="shared" ca="1" si="7"/>
        <v/>
      </c>
      <c r="U17" s="249">
        <f t="shared" ca="1" si="8"/>
        <v>0</v>
      </c>
      <c r="V17" s="250"/>
      <c r="W17" s="250"/>
      <c r="X17" s="251">
        <f t="shared" ca="1" si="9"/>
        <v>0</v>
      </c>
      <c r="Y17" s="250"/>
      <c r="Z17" s="250"/>
      <c r="AA17" s="252">
        <f t="shared" ca="1" si="10"/>
        <v>0</v>
      </c>
      <c r="AB17" s="253" t="str">
        <f t="shared" ca="1" si="11"/>
        <v/>
      </c>
      <c r="AC17" s="134">
        <f t="shared" ca="1" si="12"/>
        <v>0</v>
      </c>
      <c r="AD17" s="82" t="str">
        <f t="shared" ca="1" si="13"/>
        <v/>
      </c>
      <c r="AE17" s="88">
        <v>68</v>
      </c>
      <c r="AF17" s="88">
        <v>68</v>
      </c>
      <c r="AG17" s="88">
        <v>68</v>
      </c>
      <c r="AH17" s="88">
        <v>68</v>
      </c>
      <c r="AI17" s="88">
        <v>76.666666666666671</v>
      </c>
      <c r="AJ17" s="88">
        <v>68</v>
      </c>
      <c r="AK17" s="88">
        <v>77.142857142857139</v>
      </c>
      <c r="AL17" s="88">
        <v>34</v>
      </c>
      <c r="AM17" s="102">
        <f t="shared" ca="1" si="14"/>
        <v>0</v>
      </c>
      <c r="AN17" s="103">
        <f t="shared" ca="1" si="15"/>
        <v>0</v>
      </c>
      <c r="AO17" s="82" t="str">
        <f t="shared" ca="1" si="16"/>
        <v/>
      </c>
    </row>
    <row r="18" spans="1:41" ht="24.6" customHeight="1">
      <c r="A18" s="259">
        <v>13</v>
      </c>
      <c r="B18" s="262" t="str">
        <f t="shared" ca="1" si="0"/>
        <v>કંડોળીયા અલ્પેશકુમાર ભરતભાઇ</v>
      </c>
      <c r="C18" s="167">
        <f>STUDENTS!D148</f>
        <v>0</v>
      </c>
      <c r="D18" s="168">
        <f>STUDENTS!D150</f>
        <v>0</v>
      </c>
      <c r="E18" s="249">
        <f t="shared" ca="1" si="17"/>
        <v>0</v>
      </c>
      <c r="F18" s="250"/>
      <c r="G18" s="250"/>
      <c r="H18" s="251">
        <f t="shared" ca="1" si="1"/>
        <v>0</v>
      </c>
      <c r="I18" s="250"/>
      <c r="J18" s="250"/>
      <c r="K18" s="252">
        <f t="shared" ca="1" si="2"/>
        <v>0</v>
      </c>
      <c r="L18" s="253" t="str">
        <f t="shared" ca="1" si="3"/>
        <v/>
      </c>
      <c r="M18" s="249">
        <f t="shared" ca="1" si="4"/>
        <v>0</v>
      </c>
      <c r="N18" s="250"/>
      <c r="O18" s="250"/>
      <c r="P18" s="251">
        <f t="shared" ca="1" si="5"/>
        <v>0</v>
      </c>
      <c r="Q18" s="250"/>
      <c r="R18" s="250"/>
      <c r="S18" s="252">
        <f t="shared" ca="1" si="6"/>
        <v>0</v>
      </c>
      <c r="T18" s="253" t="str">
        <f t="shared" ca="1" si="7"/>
        <v/>
      </c>
      <c r="U18" s="249">
        <f t="shared" ca="1" si="8"/>
        <v>0</v>
      </c>
      <c r="V18" s="250"/>
      <c r="W18" s="250"/>
      <c r="X18" s="251">
        <f t="shared" ca="1" si="9"/>
        <v>0</v>
      </c>
      <c r="Y18" s="250"/>
      <c r="Z18" s="250"/>
      <c r="AA18" s="252">
        <f t="shared" ca="1" si="10"/>
        <v>0</v>
      </c>
      <c r="AB18" s="253" t="str">
        <f t="shared" ca="1" si="11"/>
        <v/>
      </c>
      <c r="AC18" s="134">
        <f t="shared" ca="1" si="12"/>
        <v>0</v>
      </c>
      <c r="AD18" s="82" t="str">
        <f t="shared" ca="1" si="13"/>
        <v/>
      </c>
      <c r="AE18" s="88">
        <v>68</v>
      </c>
      <c r="AF18" s="88">
        <v>68</v>
      </c>
      <c r="AG18" s="88">
        <v>68</v>
      </c>
      <c r="AH18" s="88">
        <v>68</v>
      </c>
      <c r="AI18" s="88">
        <v>76.666666666666671</v>
      </c>
      <c r="AJ18" s="88">
        <v>68</v>
      </c>
      <c r="AK18" s="88">
        <v>77.142857142857139</v>
      </c>
      <c r="AL18" s="88">
        <v>34</v>
      </c>
      <c r="AM18" s="102">
        <f t="shared" ca="1" si="14"/>
        <v>0</v>
      </c>
      <c r="AN18" s="103">
        <f t="shared" ca="1" si="15"/>
        <v>0</v>
      </c>
      <c r="AO18" s="82" t="str">
        <f t="shared" ca="1" si="16"/>
        <v/>
      </c>
    </row>
    <row r="19" spans="1:41" ht="24.6" customHeight="1">
      <c r="A19" s="259">
        <v>14</v>
      </c>
      <c r="B19" s="262" t="str">
        <f t="shared" ca="1" si="0"/>
        <v>મકવાણા તરંગકુમાર કિશોરભાઇ</v>
      </c>
      <c r="C19" s="167">
        <f>STUDENTS!D160</f>
        <v>0</v>
      </c>
      <c r="D19" s="168">
        <f>STUDENTS!D162</f>
        <v>0</v>
      </c>
      <c r="E19" s="249">
        <f t="shared" ca="1" si="17"/>
        <v>0</v>
      </c>
      <c r="F19" s="250"/>
      <c r="G19" s="250"/>
      <c r="H19" s="251">
        <f t="shared" ca="1" si="1"/>
        <v>0</v>
      </c>
      <c r="I19" s="250"/>
      <c r="J19" s="250"/>
      <c r="K19" s="252">
        <f t="shared" ca="1" si="2"/>
        <v>0</v>
      </c>
      <c r="L19" s="253" t="str">
        <f t="shared" ca="1" si="3"/>
        <v/>
      </c>
      <c r="M19" s="249">
        <f t="shared" ca="1" si="4"/>
        <v>0</v>
      </c>
      <c r="N19" s="250"/>
      <c r="O19" s="250"/>
      <c r="P19" s="251">
        <f t="shared" ca="1" si="5"/>
        <v>0</v>
      </c>
      <c r="Q19" s="250"/>
      <c r="R19" s="250"/>
      <c r="S19" s="252">
        <f t="shared" ca="1" si="6"/>
        <v>0</v>
      </c>
      <c r="T19" s="253" t="str">
        <f t="shared" ca="1" si="7"/>
        <v/>
      </c>
      <c r="U19" s="249">
        <f t="shared" ca="1" si="8"/>
        <v>0</v>
      </c>
      <c r="V19" s="250"/>
      <c r="W19" s="250"/>
      <c r="X19" s="251">
        <f t="shared" ca="1" si="9"/>
        <v>0</v>
      </c>
      <c r="Y19" s="250"/>
      <c r="Z19" s="250"/>
      <c r="AA19" s="252">
        <f t="shared" ca="1" si="10"/>
        <v>0</v>
      </c>
      <c r="AB19" s="253" t="str">
        <f t="shared" ca="1" si="11"/>
        <v/>
      </c>
      <c r="AC19" s="134">
        <f t="shared" ca="1" si="12"/>
        <v>0</v>
      </c>
      <c r="AD19" s="82" t="str">
        <f t="shared" ca="1" si="13"/>
        <v/>
      </c>
      <c r="AE19" s="88">
        <v>68</v>
      </c>
      <c r="AF19" s="88">
        <v>68</v>
      </c>
      <c r="AG19" s="88">
        <v>68</v>
      </c>
      <c r="AH19" s="88">
        <v>68</v>
      </c>
      <c r="AI19" s="88">
        <v>76.666666666666671</v>
      </c>
      <c r="AJ19" s="88">
        <v>68</v>
      </c>
      <c r="AK19" s="88">
        <v>77.142857142857139</v>
      </c>
      <c r="AL19" s="88">
        <v>34</v>
      </c>
      <c r="AM19" s="102">
        <f t="shared" ca="1" si="14"/>
        <v>0</v>
      </c>
      <c r="AN19" s="103">
        <f t="shared" ca="1" si="15"/>
        <v>0</v>
      </c>
      <c r="AO19" s="82" t="str">
        <f t="shared" ca="1" si="16"/>
        <v/>
      </c>
    </row>
    <row r="20" spans="1:41" ht="24.6" customHeight="1">
      <c r="A20" s="259">
        <v>15</v>
      </c>
      <c r="B20" s="262" t="str">
        <f t="shared" ca="1" si="0"/>
        <v>ઢીમેચા સતીષ હનુભાઇ</v>
      </c>
      <c r="C20" s="167">
        <f>STUDENTS!D172</f>
        <v>0</v>
      </c>
      <c r="D20" s="168">
        <f>STUDENTS!D174</f>
        <v>0</v>
      </c>
      <c r="E20" s="249">
        <f t="shared" ca="1" si="17"/>
        <v>0</v>
      </c>
      <c r="F20" s="250"/>
      <c r="G20" s="250"/>
      <c r="H20" s="251">
        <f t="shared" ca="1" si="1"/>
        <v>0</v>
      </c>
      <c r="I20" s="250"/>
      <c r="J20" s="250"/>
      <c r="K20" s="252">
        <f t="shared" ca="1" si="2"/>
        <v>0</v>
      </c>
      <c r="L20" s="253" t="str">
        <f t="shared" ca="1" si="3"/>
        <v/>
      </c>
      <c r="M20" s="249">
        <f t="shared" ca="1" si="4"/>
        <v>0</v>
      </c>
      <c r="N20" s="250"/>
      <c r="O20" s="250"/>
      <c r="P20" s="251">
        <f t="shared" ca="1" si="5"/>
        <v>0</v>
      </c>
      <c r="Q20" s="250"/>
      <c r="R20" s="250"/>
      <c r="S20" s="252">
        <f t="shared" ca="1" si="6"/>
        <v>0</v>
      </c>
      <c r="T20" s="253" t="str">
        <f t="shared" ca="1" si="7"/>
        <v/>
      </c>
      <c r="U20" s="249">
        <f t="shared" ca="1" si="8"/>
        <v>0</v>
      </c>
      <c r="V20" s="250"/>
      <c r="W20" s="250"/>
      <c r="X20" s="251">
        <f t="shared" ca="1" si="9"/>
        <v>0</v>
      </c>
      <c r="Y20" s="250"/>
      <c r="Z20" s="250"/>
      <c r="AA20" s="252">
        <f t="shared" ca="1" si="10"/>
        <v>0</v>
      </c>
      <c r="AB20" s="253" t="str">
        <f t="shared" ca="1" si="11"/>
        <v/>
      </c>
      <c r="AC20" s="134">
        <f t="shared" ca="1" si="12"/>
        <v>0</v>
      </c>
      <c r="AD20" s="82" t="str">
        <f t="shared" ca="1" si="13"/>
        <v/>
      </c>
      <c r="AE20" s="88">
        <v>68</v>
      </c>
      <c r="AF20" s="88">
        <v>68</v>
      </c>
      <c r="AG20" s="88">
        <v>68</v>
      </c>
      <c r="AH20" s="88">
        <v>68</v>
      </c>
      <c r="AI20" s="88">
        <v>76.666666666666671</v>
      </c>
      <c r="AJ20" s="88">
        <v>68</v>
      </c>
      <c r="AK20" s="88">
        <v>77.142857142857139</v>
      </c>
      <c r="AL20" s="88">
        <v>34</v>
      </c>
      <c r="AM20" s="102">
        <f t="shared" ca="1" si="14"/>
        <v>0</v>
      </c>
      <c r="AN20" s="103">
        <f t="shared" ca="1" si="15"/>
        <v>0</v>
      </c>
      <c r="AO20" s="82" t="str">
        <f t="shared" ca="1" si="16"/>
        <v/>
      </c>
    </row>
    <row r="21" spans="1:41" ht="24.6" customHeight="1">
      <c r="A21" s="259">
        <v>16</v>
      </c>
      <c r="B21" s="262" t="str">
        <f t="shared" ca="1" si="0"/>
        <v>ખુમાણ શિવરાજભાઇ બાબુભાઇ</v>
      </c>
      <c r="C21" s="167">
        <f>STUDENTS!D184</f>
        <v>0</v>
      </c>
      <c r="D21" s="168">
        <f>STUDENTS!D186</f>
        <v>0</v>
      </c>
      <c r="E21" s="249">
        <f t="shared" ca="1" si="17"/>
        <v>0</v>
      </c>
      <c r="F21" s="250"/>
      <c r="G21" s="250"/>
      <c r="H21" s="251">
        <f t="shared" ca="1" si="1"/>
        <v>0</v>
      </c>
      <c r="I21" s="250"/>
      <c r="J21" s="250"/>
      <c r="K21" s="252">
        <f t="shared" ca="1" si="2"/>
        <v>0</v>
      </c>
      <c r="L21" s="253" t="str">
        <f t="shared" ca="1" si="3"/>
        <v/>
      </c>
      <c r="M21" s="249">
        <f t="shared" ca="1" si="4"/>
        <v>0</v>
      </c>
      <c r="N21" s="250"/>
      <c r="O21" s="250"/>
      <c r="P21" s="251">
        <f t="shared" ca="1" si="5"/>
        <v>0</v>
      </c>
      <c r="Q21" s="250"/>
      <c r="R21" s="250"/>
      <c r="S21" s="252">
        <f t="shared" ca="1" si="6"/>
        <v>0</v>
      </c>
      <c r="T21" s="253" t="str">
        <f t="shared" ca="1" si="7"/>
        <v/>
      </c>
      <c r="U21" s="249">
        <f t="shared" ca="1" si="8"/>
        <v>0</v>
      </c>
      <c r="V21" s="250"/>
      <c r="W21" s="250"/>
      <c r="X21" s="251">
        <f t="shared" ca="1" si="9"/>
        <v>0</v>
      </c>
      <c r="Y21" s="250"/>
      <c r="Z21" s="250"/>
      <c r="AA21" s="252">
        <f t="shared" ca="1" si="10"/>
        <v>0</v>
      </c>
      <c r="AB21" s="253" t="str">
        <f t="shared" ca="1" si="11"/>
        <v/>
      </c>
      <c r="AC21" s="134">
        <f t="shared" ca="1" si="12"/>
        <v>0</v>
      </c>
      <c r="AD21" s="82" t="str">
        <f t="shared" ca="1" si="13"/>
        <v/>
      </c>
      <c r="AE21" s="88">
        <v>68</v>
      </c>
      <c r="AF21" s="88">
        <v>68</v>
      </c>
      <c r="AG21" s="88">
        <v>68</v>
      </c>
      <c r="AH21" s="88">
        <v>68</v>
      </c>
      <c r="AI21" s="88">
        <v>76.666666666666671</v>
      </c>
      <c r="AJ21" s="88">
        <v>68</v>
      </c>
      <c r="AK21" s="88">
        <v>77.142857142857139</v>
      </c>
      <c r="AL21" s="88">
        <v>34</v>
      </c>
      <c r="AM21" s="102">
        <f t="shared" ca="1" si="14"/>
        <v>0</v>
      </c>
      <c r="AN21" s="103">
        <f t="shared" ca="1" si="15"/>
        <v>0</v>
      </c>
      <c r="AO21" s="82" t="str">
        <f t="shared" ca="1" si="16"/>
        <v/>
      </c>
    </row>
    <row r="22" spans="1:41" ht="24.6" customHeight="1">
      <c r="A22" s="259">
        <v>17</v>
      </c>
      <c r="B22" s="262" t="str">
        <f t="shared" ca="1" si="0"/>
        <v>માથાસુરીયા દિનેશભાઇ અમરાભાઇ</v>
      </c>
      <c r="C22" s="167">
        <f>STUDENTS!D196</f>
        <v>0</v>
      </c>
      <c r="D22" s="168">
        <f>STUDENTS!D198</f>
        <v>0</v>
      </c>
      <c r="E22" s="249">
        <f t="shared" ca="1" si="17"/>
        <v>0</v>
      </c>
      <c r="F22" s="250"/>
      <c r="G22" s="250"/>
      <c r="H22" s="251">
        <f t="shared" ca="1" si="1"/>
        <v>0</v>
      </c>
      <c r="I22" s="250"/>
      <c r="J22" s="250"/>
      <c r="K22" s="252">
        <f t="shared" ca="1" si="2"/>
        <v>0</v>
      </c>
      <c r="L22" s="253" t="str">
        <f t="shared" ca="1" si="3"/>
        <v/>
      </c>
      <c r="M22" s="249">
        <f t="shared" ca="1" si="4"/>
        <v>0</v>
      </c>
      <c r="N22" s="250"/>
      <c r="O22" s="250"/>
      <c r="P22" s="251">
        <f t="shared" ca="1" si="5"/>
        <v>0</v>
      </c>
      <c r="Q22" s="250"/>
      <c r="R22" s="250"/>
      <c r="S22" s="252">
        <f t="shared" ca="1" si="6"/>
        <v>0</v>
      </c>
      <c r="T22" s="253" t="str">
        <f t="shared" ca="1" si="7"/>
        <v/>
      </c>
      <c r="U22" s="249">
        <f t="shared" ca="1" si="8"/>
        <v>0</v>
      </c>
      <c r="V22" s="250"/>
      <c r="W22" s="250"/>
      <c r="X22" s="251">
        <f t="shared" ca="1" si="9"/>
        <v>0</v>
      </c>
      <c r="Y22" s="250"/>
      <c r="Z22" s="250"/>
      <c r="AA22" s="252">
        <f t="shared" ca="1" si="10"/>
        <v>0</v>
      </c>
      <c r="AB22" s="253" t="str">
        <f t="shared" ca="1" si="11"/>
        <v/>
      </c>
      <c r="AC22" s="134">
        <f t="shared" ca="1" si="12"/>
        <v>0</v>
      </c>
      <c r="AD22" s="82" t="str">
        <f t="shared" ca="1" si="13"/>
        <v/>
      </c>
      <c r="AE22" s="88">
        <v>68</v>
      </c>
      <c r="AF22" s="88">
        <v>68</v>
      </c>
      <c r="AG22" s="88">
        <v>68</v>
      </c>
      <c r="AH22" s="88">
        <v>68</v>
      </c>
      <c r="AI22" s="88">
        <v>76.666666666666671</v>
      </c>
      <c r="AJ22" s="88">
        <v>68</v>
      </c>
      <c r="AK22" s="88">
        <v>77.142857142857139</v>
      </c>
      <c r="AL22" s="88">
        <v>34</v>
      </c>
      <c r="AM22" s="102">
        <f t="shared" ca="1" si="14"/>
        <v>0</v>
      </c>
      <c r="AN22" s="103">
        <f t="shared" ca="1" si="15"/>
        <v>0</v>
      </c>
      <c r="AO22" s="82" t="str">
        <f t="shared" ca="1" si="16"/>
        <v/>
      </c>
    </row>
    <row r="23" spans="1:41" ht="24.6" customHeight="1">
      <c r="A23" s="259">
        <v>18</v>
      </c>
      <c r="B23" s="262" t="str">
        <f t="shared" ca="1" si="0"/>
        <v>વાઘેલા હરેશ જીલુભાઇ</v>
      </c>
      <c r="C23" s="167">
        <f>STUDENTS!D208</f>
        <v>0</v>
      </c>
      <c r="D23" s="168">
        <f>STUDENTS!D210</f>
        <v>0</v>
      </c>
      <c r="E23" s="249">
        <f t="shared" ca="1" si="17"/>
        <v>0</v>
      </c>
      <c r="F23" s="250"/>
      <c r="G23" s="250"/>
      <c r="H23" s="251">
        <f t="shared" ca="1" si="1"/>
        <v>0</v>
      </c>
      <c r="I23" s="250"/>
      <c r="J23" s="250"/>
      <c r="K23" s="252">
        <f t="shared" ca="1" si="2"/>
        <v>0</v>
      </c>
      <c r="L23" s="253" t="str">
        <f t="shared" ca="1" si="3"/>
        <v/>
      </c>
      <c r="M23" s="249">
        <f t="shared" ca="1" si="4"/>
        <v>0</v>
      </c>
      <c r="N23" s="250"/>
      <c r="O23" s="250"/>
      <c r="P23" s="251">
        <f t="shared" ca="1" si="5"/>
        <v>0</v>
      </c>
      <c r="Q23" s="250"/>
      <c r="R23" s="250"/>
      <c r="S23" s="252">
        <f t="shared" ca="1" si="6"/>
        <v>0</v>
      </c>
      <c r="T23" s="253" t="str">
        <f t="shared" ca="1" si="7"/>
        <v/>
      </c>
      <c r="U23" s="249">
        <f t="shared" ca="1" si="8"/>
        <v>0</v>
      </c>
      <c r="V23" s="250"/>
      <c r="W23" s="250"/>
      <c r="X23" s="251">
        <f t="shared" ca="1" si="9"/>
        <v>0</v>
      </c>
      <c r="Y23" s="250"/>
      <c r="Z23" s="250"/>
      <c r="AA23" s="252">
        <f t="shared" ca="1" si="10"/>
        <v>0</v>
      </c>
      <c r="AB23" s="253" t="str">
        <f t="shared" ca="1" si="11"/>
        <v/>
      </c>
      <c r="AC23" s="134">
        <f t="shared" ca="1" si="12"/>
        <v>0</v>
      </c>
      <c r="AD23" s="82" t="str">
        <f t="shared" ca="1" si="13"/>
        <v/>
      </c>
      <c r="AE23" s="88">
        <v>68</v>
      </c>
      <c r="AF23" s="88">
        <v>68</v>
      </c>
      <c r="AG23" s="88">
        <v>68</v>
      </c>
      <c r="AH23" s="88">
        <v>68</v>
      </c>
      <c r="AI23" s="88">
        <v>76.666666666666671</v>
      </c>
      <c r="AJ23" s="88">
        <v>68</v>
      </c>
      <c r="AK23" s="88">
        <v>77.142857142857139</v>
      </c>
      <c r="AL23" s="88">
        <v>34</v>
      </c>
      <c r="AM23" s="102">
        <f t="shared" ca="1" si="14"/>
        <v>0</v>
      </c>
      <c r="AN23" s="103">
        <f t="shared" ca="1" si="15"/>
        <v>0</v>
      </c>
      <c r="AO23" s="82" t="str">
        <f t="shared" ca="1" si="16"/>
        <v/>
      </c>
    </row>
    <row r="24" spans="1:41" ht="24.6" customHeight="1">
      <c r="A24" s="259">
        <v>19</v>
      </c>
      <c r="B24" s="262" t="str">
        <f t="shared" ca="1" si="0"/>
        <v>પરમાર દિલીપકુમાર મધુભાઇ</v>
      </c>
      <c r="C24" s="167">
        <f>STUDENTS!D220</f>
        <v>0</v>
      </c>
      <c r="D24" s="168">
        <f>STUDENTS!D222</f>
        <v>0</v>
      </c>
      <c r="E24" s="249">
        <f t="shared" ca="1" si="17"/>
        <v>0</v>
      </c>
      <c r="F24" s="250"/>
      <c r="G24" s="250"/>
      <c r="H24" s="251">
        <f t="shared" ca="1" si="1"/>
        <v>0</v>
      </c>
      <c r="I24" s="250"/>
      <c r="J24" s="250"/>
      <c r="K24" s="252">
        <f t="shared" ca="1" si="2"/>
        <v>0</v>
      </c>
      <c r="L24" s="253" t="str">
        <f t="shared" ca="1" si="3"/>
        <v/>
      </c>
      <c r="M24" s="249">
        <f t="shared" ca="1" si="4"/>
        <v>0</v>
      </c>
      <c r="N24" s="250"/>
      <c r="O24" s="250"/>
      <c r="P24" s="251">
        <f t="shared" ca="1" si="5"/>
        <v>0</v>
      </c>
      <c r="Q24" s="250"/>
      <c r="R24" s="250"/>
      <c r="S24" s="252">
        <f t="shared" ca="1" si="6"/>
        <v>0</v>
      </c>
      <c r="T24" s="253" t="str">
        <f t="shared" ca="1" si="7"/>
        <v/>
      </c>
      <c r="U24" s="249">
        <f t="shared" ca="1" si="8"/>
        <v>0</v>
      </c>
      <c r="V24" s="250"/>
      <c r="W24" s="250"/>
      <c r="X24" s="251">
        <f t="shared" ca="1" si="9"/>
        <v>0</v>
      </c>
      <c r="Y24" s="250"/>
      <c r="Z24" s="250"/>
      <c r="AA24" s="252">
        <f t="shared" ca="1" si="10"/>
        <v>0</v>
      </c>
      <c r="AB24" s="253" t="str">
        <f t="shared" ca="1" si="11"/>
        <v/>
      </c>
      <c r="AC24" s="134">
        <f t="shared" ca="1" si="12"/>
        <v>0</v>
      </c>
      <c r="AD24" s="82" t="str">
        <f t="shared" ca="1" si="13"/>
        <v/>
      </c>
      <c r="AE24" s="88">
        <v>68</v>
      </c>
      <c r="AF24" s="88">
        <v>68</v>
      </c>
      <c r="AG24" s="88">
        <v>68</v>
      </c>
      <c r="AH24" s="88">
        <v>68</v>
      </c>
      <c r="AI24" s="88">
        <v>76.666666666666671</v>
      </c>
      <c r="AJ24" s="88">
        <v>68</v>
      </c>
      <c r="AK24" s="88">
        <v>77.142857142857139</v>
      </c>
      <c r="AL24" s="88">
        <v>34</v>
      </c>
      <c r="AM24" s="102">
        <f t="shared" ca="1" si="14"/>
        <v>0</v>
      </c>
      <c r="AN24" s="103">
        <f t="shared" ca="1" si="15"/>
        <v>0</v>
      </c>
      <c r="AO24" s="82" t="str">
        <f t="shared" ca="1" si="16"/>
        <v/>
      </c>
    </row>
    <row r="25" spans="1:41" ht="24.6" customHeight="1">
      <c r="A25" s="259">
        <v>20</v>
      </c>
      <c r="B25" s="262" t="str">
        <f t="shared" ca="1" si="0"/>
        <v>વિરપરા કૃણાલ હરેશભાઇ</v>
      </c>
      <c r="C25" s="167">
        <f>STUDENTS!D232</f>
        <v>0</v>
      </c>
      <c r="D25" s="168">
        <f>STUDENTS!D234</f>
        <v>0</v>
      </c>
      <c r="E25" s="249">
        <f t="shared" ca="1" si="17"/>
        <v>0</v>
      </c>
      <c r="F25" s="250"/>
      <c r="G25" s="250"/>
      <c r="H25" s="251">
        <f t="shared" ca="1" si="1"/>
        <v>0</v>
      </c>
      <c r="I25" s="250"/>
      <c r="J25" s="250"/>
      <c r="K25" s="252">
        <f t="shared" ca="1" si="2"/>
        <v>0</v>
      </c>
      <c r="L25" s="253" t="str">
        <f t="shared" ca="1" si="3"/>
        <v/>
      </c>
      <c r="M25" s="249">
        <f t="shared" ca="1" si="4"/>
        <v>0</v>
      </c>
      <c r="N25" s="250"/>
      <c r="O25" s="250"/>
      <c r="P25" s="251">
        <f t="shared" ca="1" si="5"/>
        <v>0</v>
      </c>
      <c r="Q25" s="250"/>
      <c r="R25" s="250"/>
      <c r="S25" s="252">
        <f t="shared" ca="1" si="6"/>
        <v>0</v>
      </c>
      <c r="T25" s="253" t="str">
        <f t="shared" ca="1" si="7"/>
        <v/>
      </c>
      <c r="U25" s="249">
        <f t="shared" ca="1" si="8"/>
        <v>0</v>
      </c>
      <c r="V25" s="250"/>
      <c r="W25" s="250"/>
      <c r="X25" s="251">
        <f t="shared" ca="1" si="9"/>
        <v>0</v>
      </c>
      <c r="Y25" s="250"/>
      <c r="Z25" s="250"/>
      <c r="AA25" s="252">
        <f t="shared" ca="1" si="10"/>
        <v>0</v>
      </c>
      <c r="AB25" s="253" t="str">
        <f t="shared" ca="1" si="11"/>
        <v/>
      </c>
      <c r="AC25" s="134">
        <f t="shared" ca="1" si="12"/>
        <v>0</v>
      </c>
      <c r="AD25" s="82" t="str">
        <f t="shared" ca="1" si="13"/>
        <v/>
      </c>
      <c r="AE25" s="88">
        <v>68</v>
      </c>
      <c r="AF25" s="88">
        <v>68</v>
      </c>
      <c r="AG25" s="88">
        <v>68</v>
      </c>
      <c r="AH25" s="88">
        <v>68</v>
      </c>
      <c r="AI25" s="88">
        <v>76.666666666666671</v>
      </c>
      <c r="AJ25" s="88">
        <v>68</v>
      </c>
      <c r="AK25" s="88">
        <v>77.142857142857139</v>
      </c>
      <c r="AL25" s="88">
        <v>34</v>
      </c>
      <c r="AM25" s="102">
        <f t="shared" ca="1" si="14"/>
        <v>0</v>
      </c>
      <c r="AN25" s="103">
        <f t="shared" ca="1" si="15"/>
        <v>0</v>
      </c>
      <c r="AO25" s="82" t="str">
        <f t="shared" ca="1" si="16"/>
        <v/>
      </c>
    </row>
    <row r="26" spans="1:41" ht="24.6" customHeight="1">
      <c r="A26" s="259">
        <v>21</v>
      </c>
      <c r="B26" s="262" t="str">
        <f t="shared" ca="1" si="0"/>
        <v>મકરૂબિયા જીજ્ઞેશભાઇ અશોકભાઇ</v>
      </c>
      <c r="C26" s="167">
        <f>STUDENTS!D244</f>
        <v>0</v>
      </c>
      <c r="D26" s="168">
        <f>STUDENTS!D246</f>
        <v>0</v>
      </c>
      <c r="E26" s="249">
        <f t="shared" ca="1" si="17"/>
        <v>0</v>
      </c>
      <c r="F26" s="250"/>
      <c r="G26" s="250"/>
      <c r="H26" s="251">
        <f t="shared" ca="1" si="1"/>
        <v>0</v>
      </c>
      <c r="I26" s="250"/>
      <c r="J26" s="250"/>
      <c r="K26" s="252">
        <f t="shared" ca="1" si="2"/>
        <v>0</v>
      </c>
      <c r="L26" s="253" t="str">
        <f t="shared" ca="1" si="3"/>
        <v/>
      </c>
      <c r="M26" s="249">
        <f t="shared" ca="1" si="4"/>
        <v>0</v>
      </c>
      <c r="N26" s="250"/>
      <c r="O26" s="250"/>
      <c r="P26" s="251">
        <f t="shared" ca="1" si="5"/>
        <v>0</v>
      </c>
      <c r="Q26" s="250"/>
      <c r="R26" s="250"/>
      <c r="S26" s="252">
        <f t="shared" ca="1" si="6"/>
        <v>0</v>
      </c>
      <c r="T26" s="253" t="str">
        <f t="shared" ca="1" si="7"/>
        <v/>
      </c>
      <c r="U26" s="249">
        <f t="shared" ca="1" si="8"/>
        <v>0</v>
      </c>
      <c r="V26" s="250"/>
      <c r="W26" s="250"/>
      <c r="X26" s="251">
        <f t="shared" ca="1" si="9"/>
        <v>0</v>
      </c>
      <c r="Y26" s="250"/>
      <c r="Z26" s="250"/>
      <c r="AA26" s="252">
        <f t="shared" ca="1" si="10"/>
        <v>0</v>
      </c>
      <c r="AB26" s="253" t="str">
        <f t="shared" ca="1" si="11"/>
        <v/>
      </c>
      <c r="AC26" s="134">
        <f t="shared" ca="1" si="12"/>
        <v>0</v>
      </c>
      <c r="AD26" s="82" t="str">
        <f t="shared" ca="1" si="13"/>
        <v/>
      </c>
      <c r="AE26" s="88">
        <v>68</v>
      </c>
      <c r="AF26" s="88">
        <v>68</v>
      </c>
      <c r="AG26" s="88">
        <v>68</v>
      </c>
      <c r="AH26" s="88">
        <v>68</v>
      </c>
      <c r="AI26" s="88">
        <v>76.666666666666671</v>
      </c>
      <c r="AJ26" s="88">
        <v>68</v>
      </c>
      <c r="AK26" s="88">
        <v>77.142857142857139</v>
      </c>
      <c r="AL26" s="88">
        <v>34</v>
      </c>
      <c r="AM26" s="102">
        <f t="shared" ca="1" si="14"/>
        <v>0</v>
      </c>
      <c r="AN26" s="103">
        <f t="shared" ca="1" si="15"/>
        <v>0</v>
      </c>
      <c r="AO26" s="82" t="str">
        <f t="shared" ca="1" si="16"/>
        <v/>
      </c>
    </row>
    <row r="27" spans="1:41" ht="24.6" customHeight="1">
      <c r="A27" s="259">
        <v>22</v>
      </c>
      <c r="B27" s="262" t="str">
        <f t="shared" ca="1" si="0"/>
        <v>ખિમસુરીયા જ્યોત્સના મુકેશભાઇ</v>
      </c>
      <c r="C27" s="167">
        <f>STUDENTS!D256</f>
        <v>0</v>
      </c>
      <c r="D27" s="168">
        <f>STUDENTS!D258</f>
        <v>0</v>
      </c>
      <c r="E27" s="249">
        <f t="shared" ca="1" si="17"/>
        <v>0</v>
      </c>
      <c r="F27" s="250"/>
      <c r="G27" s="250"/>
      <c r="H27" s="251">
        <f t="shared" ca="1" si="1"/>
        <v>0</v>
      </c>
      <c r="I27" s="250"/>
      <c r="J27" s="250"/>
      <c r="K27" s="252">
        <f t="shared" ca="1" si="2"/>
        <v>0</v>
      </c>
      <c r="L27" s="253" t="str">
        <f t="shared" ca="1" si="3"/>
        <v/>
      </c>
      <c r="M27" s="249">
        <f t="shared" ca="1" si="4"/>
        <v>0</v>
      </c>
      <c r="N27" s="250"/>
      <c r="O27" s="250"/>
      <c r="P27" s="251">
        <f t="shared" ca="1" si="5"/>
        <v>0</v>
      </c>
      <c r="Q27" s="250"/>
      <c r="R27" s="250"/>
      <c r="S27" s="252">
        <f t="shared" ca="1" si="6"/>
        <v>0</v>
      </c>
      <c r="T27" s="253" t="str">
        <f t="shared" ca="1" si="7"/>
        <v/>
      </c>
      <c r="U27" s="249">
        <f t="shared" ca="1" si="8"/>
        <v>0</v>
      </c>
      <c r="V27" s="250"/>
      <c r="W27" s="250"/>
      <c r="X27" s="251">
        <f t="shared" ca="1" si="9"/>
        <v>0</v>
      </c>
      <c r="Y27" s="250"/>
      <c r="Z27" s="250"/>
      <c r="AA27" s="252">
        <f t="shared" ca="1" si="10"/>
        <v>0</v>
      </c>
      <c r="AB27" s="253" t="str">
        <f t="shared" ca="1" si="11"/>
        <v/>
      </c>
      <c r="AC27" s="134">
        <f t="shared" ca="1" si="12"/>
        <v>0</v>
      </c>
      <c r="AD27" s="82" t="str">
        <f t="shared" ca="1" si="13"/>
        <v/>
      </c>
      <c r="AE27" s="88">
        <v>68</v>
      </c>
      <c r="AF27" s="88">
        <v>68</v>
      </c>
      <c r="AG27" s="88">
        <v>68</v>
      </c>
      <c r="AH27" s="88">
        <v>68</v>
      </c>
      <c r="AI27" s="88">
        <v>76.666666666666671</v>
      </c>
      <c r="AJ27" s="88">
        <v>68</v>
      </c>
      <c r="AK27" s="88">
        <v>77.142857142857139</v>
      </c>
      <c r="AL27" s="88">
        <v>34</v>
      </c>
      <c r="AM27" s="102">
        <f t="shared" ca="1" si="14"/>
        <v>0</v>
      </c>
      <c r="AN27" s="103">
        <f t="shared" ca="1" si="15"/>
        <v>0</v>
      </c>
      <c r="AO27" s="82" t="str">
        <f t="shared" ca="1" si="16"/>
        <v/>
      </c>
    </row>
    <row r="28" spans="1:41" ht="24.6" customHeight="1">
      <c r="A28" s="259">
        <v>23</v>
      </c>
      <c r="B28" s="262" t="str">
        <f t="shared" ca="1" si="0"/>
        <v>ગરણિયા રાજલબેન સામતભાઇ</v>
      </c>
      <c r="C28" s="167">
        <f>STUDENTS!D268</f>
        <v>0</v>
      </c>
      <c r="D28" s="168">
        <f>STUDENTS!D270</f>
        <v>0</v>
      </c>
      <c r="E28" s="249">
        <f t="shared" ca="1" si="17"/>
        <v>0</v>
      </c>
      <c r="F28" s="250"/>
      <c r="G28" s="250"/>
      <c r="H28" s="251">
        <f t="shared" ca="1" si="1"/>
        <v>0</v>
      </c>
      <c r="I28" s="250"/>
      <c r="J28" s="250"/>
      <c r="K28" s="252">
        <f t="shared" ca="1" si="2"/>
        <v>0</v>
      </c>
      <c r="L28" s="253" t="str">
        <f t="shared" ca="1" si="3"/>
        <v/>
      </c>
      <c r="M28" s="249">
        <f t="shared" ca="1" si="4"/>
        <v>0</v>
      </c>
      <c r="N28" s="250"/>
      <c r="O28" s="250"/>
      <c r="P28" s="251">
        <f t="shared" ca="1" si="5"/>
        <v>0</v>
      </c>
      <c r="Q28" s="250"/>
      <c r="R28" s="250"/>
      <c r="S28" s="252">
        <f t="shared" ca="1" si="6"/>
        <v>0</v>
      </c>
      <c r="T28" s="253" t="str">
        <f t="shared" ca="1" si="7"/>
        <v/>
      </c>
      <c r="U28" s="249">
        <f t="shared" ca="1" si="8"/>
        <v>0</v>
      </c>
      <c r="V28" s="250"/>
      <c r="W28" s="250"/>
      <c r="X28" s="251">
        <f t="shared" ca="1" si="9"/>
        <v>0</v>
      </c>
      <c r="Y28" s="250"/>
      <c r="Z28" s="250"/>
      <c r="AA28" s="252">
        <f t="shared" ca="1" si="10"/>
        <v>0</v>
      </c>
      <c r="AB28" s="253" t="str">
        <f t="shared" ca="1" si="11"/>
        <v/>
      </c>
      <c r="AC28" s="134">
        <f t="shared" ca="1" si="12"/>
        <v>0</v>
      </c>
      <c r="AD28" s="82" t="str">
        <f t="shared" ca="1" si="13"/>
        <v/>
      </c>
      <c r="AE28" s="88">
        <v>68</v>
      </c>
      <c r="AF28" s="88">
        <v>68</v>
      </c>
      <c r="AG28" s="88">
        <v>68</v>
      </c>
      <c r="AH28" s="88">
        <v>68</v>
      </c>
      <c r="AI28" s="88">
        <v>76.666666666666671</v>
      </c>
      <c r="AJ28" s="88">
        <v>68</v>
      </c>
      <c r="AK28" s="88">
        <v>77.142857142857139</v>
      </c>
      <c r="AL28" s="88">
        <v>34</v>
      </c>
      <c r="AM28" s="102">
        <f t="shared" ca="1" si="14"/>
        <v>0</v>
      </c>
      <c r="AN28" s="103">
        <f t="shared" ca="1" si="15"/>
        <v>0</v>
      </c>
      <c r="AO28" s="82" t="str">
        <f t="shared" ca="1" si="16"/>
        <v/>
      </c>
    </row>
    <row r="29" spans="1:41" ht="24.6" customHeight="1">
      <c r="A29" s="259">
        <v>24</v>
      </c>
      <c r="B29" s="262" t="str">
        <f t="shared" ca="1" si="0"/>
        <v>ગરણિયા નિરાલીબેન પ્રદીપભાઇ</v>
      </c>
      <c r="C29" s="167">
        <f>STUDENTS!D280</f>
        <v>0</v>
      </c>
      <c r="D29" s="168">
        <f>STUDENTS!D282</f>
        <v>0</v>
      </c>
      <c r="E29" s="249">
        <f t="shared" ca="1" si="17"/>
        <v>0</v>
      </c>
      <c r="F29" s="250"/>
      <c r="G29" s="250"/>
      <c r="H29" s="251">
        <f t="shared" ca="1" si="1"/>
        <v>0</v>
      </c>
      <c r="I29" s="250"/>
      <c r="J29" s="250"/>
      <c r="K29" s="252">
        <f t="shared" ca="1" si="2"/>
        <v>0</v>
      </c>
      <c r="L29" s="253" t="str">
        <f t="shared" ca="1" si="3"/>
        <v/>
      </c>
      <c r="M29" s="249">
        <f t="shared" ca="1" si="4"/>
        <v>0</v>
      </c>
      <c r="N29" s="250"/>
      <c r="O29" s="250"/>
      <c r="P29" s="251">
        <f t="shared" ca="1" si="5"/>
        <v>0</v>
      </c>
      <c r="Q29" s="250"/>
      <c r="R29" s="250"/>
      <c r="S29" s="252">
        <f t="shared" ca="1" si="6"/>
        <v>0</v>
      </c>
      <c r="T29" s="253" t="str">
        <f t="shared" ca="1" si="7"/>
        <v/>
      </c>
      <c r="U29" s="249">
        <f t="shared" ca="1" si="8"/>
        <v>0</v>
      </c>
      <c r="V29" s="250"/>
      <c r="W29" s="250"/>
      <c r="X29" s="251">
        <f t="shared" ca="1" si="9"/>
        <v>0</v>
      </c>
      <c r="Y29" s="250"/>
      <c r="Z29" s="250"/>
      <c r="AA29" s="252">
        <f t="shared" ca="1" si="10"/>
        <v>0</v>
      </c>
      <c r="AB29" s="253" t="str">
        <f t="shared" ca="1" si="11"/>
        <v/>
      </c>
      <c r="AC29" s="134">
        <f t="shared" ca="1" si="12"/>
        <v>0</v>
      </c>
      <c r="AD29" s="82" t="str">
        <f t="shared" ca="1" si="13"/>
        <v/>
      </c>
      <c r="AE29" s="88">
        <v>68</v>
      </c>
      <c r="AF29" s="88">
        <v>68</v>
      </c>
      <c r="AG29" s="88">
        <v>68</v>
      </c>
      <c r="AH29" s="88">
        <v>68</v>
      </c>
      <c r="AI29" s="88">
        <v>76.666666666666671</v>
      </c>
      <c r="AJ29" s="88">
        <v>68</v>
      </c>
      <c r="AK29" s="88">
        <v>77.142857142857139</v>
      </c>
      <c r="AL29" s="88">
        <v>34</v>
      </c>
      <c r="AM29" s="102">
        <f t="shared" ca="1" si="14"/>
        <v>0</v>
      </c>
      <c r="AN29" s="103">
        <f t="shared" ca="1" si="15"/>
        <v>0</v>
      </c>
      <c r="AO29" s="82" t="str">
        <f t="shared" ca="1" si="16"/>
        <v/>
      </c>
    </row>
    <row r="30" spans="1:41" ht="24.6" customHeight="1">
      <c r="A30" s="259">
        <v>25</v>
      </c>
      <c r="B30" s="262" t="str">
        <f t="shared" ca="1" si="0"/>
        <v>ગરણિયા રાધાબેન લક્ષ્મણભાઇ</v>
      </c>
      <c r="C30" s="167">
        <f>STUDENTS!D292</f>
        <v>0</v>
      </c>
      <c r="D30" s="168">
        <f>STUDENTS!D294</f>
        <v>0</v>
      </c>
      <c r="E30" s="249">
        <f t="shared" ca="1" si="17"/>
        <v>0</v>
      </c>
      <c r="F30" s="250"/>
      <c r="G30" s="250"/>
      <c r="H30" s="251">
        <f t="shared" ca="1" si="1"/>
        <v>0</v>
      </c>
      <c r="I30" s="250"/>
      <c r="J30" s="250"/>
      <c r="K30" s="252">
        <f t="shared" ca="1" si="2"/>
        <v>0</v>
      </c>
      <c r="L30" s="253" t="str">
        <f t="shared" ca="1" si="3"/>
        <v/>
      </c>
      <c r="M30" s="249">
        <f t="shared" ca="1" si="4"/>
        <v>0</v>
      </c>
      <c r="N30" s="250"/>
      <c r="O30" s="250"/>
      <c r="P30" s="251">
        <f t="shared" ca="1" si="5"/>
        <v>0</v>
      </c>
      <c r="Q30" s="250"/>
      <c r="R30" s="250"/>
      <c r="S30" s="252">
        <f t="shared" ca="1" si="6"/>
        <v>0</v>
      </c>
      <c r="T30" s="253" t="str">
        <f t="shared" ca="1" si="7"/>
        <v/>
      </c>
      <c r="U30" s="249">
        <f t="shared" ca="1" si="8"/>
        <v>0</v>
      </c>
      <c r="V30" s="250"/>
      <c r="W30" s="250"/>
      <c r="X30" s="251">
        <f t="shared" ca="1" si="9"/>
        <v>0</v>
      </c>
      <c r="Y30" s="250"/>
      <c r="Z30" s="250"/>
      <c r="AA30" s="252">
        <f t="shared" ca="1" si="10"/>
        <v>0</v>
      </c>
      <c r="AB30" s="253" t="str">
        <f t="shared" ca="1" si="11"/>
        <v/>
      </c>
      <c r="AC30" s="134">
        <f t="shared" ca="1" si="12"/>
        <v>0</v>
      </c>
      <c r="AD30" s="82" t="str">
        <f t="shared" ca="1" si="13"/>
        <v/>
      </c>
      <c r="AE30" s="88">
        <v>68</v>
      </c>
      <c r="AF30" s="88">
        <v>68</v>
      </c>
      <c r="AG30" s="88">
        <v>68</v>
      </c>
      <c r="AH30" s="88">
        <v>68</v>
      </c>
      <c r="AI30" s="88">
        <v>76.666666666666671</v>
      </c>
      <c r="AJ30" s="88">
        <v>68</v>
      </c>
      <c r="AK30" s="88">
        <v>77.142857142857139</v>
      </c>
      <c r="AL30" s="88">
        <v>34</v>
      </c>
      <c r="AM30" s="102">
        <f t="shared" ca="1" si="14"/>
        <v>0</v>
      </c>
      <c r="AN30" s="103">
        <f t="shared" ca="1" si="15"/>
        <v>0</v>
      </c>
      <c r="AO30" s="82" t="str">
        <f t="shared" ca="1" si="16"/>
        <v/>
      </c>
    </row>
    <row r="31" spans="1:41" ht="24.6" customHeight="1">
      <c r="A31" s="259">
        <v>26</v>
      </c>
      <c r="B31" s="262" t="str">
        <f t="shared" ca="1" si="0"/>
        <v>ગૌસ્વામિ મયુરીબેન રમેશગીરી</v>
      </c>
      <c r="C31" s="167">
        <f>STUDENTS!D304</f>
        <v>0</v>
      </c>
      <c r="D31" s="168">
        <f>STUDENTS!D306</f>
        <v>0</v>
      </c>
      <c r="E31" s="249">
        <f t="shared" ca="1" si="17"/>
        <v>0</v>
      </c>
      <c r="F31" s="250"/>
      <c r="G31" s="250"/>
      <c r="H31" s="251">
        <f t="shared" ca="1" si="1"/>
        <v>0</v>
      </c>
      <c r="I31" s="250"/>
      <c r="J31" s="250"/>
      <c r="K31" s="252">
        <f t="shared" ca="1" si="2"/>
        <v>0</v>
      </c>
      <c r="L31" s="253" t="str">
        <f t="shared" ca="1" si="3"/>
        <v/>
      </c>
      <c r="M31" s="249">
        <f t="shared" ca="1" si="4"/>
        <v>0</v>
      </c>
      <c r="N31" s="250"/>
      <c r="O31" s="250"/>
      <c r="P31" s="251">
        <f t="shared" ca="1" si="5"/>
        <v>0</v>
      </c>
      <c r="Q31" s="250"/>
      <c r="R31" s="250"/>
      <c r="S31" s="252">
        <f t="shared" ca="1" si="6"/>
        <v>0</v>
      </c>
      <c r="T31" s="253" t="str">
        <f t="shared" ca="1" si="7"/>
        <v/>
      </c>
      <c r="U31" s="249">
        <f t="shared" ca="1" si="8"/>
        <v>3</v>
      </c>
      <c r="V31" s="250"/>
      <c r="W31" s="250"/>
      <c r="X31" s="251">
        <f t="shared" ca="1" si="9"/>
        <v>0</v>
      </c>
      <c r="Y31" s="250"/>
      <c r="Z31" s="250"/>
      <c r="AA31" s="252">
        <f t="shared" ca="1" si="10"/>
        <v>3</v>
      </c>
      <c r="AB31" s="253" t="str">
        <f t="shared" ca="1" si="11"/>
        <v>E</v>
      </c>
      <c r="AC31" s="134">
        <f t="shared" ca="1" si="12"/>
        <v>0</v>
      </c>
      <c r="AD31" s="82" t="str">
        <f t="shared" ca="1" si="13"/>
        <v/>
      </c>
      <c r="AE31" s="88">
        <v>68</v>
      </c>
      <c r="AF31" s="88">
        <v>68</v>
      </c>
      <c r="AG31" s="88">
        <v>68</v>
      </c>
      <c r="AH31" s="88">
        <v>68</v>
      </c>
      <c r="AI31" s="88">
        <v>76.666666666666671</v>
      </c>
      <c r="AJ31" s="88">
        <v>68</v>
      </c>
      <c r="AK31" s="88">
        <v>77.142857142857139</v>
      </c>
      <c r="AL31" s="88">
        <v>34</v>
      </c>
      <c r="AM31" s="102">
        <f t="shared" ca="1" si="14"/>
        <v>3</v>
      </c>
      <c r="AN31" s="103">
        <f t="shared" ca="1" si="15"/>
        <v>0.38</v>
      </c>
      <c r="AO31" s="82" t="str">
        <f t="shared" ca="1" si="16"/>
        <v>E</v>
      </c>
    </row>
    <row r="32" spans="1:41" ht="24.6" customHeight="1">
      <c r="A32" s="259">
        <v>27</v>
      </c>
      <c r="B32" s="262" t="str">
        <f t="shared" ca="1" si="0"/>
        <v>બતાડા જાનકી વાલાભાઇ</v>
      </c>
      <c r="C32" s="167">
        <f>STUDENTS!D316</f>
        <v>0</v>
      </c>
      <c r="D32" s="168">
        <f>STUDENTS!D318</f>
        <v>0</v>
      </c>
      <c r="E32" s="249">
        <f t="shared" ca="1" si="17"/>
        <v>0</v>
      </c>
      <c r="F32" s="250"/>
      <c r="G32" s="250"/>
      <c r="H32" s="251">
        <f t="shared" ca="1" si="1"/>
        <v>0</v>
      </c>
      <c r="I32" s="250"/>
      <c r="J32" s="250"/>
      <c r="K32" s="252">
        <f t="shared" ca="1" si="2"/>
        <v>0</v>
      </c>
      <c r="L32" s="253" t="str">
        <f t="shared" ca="1" si="3"/>
        <v/>
      </c>
      <c r="M32" s="249">
        <f t="shared" ca="1" si="4"/>
        <v>0</v>
      </c>
      <c r="N32" s="250"/>
      <c r="O32" s="250"/>
      <c r="P32" s="251">
        <f t="shared" ca="1" si="5"/>
        <v>0</v>
      </c>
      <c r="Q32" s="250"/>
      <c r="R32" s="250"/>
      <c r="S32" s="252">
        <f t="shared" ca="1" si="6"/>
        <v>0</v>
      </c>
      <c r="T32" s="253" t="str">
        <f t="shared" ca="1" si="7"/>
        <v/>
      </c>
      <c r="U32" s="249">
        <f t="shared" ca="1" si="8"/>
        <v>3</v>
      </c>
      <c r="V32" s="250"/>
      <c r="W32" s="250"/>
      <c r="X32" s="251">
        <f t="shared" ca="1" si="9"/>
        <v>0</v>
      </c>
      <c r="Y32" s="250"/>
      <c r="Z32" s="250"/>
      <c r="AA32" s="252">
        <f t="shared" ca="1" si="10"/>
        <v>3</v>
      </c>
      <c r="AB32" s="253" t="str">
        <f t="shared" ca="1" si="11"/>
        <v>E</v>
      </c>
      <c r="AC32" s="134">
        <f t="shared" ca="1" si="12"/>
        <v>0</v>
      </c>
      <c r="AD32" s="82" t="str">
        <f t="shared" ca="1" si="13"/>
        <v/>
      </c>
      <c r="AE32" s="88">
        <v>68</v>
      </c>
      <c r="AF32" s="88">
        <v>68</v>
      </c>
      <c r="AG32" s="88">
        <v>68</v>
      </c>
      <c r="AH32" s="88">
        <v>68</v>
      </c>
      <c r="AI32" s="88">
        <v>76.666666666666671</v>
      </c>
      <c r="AJ32" s="88">
        <v>68</v>
      </c>
      <c r="AK32" s="88">
        <v>77.142857142857139</v>
      </c>
      <c r="AL32" s="88">
        <v>34</v>
      </c>
      <c r="AM32" s="102">
        <f t="shared" ca="1" si="14"/>
        <v>3</v>
      </c>
      <c r="AN32" s="103">
        <f t="shared" ca="1" si="15"/>
        <v>0.38</v>
      </c>
      <c r="AO32" s="82" t="str">
        <f t="shared" ca="1" si="16"/>
        <v>E</v>
      </c>
    </row>
    <row r="33" spans="1:41" ht="24.6" customHeight="1">
      <c r="A33" s="259">
        <v>28</v>
      </c>
      <c r="B33" s="262" t="str">
        <f t="shared" ca="1" si="0"/>
        <v>બતાડા ક્રિષ્નાબેન દેવશીભાઇ</v>
      </c>
      <c r="C33" s="167">
        <f>STUDENTS!D328</f>
        <v>0</v>
      </c>
      <c r="D33" s="168">
        <f>STUDENTS!D330</f>
        <v>0</v>
      </c>
      <c r="E33" s="249">
        <f t="shared" ca="1" si="17"/>
        <v>0</v>
      </c>
      <c r="F33" s="250"/>
      <c r="G33" s="250"/>
      <c r="H33" s="251">
        <f t="shared" ca="1" si="1"/>
        <v>0</v>
      </c>
      <c r="I33" s="250"/>
      <c r="J33" s="250"/>
      <c r="K33" s="252">
        <f t="shared" ca="1" si="2"/>
        <v>0</v>
      </c>
      <c r="L33" s="253" t="str">
        <f t="shared" ca="1" si="3"/>
        <v/>
      </c>
      <c r="M33" s="249">
        <f t="shared" ca="1" si="4"/>
        <v>0</v>
      </c>
      <c r="N33" s="250"/>
      <c r="O33" s="250"/>
      <c r="P33" s="251">
        <f t="shared" ca="1" si="5"/>
        <v>0</v>
      </c>
      <c r="Q33" s="250"/>
      <c r="R33" s="250"/>
      <c r="S33" s="252">
        <f t="shared" ca="1" si="6"/>
        <v>0</v>
      </c>
      <c r="T33" s="253" t="str">
        <f t="shared" ca="1" si="7"/>
        <v/>
      </c>
      <c r="U33" s="249">
        <f t="shared" ca="1" si="8"/>
        <v>0</v>
      </c>
      <c r="V33" s="250"/>
      <c r="W33" s="250"/>
      <c r="X33" s="251">
        <f t="shared" ca="1" si="9"/>
        <v>0</v>
      </c>
      <c r="Y33" s="250"/>
      <c r="Z33" s="250"/>
      <c r="AA33" s="252">
        <f t="shared" ca="1" si="10"/>
        <v>0</v>
      </c>
      <c r="AB33" s="253" t="str">
        <f t="shared" ca="1" si="11"/>
        <v/>
      </c>
      <c r="AC33" s="134">
        <f t="shared" ca="1" si="12"/>
        <v>0</v>
      </c>
      <c r="AD33" s="82" t="str">
        <f t="shared" ca="1" si="13"/>
        <v/>
      </c>
      <c r="AE33" s="88">
        <v>68</v>
      </c>
      <c r="AF33" s="88">
        <v>68</v>
      </c>
      <c r="AG33" s="88">
        <v>68</v>
      </c>
      <c r="AH33" s="88">
        <v>68</v>
      </c>
      <c r="AI33" s="88">
        <v>76.666666666666671</v>
      </c>
      <c r="AJ33" s="88">
        <v>68</v>
      </c>
      <c r="AK33" s="88">
        <v>77.142857142857139</v>
      </c>
      <c r="AL33" s="88">
        <v>34</v>
      </c>
      <c r="AM33" s="102">
        <f t="shared" ca="1" si="14"/>
        <v>0</v>
      </c>
      <c r="AN33" s="103">
        <f t="shared" ca="1" si="15"/>
        <v>0</v>
      </c>
      <c r="AO33" s="82" t="str">
        <f t="shared" ca="1" si="16"/>
        <v/>
      </c>
    </row>
    <row r="34" spans="1:41" ht="24.6" customHeight="1">
      <c r="A34" s="259">
        <v>29</v>
      </c>
      <c r="B34" s="262" t="str">
        <f t="shared" ca="1" si="0"/>
        <v>પરમાર અનિષા રમેશભાઇ</v>
      </c>
      <c r="C34" s="167">
        <f>STUDENTS!D340</f>
        <v>0</v>
      </c>
      <c r="D34" s="168">
        <f>STUDENTS!D342</f>
        <v>0</v>
      </c>
      <c r="E34" s="249">
        <f t="shared" ca="1" si="17"/>
        <v>0</v>
      </c>
      <c r="F34" s="250"/>
      <c r="G34" s="250"/>
      <c r="H34" s="251">
        <f t="shared" ca="1" si="1"/>
        <v>0</v>
      </c>
      <c r="I34" s="250"/>
      <c r="J34" s="250"/>
      <c r="K34" s="252">
        <f t="shared" ca="1" si="2"/>
        <v>0</v>
      </c>
      <c r="L34" s="253" t="str">
        <f t="shared" ca="1" si="3"/>
        <v/>
      </c>
      <c r="M34" s="249">
        <f t="shared" ca="1" si="4"/>
        <v>0</v>
      </c>
      <c r="N34" s="250"/>
      <c r="O34" s="250"/>
      <c r="P34" s="251">
        <f t="shared" ca="1" si="5"/>
        <v>0</v>
      </c>
      <c r="Q34" s="250"/>
      <c r="R34" s="250"/>
      <c r="S34" s="252">
        <f t="shared" ca="1" si="6"/>
        <v>0</v>
      </c>
      <c r="T34" s="253" t="str">
        <f t="shared" ca="1" si="7"/>
        <v/>
      </c>
      <c r="U34" s="249">
        <f t="shared" ca="1" si="8"/>
        <v>0</v>
      </c>
      <c r="V34" s="250"/>
      <c r="W34" s="250"/>
      <c r="X34" s="251">
        <f t="shared" ca="1" si="9"/>
        <v>0</v>
      </c>
      <c r="Y34" s="250"/>
      <c r="Z34" s="250"/>
      <c r="AA34" s="252">
        <f t="shared" ca="1" si="10"/>
        <v>0</v>
      </c>
      <c r="AB34" s="253" t="str">
        <f t="shared" ca="1" si="11"/>
        <v/>
      </c>
      <c r="AC34" s="134">
        <f t="shared" ca="1" si="12"/>
        <v>0</v>
      </c>
      <c r="AD34" s="82" t="str">
        <f t="shared" ca="1" si="13"/>
        <v/>
      </c>
      <c r="AE34" s="88">
        <v>68</v>
      </c>
      <c r="AF34" s="88">
        <v>68</v>
      </c>
      <c r="AG34" s="88">
        <v>68</v>
      </c>
      <c r="AH34" s="88">
        <v>68</v>
      </c>
      <c r="AI34" s="88">
        <v>76.666666666666671</v>
      </c>
      <c r="AJ34" s="88">
        <v>68</v>
      </c>
      <c r="AK34" s="88">
        <v>77.142857142857139</v>
      </c>
      <c r="AL34" s="88">
        <v>34</v>
      </c>
      <c r="AM34" s="102">
        <f t="shared" ca="1" si="14"/>
        <v>0</v>
      </c>
      <c r="AN34" s="103">
        <f t="shared" ca="1" si="15"/>
        <v>0</v>
      </c>
      <c r="AO34" s="82" t="str">
        <f t="shared" ca="1" si="16"/>
        <v/>
      </c>
    </row>
    <row r="35" spans="1:41" ht="24.6" customHeight="1">
      <c r="A35" s="259">
        <v>30</v>
      </c>
      <c r="B35" s="262" t="str">
        <f t="shared" ca="1" si="0"/>
        <v>મકરૂબિયા નમ્રતા વશરામભાઇ</v>
      </c>
      <c r="C35" s="167">
        <f>STUDENTS!D352</f>
        <v>0</v>
      </c>
      <c r="D35" s="168">
        <f>STUDENTS!D354</f>
        <v>0</v>
      </c>
      <c r="E35" s="249">
        <f t="shared" ca="1" si="17"/>
        <v>0</v>
      </c>
      <c r="F35" s="250"/>
      <c r="G35" s="250"/>
      <c r="H35" s="251">
        <f t="shared" ca="1" si="1"/>
        <v>0</v>
      </c>
      <c r="I35" s="250"/>
      <c r="J35" s="250"/>
      <c r="K35" s="252">
        <f t="shared" ca="1" si="2"/>
        <v>0</v>
      </c>
      <c r="L35" s="253" t="str">
        <f t="shared" ca="1" si="3"/>
        <v/>
      </c>
      <c r="M35" s="249">
        <f t="shared" ca="1" si="4"/>
        <v>0</v>
      </c>
      <c r="N35" s="250"/>
      <c r="O35" s="250"/>
      <c r="P35" s="251">
        <f t="shared" ca="1" si="5"/>
        <v>0</v>
      </c>
      <c r="Q35" s="250"/>
      <c r="R35" s="250"/>
      <c r="S35" s="252">
        <f t="shared" ca="1" si="6"/>
        <v>0</v>
      </c>
      <c r="T35" s="253" t="str">
        <f t="shared" ca="1" si="7"/>
        <v/>
      </c>
      <c r="U35" s="249">
        <f t="shared" ca="1" si="8"/>
        <v>0</v>
      </c>
      <c r="V35" s="250"/>
      <c r="W35" s="250"/>
      <c r="X35" s="251">
        <f t="shared" ca="1" si="9"/>
        <v>0</v>
      </c>
      <c r="Y35" s="250"/>
      <c r="Z35" s="250"/>
      <c r="AA35" s="252">
        <f t="shared" ca="1" si="10"/>
        <v>0</v>
      </c>
      <c r="AB35" s="253" t="str">
        <f t="shared" ca="1" si="11"/>
        <v/>
      </c>
      <c r="AC35" s="134">
        <f t="shared" ca="1" si="12"/>
        <v>0</v>
      </c>
      <c r="AD35" s="82" t="str">
        <f t="shared" ca="1" si="13"/>
        <v/>
      </c>
      <c r="AE35" s="88">
        <v>68</v>
      </c>
      <c r="AF35" s="88">
        <v>68</v>
      </c>
      <c r="AG35" s="88">
        <v>68</v>
      </c>
      <c r="AH35" s="88">
        <v>68</v>
      </c>
      <c r="AI35" s="88">
        <v>76.666666666666671</v>
      </c>
      <c r="AJ35" s="88">
        <v>68</v>
      </c>
      <c r="AK35" s="88">
        <v>77.142857142857139</v>
      </c>
      <c r="AL35" s="88">
        <v>34</v>
      </c>
      <c r="AM35" s="102">
        <f t="shared" ca="1" si="14"/>
        <v>0</v>
      </c>
      <c r="AN35" s="103">
        <f t="shared" ca="1" si="15"/>
        <v>0</v>
      </c>
      <c r="AO35" s="82" t="str">
        <f t="shared" ca="1" si="16"/>
        <v/>
      </c>
    </row>
    <row r="36" spans="1:41" ht="24.6" customHeight="1">
      <c r="A36" s="259">
        <v>31</v>
      </c>
      <c r="B36" s="262">
        <f t="shared" ca="1" si="0"/>
        <v>0</v>
      </c>
      <c r="C36" s="167">
        <f>STUDENTS!D364</f>
        <v>0</v>
      </c>
      <c r="D36" s="168">
        <f>STUDENTS!D366</f>
        <v>0</v>
      </c>
      <c r="E36" s="249">
        <f t="shared" ca="1" si="17"/>
        <v>0</v>
      </c>
      <c r="F36" s="250"/>
      <c r="G36" s="250"/>
      <c r="H36" s="251">
        <f t="shared" ca="1" si="1"/>
        <v>0</v>
      </c>
      <c r="I36" s="250"/>
      <c r="J36" s="250"/>
      <c r="K36" s="252">
        <f t="shared" ca="1" si="2"/>
        <v>0</v>
      </c>
      <c r="L36" s="253" t="str">
        <f t="shared" ca="1" si="3"/>
        <v/>
      </c>
      <c r="M36" s="249">
        <f t="shared" ca="1" si="4"/>
        <v>0</v>
      </c>
      <c r="N36" s="250"/>
      <c r="O36" s="250"/>
      <c r="P36" s="251">
        <f t="shared" ca="1" si="5"/>
        <v>0</v>
      </c>
      <c r="Q36" s="250"/>
      <c r="R36" s="250"/>
      <c r="S36" s="252">
        <f t="shared" ca="1" si="6"/>
        <v>0</v>
      </c>
      <c r="T36" s="253" t="str">
        <f t="shared" ca="1" si="7"/>
        <v/>
      </c>
      <c r="U36" s="249">
        <f t="shared" ca="1" si="8"/>
        <v>0</v>
      </c>
      <c r="V36" s="250"/>
      <c r="W36" s="250"/>
      <c r="X36" s="251">
        <f t="shared" ca="1" si="9"/>
        <v>0</v>
      </c>
      <c r="Y36" s="250"/>
      <c r="Z36" s="250"/>
      <c r="AA36" s="252">
        <f t="shared" ca="1" si="10"/>
        <v>0</v>
      </c>
      <c r="AB36" s="253" t="str">
        <f t="shared" ca="1" si="11"/>
        <v/>
      </c>
      <c r="AC36" s="134">
        <f t="shared" ca="1" si="12"/>
        <v>0</v>
      </c>
      <c r="AD36" s="82" t="str">
        <f t="shared" ca="1" si="13"/>
        <v/>
      </c>
      <c r="AE36" s="88">
        <v>68</v>
      </c>
      <c r="AF36" s="88">
        <v>68</v>
      </c>
      <c r="AG36" s="88">
        <v>68</v>
      </c>
      <c r="AH36" s="88">
        <v>68</v>
      </c>
      <c r="AI36" s="88">
        <v>76.666666666666671</v>
      </c>
      <c r="AJ36" s="88">
        <v>68</v>
      </c>
      <c r="AK36" s="88">
        <v>77.142857142857139</v>
      </c>
      <c r="AL36" s="88">
        <v>34</v>
      </c>
      <c r="AM36" s="102">
        <f t="shared" ca="1" si="14"/>
        <v>0</v>
      </c>
      <c r="AN36" s="103">
        <f t="shared" ca="1" si="15"/>
        <v>0</v>
      </c>
      <c r="AO36" s="82" t="str">
        <f t="shared" ca="1" si="16"/>
        <v/>
      </c>
    </row>
    <row r="37" spans="1:41" ht="24.6" customHeight="1">
      <c r="A37" s="259">
        <v>32</v>
      </c>
      <c r="B37" s="262">
        <f t="shared" ca="1" si="0"/>
        <v>0</v>
      </c>
      <c r="C37" s="167">
        <f>STUDENTS!D376</f>
        <v>0</v>
      </c>
      <c r="D37" s="168">
        <f>STUDENTS!D378</f>
        <v>0</v>
      </c>
      <c r="E37" s="249">
        <f t="shared" ca="1" si="17"/>
        <v>0</v>
      </c>
      <c r="F37" s="250"/>
      <c r="G37" s="250"/>
      <c r="H37" s="251">
        <f t="shared" ca="1" si="1"/>
        <v>0</v>
      </c>
      <c r="I37" s="250"/>
      <c r="J37" s="250"/>
      <c r="K37" s="252">
        <f t="shared" ca="1" si="2"/>
        <v>0</v>
      </c>
      <c r="L37" s="253" t="str">
        <f t="shared" ca="1" si="3"/>
        <v/>
      </c>
      <c r="M37" s="249">
        <f t="shared" ca="1" si="4"/>
        <v>0</v>
      </c>
      <c r="N37" s="250"/>
      <c r="O37" s="250"/>
      <c r="P37" s="251">
        <f t="shared" ca="1" si="5"/>
        <v>0</v>
      </c>
      <c r="Q37" s="250"/>
      <c r="R37" s="250"/>
      <c r="S37" s="252">
        <f t="shared" ca="1" si="6"/>
        <v>0</v>
      </c>
      <c r="T37" s="253" t="str">
        <f t="shared" ca="1" si="7"/>
        <v/>
      </c>
      <c r="U37" s="249">
        <f t="shared" ca="1" si="8"/>
        <v>0</v>
      </c>
      <c r="V37" s="250"/>
      <c r="W37" s="250"/>
      <c r="X37" s="251">
        <f t="shared" ca="1" si="9"/>
        <v>0</v>
      </c>
      <c r="Y37" s="250"/>
      <c r="Z37" s="250"/>
      <c r="AA37" s="252">
        <f t="shared" ca="1" si="10"/>
        <v>0</v>
      </c>
      <c r="AB37" s="253" t="str">
        <f t="shared" ca="1" si="11"/>
        <v/>
      </c>
      <c r="AC37" s="134">
        <f t="shared" ca="1" si="12"/>
        <v>0</v>
      </c>
      <c r="AD37" s="82" t="str">
        <f t="shared" ca="1" si="13"/>
        <v/>
      </c>
      <c r="AE37" s="88">
        <v>68</v>
      </c>
      <c r="AF37" s="88">
        <v>68</v>
      </c>
      <c r="AG37" s="88">
        <v>68</v>
      </c>
      <c r="AH37" s="88">
        <v>68</v>
      </c>
      <c r="AI37" s="88">
        <v>76.666666666666671</v>
      </c>
      <c r="AJ37" s="88">
        <v>68</v>
      </c>
      <c r="AK37" s="88">
        <v>77.142857142857139</v>
      </c>
      <c r="AL37" s="88">
        <v>34</v>
      </c>
      <c r="AM37" s="102">
        <f t="shared" ca="1" si="14"/>
        <v>0</v>
      </c>
      <c r="AN37" s="103">
        <f t="shared" ca="1" si="15"/>
        <v>0</v>
      </c>
      <c r="AO37" s="82" t="str">
        <f t="shared" ca="1" si="16"/>
        <v/>
      </c>
    </row>
    <row r="38" spans="1:41" ht="24.6" customHeight="1">
      <c r="A38" s="259">
        <v>33</v>
      </c>
      <c r="B38" s="262">
        <f t="shared" ca="1" si="0"/>
        <v>0</v>
      </c>
      <c r="C38" s="167">
        <f>STUDENTS!D388</f>
        <v>0</v>
      </c>
      <c r="D38" s="168">
        <f>STUDENTS!D390</f>
        <v>0</v>
      </c>
      <c r="E38" s="249">
        <f t="shared" ca="1" si="17"/>
        <v>0</v>
      </c>
      <c r="F38" s="250"/>
      <c r="G38" s="250"/>
      <c r="H38" s="251">
        <f t="shared" ca="1" si="1"/>
        <v>0</v>
      </c>
      <c r="I38" s="250"/>
      <c r="J38" s="250"/>
      <c r="K38" s="252">
        <f t="shared" ca="1" si="2"/>
        <v>0</v>
      </c>
      <c r="L38" s="253" t="str">
        <f t="shared" ca="1" si="3"/>
        <v/>
      </c>
      <c r="M38" s="249">
        <f t="shared" ca="1" si="4"/>
        <v>0</v>
      </c>
      <c r="N38" s="250"/>
      <c r="O38" s="250"/>
      <c r="P38" s="251">
        <f t="shared" ca="1" si="5"/>
        <v>0</v>
      </c>
      <c r="Q38" s="250"/>
      <c r="R38" s="250"/>
      <c r="S38" s="252">
        <f t="shared" ca="1" si="6"/>
        <v>0</v>
      </c>
      <c r="T38" s="253" t="str">
        <f t="shared" ca="1" si="7"/>
        <v/>
      </c>
      <c r="U38" s="249">
        <f t="shared" ca="1" si="8"/>
        <v>0</v>
      </c>
      <c r="V38" s="250"/>
      <c r="W38" s="250"/>
      <c r="X38" s="251">
        <f t="shared" ca="1" si="9"/>
        <v>0</v>
      </c>
      <c r="Y38" s="250"/>
      <c r="Z38" s="250"/>
      <c r="AA38" s="252">
        <f t="shared" ca="1" si="10"/>
        <v>0</v>
      </c>
      <c r="AB38" s="253" t="str">
        <f t="shared" ca="1" si="11"/>
        <v/>
      </c>
      <c r="AC38" s="134">
        <f t="shared" ca="1" si="12"/>
        <v>0</v>
      </c>
      <c r="AD38" s="82" t="str">
        <f t="shared" ca="1" si="13"/>
        <v/>
      </c>
      <c r="AE38" s="88">
        <v>68</v>
      </c>
      <c r="AF38" s="88">
        <v>68</v>
      </c>
      <c r="AG38" s="88">
        <v>68</v>
      </c>
      <c r="AH38" s="88">
        <v>68</v>
      </c>
      <c r="AI38" s="88">
        <v>76.666666666666671</v>
      </c>
      <c r="AJ38" s="88">
        <v>68</v>
      </c>
      <c r="AK38" s="88">
        <v>77.142857142857139</v>
      </c>
      <c r="AL38" s="88">
        <v>34</v>
      </c>
      <c r="AM38" s="102">
        <f t="shared" ca="1" si="14"/>
        <v>0</v>
      </c>
      <c r="AN38" s="103">
        <f t="shared" ca="1" si="15"/>
        <v>0</v>
      </c>
      <c r="AO38" s="82" t="str">
        <f t="shared" ca="1" si="16"/>
        <v/>
      </c>
    </row>
    <row r="39" spans="1:41" ht="24.6" customHeight="1">
      <c r="A39" s="259">
        <v>34</v>
      </c>
      <c r="B39" s="262">
        <f t="shared" ca="1" si="0"/>
        <v>0</v>
      </c>
      <c r="C39" s="167">
        <f>STUDENTS!D400</f>
        <v>0</v>
      </c>
      <c r="D39" s="168">
        <f>STUDENTS!D402</f>
        <v>0</v>
      </c>
      <c r="E39" s="249">
        <f t="shared" ca="1" si="17"/>
        <v>0</v>
      </c>
      <c r="F39" s="250"/>
      <c r="G39" s="250"/>
      <c r="H39" s="251">
        <f t="shared" ca="1" si="1"/>
        <v>0</v>
      </c>
      <c r="I39" s="250"/>
      <c r="J39" s="250"/>
      <c r="K39" s="252">
        <f t="shared" ca="1" si="2"/>
        <v>0</v>
      </c>
      <c r="L39" s="253" t="str">
        <f t="shared" ca="1" si="3"/>
        <v/>
      </c>
      <c r="M39" s="249">
        <f t="shared" ca="1" si="4"/>
        <v>0</v>
      </c>
      <c r="N39" s="250"/>
      <c r="O39" s="250"/>
      <c r="P39" s="251">
        <f t="shared" ca="1" si="5"/>
        <v>0</v>
      </c>
      <c r="Q39" s="250"/>
      <c r="R39" s="250"/>
      <c r="S39" s="252">
        <f t="shared" ca="1" si="6"/>
        <v>0</v>
      </c>
      <c r="T39" s="253" t="str">
        <f t="shared" ca="1" si="7"/>
        <v/>
      </c>
      <c r="U39" s="249">
        <f t="shared" ca="1" si="8"/>
        <v>0</v>
      </c>
      <c r="V39" s="250"/>
      <c r="W39" s="250"/>
      <c r="X39" s="251">
        <f t="shared" ca="1" si="9"/>
        <v>0</v>
      </c>
      <c r="Y39" s="250"/>
      <c r="Z39" s="250"/>
      <c r="AA39" s="252">
        <f t="shared" ca="1" si="10"/>
        <v>0</v>
      </c>
      <c r="AB39" s="253" t="str">
        <f t="shared" ca="1" si="11"/>
        <v/>
      </c>
      <c r="AC39" s="134">
        <f t="shared" ca="1" si="12"/>
        <v>0</v>
      </c>
      <c r="AD39" s="82" t="str">
        <f t="shared" ca="1" si="13"/>
        <v/>
      </c>
      <c r="AE39" s="88">
        <v>68</v>
      </c>
      <c r="AF39" s="88">
        <v>68</v>
      </c>
      <c r="AG39" s="88">
        <v>68</v>
      </c>
      <c r="AH39" s="88">
        <v>68</v>
      </c>
      <c r="AI39" s="88">
        <v>76.666666666666671</v>
      </c>
      <c r="AJ39" s="88">
        <v>68</v>
      </c>
      <c r="AK39" s="88">
        <v>77.142857142857139</v>
      </c>
      <c r="AL39" s="88">
        <v>34</v>
      </c>
      <c r="AM39" s="102">
        <f t="shared" ca="1" si="14"/>
        <v>0</v>
      </c>
      <c r="AN39" s="103">
        <f t="shared" ca="1" si="15"/>
        <v>0</v>
      </c>
      <c r="AO39" s="82" t="str">
        <f t="shared" ca="1" si="16"/>
        <v/>
      </c>
    </row>
    <row r="40" spans="1:41" ht="24.6" customHeight="1">
      <c r="A40" s="260">
        <v>35</v>
      </c>
      <c r="B40" s="263">
        <f t="shared" ca="1" si="0"/>
        <v>0</v>
      </c>
      <c r="C40" s="169">
        <f>STUDENTS!D412</f>
        <v>0</v>
      </c>
      <c r="D40" s="170">
        <f>STUDENTS!D414</f>
        <v>0</v>
      </c>
      <c r="E40" s="254">
        <f t="shared" ca="1" si="17"/>
        <v>0</v>
      </c>
      <c r="F40" s="255"/>
      <c r="G40" s="255"/>
      <c r="H40" s="256">
        <f t="shared" ca="1" si="1"/>
        <v>0</v>
      </c>
      <c r="I40" s="255"/>
      <c r="J40" s="255"/>
      <c r="K40" s="257">
        <f t="shared" ca="1" si="2"/>
        <v>0</v>
      </c>
      <c r="L40" s="258" t="str">
        <f t="shared" ca="1" si="3"/>
        <v/>
      </c>
      <c r="M40" s="254">
        <f t="shared" ca="1" si="4"/>
        <v>0</v>
      </c>
      <c r="N40" s="255"/>
      <c r="O40" s="255"/>
      <c r="P40" s="256">
        <f t="shared" ca="1" si="5"/>
        <v>0</v>
      </c>
      <c r="Q40" s="255"/>
      <c r="R40" s="255"/>
      <c r="S40" s="257">
        <f t="shared" ca="1" si="6"/>
        <v>0</v>
      </c>
      <c r="T40" s="258" t="str">
        <f t="shared" ca="1" si="7"/>
        <v/>
      </c>
      <c r="U40" s="254">
        <f t="shared" ca="1" si="8"/>
        <v>0</v>
      </c>
      <c r="V40" s="255"/>
      <c r="W40" s="255"/>
      <c r="X40" s="256">
        <f t="shared" ca="1" si="9"/>
        <v>0</v>
      </c>
      <c r="Y40" s="255"/>
      <c r="Z40" s="255"/>
      <c r="AA40" s="257">
        <f t="shared" ca="1" si="10"/>
        <v>0</v>
      </c>
      <c r="AB40" s="258" t="str">
        <f t="shared" ca="1" si="11"/>
        <v/>
      </c>
      <c r="AC40" s="135">
        <f t="shared" ca="1" si="12"/>
        <v>0</v>
      </c>
      <c r="AD40" s="83" t="str">
        <f t="shared" ca="1" si="13"/>
        <v/>
      </c>
      <c r="AE40" s="88">
        <v>68</v>
      </c>
      <c r="AF40" s="88">
        <v>68</v>
      </c>
      <c r="AG40" s="88">
        <v>68</v>
      </c>
      <c r="AH40" s="88">
        <v>68</v>
      </c>
      <c r="AI40" s="88">
        <v>76.666666666666671</v>
      </c>
      <c r="AJ40" s="88">
        <v>68</v>
      </c>
      <c r="AK40" s="88">
        <v>77.142857142857139</v>
      </c>
      <c r="AL40" s="88">
        <v>34</v>
      </c>
      <c r="AM40" s="104">
        <f t="shared" ca="1" si="14"/>
        <v>0</v>
      </c>
      <c r="AN40" s="105">
        <f t="shared" ca="1" si="15"/>
        <v>0</v>
      </c>
      <c r="AO40" s="83" t="str">
        <f t="shared" ca="1" si="16"/>
        <v/>
      </c>
    </row>
  </sheetData>
  <sheetProtection password="DC6E" sheet="1" objects="1" scenarios="1"/>
  <mergeCells count="31">
    <mergeCell ref="A3:A4"/>
    <mergeCell ref="B3:B4"/>
    <mergeCell ref="C3:C4"/>
    <mergeCell ref="E3:G3"/>
    <mergeCell ref="H3:J3"/>
    <mergeCell ref="AE2:AE4"/>
    <mergeCell ref="AF2:AF4"/>
    <mergeCell ref="AG2:AG4"/>
    <mergeCell ref="AN2:AN4"/>
    <mergeCell ref="AO2:AO4"/>
    <mergeCell ref="AH2:AH4"/>
    <mergeCell ref="AI2:AI4"/>
    <mergeCell ref="AJ2:AJ4"/>
    <mergeCell ref="AK2:AK4"/>
    <mergeCell ref="AL2:AL4"/>
    <mergeCell ref="AM2:AM4"/>
    <mergeCell ref="E2:L2"/>
    <mergeCell ref="M2:T2"/>
    <mergeCell ref="U2:AB2"/>
    <mergeCell ref="AC2:AC4"/>
    <mergeCell ref="AD2:AD4"/>
    <mergeCell ref="K3:K4"/>
    <mergeCell ref="L3:L4"/>
    <mergeCell ref="M3:O3"/>
    <mergeCell ref="AB3:AB4"/>
    <mergeCell ref="P3:R3"/>
    <mergeCell ref="S3:S4"/>
    <mergeCell ref="T3:T4"/>
    <mergeCell ref="U3:W3"/>
    <mergeCell ref="X3:Z3"/>
    <mergeCell ref="AA3:AA4"/>
  </mergeCells>
  <conditionalFormatting sqref="AD6:AD40 AO5:AO40 AB6:AB40 T6:T40 L6:L40">
    <cfRule type="cellIs" dxfId="8" priority="3" stopIfTrue="1" operator="between">
      <formula>"E"</formula>
      <formula>"E"</formula>
    </cfRule>
  </conditionalFormatting>
  <conditionalFormatting sqref="C6:C67 B6:B40">
    <cfRule type="cellIs" dxfId="7" priority="2" stopIfTrue="1" operator="equal">
      <formula>0</formula>
    </cfRule>
  </conditionalFormatting>
  <conditionalFormatting sqref="D6:D40">
    <cfRule type="cellIs" dxfId="6" priority="1" stopIfTrue="1" operator="equal">
      <formula>"00/01/1900"</formula>
    </cfRule>
  </conditionalFormatting>
  <dataValidations count="2">
    <dataValidation type="whole" allowBlank="1" showInputMessage="1" showErrorMessage="1" errorTitle="સૂચના" error="0 થી 20સુધીની સંખ્યા ઉમેરો..." sqref="W6:W40 G6:G40 O6:O40 R6:R40 J6:J40 Z6:Z40">
      <formula1>0</formula1>
      <formula2>20</formula2>
    </dataValidation>
    <dataValidation type="whole" allowBlank="1" showErrorMessage="1" errorTitle="સૂચના" error="0 થી 40 સુધીની સંખ્યા ઉમેરો." promptTitle="ઇનપુટ" prompt="0 થી 40 સુધીની સંખ્યા ઉમેરો." sqref="U6:V40 H6:I40 F6:F40 M6:N40 P6:Q40 X6:Y40">
      <formula1>0</formula1>
      <formula2>40</formula2>
    </dataValidation>
  </dataValidations>
  <hyperlinks>
    <hyperlink ref="A1" location="INDEX!A1" display="INDEX"/>
  </hyperlinks>
  <pageMargins left="0.52" right="0.2" top="0.25" bottom="0.25" header="0.01" footer="0"/>
  <pageSetup paperSize="5" scale="90" orientation="portrait" horizontalDpi="300" verticalDpi="300" r:id="rId1"/>
  <colBreaks count="1" manualBreakCount="1">
    <brk id="12"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43</vt:i4>
      </vt:variant>
    </vt:vector>
  </HeadingPairs>
  <TitlesOfParts>
    <vt:vector size="63" baseType="lpstr">
      <vt:lpstr>INDEX</vt:lpstr>
      <vt:lpstr>SCHOOL</vt:lpstr>
      <vt:lpstr>STUDENTS</vt:lpstr>
      <vt:lpstr>A-RACHNATMAK</vt:lpstr>
      <vt:lpstr>A-CALC</vt:lpstr>
      <vt:lpstr>B-VV STD-3-4</vt:lpstr>
      <vt:lpstr>B-VV STD-5</vt:lpstr>
      <vt:lpstr>C-TITLE</vt:lpstr>
      <vt:lpstr>C-PARINAM STD-3</vt:lpstr>
      <vt:lpstr>C-PARINAM STD-4</vt:lpstr>
      <vt:lpstr>C-PARINAM STD-5</vt:lpstr>
      <vt:lpstr>PARINAM STD-1 TITLE</vt:lpstr>
      <vt:lpstr>PARINAM STD-1</vt:lpstr>
      <vt:lpstr>D PRAGATIPATRAK STD-1</vt:lpstr>
      <vt:lpstr>PARINAM STD-2 TITLE</vt:lpstr>
      <vt:lpstr>PARINAM STD-2</vt:lpstr>
      <vt:lpstr>D PRAGATIPATRAK STD-2</vt:lpstr>
      <vt:lpstr>E-PRAGATIPATRAK</vt:lpstr>
      <vt:lpstr>MARKSHEET STD-6-7</vt:lpstr>
      <vt:lpstr>MARKSHEET STD-8</vt:lpstr>
      <vt:lpstr>'A-RACHNATMAK'!AENG</vt:lpstr>
      <vt:lpstr>'A-RACHNATMAK'!AGUJ</vt:lpstr>
      <vt:lpstr>'A-RACHNATMAK'!AHIN</vt:lpstr>
      <vt:lpstr>'A-RACHNATMAK'!AINDEX</vt:lpstr>
      <vt:lpstr>'A-RACHNATMAK'!AMATH</vt:lpstr>
      <vt:lpstr>'A-RACHNATMAK'!ASAN</vt:lpstr>
      <vt:lpstr>'A-RACHNATMAK'!ASCI</vt:lpstr>
      <vt:lpstr>'A-RACHNATMAK'!ASS</vt:lpstr>
      <vt:lpstr>'B-VV STD-3-4'!BPAGE1</vt:lpstr>
      <vt:lpstr>BPAGE1</vt:lpstr>
      <vt:lpstr>'B-VV STD-3-4'!BPAGE2</vt:lpstr>
      <vt:lpstr>BPAGE2</vt:lpstr>
      <vt:lpstr>'C-PARINAM STD-3'!DATA</vt:lpstr>
      <vt:lpstr>'C-PARINAM STD-4'!DATA</vt:lpstr>
      <vt:lpstr>DATA</vt:lpstr>
      <vt:lpstr>DATA1</vt:lpstr>
      <vt:lpstr>'A-RACHNATMAK'!Print_Area</vt:lpstr>
      <vt:lpstr>'B-VV STD-3-4'!Print_Area</vt:lpstr>
      <vt:lpstr>'C-PARINAM STD-3'!Print_Area</vt:lpstr>
      <vt:lpstr>'C-PARINAM STD-4'!Print_Area</vt:lpstr>
      <vt:lpstr>'C-PARINAM STD-5'!Print_Area</vt:lpstr>
      <vt:lpstr>'C-TITLE'!Print_Area</vt:lpstr>
      <vt:lpstr>'D PRAGATIPATRAK STD-1'!Print_Area</vt:lpstr>
      <vt:lpstr>'D PRAGATIPATRAK STD-2'!Print_Area</vt:lpstr>
      <vt:lpstr>'E-PRAGATIPATRAK'!Print_Area</vt:lpstr>
      <vt:lpstr>INDEX!Print_Area</vt:lpstr>
      <vt:lpstr>'PARINAM STD-1'!Print_Area</vt:lpstr>
      <vt:lpstr>'PARINAM STD-1 TITLE'!Print_Area</vt:lpstr>
      <vt:lpstr>'PARINAM STD-2'!Print_Area</vt:lpstr>
      <vt:lpstr>'PARINAM STD-2 TITLE'!Print_Area</vt:lpstr>
      <vt:lpstr>SCHOOL!Print_Area</vt:lpstr>
      <vt:lpstr>'B-VV STD-3-4'!Print_Titles</vt:lpstr>
      <vt:lpstr>'B-VV STD-5'!Print_Titles</vt:lpstr>
      <vt:lpstr>'C-PARINAM STD-3'!ROLLNO</vt:lpstr>
      <vt:lpstr>'C-PARINAM STD-4'!ROLLNO</vt:lpstr>
      <vt:lpstr>ROLLNO</vt:lpstr>
      <vt:lpstr>'A-RACHNATMAK'!seng</vt:lpstr>
      <vt:lpstr>'A-RACHNATMAK'!sganit</vt:lpstr>
      <vt:lpstr>'A-RACHNATMAK'!sganit2</vt:lpstr>
      <vt:lpstr>'A-RACHNATMAK'!shindi</vt:lpstr>
      <vt:lpstr>'A-RACHNATMAK'!ssanskut</vt:lpstr>
      <vt:lpstr>'A-RACHNATMAK'!sss</vt:lpstr>
      <vt:lpstr>'A-RACHNATMAK'!svigyan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Naresh</dc:creator>
  <cp:lastModifiedBy>narendra</cp:lastModifiedBy>
  <cp:lastPrinted>2012-08-16T14:09:49Z</cp:lastPrinted>
  <dcterms:created xsi:type="dcterms:W3CDTF">2012-06-05T17:45:01Z</dcterms:created>
  <dcterms:modified xsi:type="dcterms:W3CDTF">2012-09-27T11:24:42Z</dcterms:modified>
</cp:coreProperties>
</file>