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tabRatio="584"/>
  </bookViews>
  <sheets>
    <sheet name="Inicio" sheetId="2" r:id="rId1"/>
    <sheet name="Copa Do Brasil" sheetId="1" r:id="rId2"/>
  </sheets>
  <calcPr calcId="125725"/>
</workbook>
</file>

<file path=xl/calcChain.xml><?xml version="1.0" encoding="utf-8"?>
<calcChain xmlns="http://schemas.openxmlformats.org/spreadsheetml/2006/main">
  <c r="K118" i="1"/>
  <c r="F118"/>
  <c r="K116"/>
  <c r="F116"/>
  <c r="K114"/>
  <c r="F114"/>
  <c r="K112"/>
  <c r="F112"/>
  <c r="K110"/>
  <c r="F110"/>
  <c r="K108"/>
  <c r="F108"/>
  <c r="K106"/>
  <c r="F106"/>
  <c r="K104"/>
  <c r="F104"/>
  <c r="K102"/>
  <c r="F102"/>
  <c r="K99"/>
  <c r="F99"/>
  <c r="F103"/>
  <c r="F101"/>
  <c r="F59"/>
  <c r="F148"/>
  <c r="F144"/>
  <c r="F143"/>
  <c r="F142"/>
  <c r="F141"/>
  <c r="F140"/>
  <c r="F139"/>
  <c r="F138"/>
  <c r="F137"/>
  <c r="F136"/>
  <c r="F135"/>
  <c r="F58"/>
  <c r="K205"/>
  <c r="F205"/>
  <c r="K196"/>
  <c r="F196"/>
  <c r="K194"/>
  <c r="F194"/>
  <c r="K182"/>
  <c r="F182"/>
  <c r="K180"/>
  <c r="F180"/>
  <c r="K178"/>
  <c r="F178"/>
  <c r="K175"/>
  <c r="F175"/>
  <c r="O14"/>
  <c r="O15"/>
  <c r="F33"/>
  <c r="J129"/>
  <c r="J130"/>
  <c r="J131"/>
  <c r="Q206"/>
  <c r="Q217"/>
  <c r="O217"/>
  <c r="O206"/>
  <c r="Q197"/>
  <c r="Q195"/>
  <c r="Q181"/>
  <c r="Q177"/>
  <c r="Q179"/>
  <c r="Q183"/>
  <c r="Q149"/>
  <c r="Q148"/>
  <c r="Q155"/>
  <c r="Q154"/>
  <c r="Q153"/>
  <c r="Q152"/>
  <c r="Q151"/>
  <c r="Q150"/>
  <c r="Q101"/>
  <c r="J147"/>
  <c r="I147"/>
  <c r="H147"/>
  <c r="K150" s="1"/>
  <c r="U150" s="1"/>
  <c r="G147"/>
  <c r="F147"/>
  <c r="E147"/>
  <c r="K153" s="1"/>
  <c r="U153" s="1"/>
  <c r="D147"/>
  <c r="L146"/>
  <c r="K146"/>
  <c r="J146"/>
  <c r="F154" s="1"/>
  <c r="Z154" s="1"/>
  <c r="I146"/>
  <c r="F153" s="1"/>
  <c r="Z153" s="1"/>
  <c r="H146"/>
  <c r="F152" s="1"/>
  <c r="Z152" s="1"/>
  <c r="G146"/>
  <c r="F146"/>
  <c r="E146"/>
  <c r="D146"/>
  <c r="J138"/>
  <c r="J143"/>
  <c r="J142"/>
  <c r="J140"/>
  <c r="J132"/>
  <c r="J133"/>
  <c r="J134"/>
  <c r="J135"/>
  <c r="J136"/>
  <c r="J137"/>
  <c r="J139"/>
  <c r="J141"/>
  <c r="J144"/>
  <c r="O102"/>
  <c r="O104"/>
  <c r="O106"/>
  <c r="O108"/>
  <c r="O110"/>
  <c r="O112"/>
  <c r="O114"/>
  <c r="O116"/>
  <c r="O118"/>
  <c r="Q119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F155" l="1"/>
  <c r="Z155" s="1"/>
  <c r="O150"/>
  <c r="O153"/>
  <c r="S61"/>
  <c r="S63"/>
  <c r="S65"/>
  <c r="S67"/>
  <c r="S69"/>
  <c r="S71"/>
  <c r="S73"/>
  <c r="S75"/>
  <c r="S59"/>
  <c r="O10"/>
  <c r="F56"/>
  <c r="F170" l="1"/>
  <c r="J170" s="1"/>
  <c r="K181" s="1"/>
  <c r="O181" s="1"/>
  <c r="F166"/>
  <c r="J166" s="1"/>
  <c r="F179" s="1"/>
  <c r="P153"/>
  <c r="P150"/>
  <c r="Q14"/>
  <c r="U181" l="1"/>
  <c r="Z179"/>
  <c r="Q96"/>
  <c r="P181" l="1"/>
  <c r="F190"/>
  <c r="J190" s="1"/>
  <c r="F197" s="1"/>
  <c r="Q75"/>
  <c r="O53"/>
  <c r="O52"/>
  <c r="F95" s="1"/>
  <c r="Q31"/>
  <c r="O51"/>
  <c r="K93" s="1"/>
  <c r="O50"/>
  <c r="F93" s="1"/>
  <c r="O49"/>
  <c r="K91" s="1"/>
  <c r="O48"/>
  <c r="F91" s="1"/>
  <c r="O47"/>
  <c r="K89" s="1"/>
  <c r="O46"/>
  <c r="F89" s="1"/>
  <c r="O45"/>
  <c r="O44"/>
  <c r="F87" s="1"/>
  <c r="O43"/>
  <c r="O42"/>
  <c r="F85" s="1"/>
  <c r="O41"/>
  <c r="K83" s="1"/>
  <c r="O40"/>
  <c r="F83" s="1"/>
  <c r="O39"/>
  <c r="K81" s="1"/>
  <c r="O38"/>
  <c r="O37"/>
  <c r="K79" s="1"/>
  <c r="O36"/>
  <c r="F79" s="1"/>
  <c r="O35"/>
  <c r="K77" s="1"/>
  <c r="O34"/>
  <c r="F77" s="1"/>
  <c r="O33"/>
  <c r="K75" s="1"/>
  <c r="O32"/>
  <c r="F75" s="1"/>
  <c r="O31"/>
  <c r="K73" s="1"/>
  <c r="O30"/>
  <c r="O29"/>
  <c r="K71" s="1"/>
  <c r="O28"/>
  <c r="F71" s="1"/>
  <c r="O27"/>
  <c r="K69" s="1"/>
  <c r="O26"/>
  <c r="F69" s="1"/>
  <c r="O25"/>
  <c r="K67" s="1"/>
  <c r="O24"/>
  <c r="F67" s="1"/>
  <c r="O23"/>
  <c r="K65" s="1"/>
  <c r="O22"/>
  <c r="F65" s="1"/>
  <c r="O21"/>
  <c r="O20"/>
  <c r="F63" s="1"/>
  <c r="O19"/>
  <c r="K61" s="1"/>
  <c r="O18"/>
  <c r="F61" s="1"/>
  <c r="O17"/>
  <c r="K59" s="1"/>
  <c r="O16"/>
  <c r="K56"/>
  <c r="Q59"/>
  <c r="Q60"/>
  <c r="Q61"/>
  <c r="Q62"/>
  <c r="Q63"/>
  <c r="Q64"/>
  <c r="Q65"/>
  <c r="Q66"/>
  <c r="Q67"/>
  <c r="Q68"/>
  <c r="Q69"/>
  <c r="Q70"/>
  <c r="Q71"/>
  <c r="Q72"/>
  <c r="Q73"/>
  <c r="Q76"/>
  <c r="Q77"/>
  <c r="Q78"/>
  <c r="Q79"/>
  <c r="Q81"/>
  <c r="Q82"/>
  <c r="Q83"/>
  <c r="Q85"/>
  <c r="Q86"/>
  <c r="Q87"/>
  <c r="Q89"/>
  <c r="Q90"/>
  <c r="Q91"/>
  <c r="Q92"/>
  <c r="Q93"/>
  <c r="Q94"/>
  <c r="Q95"/>
  <c r="O59"/>
  <c r="O61"/>
  <c r="O63"/>
  <c r="O65"/>
  <c r="O67"/>
  <c r="O69"/>
  <c r="O71"/>
  <c r="O73"/>
  <c r="O75"/>
  <c r="O77"/>
  <c r="O79"/>
  <c r="O81"/>
  <c r="O83"/>
  <c r="O85"/>
  <c r="O87"/>
  <c r="O89"/>
  <c r="O91"/>
  <c r="O93"/>
  <c r="O95"/>
  <c r="Q58"/>
  <c r="Q53"/>
  <c r="Q48"/>
  <c r="U36"/>
  <c r="Q15"/>
  <c r="Q16"/>
  <c r="Q17"/>
  <c r="Q18"/>
  <c r="Q19"/>
  <c r="Q20"/>
  <c r="Q21"/>
  <c r="Q22"/>
  <c r="Q23"/>
  <c r="Q24"/>
  <c r="Q25"/>
  <c r="Q26"/>
  <c r="Q27"/>
  <c r="Q28"/>
  <c r="Q29"/>
  <c r="Q30"/>
  <c r="Q32"/>
  <c r="Q33"/>
  <c r="Q34"/>
  <c r="Q35"/>
  <c r="Q36"/>
  <c r="Q37"/>
  <c r="Q38"/>
  <c r="Q39"/>
  <c r="Q40"/>
  <c r="Q41"/>
  <c r="Q42"/>
  <c r="Q43"/>
  <c r="Q44"/>
  <c r="Q45"/>
  <c r="Q46"/>
  <c r="Q47"/>
  <c r="Q49"/>
  <c r="Q50"/>
  <c r="Q51"/>
  <c r="Q52"/>
  <c r="Q10"/>
  <c r="K63" l="1"/>
  <c r="K85"/>
  <c r="K87"/>
  <c r="P30"/>
  <c r="F73"/>
  <c r="F81"/>
  <c r="K95"/>
  <c r="Z197"/>
  <c r="P14"/>
  <c r="P26"/>
  <c r="P40"/>
  <c r="P52"/>
  <c r="P32" l="1"/>
  <c r="P27"/>
  <c r="D69"/>
  <c r="P22"/>
  <c r="P20"/>
  <c r="D59"/>
  <c r="F96"/>
  <c r="D95"/>
  <c r="K96"/>
  <c r="U95"/>
  <c r="P53"/>
  <c r="K70"/>
  <c r="O70" s="1"/>
  <c r="P15"/>
  <c r="K58"/>
  <c r="F70"/>
  <c r="U10"/>
  <c r="O58" l="1"/>
  <c r="D96"/>
  <c r="O96"/>
  <c r="K119" s="1"/>
  <c r="D58"/>
  <c r="D70"/>
  <c r="P70"/>
  <c r="U96"/>
  <c r="P18"/>
  <c r="D61"/>
  <c r="D63"/>
  <c r="D65"/>
  <c r="D73"/>
  <c r="Z53"/>
  <c r="U53"/>
  <c r="Z52"/>
  <c r="U52"/>
  <c r="Z51"/>
  <c r="U51"/>
  <c r="Z50"/>
  <c r="U50"/>
  <c r="Z49"/>
  <c r="U49"/>
  <c r="Z48"/>
  <c r="U48"/>
  <c r="Z47"/>
  <c r="U47"/>
  <c r="Z46"/>
  <c r="U46"/>
  <c r="P58" l="1"/>
  <c r="D85"/>
  <c r="D87"/>
  <c r="D89"/>
  <c r="D91"/>
  <c r="D93"/>
  <c r="P41"/>
  <c r="D83"/>
  <c r="D81"/>
  <c r="K80"/>
  <c r="Q80" s="1"/>
  <c r="D79"/>
  <c r="K78"/>
  <c r="O78" s="1"/>
  <c r="D75"/>
  <c r="K68"/>
  <c r="O68" s="1"/>
  <c r="D67"/>
  <c r="P96"/>
  <c r="D71"/>
  <c r="F66"/>
  <c r="Z66" s="1"/>
  <c r="K66"/>
  <c r="O66" s="1"/>
  <c r="K94"/>
  <c r="O94" s="1"/>
  <c r="F119" s="1"/>
  <c r="K92"/>
  <c r="O92" s="1"/>
  <c r="K90"/>
  <c r="O90" s="1"/>
  <c r="K84"/>
  <c r="F84"/>
  <c r="Z84" s="1"/>
  <c r="K74"/>
  <c r="F74"/>
  <c r="Z74" s="1"/>
  <c r="K64"/>
  <c r="O64" s="1"/>
  <c r="F64"/>
  <c r="Z64" s="1"/>
  <c r="F62"/>
  <c r="Z62" s="1"/>
  <c r="P50"/>
  <c r="F94" s="1"/>
  <c r="Z94" s="1"/>
  <c r="P48"/>
  <c r="F92" s="1"/>
  <c r="Z92" s="1"/>
  <c r="P51"/>
  <c r="P49"/>
  <c r="P47"/>
  <c r="P46"/>
  <c r="P44"/>
  <c r="F88" s="1"/>
  <c r="Q88" s="1"/>
  <c r="P35"/>
  <c r="P34"/>
  <c r="F78" s="1"/>
  <c r="P33"/>
  <c r="K76" s="1"/>
  <c r="P29"/>
  <c r="K72" s="1"/>
  <c r="O72" s="1"/>
  <c r="P28"/>
  <c r="F72" s="1"/>
  <c r="P25"/>
  <c r="P24"/>
  <c r="F68" s="1"/>
  <c r="Z68" s="1"/>
  <c r="P19"/>
  <c r="K62" s="1"/>
  <c r="P17"/>
  <c r="K60" s="1"/>
  <c r="P16"/>
  <c r="F60" s="1"/>
  <c r="Z85"/>
  <c r="P42"/>
  <c r="F86" s="1"/>
  <c r="Z83"/>
  <c r="Z81"/>
  <c r="P38"/>
  <c r="F82" s="1"/>
  <c r="Z79"/>
  <c r="P36"/>
  <c r="F80" s="1"/>
  <c r="P23"/>
  <c r="U93"/>
  <c r="U91"/>
  <c r="U89"/>
  <c r="U87"/>
  <c r="P45"/>
  <c r="K88" s="1"/>
  <c r="O88" s="1"/>
  <c r="U85"/>
  <c r="P43"/>
  <c r="K86" s="1"/>
  <c r="O86" s="1"/>
  <c r="U83"/>
  <c r="U81"/>
  <c r="P39"/>
  <c r="K82" s="1"/>
  <c r="U82" s="1"/>
  <c r="U79"/>
  <c r="P37"/>
  <c r="P31"/>
  <c r="P21"/>
  <c r="Z96"/>
  <c r="S96" s="1"/>
  <c r="Z95"/>
  <c r="S95" s="1"/>
  <c r="Z93"/>
  <c r="S93" s="1"/>
  <c r="Z91"/>
  <c r="S91" s="1"/>
  <c r="Z89"/>
  <c r="S89" s="1"/>
  <c r="Z87"/>
  <c r="S87" s="1"/>
  <c r="Z70"/>
  <c r="U70"/>
  <c r="Z45"/>
  <c r="U45"/>
  <c r="Z44"/>
  <c r="U44"/>
  <c r="Z43"/>
  <c r="U43"/>
  <c r="Z42"/>
  <c r="U42"/>
  <c r="Z41"/>
  <c r="U41"/>
  <c r="Z40"/>
  <c r="U40"/>
  <c r="Z39"/>
  <c r="U39"/>
  <c r="Z38"/>
  <c r="U38"/>
  <c r="O84" l="1"/>
  <c r="Q84"/>
  <c r="O74"/>
  <c r="F109" s="1"/>
  <c r="Q74"/>
  <c r="U60"/>
  <c r="O60"/>
  <c r="O76"/>
  <c r="O82"/>
  <c r="U62"/>
  <c r="O62"/>
  <c r="U80"/>
  <c r="O80"/>
  <c r="D66"/>
  <c r="U66"/>
  <c r="S66" s="1"/>
  <c r="U78"/>
  <c r="D72"/>
  <c r="D80"/>
  <c r="D88"/>
  <c r="S83"/>
  <c r="S85"/>
  <c r="S62"/>
  <c r="D94"/>
  <c r="D68"/>
  <c r="D78"/>
  <c r="D82"/>
  <c r="S70"/>
  <c r="D62"/>
  <c r="D86"/>
  <c r="D64"/>
  <c r="D74"/>
  <c r="D84"/>
  <c r="D92"/>
  <c r="S79"/>
  <c r="S81"/>
  <c r="U68"/>
  <c r="P78"/>
  <c r="P92"/>
  <c r="P66"/>
  <c r="D60"/>
  <c r="P68"/>
  <c r="U94"/>
  <c r="S94" s="1"/>
  <c r="D118"/>
  <c r="U72"/>
  <c r="U74"/>
  <c r="S74" s="1"/>
  <c r="U64"/>
  <c r="S64" s="1"/>
  <c r="U86"/>
  <c r="Z78"/>
  <c r="Z88"/>
  <c r="U88"/>
  <c r="Z80"/>
  <c r="S80" s="1"/>
  <c r="Z86"/>
  <c r="U92"/>
  <c r="S92" s="1"/>
  <c r="F90"/>
  <c r="Z90" s="1"/>
  <c r="Z82"/>
  <c r="U84"/>
  <c r="S84" s="1"/>
  <c r="U90"/>
  <c r="Z72"/>
  <c r="Z60"/>
  <c r="S60" s="1"/>
  <c r="U58"/>
  <c r="Z58"/>
  <c r="P80" l="1"/>
  <c r="K111"/>
  <c r="P82"/>
  <c r="F76"/>
  <c r="D76" s="1"/>
  <c r="P76"/>
  <c r="P62"/>
  <c r="S72"/>
  <c r="S68"/>
  <c r="S88"/>
  <c r="Z109"/>
  <c r="K101"/>
  <c r="U101" s="1"/>
  <c r="S82"/>
  <c r="S78"/>
  <c r="S90"/>
  <c r="S77"/>
  <c r="D77"/>
  <c r="K103"/>
  <c r="K105"/>
  <c r="K109"/>
  <c r="F117"/>
  <c r="Z117" s="1"/>
  <c r="F115"/>
  <c r="Z115" s="1"/>
  <c r="P86"/>
  <c r="P90"/>
  <c r="F111"/>
  <c r="Z111" s="1"/>
  <c r="S86"/>
  <c r="D90"/>
  <c r="F107"/>
  <c r="Z107" s="1"/>
  <c r="D106"/>
  <c r="D110"/>
  <c r="K117"/>
  <c r="O117" s="1"/>
  <c r="D116"/>
  <c r="K115"/>
  <c r="O115" s="1"/>
  <c r="D114"/>
  <c r="D108"/>
  <c r="F105"/>
  <c r="Z105" s="1"/>
  <c r="D104"/>
  <c r="Z103"/>
  <c r="D102"/>
  <c r="S58"/>
  <c r="F113"/>
  <c r="Z113" s="1"/>
  <c r="K113"/>
  <c r="D113" s="1"/>
  <c r="P64"/>
  <c r="P84"/>
  <c r="P88"/>
  <c r="Z119"/>
  <c r="P94"/>
  <c r="P72"/>
  <c r="K107"/>
  <c r="P74"/>
  <c r="P60"/>
  <c r="U76"/>
  <c r="D33"/>
  <c r="Z37"/>
  <c r="U37"/>
  <c r="Z36"/>
  <c r="Z35"/>
  <c r="U35"/>
  <c r="Z34"/>
  <c r="U34"/>
  <c r="U33"/>
  <c r="Z32"/>
  <c r="U32"/>
  <c r="Z31"/>
  <c r="U31"/>
  <c r="Z30"/>
  <c r="U30"/>
  <c r="Z29"/>
  <c r="U29"/>
  <c r="Z28"/>
  <c r="U28"/>
  <c r="Z27"/>
  <c r="U27"/>
  <c r="Z26"/>
  <c r="U26"/>
  <c r="Z25"/>
  <c r="U25"/>
  <c r="Z24"/>
  <c r="U24"/>
  <c r="D112" l="1"/>
  <c r="U117"/>
  <c r="Z76"/>
  <c r="O107"/>
  <c r="F150" s="1"/>
  <c r="O119"/>
  <c r="O113"/>
  <c r="K148" s="1"/>
  <c r="O105"/>
  <c r="K151" s="1"/>
  <c r="O101"/>
  <c r="K152" s="1"/>
  <c r="O111"/>
  <c r="K149" s="1"/>
  <c r="U109"/>
  <c r="S109" s="1"/>
  <c r="O109"/>
  <c r="K155" s="1"/>
  <c r="O103"/>
  <c r="F151" s="1"/>
  <c r="Z151" s="1"/>
  <c r="D101"/>
  <c r="U103"/>
  <c r="D109"/>
  <c r="D103"/>
  <c r="U105"/>
  <c r="S76"/>
  <c r="U115"/>
  <c r="S115" s="1"/>
  <c r="K154"/>
  <c r="D117"/>
  <c r="F149"/>
  <c r="D115"/>
  <c r="D119"/>
  <c r="S117"/>
  <c r="D105"/>
  <c r="U111"/>
  <c r="S111" s="1"/>
  <c r="D111"/>
  <c r="U107"/>
  <c r="S107" s="1"/>
  <c r="D107"/>
  <c r="U119"/>
  <c r="S119" s="1"/>
  <c r="U113"/>
  <c r="S113" s="1"/>
  <c r="Z101"/>
  <c r="Z33"/>
  <c r="U23"/>
  <c r="U22"/>
  <c r="U21"/>
  <c r="U20"/>
  <c r="U19"/>
  <c r="U18"/>
  <c r="U17"/>
  <c r="U16"/>
  <c r="U15"/>
  <c r="U14"/>
  <c r="Z23"/>
  <c r="Z22"/>
  <c r="Z21"/>
  <c r="Z20"/>
  <c r="Z19"/>
  <c r="Z18"/>
  <c r="Z17"/>
  <c r="Z16"/>
  <c r="Z15"/>
  <c r="Z14"/>
  <c r="Z10"/>
  <c r="S103" l="1"/>
  <c r="E136" s="1"/>
  <c r="D151" s="1"/>
  <c r="U149"/>
  <c r="O149"/>
  <c r="U151"/>
  <c r="S151" s="1"/>
  <c r="O151"/>
  <c r="Z148"/>
  <c r="U152"/>
  <c r="O152"/>
  <c r="U148"/>
  <c r="O148"/>
  <c r="Z150"/>
  <c r="U155"/>
  <c r="O155"/>
  <c r="Z149"/>
  <c r="U154"/>
  <c r="S154" s="1"/>
  <c r="O154"/>
  <c r="S101"/>
  <c r="E135" s="1"/>
  <c r="S105"/>
  <c r="E144"/>
  <c r="D148" s="1"/>
  <c r="E139"/>
  <c r="S155" s="1"/>
  <c r="E143"/>
  <c r="D149" s="1"/>
  <c r="E138"/>
  <c r="E142"/>
  <c r="S150"/>
  <c r="D179" s="1"/>
  <c r="D154"/>
  <c r="E137"/>
  <c r="E141"/>
  <c r="E140"/>
  <c r="S149" s="1"/>
  <c r="D152"/>
  <c r="D150"/>
  <c r="D155"/>
  <c r="S153"/>
  <c r="D153"/>
  <c r="S152" l="1"/>
  <c r="S148"/>
  <c r="F172"/>
  <c r="J172" s="1"/>
  <c r="F183" s="1"/>
  <c r="P154"/>
  <c r="D182"/>
  <c r="F173"/>
  <c r="P155"/>
  <c r="F163"/>
  <c r="J163" s="1"/>
  <c r="F177" s="1"/>
  <c r="P148"/>
  <c r="F169"/>
  <c r="J169" s="1"/>
  <c r="F181" s="1"/>
  <c r="D180"/>
  <c r="P152"/>
  <c r="F167"/>
  <c r="P151"/>
  <c r="F164"/>
  <c r="J164" s="1"/>
  <c r="K177" s="1"/>
  <c r="O177" s="1"/>
  <c r="P149"/>
  <c r="D178"/>
  <c r="S181"/>
  <c r="P177" l="1"/>
  <c r="F187"/>
  <c r="J187" s="1"/>
  <c r="F195" s="1"/>
  <c r="Z181"/>
  <c r="D181"/>
  <c r="D177"/>
  <c r="Z177"/>
  <c r="J173"/>
  <c r="K183" s="1"/>
  <c r="U183" s="1"/>
  <c r="S183" s="1"/>
  <c r="U177"/>
  <c r="S177" s="1"/>
  <c r="J167"/>
  <c r="K179" s="1"/>
  <c r="U179" s="1"/>
  <c r="S179" s="1"/>
  <c r="Z183"/>
  <c r="D183"/>
  <c r="D197" l="1"/>
  <c r="O179"/>
  <c r="O183"/>
  <c r="D195"/>
  <c r="P183" l="1"/>
  <c r="P179"/>
  <c r="O197"/>
  <c r="O195"/>
  <c r="Z195"/>
  <c r="F191" l="1"/>
  <c r="J191" s="1"/>
  <c r="K197" s="1"/>
  <c r="U197" s="1"/>
  <c r="S197" s="1"/>
  <c r="F188"/>
  <c r="J188" s="1"/>
  <c r="K195" s="1"/>
  <c r="U195" l="1"/>
  <c r="S195" s="1"/>
  <c r="F216"/>
  <c r="F202"/>
  <c r="J202" s="1"/>
  <c r="K206" s="1"/>
  <c r="K216"/>
  <c r="F213" s="1"/>
  <c r="J213" s="1"/>
  <c r="K217" s="1"/>
  <c r="U217" s="1"/>
  <c r="P197"/>
  <c r="F212"/>
  <c r="J212" s="1"/>
  <c r="F217" s="1"/>
  <c r="F201"/>
  <c r="J201" s="1"/>
  <c r="F206" s="1"/>
  <c r="Z206" s="1"/>
  <c r="P195"/>
  <c r="S217" l="1"/>
  <c r="D206"/>
  <c r="S226"/>
  <c r="K220"/>
  <c r="F226" s="1"/>
  <c r="U206"/>
  <c r="S206" s="1"/>
  <c r="D217"/>
  <c r="Z217"/>
</calcChain>
</file>

<file path=xl/comments1.xml><?xml version="1.0" encoding="utf-8"?>
<comments xmlns="http://schemas.openxmlformats.org/spreadsheetml/2006/main">
  <authors>
    <author>pc</author>
  </authors>
  <commentList>
    <comment ref="M101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AB101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F148" authorId="0">
      <text>
        <r>
          <rPr>
            <b/>
            <sz val="9"/>
            <color indexed="81"/>
            <rFont val="Tahoma"/>
            <charset val="1"/>
          </rPr>
          <t>Em caso de erro Verifique os sorteio e veja se um mesmo numero não foi sorteado 2 vezes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48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AB148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M177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AB177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M195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AB195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M206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AB206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M217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  <comment ref="AB217" authorId="0">
      <text>
        <r>
          <rPr>
            <sz val="9"/>
            <color indexed="81"/>
            <rFont val="Tahoma"/>
            <family val="2"/>
          </rPr>
          <t xml:space="preserve">Se For de sua preferencia altere a data dos jogos digitando em cima do nome "Data Indefinida"
</t>
        </r>
      </text>
    </comment>
  </commentList>
</comments>
</file>

<file path=xl/sharedStrings.xml><?xml version="1.0" encoding="utf-8"?>
<sst xmlns="http://schemas.openxmlformats.org/spreadsheetml/2006/main" count="687" uniqueCount="379">
  <si>
    <t>Copa Do Brasil 2014</t>
  </si>
  <si>
    <t>x</t>
  </si>
  <si>
    <t>X</t>
  </si>
  <si>
    <t>GE1</t>
  </si>
  <si>
    <t>GE2</t>
  </si>
  <si>
    <t>Horario jogo de Ida</t>
  </si>
  <si>
    <t>Horario jogo de Volta</t>
  </si>
  <si>
    <t>Real Noroeste</t>
  </si>
  <si>
    <t>Rio Branco-AC</t>
  </si>
  <si>
    <t xml:space="preserve"> Águia Branca</t>
  </si>
  <si>
    <t>19/02/2014 - 20:30</t>
  </si>
  <si>
    <t xml:space="preserve"> Arena da Floresta</t>
  </si>
  <si>
    <t>26/02/2014 - 21:30</t>
  </si>
  <si>
    <t>São Luiz</t>
  </si>
  <si>
    <t>Nacional-AM</t>
  </si>
  <si>
    <t xml:space="preserve">12/03/2014 - 20:30 </t>
  </si>
  <si>
    <t>19 de Outubro</t>
  </si>
  <si>
    <t>Arena da Amazônia</t>
  </si>
  <si>
    <t>09/04/2014 - 21:30</t>
  </si>
  <si>
    <t>Bahia de Feira</t>
  </si>
  <si>
    <t>Corinthians</t>
  </si>
  <si>
    <t>Joia da Princesa</t>
  </si>
  <si>
    <t>19/03/2014 -22:00</t>
  </si>
  <si>
    <t>16/01/2014 -22:00</t>
  </si>
  <si>
    <t>Pacaembu</t>
  </si>
  <si>
    <t>Villa Nova-MG</t>
  </si>
  <si>
    <t>Bahia</t>
  </si>
  <si>
    <t>Castor Cifuentes</t>
  </si>
  <si>
    <t>Fonte Nova</t>
  </si>
  <si>
    <t>17/04/2014 - 21:00</t>
  </si>
  <si>
    <t>Santos-AP</t>
  </si>
  <si>
    <t>América-MG</t>
  </si>
  <si>
    <t>Zerão</t>
  </si>
  <si>
    <t xml:space="preserve"> 02/04/2014 - 20:30</t>
  </si>
  <si>
    <t xml:space="preserve"> 09/04/2014 - 20:30</t>
  </si>
  <si>
    <t>Independência</t>
  </si>
  <si>
    <t>Botafogo-PB</t>
  </si>
  <si>
    <t>Goiás</t>
  </si>
  <si>
    <t>Almeidão</t>
  </si>
  <si>
    <t>02/04/2014 - 19:30</t>
  </si>
  <si>
    <t>Serra Dourada</t>
  </si>
  <si>
    <t>16/04/2014 - 22:00</t>
  </si>
  <si>
    <t>Lagarto</t>
  </si>
  <si>
    <t>Santa Cruz</t>
  </si>
  <si>
    <t>Presidente Médici</t>
  </si>
  <si>
    <t>09/04/2014 - 20:30</t>
  </si>
  <si>
    <t>Arruda</t>
  </si>
  <si>
    <t xml:space="preserve"> 30/04/2014 - 19:30</t>
  </si>
  <si>
    <t>Santa Rita</t>
  </si>
  <si>
    <t>Guarani</t>
  </si>
  <si>
    <t>Olival Elias</t>
  </si>
  <si>
    <t xml:space="preserve"> 02/04/2014 - 15:15</t>
  </si>
  <si>
    <t>Luís Perissinotto</t>
  </si>
  <si>
    <t xml:space="preserve"> 09/04/2014 - 15:00</t>
  </si>
  <si>
    <t>Potigu. de Mossoró</t>
  </si>
  <si>
    <t>Portuguesa</t>
  </si>
  <si>
    <t>Nogueirão</t>
  </si>
  <si>
    <t xml:space="preserve"> 02/04/2014 - 19:30</t>
  </si>
  <si>
    <t>Canindé</t>
  </si>
  <si>
    <t>09/04/2014 - 19:30</t>
  </si>
  <si>
    <t>Rondonópolis</t>
  </si>
  <si>
    <t>CRB</t>
  </si>
  <si>
    <t xml:space="preserve"> Luthero Lopes</t>
  </si>
  <si>
    <t>13/03/2014 - 21:30</t>
  </si>
  <si>
    <t xml:space="preserve"> Rei Pelé</t>
  </si>
  <si>
    <t>CSA</t>
  </si>
  <si>
    <t>São Paulo</t>
  </si>
  <si>
    <t>12/03/2014 - 22:00</t>
  </si>
  <si>
    <t>Morumbi</t>
  </si>
  <si>
    <t>09/04/2014 - 22:00</t>
  </si>
  <si>
    <t>Lajeadense</t>
  </si>
  <si>
    <t>Bragantino</t>
  </si>
  <si>
    <t>Alviazul</t>
  </si>
  <si>
    <t>Abi Chedid</t>
  </si>
  <si>
    <t>02/04/2014 - 20:30</t>
  </si>
  <si>
    <t xml:space="preserve">09/04/2014 - 20:30 </t>
  </si>
  <si>
    <t>Plácido de Castro</t>
  </si>
  <si>
    <t>Figueirense</t>
  </si>
  <si>
    <t>Arena da Floresta</t>
  </si>
  <si>
    <t xml:space="preserve">02/04/2014 - 21:30 </t>
  </si>
  <si>
    <t>Orlando Scarpelli</t>
  </si>
  <si>
    <t>Cene</t>
  </si>
  <si>
    <t>Coritiba</t>
  </si>
  <si>
    <t>Morenão</t>
  </si>
  <si>
    <t>13/03/2014 - 21:50</t>
  </si>
  <si>
    <t>Couto Pereira</t>
  </si>
  <si>
    <t xml:space="preserve">16/04/2014 - 19:30 </t>
  </si>
  <si>
    <t>Caldense</t>
  </si>
  <si>
    <t>Duque de Caxias</t>
  </si>
  <si>
    <t>Ronaldão</t>
  </si>
  <si>
    <t xml:space="preserve"> Los Larios</t>
  </si>
  <si>
    <t>16/04/2014 - 20:30</t>
  </si>
  <si>
    <t>Brasília</t>
  </si>
  <si>
    <t>Sport</t>
  </si>
  <si>
    <t>Mané Garrincha</t>
  </si>
  <si>
    <t>30/04/2014 - 22:00</t>
  </si>
  <si>
    <t>Ilha do Retiro</t>
  </si>
  <si>
    <t xml:space="preserve">07/05/2014 - 22:00 </t>
  </si>
  <si>
    <t>Maranhão</t>
  </si>
  <si>
    <t>Paysandu</t>
  </si>
  <si>
    <t>Nhozinho Santos</t>
  </si>
  <si>
    <t>Mangueirão</t>
  </si>
  <si>
    <t>Barbalha</t>
  </si>
  <si>
    <t>Cuiabá</t>
  </si>
  <si>
    <t>Inaldão</t>
  </si>
  <si>
    <t>Presidente Dutra</t>
  </si>
  <si>
    <t xml:space="preserve">16/04/2014 - 21:30 </t>
  </si>
  <si>
    <t>Remo</t>
  </si>
  <si>
    <t>Internacional</t>
  </si>
  <si>
    <t xml:space="preserve"> Mangueirão</t>
  </si>
  <si>
    <t>Beira Rio</t>
  </si>
  <si>
    <t>Parnahyba</t>
  </si>
  <si>
    <t>Ceará</t>
  </si>
  <si>
    <t>Verdinho</t>
  </si>
  <si>
    <t xml:space="preserve">Castelão </t>
  </si>
  <si>
    <t xml:space="preserve"> 07/05/2014 - 20:30</t>
  </si>
  <si>
    <t>Chapecoense</t>
  </si>
  <si>
    <t>08/04/2014 - 21:30</t>
  </si>
  <si>
    <t>Arena Condá</t>
  </si>
  <si>
    <t>Tombense</t>
  </si>
  <si>
    <t>Treze</t>
  </si>
  <si>
    <t>Tombos</t>
  </si>
  <si>
    <t>12/03/2014 - 20:30</t>
  </si>
  <si>
    <t>Presidente Vargas</t>
  </si>
  <si>
    <t>Resende</t>
  </si>
  <si>
    <t>Vasco</t>
  </si>
  <si>
    <t>03/04/2014 - 20:30</t>
  </si>
  <si>
    <t>São Januário</t>
  </si>
  <si>
    <t>São Bernardo</t>
  </si>
  <si>
    <t>Paraná</t>
  </si>
  <si>
    <t>Primeiro de Maio</t>
  </si>
  <si>
    <t>20/03/2014 - 19:30</t>
  </si>
  <si>
    <t>Durival Britto</t>
  </si>
  <si>
    <t>10/04/2014 - 19:30</t>
  </si>
  <si>
    <t>Náutico-RR</t>
  </si>
  <si>
    <t>Ponte Preta</t>
  </si>
  <si>
    <t>Ribeirão</t>
  </si>
  <si>
    <t xml:space="preserve">12/03/2014 - 21:30 </t>
  </si>
  <si>
    <t xml:space="preserve">02/04/2014 - 19:30 </t>
  </si>
  <si>
    <t>Moisés Lucarelli</t>
  </si>
  <si>
    <t>Jmalucelli</t>
  </si>
  <si>
    <t>Vitória</t>
  </si>
  <si>
    <t>Ecoestádio</t>
  </si>
  <si>
    <t xml:space="preserve">19/03/2014 - 19:30 </t>
  </si>
  <si>
    <t>Pituaçu</t>
  </si>
  <si>
    <t>16/04/2014 - 19:30</t>
  </si>
  <si>
    <t>Novo Hamburgo</t>
  </si>
  <si>
    <t>Joinville</t>
  </si>
  <si>
    <t>Estádio do Vale</t>
  </si>
  <si>
    <t xml:space="preserve"> 09/04/2014 - 19:30</t>
  </si>
  <si>
    <t>Arena Joinville</t>
  </si>
  <si>
    <t>22/04/2014 - 19:30</t>
  </si>
  <si>
    <t>Desp. Ferroviária</t>
  </si>
  <si>
    <t>ABC</t>
  </si>
  <si>
    <t>Engenheiro Araripe</t>
  </si>
  <si>
    <t xml:space="preserve"> 12/03/2014 - 20:30 </t>
  </si>
  <si>
    <t>Frasqueirão</t>
  </si>
  <si>
    <t>Flamengo-PI</t>
  </si>
  <si>
    <t>Atlético-GO</t>
  </si>
  <si>
    <t>Tibério Nunes</t>
  </si>
  <si>
    <t xml:space="preserve"> Serra Dourada</t>
  </si>
  <si>
    <t xml:space="preserve"> 09/04/2014 - 20:30 </t>
  </si>
  <si>
    <t>Mixto</t>
  </si>
  <si>
    <t>Santos</t>
  </si>
  <si>
    <t>Arena Pantanal</t>
  </si>
  <si>
    <t>02/04/2014 - 22:00</t>
  </si>
  <si>
    <t>Vila Belmiro</t>
  </si>
  <si>
    <t>Princ. do Solimões</t>
  </si>
  <si>
    <t>Brasiliense</t>
  </si>
  <si>
    <t>SESI - Manaus</t>
  </si>
  <si>
    <t xml:space="preserve"> 16/04/2014 - 21:30</t>
  </si>
  <si>
    <t xml:space="preserve"> Boca do Jacaré</t>
  </si>
  <si>
    <t xml:space="preserve"> 23/04/2014 - 20:30</t>
  </si>
  <si>
    <t>Londrina</t>
  </si>
  <si>
    <t>Criciúma</t>
  </si>
  <si>
    <t xml:space="preserve"> 19/03/2014 - 19:30</t>
  </si>
  <si>
    <t>Café</t>
  </si>
  <si>
    <t>Heriberto Hülse</t>
  </si>
  <si>
    <t xml:space="preserve"> 10/04/2014 - 19:30 
</t>
  </si>
  <si>
    <t>Goianésia</t>
  </si>
  <si>
    <t>Barueri</t>
  </si>
  <si>
    <t xml:space="preserve"> Valdeir Oliveira</t>
  </si>
  <si>
    <t>Arena Barueri</t>
  </si>
  <si>
    <t>Interporto</t>
  </si>
  <si>
    <t>Sampaio Corrêa</t>
  </si>
  <si>
    <t xml:space="preserve"> General Sampaio</t>
  </si>
  <si>
    <t xml:space="preserve"> Castelão (MA)</t>
  </si>
  <si>
    <t>Vilhena</t>
  </si>
  <si>
    <t>Palmeiras</t>
  </si>
  <si>
    <t>Portal da Amazônia</t>
  </si>
  <si>
    <t>12/03/2014 - 19:30</t>
  </si>
  <si>
    <t xml:space="preserve">Pacaembu
</t>
  </si>
  <si>
    <t xml:space="preserve">02/04/2014 - 22:00 </t>
  </si>
  <si>
    <t>Paragominas</t>
  </si>
  <si>
    <t>ASA</t>
  </si>
  <si>
    <t xml:space="preserve"> Arena Verde</t>
  </si>
  <si>
    <t>03/04/2014 - 19:00</t>
  </si>
  <si>
    <t>Coaracy Fonseca</t>
  </si>
  <si>
    <t>Naviraiense</t>
  </si>
  <si>
    <t xml:space="preserve"> Avaí</t>
  </si>
  <si>
    <t>Virotão</t>
  </si>
  <si>
    <t>02/04/2014 - 21:50</t>
  </si>
  <si>
    <t>Ressacada</t>
  </si>
  <si>
    <t>Juazeiro</t>
  </si>
  <si>
    <t>Tupi-MG</t>
  </si>
  <si>
    <t>Adauto Moraes</t>
  </si>
  <si>
    <t>Mario Helênio</t>
  </si>
  <si>
    <t>Horizonte</t>
  </si>
  <si>
    <t>Fluminense</t>
  </si>
  <si>
    <t xml:space="preserve">20/03/2014 - 21:50 </t>
  </si>
  <si>
    <t>Domingão</t>
  </si>
  <si>
    <t>Maracanã</t>
  </si>
  <si>
    <t xml:space="preserve"> 10/04/2014 - 19:30 </t>
  </si>
  <si>
    <t>Boavista</t>
  </si>
  <si>
    <t>América-RN</t>
  </si>
  <si>
    <t>Bacaxá</t>
  </si>
  <si>
    <t xml:space="preserve"> 02/04/2014 - 16:00</t>
  </si>
  <si>
    <t xml:space="preserve"> Arena das Dunas</t>
  </si>
  <si>
    <t>Sergipe</t>
  </si>
  <si>
    <t>Náutico</t>
  </si>
  <si>
    <t>Arena Pernambuco</t>
  </si>
  <si>
    <t>Penaltis E1</t>
  </si>
  <si>
    <t>Penaltis E2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</si>
  <si>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</si>
  <si>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</si>
  <si>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</si>
  <si>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</si>
  <si>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</si>
  <si>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</si>
  <si>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</si>
  <si>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</si>
  <si>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</si>
  <si>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</si>
  <si>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</si>
  <si>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</si>
  <si>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</si>
  <si>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</si>
  <si>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</si>
  <si>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</si>
  <si>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</si>
  <si>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</si>
  <si>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</si>
  <si>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</si>
  <si>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</si>
  <si>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</si>
  <si>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</si>
  <si>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</si>
  <si>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</si>
  <si>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</si>
  <si>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</si>
  <si>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</si>
  <si>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</si>
  <si>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</si>
  <si>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</si>
  <si>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</si>
  <si>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</si>
  <si>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</si>
  <si>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</si>
  <si>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</si>
  <si>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</si>
  <si>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</si>
  <si>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</si>
  <si>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</si>
  <si>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</si>
  <si>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</si>
  <si>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</si>
  <si>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</si>
  <si>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</si>
  <si>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</si>
  <si>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</si>
  <si>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</si>
  <si>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</si>
  <si>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</si>
  <si>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</si>
  <si>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</si>
  <si>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</si>
  <si>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</si>
  <si>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</si>
  <si>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</si>
  <si>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</si>
  <si>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J59</t>
  </si>
  <si>
    <t>J58</t>
  </si>
  <si>
    <t>J60</t>
  </si>
  <si>
    <t>14/05/2014 - 22:00</t>
  </si>
  <si>
    <t>07/05/2014 - 22:00</t>
  </si>
  <si>
    <t>14/05/2014 - 19:30</t>
  </si>
  <si>
    <t>03/07/2014 - 19:30</t>
  </si>
  <si>
    <t xml:space="preserve">24/04/2014 - 15:15 </t>
  </si>
  <si>
    <t>01/05/2014 - 19:30</t>
  </si>
  <si>
    <t xml:space="preserve">23/04/2014 -22:00 </t>
  </si>
  <si>
    <t xml:space="preserve"> 07/05/2014 - 22:00</t>
  </si>
  <si>
    <t xml:space="preserve">07/05/2014 - 19:30 </t>
  </si>
  <si>
    <t>30/04/2014 - 19:30</t>
  </si>
  <si>
    <t>07/05/2014 - 19:30</t>
  </si>
  <si>
    <t>15/05/2014 - 19:30</t>
  </si>
  <si>
    <t>24/07/2014 - 19:30</t>
  </si>
  <si>
    <t xml:space="preserve">01/05/2014 - 19:30 </t>
  </si>
  <si>
    <t xml:space="preserve">15/05/2014 - 21:50 </t>
  </si>
  <si>
    <t>23/07/2014 - 19:30</t>
  </si>
  <si>
    <t xml:space="preserve">14/05/2014 - 22:00 </t>
  </si>
  <si>
    <t>22/04/2014 -19:30</t>
  </si>
  <si>
    <t>06/05/2014 - 21:50</t>
  </si>
  <si>
    <t xml:space="preserve">07/05/2014 - 20:30 </t>
  </si>
  <si>
    <t xml:space="preserve"> 14/05/2014 - 20:30 </t>
  </si>
  <si>
    <t>08/05/2014 - 21:50</t>
  </si>
  <si>
    <t>15/05/2014 - 21:50</t>
  </si>
  <si>
    <t>01/05/2014 - 21:50</t>
  </si>
  <si>
    <t xml:space="preserve"> 08/05/2014 - 19:30</t>
  </si>
  <si>
    <t>13/05/2014 - 21:50</t>
  </si>
  <si>
    <t>13/05/2014 - 20:30</t>
  </si>
  <si>
    <t>23/04/2014 -22:00</t>
  </si>
  <si>
    <t xml:space="preserve"> 29/04/2014 - 21:50</t>
  </si>
  <si>
    <t>13/05/2014 - 19:30</t>
  </si>
  <si>
    <t>Data Indefinida</t>
  </si>
  <si>
    <t>Nessa as equipes que disputaram a libertadores entram na competição... E sera realizdo um sorteio para definir os adversarios das equipes na proxima fase. Para fazer seu proprio sorteio coloque os numeros de 1 a 16 nas celulas representada para cada equipe                                                                                                                                                                              OBS : A Equipe 1 Joga com a 16, e assim por diante  - 1 x 16/ 2 x 15 / 3 x 14 / 4 x 13 / 5 x 12 /6 x 11 / 7 x 10 / 8 x 9 /</t>
  </si>
  <si>
    <t>Atlético-PR</t>
  </si>
  <si>
    <t>Botafogo</t>
  </si>
  <si>
    <t>Atlético-MG</t>
  </si>
  <si>
    <t>Cruzeiro</t>
  </si>
  <si>
    <t>Grêmio</t>
  </si>
  <si>
    <t>Flamengo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</si>
  <si>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</si>
  <si>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</si>
  <si>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</si>
  <si>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</si>
  <si>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</si>
  <si>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</si>
  <si>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</si>
  <si>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</si>
  <si>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</si>
  <si>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</si>
  <si>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Sort.</t>
  </si>
  <si>
    <t>Equipe</t>
  </si>
  <si>
    <t>Numeros sorteados</t>
  </si>
  <si>
    <t>Arena da Baixada</t>
  </si>
  <si>
    <t>Mineirão</t>
  </si>
  <si>
    <t>Independencia</t>
  </si>
  <si>
    <t>Arena Do Gremio</t>
  </si>
  <si>
    <t>J71</t>
  </si>
  <si>
    <t>J72</t>
  </si>
  <si>
    <t>J73</t>
  </si>
  <si>
    <t>J74</t>
  </si>
  <si>
    <t>J75</t>
  </si>
  <si>
    <t>J76</t>
  </si>
  <si>
    <t>J77</t>
  </si>
  <si>
    <t>J78</t>
  </si>
  <si>
    <t>Para alterar a ordem dos jogos a partir das quartas de finais, e so digitar "C" na equipe jogara em casa o primeiro jogo</t>
  </si>
  <si>
    <t>J79</t>
  </si>
  <si>
    <t>J80</t>
  </si>
  <si>
    <t>J81</t>
  </si>
  <si>
    <t>J82</t>
  </si>
  <si>
    <t>J83</t>
  </si>
  <si>
    <t>J84</t>
  </si>
  <si>
    <t>COPA DO BRASIL 2014</t>
  </si>
  <si>
    <t>Tabela Copa do Brasil 2014, Uma parceria do Futexcel com Iury D´avila</t>
  </si>
  <si>
    <t>Para começar sua tabela Clique aqui</t>
  </si>
  <si>
    <t>J85</t>
  </si>
  <si>
    <t>J86</t>
  </si>
  <si>
    <t>J0</t>
  </si>
  <si>
    <t>N</t>
  </si>
  <si>
    <t>E1</t>
  </si>
  <si>
    <t>E2</t>
  </si>
  <si>
    <t>*</t>
  </si>
  <si>
    <t>* (Asterisco) = Não foi necessário jogo de volta</t>
  </si>
  <si>
    <t xml:space="preserve">                                                                                                                                                                          Fase Preliminar</t>
  </si>
  <si>
    <t xml:space="preserve">                                                                                                                                                                                1ª Fase</t>
  </si>
  <si>
    <t xml:space="preserve">                                                                                                                                                                                        2ª Fase</t>
  </si>
  <si>
    <t xml:space="preserve">                                                                                                                                                                                          3ª Fase</t>
  </si>
  <si>
    <t xml:space="preserve">                                                                                                                                                                             Oitavas de Finais</t>
  </si>
  <si>
    <t xml:space="preserve">                                                                                                                                                                             Quartas de Finais</t>
  </si>
  <si>
    <t xml:space="preserve">   Semi-Finais</t>
  </si>
  <si>
    <t xml:space="preserve">         FINAL - 3/4 Lugar</t>
  </si>
  <si>
    <t xml:space="preserve">     3/4 Lugar</t>
  </si>
  <si>
    <t xml:space="preserve">           </t>
  </si>
  <si>
    <t>DETALHES</t>
  </si>
  <si>
    <t>Caso a decisão de alguma partida va para as penalidades maxima a equipe que jogou a primeira partida em casa vem primeiro na ordem dos penaltis  - EX : Clique aqui</t>
  </si>
  <si>
    <t>O estadio sera definido automaticamente quando as duas equipes que se enfrentarão forem definidas</t>
  </si>
  <si>
    <t>Estadio Volta</t>
  </si>
  <si>
    <t>Estadio Ida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</si>
</sst>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8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7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2D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4" fillId="6" borderId="15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4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/>
    <xf numFmtId="0" fontId="8" fillId="2" borderId="0" xfId="0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8" fillId="2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/>
    <xf numFmtId="164" fontId="0" fillId="2" borderId="7" xfId="0" applyNumberForma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/>
    <xf numFmtId="164" fontId="8" fillId="2" borderId="7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2" borderId="1" xfId="1" applyFont="1" applyFill="1" applyBorder="1"/>
    <xf numFmtId="0" fontId="0" fillId="5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17" fillId="2" borderId="1" xfId="2" applyFont="1" applyFill="1" applyBorder="1" applyAlignment="1" applyProtection="1">
      <alignment horizontal="center" wrapText="1"/>
    </xf>
    <xf numFmtId="0" fontId="15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</cellXfs>
  <cellStyles count="3">
    <cellStyle name="Cálculo" xfId="1" builtinId="22"/>
    <cellStyle name="Hyperlink" xfId="2" builtinId="8"/>
    <cellStyle name="Normal" xfId="0" builtinId="0"/>
  </cellStyles>
  <dxfs count="2">
    <dxf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0070C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iury.davila.9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futexcel.com.br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76199</xdr:colOff>
      <xdr:row>13</xdr:row>
      <xdr:rowOff>200024</xdr:rowOff>
    </xdr:from>
    <xdr:to>
      <xdr:col>17</xdr:col>
      <xdr:colOff>85724</xdr:colOff>
      <xdr:row>23</xdr:row>
      <xdr:rowOff>123824</xdr:rowOff>
    </xdr:to>
    <xdr:pic>
      <xdr:nvPicPr>
        <xdr:cNvPr id="2" name="Imagem 1" descr="1378624_509683862462038_947912644_n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10599" y="2486024"/>
          <a:ext cx="1838325" cy="183832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14</xdr:row>
      <xdr:rowOff>76200</xdr:rowOff>
    </xdr:from>
    <xdr:to>
      <xdr:col>9</xdr:col>
      <xdr:colOff>485774</xdr:colOff>
      <xdr:row>23</xdr:row>
      <xdr:rowOff>142875</xdr:rowOff>
    </xdr:to>
    <xdr:pic>
      <xdr:nvPicPr>
        <xdr:cNvPr id="3" name="Imagem 2" descr="1800279_1526959010863045_2053874701_n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19550" y="2562225"/>
          <a:ext cx="1952624" cy="1781175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26</xdr:row>
      <xdr:rowOff>142875</xdr:rowOff>
    </xdr:from>
    <xdr:to>
      <xdr:col>3</xdr:col>
      <xdr:colOff>19050</xdr:colOff>
      <xdr:row>32</xdr:row>
      <xdr:rowOff>114300</xdr:rowOff>
    </xdr:to>
    <xdr:sp macro="" textlink="">
      <xdr:nvSpPr>
        <xdr:cNvPr id="11" name="Seta para baixo 10"/>
        <xdr:cNvSpPr/>
      </xdr:nvSpPr>
      <xdr:spPr>
        <a:xfrm>
          <a:off x="1419225" y="5038725"/>
          <a:ext cx="428625" cy="1114425"/>
        </a:xfrm>
        <a:prstGeom prst="downArrow">
          <a:avLst/>
        </a:prstGeom>
        <a:solidFill>
          <a:srgbClr val="0070C0"/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l.dropboxusercontent.com/s/fq2lbdbvgjzskcg/Exemplo.xlsx?dl=1&amp;token_hash=AAF8VXbMivdYVbGILi-sUBV46GaQLHMLwSlXLFDAJlzPJw&amp;expiry=139976724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X26"/>
  <sheetViews>
    <sheetView showGridLines="0" tabSelected="1" topLeftCell="A8" workbookViewId="0">
      <selection activeCell="L17" sqref="L17:M21"/>
    </sheetView>
  </sheetViews>
  <sheetFormatPr defaultRowHeight="15"/>
  <cols>
    <col min="1" max="16384" width="9.140625" style="1"/>
  </cols>
  <sheetData>
    <row r="2" spans="2:24" ht="15" customHeight="1">
      <c r="B2" s="45"/>
      <c r="C2" s="56" t="s">
        <v>353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45"/>
      <c r="U2" s="45"/>
      <c r="V2" s="45"/>
      <c r="W2" s="45"/>
      <c r="X2" s="45"/>
    </row>
    <row r="3" spans="2:24" ht="15" customHeight="1">
      <c r="B3" s="4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45"/>
      <c r="U3" s="45"/>
      <c r="V3" s="45"/>
      <c r="W3" s="45"/>
      <c r="X3" s="45"/>
    </row>
    <row r="4" spans="2:24" ht="15" customHeight="1">
      <c r="B4" s="4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45"/>
      <c r="U4" s="45"/>
      <c r="V4" s="45"/>
      <c r="W4" s="45"/>
      <c r="X4" s="45"/>
    </row>
    <row r="5" spans="2:24" ht="15" customHeight="1">
      <c r="B5" s="4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45"/>
      <c r="U5" s="45"/>
      <c r="V5" s="45"/>
      <c r="W5" s="45"/>
      <c r="X5" s="45"/>
    </row>
    <row r="6" spans="2:24" ht="15" customHeight="1">
      <c r="B6" s="4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45"/>
      <c r="U6" s="45"/>
      <c r="V6" s="45"/>
      <c r="W6" s="45"/>
      <c r="X6" s="45"/>
    </row>
    <row r="7" spans="2:24" ht="15" customHeight="1">
      <c r="B7" s="4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45"/>
      <c r="U7" s="45"/>
      <c r="V7" s="45"/>
      <c r="W7" s="45"/>
      <c r="X7" s="45"/>
    </row>
    <row r="10" spans="2:24" ht="15" customHeight="1">
      <c r="B10" s="55" t="s">
        <v>354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46"/>
      <c r="V10" s="46"/>
      <c r="W10" s="46"/>
    </row>
    <row r="11" spans="2:24" ht="15" customHeight="1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46"/>
      <c r="V11" s="46"/>
      <c r="W11" s="46"/>
    </row>
    <row r="12" spans="2:24" ht="15" customHeight="1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46"/>
      <c r="V12" s="46"/>
      <c r="W12" s="46"/>
    </row>
    <row r="13" spans="2:24" ht="10.5" hidden="1" customHeight="1"/>
    <row r="14" spans="2:24" ht="15.75" customHeight="1">
      <c r="I14" s="66"/>
      <c r="J14" s="66"/>
      <c r="K14" s="66"/>
    </row>
    <row r="16" spans="2:24">
      <c r="C16" s="59" t="s">
        <v>374</v>
      </c>
      <c r="D16" s="60"/>
      <c r="E16" s="61"/>
      <c r="F16" s="43"/>
    </row>
    <row r="17" spans="2:21">
      <c r="B17" s="57" t="s">
        <v>363</v>
      </c>
      <c r="C17" s="58"/>
      <c r="D17" s="58"/>
      <c r="E17" s="58"/>
      <c r="F17" s="58"/>
      <c r="G17" s="11"/>
      <c r="H17" s="43"/>
      <c r="L17" s="65"/>
      <c r="M17" s="65"/>
    </row>
    <row r="18" spans="2:21" ht="15" customHeight="1">
      <c r="B18" s="67" t="s">
        <v>375</v>
      </c>
      <c r="C18" s="67"/>
      <c r="D18" s="67"/>
      <c r="E18" s="67"/>
      <c r="F18" s="67"/>
      <c r="L18" s="65"/>
      <c r="M18" s="65"/>
    </row>
    <row r="19" spans="2:21">
      <c r="B19" s="67"/>
      <c r="C19" s="67"/>
      <c r="D19" s="67"/>
      <c r="E19" s="67"/>
      <c r="F19" s="67"/>
      <c r="L19" s="65"/>
      <c r="M19" s="65"/>
    </row>
    <row r="20" spans="2:21">
      <c r="B20" s="67"/>
      <c r="C20" s="67"/>
      <c r="D20" s="67"/>
      <c r="E20" s="67"/>
      <c r="F20" s="67"/>
      <c r="L20" s="65"/>
      <c r="M20" s="65"/>
    </row>
    <row r="21" spans="2:21">
      <c r="B21" s="67"/>
      <c r="C21" s="67"/>
      <c r="D21" s="67"/>
      <c r="E21" s="67"/>
      <c r="F21" s="67"/>
      <c r="L21" s="65"/>
      <c r="M21" s="65"/>
    </row>
    <row r="22" spans="2:21" ht="15" customHeight="1">
      <c r="B22" s="68" t="s">
        <v>376</v>
      </c>
      <c r="C22" s="68"/>
      <c r="D22" s="68"/>
      <c r="E22" s="68"/>
      <c r="F22" s="68"/>
    </row>
    <row r="23" spans="2:21">
      <c r="B23" s="68"/>
      <c r="C23" s="68"/>
      <c r="D23" s="68"/>
      <c r="E23" s="68"/>
      <c r="F23" s="68"/>
    </row>
    <row r="24" spans="2:21">
      <c r="B24" s="68"/>
      <c r="C24" s="68"/>
      <c r="D24" s="68"/>
      <c r="E24" s="68"/>
      <c r="F24" s="68"/>
    </row>
    <row r="26" spans="2:21">
      <c r="C26" s="62" t="s">
        <v>355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4"/>
      <c r="U26" s="11"/>
    </row>
  </sheetData>
  <sheetProtection password="8417" sheet="1" objects="1" scenarios="1" selectLockedCells="1"/>
  <mergeCells count="9">
    <mergeCell ref="B10:T12"/>
    <mergeCell ref="C2:S7"/>
    <mergeCell ref="B17:F17"/>
    <mergeCell ref="C16:E16"/>
    <mergeCell ref="C26:T26"/>
    <mergeCell ref="L17:M21"/>
    <mergeCell ref="I14:K14"/>
    <mergeCell ref="B18:F21"/>
    <mergeCell ref="B22:F24"/>
  </mergeCells>
  <hyperlinks>
    <hyperlink ref="B18:F21" r:id="rId1" display="Caso a decisão de alguma partida va para as penalidades maxima a equipe que jogou a primeira partida em casa vem primeiro na ordem dos penaltis  - EX : Clique aqui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N229"/>
  <sheetViews>
    <sheetView showGridLines="0" topLeftCell="B1" zoomScale="86" zoomScaleNormal="86" workbookViewId="0">
      <pane ySplit="6" topLeftCell="A7" activePane="bottomLeft" state="frozen"/>
      <selection pane="bottomLeft" activeCell="H113" sqref="H113"/>
    </sheetView>
  </sheetViews>
  <sheetFormatPr defaultRowHeight="15"/>
  <cols>
    <col min="1" max="1" width="4" style="1" customWidth="1"/>
    <col min="2" max="2" width="4" style="8" customWidth="1"/>
    <col min="3" max="3" width="3.28515625" style="1" hidden="1" customWidth="1"/>
    <col min="4" max="7" width="9.140625" style="1"/>
    <col min="8" max="8" width="6.42578125" style="1" customWidth="1"/>
    <col min="9" max="9" width="2.85546875" style="1" customWidth="1"/>
    <col min="10" max="10" width="6.42578125" style="1" customWidth="1"/>
    <col min="11" max="12" width="9.140625" style="1"/>
    <col min="13" max="13" width="10.140625" style="49" customWidth="1"/>
    <col min="14" max="14" width="9.5703125" style="53" customWidth="1"/>
    <col min="15" max="15" width="8.28515625" style="27" hidden="1" customWidth="1"/>
    <col min="16" max="16" width="7.7109375" style="27" hidden="1" customWidth="1"/>
    <col min="17" max="17" width="9.140625" style="27" hidden="1" customWidth="1"/>
    <col min="18" max="18" width="4" style="27" customWidth="1"/>
    <col min="19" max="19" width="9.140625" style="27"/>
    <col min="20" max="20" width="9.140625" style="15"/>
    <col min="21" max="22" width="9.140625" style="1"/>
    <col min="23" max="23" width="6.42578125" style="1" customWidth="1"/>
    <col min="24" max="24" width="2.5703125" style="1" customWidth="1"/>
    <col min="25" max="25" width="6.42578125" style="1" customWidth="1"/>
    <col min="26" max="28" width="9.140625" style="1"/>
    <col min="29" max="29" width="11" style="1" customWidth="1"/>
    <col min="30" max="30" width="3" style="1" customWidth="1"/>
    <col min="31" max="32" width="9.140625" style="1" hidden="1" customWidth="1"/>
    <col min="33" max="33" width="9.140625" style="1"/>
    <col min="34" max="34" width="2.42578125" style="1" customWidth="1"/>
    <col min="35" max="35" width="9.140625" style="1"/>
    <col min="36" max="36" width="2.42578125" style="1" customWidth="1"/>
    <col min="37" max="38" width="9.140625" style="16" customWidth="1"/>
    <col min="39" max="39" width="9.140625" style="16"/>
    <col min="40" max="40" width="14.7109375" style="10" bestFit="1" customWidth="1"/>
    <col min="41" max="16384" width="9.140625" style="1"/>
  </cols>
  <sheetData>
    <row r="1" spans="2:40" ht="15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2:40" ht="15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2:40" ht="15" customHeigh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2:40" ht="15" customHeight="1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2:40">
      <c r="B6" s="42" t="s">
        <v>359</v>
      </c>
      <c r="C6" s="11"/>
      <c r="D6" s="72" t="s">
        <v>378</v>
      </c>
      <c r="E6" s="72"/>
      <c r="F6" s="72" t="s">
        <v>360</v>
      </c>
      <c r="G6" s="72"/>
      <c r="H6" s="5" t="s">
        <v>3</v>
      </c>
      <c r="I6" s="5" t="s">
        <v>2</v>
      </c>
      <c r="J6" s="5" t="s">
        <v>4</v>
      </c>
      <c r="K6" s="72" t="s">
        <v>361</v>
      </c>
      <c r="L6" s="72"/>
      <c r="M6" s="119" t="s">
        <v>5</v>
      </c>
      <c r="N6" s="119"/>
      <c r="O6" s="41"/>
      <c r="P6" s="41"/>
      <c r="Q6" s="41"/>
      <c r="S6" s="72" t="s">
        <v>377</v>
      </c>
      <c r="T6" s="72"/>
      <c r="U6" s="72" t="s">
        <v>361</v>
      </c>
      <c r="V6" s="72"/>
      <c r="W6" s="7" t="s">
        <v>4</v>
      </c>
      <c r="X6" s="5" t="s">
        <v>2</v>
      </c>
      <c r="Y6" s="7" t="s">
        <v>3</v>
      </c>
      <c r="Z6" s="72" t="s">
        <v>360</v>
      </c>
      <c r="AA6" s="72"/>
      <c r="AB6" s="72" t="s">
        <v>6</v>
      </c>
      <c r="AC6" s="72"/>
      <c r="AG6" s="72" t="s">
        <v>221</v>
      </c>
      <c r="AH6" s="72"/>
      <c r="AI6" s="72" t="s">
        <v>222</v>
      </c>
      <c r="AJ6" s="72"/>
    </row>
    <row r="8" spans="2:40">
      <c r="D8" s="129" t="s">
        <v>364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1"/>
    </row>
    <row r="9" spans="2:40" s="4" customFormat="1" ht="15" customHeight="1">
      <c r="B9" s="18"/>
      <c r="D9" s="6"/>
      <c r="E9" s="6"/>
      <c r="F9" s="6"/>
      <c r="G9" s="6"/>
      <c r="H9" s="6"/>
      <c r="I9" s="6"/>
      <c r="J9" s="6"/>
      <c r="K9" s="6"/>
      <c r="L9" s="6"/>
      <c r="M9" s="48"/>
      <c r="N9" s="52"/>
      <c r="O9" s="41"/>
      <c r="P9" s="41"/>
      <c r="Q9" s="41"/>
      <c r="R9" s="28"/>
      <c r="S9" s="41"/>
      <c r="T9" s="47"/>
      <c r="U9" s="6"/>
      <c r="V9" s="6"/>
      <c r="W9" s="6"/>
      <c r="X9" s="6"/>
      <c r="Y9" s="6"/>
      <c r="Z9" s="6"/>
      <c r="AA9" s="6"/>
      <c r="AB9" s="6"/>
      <c r="AC9" s="6"/>
      <c r="AE9" s="1"/>
      <c r="AF9" s="1"/>
      <c r="AK9" s="19"/>
      <c r="AL9" s="19"/>
      <c r="AM9" s="19"/>
      <c r="AN9" s="11"/>
    </row>
    <row r="10" spans="2:40" ht="15" customHeight="1">
      <c r="B10" s="24" t="s">
        <v>358</v>
      </c>
      <c r="D10" s="78" t="s">
        <v>9</v>
      </c>
      <c r="E10" s="78"/>
      <c r="F10" s="78" t="s">
        <v>7</v>
      </c>
      <c r="G10" s="78"/>
      <c r="H10" s="35">
        <v>1</v>
      </c>
      <c r="I10" s="3" t="s">
        <v>2</v>
      </c>
      <c r="J10" s="35">
        <v>1</v>
      </c>
      <c r="K10" s="78" t="s">
        <v>8</v>
      </c>
      <c r="L10" s="78"/>
      <c r="M10" s="116" t="s">
        <v>10</v>
      </c>
      <c r="N10" s="116"/>
      <c r="O10" s="41" t="str">
        <f>IF(AND(H10=0,J10&gt;=2),K10,IF(AND(H10=1,J10&gt;=3),K10,IF(AND(H10=2,J10&gt;=4),K10,IF(AND(H10=3,J10&gt;=5),K10,IF(AND(H10=4,J10&gt;=6),K10,IF(AND(H10=5,J10&gt;=7),K10,IF(AND(H10=6,J10&gt;=8),K10,IF(AND(H10=7,J10&gt;=9),K10,IF(AND(H10=8,J10&gt;=10),K10,"")))))))))</f>
        <v/>
      </c>
      <c r="P10" s="41"/>
      <c r="Q10" s="41" t="b">
        <f>IF(SUM(H10,Y10)=SUM(J10,W10),IF(J10&gt;Y10,K10,IF(Y10&gt;J10,F10)))</f>
        <v>0</v>
      </c>
      <c r="S10" s="95" t="s">
        <v>11</v>
      </c>
      <c r="T10" s="95"/>
      <c r="U10" s="78" t="str">
        <f>K10</f>
        <v>Rio Branco-AC</v>
      </c>
      <c r="V10" s="78"/>
      <c r="W10" s="35">
        <v>1</v>
      </c>
      <c r="X10" s="2" t="s">
        <v>1</v>
      </c>
      <c r="Y10" s="35">
        <v>0</v>
      </c>
      <c r="Z10" s="78" t="str">
        <f>F10</f>
        <v>Real Noroeste</v>
      </c>
      <c r="AA10" s="78"/>
      <c r="AB10" s="78" t="s">
        <v>12</v>
      </c>
      <c r="AC10" s="78"/>
      <c r="AG10" s="84"/>
      <c r="AH10" s="84"/>
      <c r="AI10" s="84"/>
      <c r="AJ10" s="84"/>
    </row>
    <row r="11" spans="2:40">
      <c r="AG11" s="75"/>
      <c r="AH11" s="75"/>
      <c r="AI11" s="75"/>
      <c r="AJ11" s="75"/>
    </row>
    <row r="12" spans="2:40">
      <c r="D12" s="126" t="s">
        <v>365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8"/>
    </row>
    <row r="13" spans="2:40">
      <c r="AG13" s="75"/>
      <c r="AH13" s="75"/>
      <c r="AI13" s="75"/>
      <c r="AJ13" s="75"/>
      <c r="AN13" s="9"/>
    </row>
    <row r="14" spans="2:40">
      <c r="B14" s="24" t="s">
        <v>223</v>
      </c>
      <c r="D14" s="78" t="s">
        <v>16</v>
      </c>
      <c r="E14" s="78"/>
      <c r="F14" s="95" t="s">
        <v>13</v>
      </c>
      <c r="G14" s="95"/>
      <c r="H14" s="36">
        <v>2</v>
      </c>
      <c r="I14" s="21" t="s">
        <v>2</v>
      </c>
      <c r="J14" s="36">
        <v>2</v>
      </c>
      <c r="K14" s="95" t="s">
        <v>14</v>
      </c>
      <c r="L14" s="95"/>
      <c r="M14" s="116" t="s">
        <v>15</v>
      </c>
      <c r="N14" s="116"/>
      <c r="O14" s="41" t="str">
        <f>IF(H14="","",IF(AND(H14=0,J14&gt;=2),K14,IF(AND(H14=1,J14&gt;=3),K14,IF(AND(H14=2,J14&gt;=4),K14,IF(AND(H14=3,J14&gt;=5),K14,IF(AND(H14=4,J14&gt;=6),K14,IF(AND(H14=5,J14&gt;=7),K14,IF(AND(H14=6,J14&gt;=8),K14,IF(AND(H14=7,J14&gt;=9),K14,IF(AND(H14=8,J14&gt;=10),K14,""))))))))))</f>
        <v/>
      </c>
      <c r="P14" s="41" t="str">
        <f>IF(OR(H15="",J15="",W15="",Y15="",Y14&gt;="0"),F56,"")</f>
        <v/>
      </c>
      <c r="Q14" s="41" t="b">
        <f>IF(SUM(H14,Y14)=SUM(J14,W14),IF(J14&gt;Y14,K14,IF(Y14&gt;J14,F14)))</f>
        <v>0</v>
      </c>
      <c r="S14" s="95" t="s">
        <v>17</v>
      </c>
      <c r="T14" s="95"/>
      <c r="U14" s="78" t="str">
        <f t="shared" ref="U14:U37" si="0">K14</f>
        <v>Nacional-AM</v>
      </c>
      <c r="V14" s="78"/>
      <c r="W14" s="35">
        <v>2</v>
      </c>
      <c r="X14" s="3" t="s">
        <v>2</v>
      </c>
      <c r="Y14" s="35">
        <v>1</v>
      </c>
      <c r="Z14" s="78" t="str">
        <f t="shared" ref="Z14:Z37" si="1">F14</f>
        <v>São Luiz</v>
      </c>
      <c r="AA14" s="78"/>
      <c r="AB14" s="78" t="s">
        <v>18</v>
      </c>
      <c r="AC14" s="78"/>
      <c r="AG14" s="84"/>
      <c r="AH14" s="84"/>
      <c r="AI14" s="84"/>
      <c r="AJ14" s="84"/>
    </row>
    <row r="15" spans="2:40">
      <c r="B15" s="24" t="s">
        <v>224</v>
      </c>
      <c r="D15" s="78" t="s">
        <v>21</v>
      </c>
      <c r="E15" s="78"/>
      <c r="F15" s="95" t="s">
        <v>19</v>
      </c>
      <c r="G15" s="95"/>
      <c r="H15" s="36">
        <v>0</v>
      </c>
      <c r="I15" s="21" t="s">
        <v>2</v>
      </c>
      <c r="J15" s="36">
        <v>2</v>
      </c>
      <c r="K15" s="95" t="s">
        <v>20</v>
      </c>
      <c r="L15" s="95"/>
      <c r="M15" s="116" t="s">
        <v>22</v>
      </c>
      <c r="N15" s="116"/>
      <c r="O15" s="41" t="str">
        <f>IF(H15="","",IF(AND(H15=0,J15&gt;=2),K15,IF(AND(H15=1,J15&gt;=3),K15,IF(AND(H15=2,J15&gt;=4),K15,IF(AND(H15=3,J15&gt;=5),K15,IF(AND(H15=4,J15&gt;=6),K15,IF(AND(H15=5,J15&gt;=7),K15,IF(AND(H15=6,J15&gt;=8),K15,IF(AND(H15=7,J15&gt;=9),K15,IF(AND(H15=8,J15&gt;=10),K15,""))))))))))</f>
        <v>Corinthians</v>
      </c>
      <c r="P15" s="41" t="str">
        <f>IF(OR(H14="",J14="",W14="",Y14="",Y15&gt;="0"),K56,"")</f>
        <v/>
      </c>
      <c r="Q15" s="41" t="b">
        <f t="shared" ref="Q15:Q52" si="2">IF(SUM(H15,Y15)=SUM(J15,W15),IF(J15&gt;Y15,K15,IF(Y15&gt;J15,F15)))</f>
        <v>0</v>
      </c>
      <c r="S15" s="95" t="s">
        <v>24</v>
      </c>
      <c r="T15" s="95"/>
      <c r="U15" s="78" t="str">
        <f t="shared" si="0"/>
        <v>Corinthians</v>
      </c>
      <c r="V15" s="78"/>
      <c r="W15" s="44" t="s">
        <v>362</v>
      </c>
      <c r="X15" s="3" t="s">
        <v>2</v>
      </c>
      <c r="Y15" s="44" t="s">
        <v>362</v>
      </c>
      <c r="Z15" s="78" t="str">
        <f t="shared" si="1"/>
        <v>Bahia de Feira</v>
      </c>
      <c r="AA15" s="78"/>
      <c r="AB15" s="78" t="s">
        <v>23</v>
      </c>
      <c r="AC15" s="78"/>
      <c r="AG15" s="70"/>
      <c r="AH15" s="71"/>
      <c r="AI15" s="122"/>
      <c r="AJ15" s="122"/>
    </row>
    <row r="16" spans="2:40">
      <c r="B16" s="24" t="s">
        <v>225</v>
      </c>
      <c r="D16" s="78" t="s">
        <v>27</v>
      </c>
      <c r="E16" s="78"/>
      <c r="F16" s="95" t="s">
        <v>25</v>
      </c>
      <c r="G16" s="95"/>
      <c r="H16" s="36">
        <v>1</v>
      </c>
      <c r="I16" s="21" t="s">
        <v>2</v>
      </c>
      <c r="J16" s="36">
        <v>1</v>
      </c>
      <c r="K16" s="95" t="s">
        <v>26</v>
      </c>
      <c r="L16" s="95"/>
      <c r="M16" s="116" t="s">
        <v>22</v>
      </c>
      <c r="N16" s="116"/>
      <c r="O16" s="41" t="str">
        <f t="shared" ref="O16:O51" si="3">IF(H16="","",IF(AND(H16=0,J16&gt;=2),K16,IF(AND(H16=1,J16&gt;=3),K16,IF(AND(H16=2,J16&gt;=4),K16,IF(AND(H16=3,J16&gt;=5),K16,IF(AND(H16=4,J16&gt;=6),K16,IF(AND(H16=5,J16&gt;=7),K16,IF(AND(H16=6,J16&gt;=8),K16,IF(AND(H16=7,J16&gt;=9),K16,IF(AND(H16=8,J16&gt;=10),K16,""))))))))))</f>
        <v/>
      </c>
      <c r="P16" s="41" t="str">
        <f>IF(OR(H17="",J17="",W17="",Y17="",Y16&gt;="0"),F59,"")</f>
        <v/>
      </c>
      <c r="Q16" s="41" t="b">
        <f t="shared" si="2"/>
        <v>0</v>
      </c>
      <c r="S16" s="95" t="s">
        <v>28</v>
      </c>
      <c r="T16" s="95"/>
      <c r="U16" s="78" t="str">
        <f t="shared" si="0"/>
        <v>Bahia</v>
      </c>
      <c r="V16" s="78"/>
      <c r="W16" s="35">
        <v>2</v>
      </c>
      <c r="X16" s="3" t="s">
        <v>2</v>
      </c>
      <c r="Y16" s="35">
        <v>0</v>
      </c>
      <c r="Z16" s="78" t="str">
        <f t="shared" si="1"/>
        <v>Villa Nova-MG</v>
      </c>
      <c r="AA16" s="78"/>
      <c r="AB16" s="78" t="s">
        <v>29</v>
      </c>
      <c r="AC16" s="78"/>
      <c r="AG16" s="70"/>
      <c r="AH16" s="71"/>
      <c r="AI16" s="84"/>
      <c r="AJ16" s="84"/>
    </row>
    <row r="17" spans="2:36">
      <c r="B17" s="24" t="s">
        <v>226</v>
      </c>
      <c r="D17" s="78" t="s">
        <v>32</v>
      </c>
      <c r="E17" s="78"/>
      <c r="F17" s="95" t="s">
        <v>30</v>
      </c>
      <c r="G17" s="95"/>
      <c r="H17" s="36">
        <v>0</v>
      </c>
      <c r="I17" s="21" t="s">
        <v>2</v>
      </c>
      <c r="J17" s="36">
        <v>3</v>
      </c>
      <c r="K17" s="95" t="s">
        <v>31</v>
      </c>
      <c r="L17" s="95"/>
      <c r="M17" s="116" t="s">
        <v>33</v>
      </c>
      <c r="N17" s="116"/>
      <c r="O17" s="41" t="str">
        <f t="shared" si="3"/>
        <v>América-MG</v>
      </c>
      <c r="P17" s="41" t="str">
        <f>IF(OR(H16="",J16="",W16="",Y16="",Y17&gt;="0"),K59,"")</f>
        <v/>
      </c>
      <c r="Q17" s="41" t="b">
        <f t="shared" si="2"/>
        <v>0</v>
      </c>
      <c r="S17" s="95" t="s">
        <v>35</v>
      </c>
      <c r="T17" s="95"/>
      <c r="U17" s="78" t="str">
        <f t="shared" si="0"/>
        <v>América-MG</v>
      </c>
      <c r="V17" s="78"/>
      <c r="W17" s="44" t="s">
        <v>362</v>
      </c>
      <c r="X17" s="3" t="s">
        <v>2</v>
      </c>
      <c r="Y17" s="44" t="s">
        <v>362</v>
      </c>
      <c r="Z17" s="78" t="str">
        <f t="shared" si="1"/>
        <v>Santos-AP</v>
      </c>
      <c r="AA17" s="78"/>
      <c r="AB17" s="78" t="s">
        <v>34</v>
      </c>
      <c r="AC17" s="78"/>
      <c r="AG17" s="70"/>
      <c r="AH17" s="71"/>
      <c r="AI17" s="84"/>
      <c r="AJ17" s="84"/>
    </row>
    <row r="18" spans="2:36">
      <c r="B18" s="24" t="s">
        <v>227</v>
      </c>
      <c r="D18" s="78" t="s">
        <v>38</v>
      </c>
      <c r="E18" s="78"/>
      <c r="F18" s="95" t="s">
        <v>36</v>
      </c>
      <c r="G18" s="95"/>
      <c r="H18" s="36">
        <v>2</v>
      </c>
      <c r="I18" s="17" t="s">
        <v>2</v>
      </c>
      <c r="J18" s="36">
        <v>0</v>
      </c>
      <c r="K18" s="95" t="s">
        <v>37</v>
      </c>
      <c r="L18" s="95"/>
      <c r="M18" s="116" t="s">
        <v>39</v>
      </c>
      <c r="N18" s="116"/>
      <c r="O18" s="41" t="str">
        <f t="shared" si="3"/>
        <v/>
      </c>
      <c r="P18" s="41" t="str">
        <f>IF(OR(H19="",J19="",W19="",Y19="",Y18&gt;="0"),F61,"")</f>
        <v/>
      </c>
      <c r="Q18" s="41" t="b">
        <f t="shared" si="2"/>
        <v>0</v>
      </c>
      <c r="S18" s="95" t="s">
        <v>40</v>
      </c>
      <c r="T18" s="95"/>
      <c r="U18" s="78" t="str">
        <f t="shared" si="0"/>
        <v>Goiás</v>
      </c>
      <c r="V18" s="78"/>
      <c r="W18" s="35">
        <v>0</v>
      </c>
      <c r="X18" s="3" t="s">
        <v>2</v>
      </c>
      <c r="Y18" s="35">
        <v>0</v>
      </c>
      <c r="Z18" s="78" t="str">
        <f t="shared" si="1"/>
        <v>Botafogo-PB</v>
      </c>
      <c r="AA18" s="78"/>
      <c r="AB18" s="78" t="s">
        <v>41</v>
      </c>
      <c r="AC18" s="78"/>
      <c r="AG18" s="70"/>
      <c r="AH18" s="71"/>
      <c r="AI18" s="84"/>
      <c r="AJ18" s="84"/>
    </row>
    <row r="19" spans="2:36">
      <c r="B19" s="24" t="s">
        <v>228</v>
      </c>
      <c r="D19" s="78" t="s">
        <v>44</v>
      </c>
      <c r="E19" s="78"/>
      <c r="F19" s="95" t="s">
        <v>42</v>
      </c>
      <c r="G19" s="95"/>
      <c r="H19" s="36">
        <v>0</v>
      </c>
      <c r="I19" s="17" t="s">
        <v>2</v>
      </c>
      <c r="J19" s="36">
        <v>1</v>
      </c>
      <c r="K19" s="95" t="s">
        <v>43</v>
      </c>
      <c r="L19" s="95"/>
      <c r="M19" s="116" t="s">
        <v>45</v>
      </c>
      <c r="N19" s="116"/>
      <c r="O19" s="41" t="str">
        <f t="shared" si="3"/>
        <v/>
      </c>
      <c r="P19" s="41" t="str">
        <f>IF(OR(H18="",J18="",W18="",Y18="",Y19&gt;="0"),K61,"")</f>
        <v/>
      </c>
      <c r="Q19" s="41" t="b">
        <f t="shared" si="2"/>
        <v>0</v>
      </c>
      <c r="S19" s="95" t="s">
        <v>46</v>
      </c>
      <c r="T19" s="95"/>
      <c r="U19" s="78" t="str">
        <f t="shared" si="0"/>
        <v>Santa Cruz</v>
      </c>
      <c r="V19" s="78"/>
      <c r="W19" s="35">
        <v>3</v>
      </c>
      <c r="X19" s="3" t="s">
        <v>2</v>
      </c>
      <c r="Y19" s="35">
        <v>1</v>
      </c>
      <c r="Z19" s="78" t="str">
        <f t="shared" si="1"/>
        <v>Lagarto</v>
      </c>
      <c r="AA19" s="78"/>
      <c r="AB19" s="78" t="s">
        <v>47</v>
      </c>
      <c r="AC19" s="78"/>
      <c r="AG19" s="70"/>
      <c r="AH19" s="71"/>
      <c r="AI19" s="84"/>
      <c r="AJ19" s="84"/>
    </row>
    <row r="20" spans="2:36">
      <c r="B20" s="24" t="s">
        <v>229</v>
      </c>
      <c r="D20" s="78" t="s">
        <v>50</v>
      </c>
      <c r="E20" s="78"/>
      <c r="F20" s="95" t="s">
        <v>48</v>
      </c>
      <c r="G20" s="95"/>
      <c r="H20" s="36">
        <v>0</v>
      </c>
      <c r="I20" s="17" t="s">
        <v>2</v>
      </c>
      <c r="J20" s="36">
        <v>0</v>
      </c>
      <c r="K20" s="95" t="s">
        <v>49</v>
      </c>
      <c r="L20" s="95"/>
      <c r="M20" s="116" t="s">
        <v>51</v>
      </c>
      <c r="N20" s="116"/>
      <c r="O20" s="41" t="str">
        <f t="shared" si="3"/>
        <v/>
      </c>
      <c r="P20" s="41" t="str">
        <f>IF(OR(H21="",J21="",W21="",Y21="",Y20&gt;="0"),F63,"")</f>
        <v/>
      </c>
      <c r="Q20" s="41" t="b">
        <f t="shared" si="2"/>
        <v>0</v>
      </c>
      <c r="S20" s="95" t="s">
        <v>52</v>
      </c>
      <c r="T20" s="95"/>
      <c r="U20" s="78" t="str">
        <f t="shared" si="0"/>
        <v>Guarani</v>
      </c>
      <c r="V20" s="78"/>
      <c r="W20" s="35">
        <v>1</v>
      </c>
      <c r="X20" s="3" t="s">
        <v>2</v>
      </c>
      <c r="Y20" s="35">
        <v>2</v>
      </c>
      <c r="Z20" s="78" t="str">
        <f t="shared" si="1"/>
        <v>Santa Rita</v>
      </c>
      <c r="AA20" s="78"/>
      <c r="AB20" s="78" t="s">
        <v>53</v>
      </c>
      <c r="AC20" s="78"/>
      <c r="AG20" s="70"/>
      <c r="AH20" s="71"/>
      <c r="AI20" s="84"/>
      <c r="AJ20" s="84"/>
    </row>
    <row r="21" spans="2:36">
      <c r="B21" s="24" t="s">
        <v>230</v>
      </c>
      <c r="D21" s="78" t="s">
        <v>56</v>
      </c>
      <c r="E21" s="78"/>
      <c r="F21" s="95" t="s">
        <v>54</v>
      </c>
      <c r="G21" s="95"/>
      <c r="H21" s="36">
        <v>1</v>
      </c>
      <c r="I21" s="17" t="s">
        <v>2</v>
      </c>
      <c r="J21" s="36">
        <v>0</v>
      </c>
      <c r="K21" s="95" t="s">
        <v>55</v>
      </c>
      <c r="L21" s="95"/>
      <c r="M21" s="116" t="s">
        <v>57</v>
      </c>
      <c r="N21" s="116"/>
      <c r="O21" s="41" t="str">
        <f t="shared" si="3"/>
        <v/>
      </c>
      <c r="P21" s="41" t="str">
        <f>IF(OR(H20="",J20="",W20="",Y20="",Y21&gt;="0"),K63,"")</f>
        <v/>
      </c>
      <c r="Q21" s="41" t="str">
        <f t="shared" si="2"/>
        <v>Potigu. de Mossoró</v>
      </c>
      <c r="S21" s="95" t="s">
        <v>58</v>
      </c>
      <c r="T21" s="95"/>
      <c r="U21" s="78" t="str">
        <f t="shared" si="0"/>
        <v>Portuguesa</v>
      </c>
      <c r="V21" s="78"/>
      <c r="W21" s="35">
        <v>2</v>
      </c>
      <c r="X21" s="3" t="s">
        <v>2</v>
      </c>
      <c r="Y21" s="35">
        <v>1</v>
      </c>
      <c r="Z21" s="78" t="str">
        <f t="shared" si="1"/>
        <v>Potigu. de Mossoró</v>
      </c>
      <c r="AA21" s="78"/>
      <c r="AB21" s="78" t="s">
        <v>59</v>
      </c>
      <c r="AC21" s="78"/>
      <c r="AG21" s="70"/>
      <c r="AH21" s="71"/>
      <c r="AI21" s="84"/>
      <c r="AJ21" s="84"/>
    </row>
    <row r="22" spans="2:36">
      <c r="B22" s="24" t="s">
        <v>231</v>
      </c>
      <c r="D22" s="78" t="s">
        <v>62</v>
      </c>
      <c r="E22" s="78"/>
      <c r="F22" s="95" t="s">
        <v>60</v>
      </c>
      <c r="G22" s="95"/>
      <c r="H22" s="36">
        <v>2</v>
      </c>
      <c r="I22" s="17" t="s">
        <v>2</v>
      </c>
      <c r="J22" s="36">
        <v>2</v>
      </c>
      <c r="K22" s="95" t="s">
        <v>61</v>
      </c>
      <c r="L22" s="95"/>
      <c r="M22" s="116" t="s">
        <v>63</v>
      </c>
      <c r="N22" s="116"/>
      <c r="O22" s="41" t="str">
        <f t="shared" si="3"/>
        <v/>
      </c>
      <c r="P22" s="41" t="str">
        <f t="shared" ref="P22" si="4">IF(OR(H23="",J23="",W23="",Y23="",Y22&gt;="0"),F65,"")</f>
        <v/>
      </c>
      <c r="Q22" s="41" t="b">
        <f t="shared" si="2"/>
        <v>0</v>
      </c>
      <c r="S22" s="95" t="s">
        <v>64</v>
      </c>
      <c r="T22" s="95"/>
      <c r="U22" s="78" t="str">
        <f t="shared" si="0"/>
        <v>CRB</v>
      </c>
      <c r="V22" s="78"/>
      <c r="W22" s="35">
        <v>2</v>
      </c>
      <c r="X22" s="3" t="s">
        <v>2</v>
      </c>
      <c r="Y22" s="35">
        <v>0</v>
      </c>
      <c r="Z22" s="78" t="str">
        <f t="shared" si="1"/>
        <v>Rondonópolis</v>
      </c>
      <c r="AA22" s="78"/>
      <c r="AB22" s="78" t="s">
        <v>34</v>
      </c>
      <c r="AC22" s="78"/>
      <c r="AG22" s="70"/>
      <c r="AH22" s="71"/>
      <c r="AI22" s="84"/>
      <c r="AJ22" s="84"/>
    </row>
    <row r="23" spans="2:36">
      <c r="B23" s="24" t="s">
        <v>232</v>
      </c>
      <c r="D23" s="78" t="s">
        <v>64</v>
      </c>
      <c r="E23" s="78"/>
      <c r="F23" s="95" t="s">
        <v>65</v>
      </c>
      <c r="G23" s="95"/>
      <c r="H23" s="36">
        <v>0</v>
      </c>
      <c r="I23" s="17" t="s">
        <v>2</v>
      </c>
      <c r="J23" s="36">
        <v>1</v>
      </c>
      <c r="K23" s="95" t="s">
        <v>66</v>
      </c>
      <c r="L23" s="95"/>
      <c r="M23" s="116" t="s">
        <v>67</v>
      </c>
      <c r="N23" s="116"/>
      <c r="O23" s="41" t="str">
        <f t="shared" si="3"/>
        <v/>
      </c>
      <c r="P23" s="41" t="str">
        <f>IF(OR(H22="",J22="",W22="",Y22="",Y23&gt;="0"),K65,"")</f>
        <v/>
      </c>
      <c r="Q23" s="41" t="b">
        <f t="shared" si="2"/>
        <v>0</v>
      </c>
      <c r="S23" s="95" t="s">
        <v>68</v>
      </c>
      <c r="T23" s="95"/>
      <c r="U23" s="78" t="str">
        <f t="shared" si="0"/>
        <v>São Paulo</v>
      </c>
      <c r="V23" s="78"/>
      <c r="W23" s="35">
        <v>3</v>
      </c>
      <c r="X23" s="3" t="s">
        <v>2</v>
      </c>
      <c r="Y23" s="35">
        <v>0</v>
      </c>
      <c r="Z23" s="78" t="str">
        <f t="shared" si="1"/>
        <v>CSA</v>
      </c>
      <c r="AA23" s="78"/>
      <c r="AB23" s="78" t="s">
        <v>69</v>
      </c>
      <c r="AC23" s="78"/>
      <c r="AG23" s="70"/>
      <c r="AH23" s="71"/>
      <c r="AI23" s="84"/>
      <c r="AJ23" s="84"/>
    </row>
    <row r="24" spans="2:36">
      <c r="B24" s="24" t="s">
        <v>233</v>
      </c>
      <c r="D24" s="78" t="s">
        <v>72</v>
      </c>
      <c r="E24" s="78"/>
      <c r="F24" s="95" t="s">
        <v>70</v>
      </c>
      <c r="G24" s="95"/>
      <c r="H24" s="36">
        <v>0</v>
      </c>
      <c r="I24" s="17" t="s">
        <v>2</v>
      </c>
      <c r="J24" s="36">
        <v>0</v>
      </c>
      <c r="K24" s="95" t="s">
        <v>71</v>
      </c>
      <c r="L24" s="95"/>
      <c r="M24" s="116" t="s">
        <v>74</v>
      </c>
      <c r="N24" s="116"/>
      <c r="O24" s="41" t="str">
        <f t="shared" si="3"/>
        <v/>
      </c>
      <c r="P24" s="41" t="str">
        <f t="shared" ref="P24" si="5">IF(OR(H25="",J25="",W25="",Y25="",Y24&gt;="0"),F67,"")</f>
        <v/>
      </c>
      <c r="Q24" s="41" t="b">
        <f t="shared" si="2"/>
        <v>0</v>
      </c>
      <c r="S24" s="95" t="s">
        <v>73</v>
      </c>
      <c r="T24" s="95"/>
      <c r="U24" s="78" t="str">
        <f t="shared" si="0"/>
        <v>Bragantino</v>
      </c>
      <c r="V24" s="78"/>
      <c r="W24" s="35">
        <v>1</v>
      </c>
      <c r="X24" s="3" t="s">
        <v>2</v>
      </c>
      <c r="Y24" s="35">
        <v>0</v>
      </c>
      <c r="Z24" s="78" t="str">
        <f t="shared" si="1"/>
        <v>Lajeadense</v>
      </c>
      <c r="AA24" s="78"/>
      <c r="AB24" s="78" t="s">
        <v>75</v>
      </c>
      <c r="AC24" s="78"/>
      <c r="AG24" s="70"/>
      <c r="AH24" s="71"/>
      <c r="AI24" s="84"/>
      <c r="AJ24" s="84"/>
    </row>
    <row r="25" spans="2:36">
      <c r="B25" s="24" t="s">
        <v>234</v>
      </c>
      <c r="D25" s="78" t="s">
        <v>78</v>
      </c>
      <c r="E25" s="78"/>
      <c r="F25" s="95" t="s">
        <v>76</v>
      </c>
      <c r="G25" s="95"/>
      <c r="H25" s="36">
        <v>0</v>
      </c>
      <c r="I25" s="17" t="s">
        <v>2</v>
      </c>
      <c r="J25" s="36">
        <v>0</v>
      </c>
      <c r="K25" s="95" t="s">
        <v>77</v>
      </c>
      <c r="L25" s="95"/>
      <c r="M25" s="118" t="s">
        <v>79</v>
      </c>
      <c r="N25" s="116"/>
      <c r="O25" s="41" t="str">
        <f t="shared" si="3"/>
        <v/>
      </c>
      <c r="P25" s="41" t="str">
        <f t="shared" ref="P25" si="6">IF(OR(H24="",J24="",W24="",Y24="",Y25&gt;="0"),K67,"")</f>
        <v/>
      </c>
      <c r="Q25" s="41" t="b">
        <f t="shared" si="2"/>
        <v>0</v>
      </c>
      <c r="S25" s="95" t="s">
        <v>80</v>
      </c>
      <c r="T25" s="95"/>
      <c r="U25" s="78" t="str">
        <f t="shared" si="0"/>
        <v>Figueirense</v>
      </c>
      <c r="V25" s="78"/>
      <c r="W25" s="35">
        <v>3</v>
      </c>
      <c r="X25" s="3" t="s">
        <v>2</v>
      </c>
      <c r="Y25" s="35">
        <v>1</v>
      </c>
      <c r="Z25" s="78" t="str">
        <f t="shared" si="1"/>
        <v>Plácido de Castro</v>
      </c>
      <c r="AA25" s="78"/>
      <c r="AB25" s="78" t="s">
        <v>75</v>
      </c>
      <c r="AC25" s="78"/>
      <c r="AG25" s="70"/>
      <c r="AH25" s="71"/>
      <c r="AI25" s="84"/>
      <c r="AJ25" s="84"/>
    </row>
    <row r="26" spans="2:36">
      <c r="B26" s="24" t="s">
        <v>235</v>
      </c>
      <c r="D26" s="78" t="s">
        <v>83</v>
      </c>
      <c r="E26" s="78"/>
      <c r="F26" s="95" t="s">
        <v>81</v>
      </c>
      <c r="G26" s="95"/>
      <c r="H26" s="36">
        <v>2</v>
      </c>
      <c r="I26" s="17" t="s">
        <v>2</v>
      </c>
      <c r="J26" s="36">
        <v>2</v>
      </c>
      <c r="K26" s="95" t="s">
        <v>82</v>
      </c>
      <c r="L26" s="95"/>
      <c r="M26" s="116" t="s">
        <v>84</v>
      </c>
      <c r="N26" s="116"/>
      <c r="O26" s="41" t="str">
        <f t="shared" si="3"/>
        <v/>
      </c>
      <c r="P26" s="41" t="str">
        <f t="shared" ref="P26" si="7">IF(OR(H27="",J27="",W27="",Y27="",Y26&gt;="0"),F69,"")</f>
        <v/>
      </c>
      <c r="Q26" s="41" t="b">
        <f t="shared" si="2"/>
        <v>0</v>
      </c>
      <c r="S26" s="95" t="s">
        <v>85</v>
      </c>
      <c r="T26" s="95"/>
      <c r="U26" s="78" t="str">
        <f t="shared" si="0"/>
        <v>Coritiba</v>
      </c>
      <c r="V26" s="78"/>
      <c r="W26" s="35">
        <v>2</v>
      </c>
      <c r="X26" s="3" t="s">
        <v>2</v>
      </c>
      <c r="Y26" s="35">
        <v>0</v>
      </c>
      <c r="Z26" s="78" t="str">
        <f t="shared" si="1"/>
        <v>Cene</v>
      </c>
      <c r="AA26" s="78"/>
      <c r="AB26" s="78" t="s">
        <v>86</v>
      </c>
      <c r="AC26" s="78"/>
      <c r="AG26" s="70"/>
      <c r="AH26" s="71"/>
      <c r="AI26" s="84"/>
      <c r="AJ26" s="84"/>
    </row>
    <row r="27" spans="2:36">
      <c r="B27" s="24" t="s">
        <v>236</v>
      </c>
      <c r="D27" s="78" t="s">
        <v>89</v>
      </c>
      <c r="E27" s="78"/>
      <c r="F27" s="95" t="s">
        <v>87</v>
      </c>
      <c r="G27" s="95"/>
      <c r="H27" s="36">
        <v>2</v>
      </c>
      <c r="I27" s="17" t="s">
        <v>2</v>
      </c>
      <c r="J27" s="36">
        <v>0</v>
      </c>
      <c r="K27" s="95" t="s">
        <v>88</v>
      </c>
      <c r="L27" s="95"/>
      <c r="M27" s="116" t="s">
        <v>33</v>
      </c>
      <c r="N27" s="116"/>
      <c r="O27" s="41" t="str">
        <f t="shared" si="3"/>
        <v/>
      </c>
      <c r="P27" s="41" t="str">
        <f>IF(OR(H26="",J26="",W26="",Y26="",Y27&gt;="0"),K69,"")</f>
        <v/>
      </c>
      <c r="Q27" s="41" t="b">
        <f t="shared" si="2"/>
        <v>0</v>
      </c>
      <c r="S27" s="95" t="s">
        <v>90</v>
      </c>
      <c r="T27" s="95"/>
      <c r="U27" s="78" t="str">
        <f t="shared" si="0"/>
        <v>Duque de Caxias</v>
      </c>
      <c r="V27" s="78"/>
      <c r="W27" s="35">
        <v>2</v>
      </c>
      <c r="X27" s="3" t="s">
        <v>2</v>
      </c>
      <c r="Y27" s="35">
        <v>2</v>
      </c>
      <c r="Z27" s="78" t="str">
        <f t="shared" si="1"/>
        <v>Caldense</v>
      </c>
      <c r="AA27" s="78"/>
      <c r="AB27" s="78" t="s">
        <v>91</v>
      </c>
      <c r="AC27" s="78"/>
      <c r="AG27" s="70"/>
      <c r="AH27" s="71"/>
      <c r="AI27" s="84"/>
      <c r="AJ27" s="84"/>
    </row>
    <row r="28" spans="2:36">
      <c r="B28" s="24" t="s">
        <v>237</v>
      </c>
      <c r="D28" s="78" t="s">
        <v>94</v>
      </c>
      <c r="E28" s="78"/>
      <c r="F28" s="95" t="s">
        <v>92</v>
      </c>
      <c r="G28" s="95"/>
      <c r="H28" s="36">
        <v>1</v>
      </c>
      <c r="I28" s="17" t="s">
        <v>2</v>
      </c>
      <c r="J28" s="36">
        <v>3</v>
      </c>
      <c r="K28" s="95" t="s">
        <v>93</v>
      </c>
      <c r="L28" s="95"/>
      <c r="M28" s="116" t="s">
        <v>95</v>
      </c>
      <c r="N28" s="116"/>
      <c r="O28" s="41" t="str">
        <f t="shared" si="3"/>
        <v>Sport</v>
      </c>
      <c r="P28" s="41" t="str">
        <f>IF(OR(H29="",J29="",W29="",Y29="",Y28&gt;="0"),F71,"")</f>
        <v/>
      </c>
      <c r="Q28" s="41" t="b">
        <f t="shared" si="2"/>
        <v>0</v>
      </c>
      <c r="S28" s="95" t="s">
        <v>96</v>
      </c>
      <c r="T28" s="95"/>
      <c r="U28" s="78" t="str">
        <f t="shared" si="0"/>
        <v>Sport</v>
      </c>
      <c r="V28" s="78"/>
      <c r="W28" s="44" t="s">
        <v>362</v>
      </c>
      <c r="X28" s="3" t="s">
        <v>2</v>
      </c>
      <c r="Y28" s="44" t="s">
        <v>362</v>
      </c>
      <c r="Z28" s="78" t="str">
        <f t="shared" si="1"/>
        <v>Brasília</v>
      </c>
      <c r="AA28" s="78"/>
      <c r="AB28" s="78" t="s">
        <v>97</v>
      </c>
      <c r="AC28" s="78"/>
      <c r="AG28" s="70"/>
      <c r="AH28" s="71"/>
      <c r="AI28" s="84"/>
      <c r="AJ28" s="84"/>
    </row>
    <row r="29" spans="2:36">
      <c r="B29" s="24" t="s">
        <v>238</v>
      </c>
      <c r="D29" s="78" t="s">
        <v>100</v>
      </c>
      <c r="E29" s="78"/>
      <c r="F29" s="95" t="s">
        <v>98</v>
      </c>
      <c r="G29" s="95"/>
      <c r="H29" s="36">
        <v>2</v>
      </c>
      <c r="I29" s="17" t="s">
        <v>2</v>
      </c>
      <c r="J29" s="36">
        <v>2</v>
      </c>
      <c r="K29" s="95" t="s">
        <v>99</v>
      </c>
      <c r="L29" s="95"/>
      <c r="M29" s="116" t="s">
        <v>33</v>
      </c>
      <c r="N29" s="116"/>
      <c r="O29" s="41" t="str">
        <f t="shared" si="3"/>
        <v/>
      </c>
      <c r="P29" s="41" t="str">
        <f>IF(OR(H28="",J28="",W28="",Y28="",Y29&gt;="0"),K71,"")</f>
        <v/>
      </c>
      <c r="Q29" s="41" t="b">
        <f t="shared" si="2"/>
        <v>0</v>
      </c>
      <c r="S29" s="95" t="s">
        <v>101</v>
      </c>
      <c r="T29" s="95"/>
      <c r="U29" s="78" t="str">
        <f t="shared" si="0"/>
        <v>Paysandu</v>
      </c>
      <c r="V29" s="78"/>
      <c r="W29" s="35">
        <v>2</v>
      </c>
      <c r="X29" s="3" t="s">
        <v>2</v>
      </c>
      <c r="Y29" s="35">
        <v>1</v>
      </c>
      <c r="Z29" s="78" t="str">
        <f t="shared" si="1"/>
        <v>Maranhão</v>
      </c>
      <c r="AA29" s="78"/>
      <c r="AB29" s="78" t="s">
        <v>91</v>
      </c>
      <c r="AC29" s="78"/>
      <c r="AG29" s="70"/>
      <c r="AH29" s="71"/>
      <c r="AI29" s="84"/>
      <c r="AJ29" s="84"/>
    </row>
    <row r="30" spans="2:36">
      <c r="B30" s="24" t="s">
        <v>239</v>
      </c>
      <c r="D30" s="78" t="s">
        <v>104</v>
      </c>
      <c r="E30" s="78"/>
      <c r="F30" s="95" t="s">
        <v>102</v>
      </c>
      <c r="G30" s="95"/>
      <c r="H30" s="36">
        <v>0</v>
      </c>
      <c r="I30" s="17" t="s">
        <v>2</v>
      </c>
      <c r="J30" s="36">
        <v>0</v>
      </c>
      <c r="K30" s="95" t="s">
        <v>103</v>
      </c>
      <c r="L30" s="95"/>
      <c r="M30" s="116" t="s">
        <v>74</v>
      </c>
      <c r="N30" s="116"/>
      <c r="O30" s="41" t="str">
        <f t="shared" si="3"/>
        <v/>
      </c>
      <c r="P30" s="41" t="str">
        <f t="shared" ref="P30" si="8">IF(OR(H31="",J31="",W31="",Y31="",Y30&gt;="0"),F73,"")</f>
        <v/>
      </c>
      <c r="Q30" s="41" t="b">
        <f t="shared" si="2"/>
        <v>0</v>
      </c>
      <c r="S30" s="95" t="s">
        <v>105</v>
      </c>
      <c r="T30" s="95"/>
      <c r="U30" s="78" t="str">
        <f t="shared" si="0"/>
        <v>Cuiabá</v>
      </c>
      <c r="V30" s="78"/>
      <c r="W30" s="35">
        <v>2</v>
      </c>
      <c r="X30" s="3" t="s">
        <v>2</v>
      </c>
      <c r="Y30" s="35">
        <v>0</v>
      </c>
      <c r="Z30" s="78" t="str">
        <f t="shared" si="1"/>
        <v>Barbalha</v>
      </c>
      <c r="AA30" s="78"/>
      <c r="AB30" s="78" t="s">
        <v>106</v>
      </c>
      <c r="AC30" s="78"/>
      <c r="AG30" s="70"/>
      <c r="AH30" s="71"/>
      <c r="AI30" s="84"/>
      <c r="AJ30" s="84"/>
    </row>
    <row r="31" spans="2:36">
      <c r="B31" s="24" t="s">
        <v>240</v>
      </c>
      <c r="D31" s="78" t="s">
        <v>109</v>
      </c>
      <c r="E31" s="78"/>
      <c r="F31" s="95" t="s">
        <v>107</v>
      </c>
      <c r="G31" s="95"/>
      <c r="H31" s="36">
        <v>1</v>
      </c>
      <c r="I31" s="17" t="s">
        <v>2</v>
      </c>
      <c r="J31" s="36">
        <v>6</v>
      </c>
      <c r="K31" s="95" t="s">
        <v>108</v>
      </c>
      <c r="L31" s="95"/>
      <c r="M31" s="116" t="s">
        <v>67</v>
      </c>
      <c r="N31" s="116"/>
      <c r="O31" s="41" t="str">
        <f t="shared" si="3"/>
        <v>Internacional</v>
      </c>
      <c r="P31" s="41" t="str">
        <f t="shared" ref="P31" si="9">IF(OR(H30="",J30="",W30="",Y30="",Y31&gt;="0"),K73,"")</f>
        <v/>
      </c>
      <c r="Q31" s="41" t="b">
        <f>IF(SUM(H31,Y31)=SUM(J31,W31),IF(J31&gt;Y31,K31,IF(Y31&gt;J31,F31)))</f>
        <v>0</v>
      </c>
      <c r="S31" s="95" t="s">
        <v>110</v>
      </c>
      <c r="T31" s="95"/>
      <c r="U31" s="78" t="str">
        <f t="shared" si="0"/>
        <v>Internacional</v>
      </c>
      <c r="V31" s="78"/>
      <c r="W31" s="44" t="s">
        <v>362</v>
      </c>
      <c r="X31" s="3" t="s">
        <v>2</v>
      </c>
      <c r="Y31" s="44" t="s">
        <v>362</v>
      </c>
      <c r="Z31" s="78" t="str">
        <f t="shared" si="1"/>
        <v>Remo</v>
      </c>
      <c r="AA31" s="78"/>
      <c r="AB31" s="78" t="s">
        <v>41</v>
      </c>
      <c r="AC31" s="78"/>
      <c r="AG31" s="70"/>
      <c r="AH31" s="71"/>
      <c r="AI31" s="84"/>
      <c r="AJ31" s="84"/>
    </row>
    <row r="32" spans="2:36">
      <c r="B32" s="24" t="s">
        <v>241</v>
      </c>
      <c r="D32" s="78" t="s">
        <v>113</v>
      </c>
      <c r="E32" s="78"/>
      <c r="F32" s="95" t="s">
        <v>111</v>
      </c>
      <c r="G32" s="95"/>
      <c r="H32" s="36">
        <v>0</v>
      </c>
      <c r="I32" s="17" t="s">
        <v>2</v>
      </c>
      <c r="J32" s="36">
        <v>1</v>
      </c>
      <c r="K32" s="95" t="s">
        <v>112</v>
      </c>
      <c r="L32" s="95"/>
      <c r="M32" s="116" t="s">
        <v>95</v>
      </c>
      <c r="N32" s="116"/>
      <c r="O32" s="41" t="str">
        <f t="shared" si="3"/>
        <v/>
      </c>
      <c r="P32" s="41" t="str">
        <f>IF(OR(H33="",J33="",W33="",Y33="",Y32&gt;="0"),F75,"")</f>
        <v/>
      </c>
      <c r="Q32" s="41" t="b">
        <f t="shared" si="2"/>
        <v>0</v>
      </c>
      <c r="S32" s="95" t="s">
        <v>114</v>
      </c>
      <c r="T32" s="95"/>
      <c r="U32" s="78" t="str">
        <f t="shared" si="0"/>
        <v>Ceará</v>
      </c>
      <c r="V32" s="78"/>
      <c r="W32" s="35">
        <v>4</v>
      </c>
      <c r="X32" s="3" t="s">
        <v>2</v>
      </c>
      <c r="Y32" s="35">
        <v>1</v>
      </c>
      <c r="Z32" s="78" t="str">
        <f t="shared" si="1"/>
        <v>Parnahyba</v>
      </c>
      <c r="AA32" s="78"/>
      <c r="AB32" s="78" t="s">
        <v>115</v>
      </c>
      <c r="AC32" s="78"/>
      <c r="AG32" s="70"/>
      <c r="AH32" s="71"/>
      <c r="AI32" s="84"/>
      <c r="AJ32" s="84"/>
    </row>
    <row r="33" spans="2:36">
      <c r="B33" s="24" t="s">
        <v>242</v>
      </c>
      <c r="D33" s="78" t="str">
        <f>IF(F33=F10,D10,IF(F33=K10,S10,"Estadio Indefinido"))</f>
        <v xml:space="preserve"> Arena da Floresta</v>
      </c>
      <c r="E33" s="78"/>
      <c r="F33" s="95" t="str">
        <f>IF(O10=K10,K10,IF(OR(H10="",J10="",W10="",Y10=""),"Venc. Fase Prelim.",IF(AND(H10=W10,J10=Y10,AG10="",AI10=""),"Penalidades",IF(SUM(H10,Y10)&gt;SUM(J10,W10),F10,IF(SUM(J10,W10)&gt;SUM(H10,Y10),K10,IF(Q10=F10,F10,IF(Q10=K10,K10,IF(SUM(H10,J10,W10,Y10,AG10,AI10)=0,"Venc. Fase Prelim.",IF(AG10&gt;AI10,F10,IF(AI10&gt;AG10,K10,IF(AG10=AI10,"Venc. Fase Prelim.","Erro Recoloque os resultados")))))))))))</f>
        <v>Rio Branco-AC</v>
      </c>
      <c r="G33" s="95"/>
      <c r="H33" s="36">
        <v>0</v>
      </c>
      <c r="I33" s="17" t="s">
        <v>2</v>
      </c>
      <c r="J33" s="36">
        <v>2</v>
      </c>
      <c r="K33" s="95" t="s">
        <v>116</v>
      </c>
      <c r="L33" s="95"/>
      <c r="M33" s="116" t="s">
        <v>117</v>
      </c>
      <c r="N33" s="116"/>
      <c r="O33" s="41" t="str">
        <f t="shared" si="3"/>
        <v>Chapecoense</v>
      </c>
      <c r="P33" s="41" t="str">
        <f t="shared" ref="P33" si="10">IF(OR(H32="",J32="",W32="",Y32="",Y33&gt;="0"),K75,"")</f>
        <v/>
      </c>
      <c r="Q33" s="41" t="b">
        <f t="shared" si="2"/>
        <v>0</v>
      </c>
      <c r="S33" s="95" t="s">
        <v>118</v>
      </c>
      <c r="T33" s="95"/>
      <c r="U33" s="78" t="str">
        <f t="shared" si="0"/>
        <v>Chapecoense</v>
      </c>
      <c r="V33" s="78"/>
      <c r="W33" s="44" t="s">
        <v>362</v>
      </c>
      <c r="X33" s="3" t="s">
        <v>2</v>
      </c>
      <c r="Y33" s="44" t="s">
        <v>362</v>
      </c>
      <c r="Z33" s="78" t="str">
        <f t="shared" si="1"/>
        <v>Rio Branco-AC</v>
      </c>
      <c r="AA33" s="78"/>
      <c r="AB33" s="78" t="s">
        <v>91</v>
      </c>
      <c r="AC33" s="78"/>
      <c r="AG33" s="70"/>
      <c r="AH33" s="71"/>
      <c r="AI33" s="84"/>
      <c r="AJ33" s="84"/>
    </row>
    <row r="34" spans="2:36">
      <c r="B34" s="24" t="s">
        <v>243</v>
      </c>
      <c r="D34" s="78" t="s">
        <v>121</v>
      </c>
      <c r="E34" s="78"/>
      <c r="F34" s="82" t="s">
        <v>119</v>
      </c>
      <c r="G34" s="83"/>
      <c r="H34" s="36">
        <v>1</v>
      </c>
      <c r="I34" s="17" t="s">
        <v>2</v>
      </c>
      <c r="J34" s="36">
        <v>1</v>
      </c>
      <c r="K34" s="82" t="s">
        <v>120</v>
      </c>
      <c r="L34" s="83"/>
      <c r="M34" s="116" t="s">
        <v>122</v>
      </c>
      <c r="N34" s="116"/>
      <c r="O34" s="41" t="str">
        <f t="shared" si="3"/>
        <v/>
      </c>
      <c r="P34" s="41" t="str">
        <f t="shared" ref="P34" si="11">IF(OR(H35="",J35="",W35="",Y35="",Y34&gt;="0"),F77,"")</f>
        <v/>
      </c>
      <c r="Q34" s="41" t="b">
        <f t="shared" si="2"/>
        <v>0</v>
      </c>
      <c r="S34" s="95" t="s">
        <v>123</v>
      </c>
      <c r="T34" s="95"/>
      <c r="U34" s="78" t="str">
        <f t="shared" si="0"/>
        <v>Treze</v>
      </c>
      <c r="V34" s="78"/>
      <c r="W34" s="35">
        <v>2</v>
      </c>
      <c r="X34" s="3" t="s">
        <v>2</v>
      </c>
      <c r="Y34" s="35">
        <v>1</v>
      </c>
      <c r="Z34" s="78" t="str">
        <f t="shared" si="1"/>
        <v>Tombense</v>
      </c>
      <c r="AA34" s="78"/>
      <c r="AB34" s="78" t="s">
        <v>45</v>
      </c>
      <c r="AC34" s="78"/>
      <c r="AG34" s="70"/>
      <c r="AH34" s="71"/>
      <c r="AI34" s="84"/>
      <c r="AJ34" s="84"/>
    </row>
    <row r="35" spans="2:36">
      <c r="B35" s="24" t="s">
        <v>244</v>
      </c>
      <c r="D35" s="78" t="s">
        <v>17</v>
      </c>
      <c r="E35" s="78"/>
      <c r="F35" s="82" t="s">
        <v>124</v>
      </c>
      <c r="G35" s="83"/>
      <c r="H35" s="36">
        <v>0</v>
      </c>
      <c r="I35" s="17" t="s">
        <v>2</v>
      </c>
      <c r="J35" s="36">
        <v>0</v>
      </c>
      <c r="K35" s="95" t="s">
        <v>125</v>
      </c>
      <c r="L35" s="95"/>
      <c r="M35" s="116" t="s">
        <v>126</v>
      </c>
      <c r="N35" s="116"/>
      <c r="O35" s="41" t="str">
        <f t="shared" si="3"/>
        <v/>
      </c>
      <c r="P35" s="41" t="str">
        <f>IF(OR(H34="",J34="",W34="",Y34="",Y35&gt;="0"),K77,"")</f>
        <v/>
      </c>
      <c r="Q35" s="41" t="b">
        <f t="shared" si="2"/>
        <v>0</v>
      </c>
      <c r="S35" s="95" t="s">
        <v>127</v>
      </c>
      <c r="T35" s="95"/>
      <c r="U35" s="78" t="str">
        <f t="shared" si="0"/>
        <v>Vasco</v>
      </c>
      <c r="V35" s="78"/>
      <c r="W35" s="35">
        <v>1</v>
      </c>
      <c r="X35" s="3" t="s">
        <v>2</v>
      </c>
      <c r="Y35" s="35">
        <v>0</v>
      </c>
      <c r="Z35" s="78" t="str">
        <f t="shared" si="1"/>
        <v>Resende</v>
      </c>
      <c r="AA35" s="78"/>
      <c r="AB35" s="78" t="s">
        <v>41</v>
      </c>
      <c r="AC35" s="78"/>
      <c r="AG35" s="70"/>
      <c r="AH35" s="71"/>
      <c r="AI35" s="84"/>
      <c r="AJ35" s="84"/>
    </row>
    <row r="36" spans="2:36">
      <c r="B36" s="24" t="s">
        <v>245</v>
      </c>
      <c r="D36" s="78" t="s">
        <v>130</v>
      </c>
      <c r="E36" s="78"/>
      <c r="F36" s="82" t="s">
        <v>128</v>
      </c>
      <c r="G36" s="83"/>
      <c r="H36" s="36">
        <v>1</v>
      </c>
      <c r="I36" s="17" t="s">
        <v>2</v>
      </c>
      <c r="J36" s="36">
        <v>1</v>
      </c>
      <c r="K36" s="95" t="s">
        <v>129</v>
      </c>
      <c r="L36" s="95"/>
      <c r="M36" s="116" t="s">
        <v>131</v>
      </c>
      <c r="N36" s="116"/>
      <c r="O36" s="41" t="str">
        <f t="shared" si="3"/>
        <v/>
      </c>
      <c r="P36" s="41" t="str">
        <f t="shared" ref="P36" si="12">IF(OR(H37="",J37="",W37="",Y37="",Y36&gt;="0"),F79,"")</f>
        <v/>
      </c>
      <c r="Q36" s="41" t="b">
        <f t="shared" si="2"/>
        <v>0</v>
      </c>
      <c r="S36" s="95" t="s">
        <v>132</v>
      </c>
      <c r="T36" s="95"/>
      <c r="U36" s="78" t="str">
        <f t="shared" si="0"/>
        <v>Paraná</v>
      </c>
      <c r="V36" s="78"/>
      <c r="W36" s="35">
        <v>3</v>
      </c>
      <c r="X36" s="3" t="s">
        <v>2</v>
      </c>
      <c r="Y36" s="35">
        <v>1</v>
      </c>
      <c r="Z36" s="78" t="str">
        <f t="shared" si="1"/>
        <v>São Bernardo</v>
      </c>
      <c r="AA36" s="78"/>
      <c r="AB36" s="78" t="s">
        <v>133</v>
      </c>
      <c r="AC36" s="78"/>
      <c r="AG36" s="70"/>
      <c r="AH36" s="71"/>
      <c r="AI36" s="84"/>
      <c r="AJ36" s="84"/>
    </row>
    <row r="37" spans="2:36">
      <c r="B37" s="24" t="s">
        <v>246</v>
      </c>
      <c r="D37" s="78" t="s">
        <v>136</v>
      </c>
      <c r="E37" s="78"/>
      <c r="F37" s="82" t="s">
        <v>134</v>
      </c>
      <c r="G37" s="83"/>
      <c r="H37" s="36">
        <v>1</v>
      </c>
      <c r="I37" s="17" t="s">
        <v>2</v>
      </c>
      <c r="J37" s="36">
        <v>4</v>
      </c>
      <c r="K37" s="95" t="s">
        <v>135</v>
      </c>
      <c r="L37" s="95"/>
      <c r="M37" s="116" t="s">
        <v>137</v>
      </c>
      <c r="N37" s="116"/>
      <c r="O37" s="41" t="str">
        <f t="shared" si="3"/>
        <v>Ponte Preta</v>
      </c>
      <c r="P37" s="41" t="str">
        <f t="shared" ref="P37" si="13">IF(OR(H36="",J36="",W36="",Y36="",Y37&gt;="0"),K79,"")</f>
        <v/>
      </c>
      <c r="Q37" s="41" t="b">
        <f t="shared" si="2"/>
        <v>0</v>
      </c>
      <c r="S37" s="95" t="s">
        <v>139</v>
      </c>
      <c r="T37" s="95"/>
      <c r="U37" s="78" t="str">
        <f t="shared" si="0"/>
        <v>Ponte Preta</v>
      </c>
      <c r="V37" s="78"/>
      <c r="W37" s="44" t="s">
        <v>362</v>
      </c>
      <c r="X37" s="3" t="s">
        <v>2</v>
      </c>
      <c r="Y37" s="44" t="s">
        <v>362</v>
      </c>
      <c r="Z37" s="78" t="str">
        <f t="shared" si="1"/>
        <v>Náutico-RR</v>
      </c>
      <c r="AA37" s="78"/>
      <c r="AB37" s="78" t="s">
        <v>138</v>
      </c>
      <c r="AC37" s="78"/>
      <c r="AG37" s="70"/>
      <c r="AH37" s="71"/>
      <c r="AI37" s="84"/>
      <c r="AJ37" s="84"/>
    </row>
    <row r="38" spans="2:36">
      <c r="B38" s="24" t="s">
        <v>247</v>
      </c>
      <c r="D38" s="78" t="s">
        <v>142</v>
      </c>
      <c r="E38" s="78"/>
      <c r="F38" s="95" t="s">
        <v>140</v>
      </c>
      <c r="G38" s="95"/>
      <c r="H38" s="36">
        <v>1</v>
      </c>
      <c r="I38" s="17" t="s">
        <v>2</v>
      </c>
      <c r="J38" s="36">
        <v>1</v>
      </c>
      <c r="K38" s="95" t="s">
        <v>141</v>
      </c>
      <c r="L38" s="95"/>
      <c r="M38" s="116" t="s">
        <v>143</v>
      </c>
      <c r="N38" s="116"/>
      <c r="O38" s="41" t="str">
        <f t="shared" si="3"/>
        <v/>
      </c>
      <c r="P38" s="41" t="str">
        <f t="shared" ref="P38" si="14">IF(OR(H39="",J39="",W39="",Y39="",Y38&gt;="0"),F81,"")</f>
        <v/>
      </c>
      <c r="Q38" s="41" t="b">
        <f t="shared" si="2"/>
        <v>0</v>
      </c>
      <c r="S38" s="95" t="s">
        <v>144</v>
      </c>
      <c r="T38" s="95"/>
      <c r="U38" s="78" t="str">
        <f t="shared" ref="U38:U45" si="15">K38</f>
        <v>Vitória</v>
      </c>
      <c r="V38" s="78"/>
      <c r="W38" s="35">
        <v>1</v>
      </c>
      <c r="X38" s="3" t="s">
        <v>2</v>
      </c>
      <c r="Y38" s="35">
        <v>1</v>
      </c>
      <c r="Z38" s="78" t="str">
        <f t="shared" ref="Z38:Z45" si="16">F38</f>
        <v>Jmalucelli</v>
      </c>
      <c r="AA38" s="78"/>
      <c r="AB38" s="78" t="s">
        <v>145</v>
      </c>
      <c r="AC38" s="78"/>
      <c r="AG38" s="70">
        <v>5</v>
      </c>
      <c r="AH38" s="71"/>
      <c r="AI38" s="84">
        <v>3</v>
      </c>
      <c r="AJ38" s="84"/>
    </row>
    <row r="39" spans="2:36">
      <c r="B39" s="24" t="s">
        <v>248</v>
      </c>
      <c r="D39" s="78" t="s">
        <v>148</v>
      </c>
      <c r="E39" s="78"/>
      <c r="F39" s="95" t="s">
        <v>146</v>
      </c>
      <c r="G39" s="95"/>
      <c r="H39" s="36">
        <v>1</v>
      </c>
      <c r="I39" s="17" t="s">
        <v>2</v>
      </c>
      <c r="J39" s="36">
        <v>0</v>
      </c>
      <c r="K39" s="95" t="s">
        <v>147</v>
      </c>
      <c r="L39" s="95"/>
      <c r="M39" s="116" t="s">
        <v>149</v>
      </c>
      <c r="N39" s="116"/>
      <c r="O39" s="41" t="str">
        <f t="shared" si="3"/>
        <v/>
      </c>
      <c r="P39" s="41" t="str">
        <f t="shared" ref="P39" si="17">IF(OR(H38="",J38="",W38="",Y38="",Y39&gt;="0"),K81,"")</f>
        <v/>
      </c>
      <c r="Q39" s="41" t="b">
        <f t="shared" si="2"/>
        <v>0</v>
      </c>
      <c r="S39" s="95" t="s">
        <v>150</v>
      </c>
      <c r="T39" s="95"/>
      <c r="U39" s="78" t="str">
        <f t="shared" si="15"/>
        <v>Joinville</v>
      </c>
      <c r="V39" s="78"/>
      <c r="W39" s="35">
        <v>2</v>
      </c>
      <c r="X39" s="3" t="s">
        <v>2</v>
      </c>
      <c r="Y39" s="35">
        <v>2</v>
      </c>
      <c r="Z39" s="78" t="str">
        <f t="shared" si="16"/>
        <v>Novo Hamburgo</v>
      </c>
      <c r="AA39" s="78"/>
      <c r="AB39" s="78" t="s">
        <v>151</v>
      </c>
      <c r="AC39" s="78"/>
      <c r="AG39" s="70"/>
      <c r="AH39" s="71"/>
      <c r="AI39" s="84"/>
      <c r="AJ39" s="84"/>
    </row>
    <row r="40" spans="2:36">
      <c r="B40" s="24" t="s">
        <v>249</v>
      </c>
      <c r="D40" s="78" t="s">
        <v>154</v>
      </c>
      <c r="E40" s="78"/>
      <c r="F40" s="95" t="s">
        <v>152</v>
      </c>
      <c r="G40" s="95"/>
      <c r="H40" s="36">
        <v>1</v>
      </c>
      <c r="I40" s="17" t="s">
        <v>2</v>
      </c>
      <c r="J40" s="36">
        <v>0</v>
      </c>
      <c r="K40" s="95" t="s">
        <v>153</v>
      </c>
      <c r="L40" s="95"/>
      <c r="M40" s="116" t="s">
        <v>155</v>
      </c>
      <c r="N40" s="116"/>
      <c r="O40" s="41" t="str">
        <f t="shared" si="3"/>
        <v/>
      </c>
      <c r="P40" s="41" t="str">
        <f>IF(OR(H41="",J41="",W41="",Y41="",Y40&gt;="0"),F83,"")</f>
        <v/>
      </c>
      <c r="Q40" s="41" t="b">
        <f t="shared" si="2"/>
        <v>0</v>
      </c>
      <c r="S40" s="120" t="s">
        <v>156</v>
      </c>
      <c r="T40" s="95"/>
      <c r="U40" s="78" t="str">
        <f t="shared" si="15"/>
        <v>ABC</v>
      </c>
      <c r="V40" s="78"/>
      <c r="W40" s="35">
        <v>4</v>
      </c>
      <c r="X40" s="3" t="s">
        <v>2</v>
      </c>
      <c r="Y40" s="35">
        <v>1</v>
      </c>
      <c r="Z40" s="78" t="str">
        <f t="shared" si="16"/>
        <v>Desp. Ferroviária</v>
      </c>
      <c r="AA40" s="78"/>
      <c r="AB40" s="78" t="s">
        <v>33</v>
      </c>
      <c r="AC40" s="78"/>
      <c r="AG40" s="70"/>
      <c r="AH40" s="71"/>
      <c r="AI40" s="84"/>
      <c r="AJ40" s="84"/>
    </row>
    <row r="41" spans="2:36">
      <c r="B41" s="24" t="s">
        <v>250</v>
      </c>
      <c r="D41" s="78" t="s">
        <v>159</v>
      </c>
      <c r="E41" s="78"/>
      <c r="F41" s="95" t="s">
        <v>157</v>
      </c>
      <c r="G41" s="95"/>
      <c r="H41" s="36">
        <v>0</v>
      </c>
      <c r="I41" s="17" t="s">
        <v>2</v>
      </c>
      <c r="J41" s="36">
        <v>1</v>
      </c>
      <c r="K41" s="95" t="s">
        <v>158</v>
      </c>
      <c r="L41" s="95"/>
      <c r="M41" s="116" t="s">
        <v>122</v>
      </c>
      <c r="N41" s="116"/>
      <c r="O41" s="41" t="str">
        <f t="shared" si="3"/>
        <v/>
      </c>
      <c r="P41" s="41" t="str">
        <f>IF(OR(H40="",J40="",W40="",Y40="",Y41&gt;="0"),K83,"")</f>
        <v/>
      </c>
      <c r="Q41" s="41" t="b">
        <f t="shared" si="2"/>
        <v>0</v>
      </c>
      <c r="S41" s="95" t="s">
        <v>160</v>
      </c>
      <c r="T41" s="95"/>
      <c r="U41" s="78" t="str">
        <f t="shared" si="15"/>
        <v>Atlético-GO</v>
      </c>
      <c r="V41" s="78"/>
      <c r="W41" s="35">
        <v>2</v>
      </c>
      <c r="X41" s="3" t="s">
        <v>2</v>
      </c>
      <c r="Y41" s="35">
        <v>2</v>
      </c>
      <c r="Z41" s="78" t="str">
        <f t="shared" si="16"/>
        <v>Flamengo-PI</v>
      </c>
      <c r="AA41" s="78"/>
      <c r="AB41" s="78" t="s">
        <v>161</v>
      </c>
      <c r="AC41" s="78"/>
      <c r="AG41" s="70"/>
      <c r="AH41" s="71"/>
      <c r="AI41" s="84"/>
      <c r="AJ41" s="84"/>
    </row>
    <row r="42" spans="2:36">
      <c r="B42" s="24" t="s">
        <v>251</v>
      </c>
      <c r="D42" s="78" t="s">
        <v>164</v>
      </c>
      <c r="E42" s="78"/>
      <c r="F42" s="95" t="s">
        <v>162</v>
      </c>
      <c r="G42" s="95"/>
      <c r="H42" s="36">
        <v>0</v>
      </c>
      <c r="I42" s="17" t="s">
        <v>2</v>
      </c>
      <c r="J42" s="36">
        <v>0</v>
      </c>
      <c r="K42" s="95" t="s">
        <v>163</v>
      </c>
      <c r="L42" s="95"/>
      <c r="M42" s="118" t="s">
        <v>165</v>
      </c>
      <c r="N42" s="116"/>
      <c r="O42" s="41" t="str">
        <f t="shared" si="3"/>
        <v/>
      </c>
      <c r="P42" s="41" t="str">
        <f t="shared" ref="P42" si="18">IF(OR(H43="",J43="",W43="",Y43="",Y42&gt;="0"),F85,"")</f>
        <v/>
      </c>
      <c r="Q42" s="41" t="b">
        <f t="shared" si="2"/>
        <v>0</v>
      </c>
      <c r="S42" s="95" t="s">
        <v>166</v>
      </c>
      <c r="T42" s="95"/>
      <c r="U42" s="78" t="str">
        <f t="shared" si="15"/>
        <v>Santos</v>
      </c>
      <c r="V42" s="78"/>
      <c r="W42" s="35">
        <v>3</v>
      </c>
      <c r="X42" s="3" t="s">
        <v>2</v>
      </c>
      <c r="Y42" s="35">
        <v>0</v>
      </c>
      <c r="Z42" s="78" t="str">
        <f t="shared" si="16"/>
        <v>Mixto</v>
      </c>
      <c r="AA42" s="78"/>
      <c r="AB42" s="78" t="s">
        <v>41</v>
      </c>
      <c r="AC42" s="78"/>
      <c r="AG42" s="70"/>
      <c r="AH42" s="71"/>
      <c r="AI42" s="84"/>
      <c r="AJ42" s="84"/>
    </row>
    <row r="43" spans="2:36">
      <c r="B43" s="24" t="s">
        <v>252</v>
      </c>
      <c r="D43" s="78" t="s">
        <v>169</v>
      </c>
      <c r="E43" s="78"/>
      <c r="F43" s="95" t="s">
        <v>167</v>
      </c>
      <c r="G43" s="95"/>
      <c r="H43" s="36">
        <v>3</v>
      </c>
      <c r="I43" s="17" t="s">
        <v>2</v>
      </c>
      <c r="J43" s="36">
        <v>1</v>
      </c>
      <c r="K43" s="95" t="s">
        <v>168</v>
      </c>
      <c r="L43" s="95"/>
      <c r="M43" s="116" t="s">
        <v>170</v>
      </c>
      <c r="N43" s="116"/>
      <c r="O43" s="41" t="str">
        <f t="shared" si="3"/>
        <v/>
      </c>
      <c r="P43" s="41" t="str">
        <f t="shared" ref="P43" si="19">IF(OR(H42="",J42="",W42="",Y42="",Y43&gt;="0"),K85,"")</f>
        <v/>
      </c>
      <c r="Q43" s="41" t="str">
        <f t="shared" si="2"/>
        <v>Princ. do Solimões</v>
      </c>
      <c r="S43" s="95" t="s">
        <v>171</v>
      </c>
      <c r="T43" s="95"/>
      <c r="U43" s="78" t="str">
        <f t="shared" si="15"/>
        <v>Brasiliense</v>
      </c>
      <c r="V43" s="78"/>
      <c r="W43" s="35">
        <v>4</v>
      </c>
      <c r="X43" s="3" t="s">
        <v>2</v>
      </c>
      <c r="Y43" s="35">
        <v>2</v>
      </c>
      <c r="Z43" s="78" t="str">
        <f t="shared" si="16"/>
        <v>Princ. do Solimões</v>
      </c>
      <c r="AA43" s="78"/>
      <c r="AB43" s="78" t="s">
        <v>172</v>
      </c>
      <c r="AC43" s="78"/>
      <c r="AG43" s="70"/>
      <c r="AH43" s="71"/>
      <c r="AI43" s="84"/>
      <c r="AJ43" s="84"/>
    </row>
    <row r="44" spans="2:36">
      <c r="B44" s="24" t="s">
        <v>253</v>
      </c>
      <c r="D44" s="121" t="s">
        <v>176</v>
      </c>
      <c r="E44" s="78"/>
      <c r="F44" s="95" t="s">
        <v>173</v>
      </c>
      <c r="G44" s="95"/>
      <c r="H44" s="36">
        <v>2</v>
      </c>
      <c r="I44" s="17" t="s">
        <v>2</v>
      </c>
      <c r="J44" s="36">
        <v>0</v>
      </c>
      <c r="K44" s="120" t="s">
        <v>174</v>
      </c>
      <c r="L44" s="95"/>
      <c r="M44" s="116" t="s">
        <v>175</v>
      </c>
      <c r="N44" s="116"/>
      <c r="O44" s="41" t="str">
        <f t="shared" si="3"/>
        <v/>
      </c>
      <c r="P44" s="41" t="str">
        <f t="shared" ref="P44" si="20">IF(OR(H45="",J45="",W45="",Y45="",Y44&gt;="0"),F87,"")</f>
        <v/>
      </c>
      <c r="Q44" s="41" t="b">
        <f t="shared" si="2"/>
        <v>0</v>
      </c>
      <c r="S44" s="95" t="s">
        <v>177</v>
      </c>
      <c r="T44" s="95"/>
      <c r="U44" s="78" t="str">
        <f t="shared" si="15"/>
        <v>Criciúma</v>
      </c>
      <c r="V44" s="78"/>
      <c r="W44" s="35">
        <v>2</v>
      </c>
      <c r="X44" s="3" t="s">
        <v>2</v>
      </c>
      <c r="Y44" s="35">
        <v>1</v>
      </c>
      <c r="Z44" s="78" t="str">
        <f t="shared" si="16"/>
        <v>Londrina</v>
      </c>
      <c r="AA44" s="78"/>
      <c r="AB44" s="121" t="s">
        <v>178</v>
      </c>
      <c r="AC44" s="78"/>
      <c r="AG44" s="70"/>
      <c r="AH44" s="71"/>
      <c r="AI44" s="84"/>
      <c r="AJ44" s="84"/>
    </row>
    <row r="45" spans="2:36">
      <c r="B45" s="24" t="s">
        <v>254</v>
      </c>
      <c r="D45" s="78" t="s">
        <v>181</v>
      </c>
      <c r="E45" s="78"/>
      <c r="F45" s="95" t="s">
        <v>179</v>
      </c>
      <c r="G45" s="95"/>
      <c r="H45" s="36">
        <v>2</v>
      </c>
      <c r="I45" s="17" t="s">
        <v>2</v>
      </c>
      <c r="J45" s="36">
        <v>2</v>
      </c>
      <c r="K45" s="82" t="s">
        <v>180</v>
      </c>
      <c r="L45" s="83"/>
      <c r="M45" s="116" t="s">
        <v>122</v>
      </c>
      <c r="N45" s="116"/>
      <c r="O45" s="41" t="str">
        <f t="shared" si="3"/>
        <v/>
      </c>
      <c r="P45" s="41" t="str">
        <f t="shared" ref="P45" si="21">IF(OR(H44="",J44="",W44="",Y44="",Y45&gt;="0"),K87,"")</f>
        <v/>
      </c>
      <c r="Q45" s="41" t="str">
        <f t="shared" si="2"/>
        <v>Barueri</v>
      </c>
      <c r="S45" s="95" t="s">
        <v>182</v>
      </c>
      <c r="T45" s="95"/>
      <c r="U45" s="78" t="str">
        <f t="shared" si="15"/>
        <v>Barueri</v>
      </c>
      <c r="V45" s="78"/>
      <c r="W45" s="35">
        <v>0</v>
      </c>
      <c r="X45" s="3" t="s">
        <v>2</v>
      </c>
      <c r="Y45" s="35">
        <v>0</v>
      </c>
      <c r="Z45" s="78" t="str">
        <f t="shared" si="16"/>
        <v>Goianésia</v>
      </c>
      <c r="AA45" s="78"/>
      <c r="AB45" s="78" t="s">
        <v>45</v>
      </c>
      <c r="AC45" s="78"/>
      <c r="AG45" s="70"/>
      <c r="AH45" s="71"/>
      <c r="AI45" s="84"/>
      <c r="AJ45" s="84"/>
    </row>
    <row r="46" spans="2:36">
      <c r="B46" s="24" t="s">
        <v>255</v>
      </c>
      <c r="D46" s="78" t="s">
        <v>185</v>
      </c>
      <c r="E46" s="78"/>
      <c r="F46" s="95" t="s">
        <v>183</v>
      </c>
      <c r="G46" s="95"/>
      <c r="H46" s="36">
        <v>2</v>
      </c>
      <c r="I46" s="17" t="s">
        <v>2</v>
      </c>
      <c r="J46" s="36">
        <v>2</v>
      </c>
      <c r="K46" s="95" t="s">
        <v>184</v>
      </c>
      <c r="L46" s="95"/>
      <c r="M46" s="116" t="s">
        <v>122</v>
      </c>
      <c r="N46" s="116"/>
      <c r="O46" s="41" t="str">
        <f t="shared" si="3"/>
        <v/>
      </c>
      <c r="P46" s="41" t="str">
        <f t="shared" ref="P46" si="22">IF(OR(H47="",J47="",W47="",Y47="",Y46&gt;="0"),F89,"")</f>
        <v/>
      </c>
      <c r="Q46" s="41" t="b">
        <f t="shared" si="2"/>
        <v>0</v>
      </c>
      <c r="S46" s="95" t="s">
        <v>186</v>
      </c>
      <c r="T46" s="95"/>
      <c r="U46" s="78" t="str">
        <f t="shared" ref="U46:U53" si="23">K46</f>
        <v>Sampaio Corrêa</v>
      </c>
      <c r="V46" s="78"/>
      <c r="W46" s="35">
        <v>3</v>
      </c>
      <c r="X46" s="3" t="s">
        <v>2</v>
      </c>
      <c r="Y46" s="35">
        <v>1</v>
      </c>
      <c r="Z46" s="78" t="str">
        <f t="shared" ref="Z46:Z53" si="24">F46</f>
        <v>Interporto</v>
      </c>
      <c r="AA46" s="78"/>
      <c r="AB46" s="78" t="s">
        <v>34</v>
      </c>
      <c r="AC46" s="78"/>
      <c r="AG46" s="70"/>
      <c r="AH46" s="71"/>
      <c r="AI46" s="84"/>
      <c r="AJ46" s="84"/>
    </row>
    <row r="47" spans="2:36">
      <c r="B47" s="24" t="s">
        <v>256</v>
      </c>
      <c r="D47" s="78" t="s">
        <v>189</v>
      </c>
      <c r="E47" s="78"/>
      <c r="F47" s="95" t="s">
        <v>187</v>
      </c>
      <c r="G47" s="95"/>
      <c r="H47" s="36">
        <v>0</v>
      </c>
      <c r="I47" s="17" t="s">
        <v>2</v>
      </c>
      <c r="J47" s="36">
        <v>1</v>
      </c>
      <c r="K47" s="120" t="s">
        <v>188</v>
      </c>
      <c r="L47" s="95"/>
      <c r="M47" s="116" t="s">
        <v>190</v>
      </c>
      <c r="N47" s="116"/>
      <c r="O47" s="41" t="str">
        <f t="shared" si="3"/>
        <v/>
      </c>
      <c r="P47" s="41" t="str">
        <f>IF(OR(H46="",J46="",W46="",Y46="",Y47&gt;="0"),K89,"")</f>
        <v/>
      </c>
      <c r="Q47" s="41" t="b">
        <f t="shared" si="2"/>
        <v>0</v>
      </c>
      <c r="S47" s="120" t="s">
        <v>191</v>
      </c>
      <c r="T47" s="95"/>
      <c r="U47" s="78" t="str">
        <f t="shared" si="23"/>
        <v>Palmeiras</v>
      </c>
      <c r="V47" s="78"/>
      <c r="W47" s="35">
        <v>2</v>
      </c>
      <c r="X47" s="3" t="s">
        <v>2</v>
      </c>
      <c r="Y47" s="35">
        <v>0</v>
      </c>
      <c r="Z47" s="78" t="str">
        <f t="shared" si="24"/>
        <v>Vilhena</v>
      </c>
      <c r="AA47" s="78"/>
      <c r="AB47" s="78" t="s">
        <v>192</v>
      </c>
      <c r="AC47" s="78"/>
      <c r="AG47" s="70"/>
      <c r="AH47" s="71"/>
      <c r="AI47" s="84"/>
      <c r="AJ47" s="84"/>
    </row>
    <row r="48" spans="2:36">
      <c r="B48" s="24" t="s">
        <v>257</v>
      </c>
      <c r="D48" s="78" t="s">
        <v>195</v>
      </c>
      <c r="E48" s="78"/>
      <c r="F48" s="95" t="s">
        <v>193</v>
      </c>
      <c r="G48" s="95"/>
      <c r="H48" s="36">
        <v>0</v>
      </c>
      <c r="I48" s="17" t="s">
        <v>2</v>
      </c>
      <c r="J48" s="36">
        <v>4</v>
      </c>
      <c r="K48" s="95" t="s">
        <v>194</v>
      </c>
      <c r="L48" s="95"/>
      <c r="M48" s="116" t="s">
        <v>196</v>
      </c>
      <c r="N48" s="116"/>
      <c r="O48" s="41" t="str">
        <f t="shared" si="3"/>
        <v>ASA</v>
      </c>
      <c r="P48" s="41" t="str">
        <f>IF(OR(H49="",J49="",W49="",Y49="",Y48&gt;="0"),F91,"")</f>
        <v/>
      </c>
      <c r="Q48" s="41" t="b">
        <f>IF(SUM(H48,Y48)=SUM(J48,W48),IF(J48&gt;Y48,K48,IF(Y48&gt;J48,F48)))</f>
        <v>0</v>
      </c>
      <c r="S48" s="95" t="s">
        <v>197</v>
      </c>
      <c r="T48" s="95"/>
      <c r="U48" s="78" t="str">
        <f t="shared" si="23"/>
        <v>ASA</v>
      </c>
      <c r="V48" s="78"/>
      <c r="W48" s="44" t="s">
        <v>362</v>
      </c>
      <c r="X48" s="3" t="s">
        <v>2</v>
      </c>
      <c r="Y48" s="44" t="s">
        <v>362</v>
      </c>
      <c r="Z48" s="78" t="str">
        <f t="shared" si="24"/>
        <v>Paragominas</v>
      </c>
      <c r="AA48" s="78"/>
      <c r="AB48" s="78" t="s">
        <v>45</v>
      </c>
      <c r="AC48" s="78"/>
      <c r="AG48" s="70"/>
      <c r="AH48" s="71"/>
      <c r="AI48" s="84"/>
      <c r="AJ48" s="84"/>
    </row>
    <row r="49" spans="2:36">
      <c r="B49" s="24" t="s">
        <v>258</v>
      </c>
      <c r="D49" s="78" t="s">
        <v>200</v>
      </c>
      <c r="E49" s="78"/>
      <c r="F49" s="95" t="s">
        <v>198</v>
      </c>
      <c r="G49" s="95"/>
      <c r="H49" s="36">
        <v>1</v>
      </c>
      <c r="I49" s="17" t="s">
        <v>2</v>
      </c>
      <c r="J49" s="36">
        <v>4</v>
      </c>
      <c r="K49" s="95" t="s">
        <v>199</v>
      </c>
      <c r="L49" s="95"/>
      <c r="M49" s="116" t="s">
        <v>201</v>
      </c>
      <c r="N49" s="116"/>
      <c r="O49" s="41" t="str">
        <f t="shared" si="3"/>
        <v xml:space="preserve"> Avaí</v>
      </c>
      <c r="P49" s="41" t="str">
        <f>IF(OR(H48="",J48="",W48="",Y48="",Y49&gt;="0"),K91,"")</f>
        <v/>
      </c>
      <c r="Q49" s="41" t="b">
        <f t="shared" si="2"/>
        <v>0</v>
      </c>
      <c r="S49" s="95" t="s">
        <v>202</v>
      </c>
      <c r="T49" s="95"/>
      <c r="U49" s="78" t="str">
        <f t="shared" si="23"/>
        <v xml:space="preserve"> Avaí</v>
      </c>
      <c r="V49" s="78"/>
      <c r="W49" s="44" t="s">
        <v>362</v>
      </c>
      <c r="X49" s="3" t="s">
        <v>2</v>
      </c>
      <c r="Y49" s="44" t="s">
        <v>362</v>
      </c>
      <c r="Z49" s="78" t="str">
        <f t="shared" si="24"/>
        <v>Naviraiense</v>
      </c>
      <c r="AA49" s="78"/>
      <c r="AB49" s="78" t="s">
        <v>145</v>
      </c>
      <c r="AC49" s="78"/>
      <c r="AG49" s="70"/>
      <c r="AH49" s="71"/>
      <c r="AI49" s="84"/>
      <c r="AJ49" s="84"/>
    </row>
    <row r="50" spans="2:36">
      <c r="B50" s="24" t="s">
        <v>259</v>
      </c>
      <c r="D50" s="78" t="s">
        <v>205</v>
      </c>
      <c r="E50" s="78"/>
      <c r="F50" s="95" t="s">
        <v>203</v>
      </c>
      <c r="G50" s="95"/>
      <c r="H50" s="36">
        <v>0</v>
      </c>
      <c r="I50" s="17" t="s">
        <v>2</v>
      </c>
      <c r="J50" s="36">
        <v>2</v>
      </c>
      <c r="K50" s="95" t="s">
        <v>204</v>
      </c>
      <c r="L50" s="95"/>
      <c r="M50" s="116" t="s">
        <v>15</v>
      </c>
      <c r="N50" s="116"/>
      <c r="O50" s="41" t="str">
        <f t="shared" si="3"/>
        <v>Tupi-MG</v>
      </c>
      <c r="P50" s="41" t="str">
        <f>IF(OR(H51="",J51="",W51="",Y51="",Y50&gt;="0"),F93,"")</f>
        <v/>
      </c>
      <c r="Q50" s="41" t="b">
        <f t="shared" si="2"/>
        <v>0</v>
      </c>
      <c r="S50" s="95" t="s">
        <v>206</v>
      </c>
      <c r="T50" s="95"/>
      <c r="U50" s="78" t="str">
        <f t="shared" si="23"/>
        <v>Tupi-MG</v>
      </c>
      <c r="V50" s="78"/>
      <c r="W50" s="44" t="s">
        <v>362</v>
      </c>
      <c r="X50" s="3" t="s">
        <v>2</v>
      </c>
      <c r="Y50" s="44" t="s">
        <v>362</v>
      </c>
      <c r="Z50" s="78" t="str">
        <f t="shared" si="24"/>
        <v>Juazeiro</v>
      </c>
      <c r="AA50" s="78"/>
      <c r="AB50" s="78" t="s">
        <v>75</v>
      </c>
      <c r="AC50" s="78"/>
      <c r="AG50" s="70"/>
      <c r="AH50" s="71"/>
      <c r="AI50" s="84"/>
      <c r="AJ50" s="84"/>
    </row>
    <row r="51" spans="2:36">
      <c r="B51" s="24" t="s">
        <v>260</v>
      </c>
      <c r="D51" s="78" t="s">
        <v>210</v>
      </c>
      <c r="E51" s="78"/>
      <c r="F51" s="95" t="s">
        <v>207</v>
      </c>
      <c r="G51" s="95"/>
      <c r="H51" s="36">
        <v>3</v>
      </c>
      <c r="I51" s="17" t="s">
        <v>2</v>
      </c>
      <c r="J51" s="36">
        <v>1</v>
      </c>
      <c r="K51" s="120" t="s">
        <v>208</v>
      </c>
      <c r="L51" s="95"/>
      <c r="M51" s="116" t="s">
        <v>209</v>
      </c>
      <c r="N51" s="116"/>
      <c r="O51" s="41" t="str">
        <f t="shared" si="3"/>
        <v/>
      </c>
      <c r="P51" s="41" t="str">
        <f>IF(OR(H50="",J50="",W50="",Y50="",Y51&gt;="0"),K93,"")</f>
        <v/>
      </c>
      <c r="Q51" s="41" t="b">
        <f t="shared" si="2"/>
        <v>0</v>
      </c>
      <c r="S51" s="120" t="s">
        <v>211</v>
      </c>
      <c r="T51" s="95"/>
      <c r="U51" s="78" t="str">
        <f t="shared" si="23"/>
        <v>Fluminense</v>
      </c>
      <c r="V51" s="78"/>
      <c r="W51" s="35">
        <v>5</v>
      </c>
      <c r="X51" s="3" t="s">
        <v>2</v>
      </c>
      <c r="Y51" s="35">
        <v>0</v>
      </c>
      <c r="Z51" s="78" t="str">
        <f t="shared" si="24"/>
        <v>Horizonte</v>
      </c>
      <c r="AA51" s="78"/>
      <c r="AB51" s="78" t="s">
        <v>212</v>
      </c>
      <c r="AC51" s="78"/>
      <c r="AG51" s="70"/>
      <c r="AH51" s="71"/>
      <c r="AI51" s="84"/>
      <c r="AJ51" s="84"/>
    </row>
    <row r="52" spans="2:36">
      <c r="B52" s="24" t="s">
        <v>261</v>
      </c>
      <c r="D52" s="78" t="s">
        <v>215</v>
      </c>
      <c r="E52" s="78"/>
      <c r="F52" s="95" t="s">
        <v>213</v>
      </c>
      <c r="G52" s="95"/>
      <c r="H52" s="36">
        <v>1</v>
      </c>
      <c r="I52" s="3" t="s">
        <v>2</v>
      </c>
      <c r="J52" s="36">
        <v>2</v>
      </c>
      <c r="K52" s="95" t="s">
        <v>214</v>
      </c>
      <c r="L52" s="95"/>
      <c r="M52" s="116" t="s">
        <v>216</v>
      </c>
      <c r="N52" s="116"/>
      <c r="O52" s="41" t="str">
        <f>IF(H52="","",IF(AND(H52=0,J52&gt;=2),K52,IF(AND(H52=1,J52&gt;=3),K52,IF(AND(H52=2,J52&gt;=4),K52,IF(AND(H52=3,J52&gt;=5),K52,IF(AND(H52=4,J52&gt;=6),K52,IF(AND(H52=5,J52&gt;=7),K52,IF(AND(H52=6,J52&gt;=8),K52,IF(AND(H52=7,J52&gt;=9),K52,IF(AND(H52=8,J52&gt;=10),K52,""))))))))))</f>
        <v/>
      </c>
      <c r="P52" s="41" t="str">
        <f>IF(OR(H53="",J53="",W53="",Y53="",Y52&gt;="0"),F95,"")</f>
        <v/>
      </c>
      <c r="Q52" s="41" t="b">
        <f t="shared" si="2"/>
        <v>0</v>
      </c>
      <c r="S52" s="95" t="s">
        <v>217</v>
      </c>
      <c r="T52" s="95"/>
      <c r="U52" s="78" t="str">
        <f t="shared" si="23"/>
        <v>América-RN</v>
      </c>
      <c r="V52" s="78"/>
      <c r="W52" s="35">
        <v>2</v>
      </c>
      <c r="X52" s="3" t="s">
        <v>2</v>
      </c>
      <c r="Y52" s="35">
        <v>0</v>
      </c>
      <c r="Z52" s="78" t="str">
        <f t="shared" si="24"/>
        <v>Boavista</v>
      </c>
      <c r="AA52" s="78"/>
      <c r="AB52" s="78" t="s">
        <v>172</v>
      </c>
      <c r="AC52" s="78"/>
      <c r="AG52" s="70"/>
      <c r="AH52" s="71"/>
      <c r="AI52" s="84"/>
      <c r="AJ52" s="84"/>
    </row>
    <row r="53" spans="2:36">
      <c r="B53" s="24" t="s">
        <v>262</v>
      </c>
      <c r="D53" s="78" t="s">
        <v>44</v>
      </c>
      <c r="E53" s="78"/>
      <c r="F53" s="95" t="s">
        <v>218</v>
      </c>
      <c r="G53" s="95"/>
      <c r="H53" s="36">
        <v>1</v>
      </c>
      <c r="I53" s="3" t="s">
        <v>2</v>
      </c>
      <c r="J53" s="36">
        <v>0</v>
      </c>
      <c r="K53" s="95" t="s">
        <v>219</v>
      </c>
      <c r="L53" s="95"/>
      <c r="M53" s="116" t="s">
        <v>15</v>
      </c>
      <c r="N53" s="116"/>
      <c r="O53" s="41" t="str">
        <f>IF(H53="","",IF(AND(H53=0,J53&gt;=2),K53,IF(AND(H53=1,J53&gt;=3),K53,IF(AND(H53=2,J53&gt;=4),K53,IF(AND(H53=3,J53&gt;=5),K53,IF(AND(H53=4,J53&gt;=6),K53,IF(AND(H53=5,J53&gt;=7),K53,IF(AND(H53=6,J53&gt;=8),K53,IF(AND(H53=7,J53&gt;=9),K53,IF(AND(H53=8,J53&gt;=10),K53,""))))))))))</f>
        <v/>
      </c>
      <c r="P53" s="41" t="str">
        <f>IF(OR(H52="",J52="",W52="",Y52="",Y53&gt;="0"),K95,"")</f>
        <v/>
      </c>
      <c r="Q53" s="41" t="b">
        <f>IF(SUM(H53,Y53)=SUM(J53,W53),IF(J53&gt;Y53,K53,IF(Y53&gt;J53,F53)))</f>
        <v>0</v>
      </c>
      <c r="S53" s="95" t="s">
        <v>220</v>
      </c>
      <c r="T53" s="95"/>
      <c r="U53" s="78" t="str">
        <f t="shared" si="23"/>
        <v>Náutico</v>
      </c>
      <c r="V53" s="78"/>
      <c r="W53" s="35">
        <v>1</v>
      </c>
      <c r="X53" s="3" t="s">
        <v>2</v>
      </c>
      <c r="Y53" s="35">
        <v>0</v>
      </c>
      <c r="Z53" s="78" t="str">
        <f t="shared" si="24"/>
        <v>Sergipe</v>
      </c>
      <c r="AA53" s="78"/>
      <c r="AB53" s="78" t="s">
        <v>59</v>
      </c>
      <c r="AC53" s="78"/>
      <c r="AG53" s="70">
        <v>1</v>
      </c>
      <c r="AH53" s="71"/>
      <c r="AI53" s="84">
        <v>3</v>
      </c>
      <c r="AJ53" s="84"/>
    </row>
    <row r="55" spans="2:36">
      <c r="B55" s="126" t="s">
        <v>366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8"/>
    </row>
    <row r="56" spans="2:36" ht="14.25" hidden="1" customHeight="1">
      <c r="D56" s="75"/>
      <c r="E56" s="75"/>
      <c r="F56" s="75" t="str">
        <f>IF(O14=K14,K14,IF(OR(H14="",J14="",W14="",Y14=""),"Venc. Jogo 1",IF(AND(H14=W14,J14=Y14,AG14="",AI14=""),"Penalidades",IF(SUM(H14,Y14)&gt;SUM(J14,W14),F14,IF(SUM(J14,W14)&gt;SUM(H14,Y14),K14,IF(Q14=F14,F14,IF(Q14=K14,K14,IF(SUM(H14,J14,W14,Y14,AG14,AI14)=0,"Venc. Jogo 1",IF(AG14&gt;AI14,F14,IF(AI14&gt;AG14,K14,IF(AG14=AI14,"Venc. Jogo 1","Erro Recoloque os Resultados")))))))))))</f>
        <v>Nacional-AM</v>
      </c>
      <c r="G56" s="75"/>
      <c r="H56" s="12"/>
      <c r="I56" s="12"/>
      <c r="J56" s="12"/>
      <c r="K56" s="75" t="str">
        <f>IF(O15=K15,K15,IF(OR(H15="",J15="",W15="",Y15=""),"Venc. Jogo 2",IF(AND(H15=W15,J15=Y15,AG15="",AI15=""),"Penalidades",IF(SUM(H15,Y15)&gt;SUM(J15,W15),F15,IF(SUM(J15,W15)&gt;SUM(H15,Y15),K15,IF(Q15=F15,F15,IF(Q15=K15,K15,IF(SUM(H15,J15,W15,Y15,AG15,AI15)=0,"Venc. Jogo 2",IF(AG15&gt;AI15,F15,IF(AI15&gt;AG15,K15,IF(AG15=AI15,"Venc. Jogo 2","Erro Recoloque os Resultados")))))))))))</f>
        <v>Corinthians</v>
      </c>
      <c r="L56" s="75"/>
      <c r="M56" s="98"/>
      <c r="N56" s="98"/>
    </row>
    <row r="57" spans="2:36">
      <c r="B57" s="18"/>
      <c r="D57" s="13"/>
      <c r="E57" s="13"/>
      <c r="F57" s="13"/>
      <c r="G57" s="13"/>
      <c r="H57" s="8"/>
      <c r="I57" s="8"/>
      <c r="J57" s="8"/>
      <c r="K57" s="79"/>
      <c r="L57" s="79"/>
      <c r="M57" s="50"/>
      <c r="N57" s="54"/>
    </row>
    <row r="58" spans="2:36">
      <c r="B58" s="24" t="s">
        <v>263</v>
      </c>
      <c r="D58" s="78" t="str">
        <f>IF(K58="Venc. Jogo 2","Estadio Indefinido",IF(F58=F14,D14,IF(F58=K14,S14,IF(F58=F15,D15,IF(F58=K15,S15,"Estadio Indefinido")))))</f>
        <v>Arena da Amazônia</v>
      </c>
      <c r="E58" s="78"/>
      <c r="F58" s="78" t="str">
        <f>IF(F56="Venc. Jogo 1",F56,IF(F56="Penalidades",F56,IF(AND(K56=K15,F56=K14),F56,IF(AND(K56=K15,F56=F14),F14,IF(AND(K56=F15,F56=F14),F14,IF(AND(K56=F15,F56=K14),F15,IF(P14&lt;&gt;"Venc. Jogo 1",F56,"Venc. Jogo 1")))))))</f>
        <v>Nacional-AM</v>
      </c>
      <c r="G58" s="78"/>
      <c r="H58" s="36">
        <v>0</v>
      </c>
      <c r="I58" s="3" t="s">
        <v>2</v>
      </c>
      <c r="J58" s="35">
        <v>3</v>
      </c>
      <c r="K58" s="78" t="str">
        <f>IF(K56="Venc. Jogo 2",K56,IF(K56=K15,K15,IF(K56="Penalidades",K56,IF(AND(K56=F15,F56=F14),F15,IF(AND(K56=F15,F56=K14),K14,IF(P15&lt;&gt;"Venc. Jogo 2",K56,"Venc. Jogo 2"))))))</f>
        <v>Corinthians</v>
      </c>
      <c r="L58" s="78"/>
      <c r="M58" s="116" t="s">
        <v>95</v>
      </c>
      <c r="N58" s="116"/>
      <c r="O58" s="41" t="str">
        <f>IF(H58="","",IF(AND(H58=0,J58&gt;=2),K58,IF(AND(H58=1,J58&gt;=3),K58,IF(AND(H58=2,J58&gt;=4),K58,IF(AND(H58=3,J58&gt;=5),K58,IF(AND(H58=4,J58&gt;=6),K58,IF(AND(H58=5,J58&gt;=7),K58,IF(AND(H58=6,J58&gt;=8),K58,IF(AND(H58=7,J58&gt;=9),K58,IF(AND(H58=8,J58&gt;=10),K58,""))))))))))</f>
        <v>Corinthians</v>
      </c>
      <c r="P58" s="41" t="str">
        <f>IF(OR(H60="",J60="",W60="",Y60="",Y58&gt;="0"),F99,"")</f>
        <v>Corinthians</v>
      </c>
      <c r="Q58" s="41" t="b">
        <f>IF(SUM(H58,Y58)=SUM(J58,W58),IF(J58&gt;Y58,K58,IF(Y58&gt;J58,F58)))</f>
        <v>0</v>
      </c>
      <c r="S58" s="95" t="str">
        <f>IF(Z58="Venc. Jogo 1","Estadio Indefinido",IF(U58=F14,D14,IF(U58=K14,S14,IF(U58=F15,D15,IF(U58=K15,S15,"Estadio Indefinido")))))</f>
        <v>Pacaembu</v>
      </c>
      <c r="T58" s="95"/>
      <c r="U58" s="78" t="str">
        <f>K58</f>
        <v>Corinthians</v>
      </c>
      <c r="V58" s="78"/>
      <c r="W58" s="44" t="s">
        <v>362</v>
      </c>
      <c r="X58" s="3" t="s">
        <v>2</v>
      </c>
      <c r="Y58" s="44" t="s">
        <v>362</v>
      </c>
      <c r="Z58" s="78" t="str">
        <f>F58</f>
        <v>Nacional-AM</v>
      </c>
      <c r="AA58" s="78"/>
      <c r="AB58" s="78" t="s">
        <v>283</v>
      </c>
      <c r="AC58" s="78"/>
      <c r="AG58" s="84"/>
      <c r="AH58" s="84"/>
      <c r="AI58" s="84"/>
      <c r="AJ58" s="84"/>
    </row>
    <row r="59" spans="2:36" ht="12.75" hidden="1" customHeight="1">
      <c r="B59" s="24"/>
      <c r="D59" s="78" t="str">
        <f t="shared" ref="D59" si="25">IF(K59="Venc. Jogo 2","Estadio Indefinido",IF(F59=F15,D15,IF(F59=K15,S15,IF(F59=F16,D16,IF(F59=K16,S16,"Estadio Indefinido")))))</f>
        <v>Fonte Nova</v>
      </c>
      <c r="E59" s="78"/>
      <c r="F59" s="97" t="str">
        <f>IF(O16=K16,K16,IF(OR(H16="",J16="",W16="",Y16=""),"Venc. Jogo 3",IF(AND(H16=W16,J16=Y16,AG16="",AI16=""),"Penalidades",IF(SUM(H16,Y16)&gt;SUM(J16,W16),F16,IF(SUM(J16,W16)&gt;SUM(H16,Y16),K16,IF(Q16=F16,F16,IF(Q16=K16,K16,IF(SUM(H16,J16,W16,Y16,AG16,AI16)=0,"Venc. Jogo 3",IF(AG16&gt;AI16,F16,IF(AI16&gt;AG16,K16,IF(AG16=AI16,"Venc. Jogo 3","Erro Recoloque os Resultados")))))))))))</f>
        <v>Bahia</v>
      </c>
      <c r="G59" s="97"/>
      <c r="H59" s="8"/>
      <c r="I59" s="8"/>
      <c r="J59" s="8"/>
      <c r="K59" s="97" t="str">
        <f>IF(O17=K17,K17,IF(OR(H17="",J17="",W17="",Y17=""),"Venc. Jogo 4",IF(AND(H17=W17,J17=Y17,AG17="",AI17=""),"Penalidades",IF(SUM(H17,Y17)&gt;SUM(J17,W17),F17,IF(SUM(J17,W17)&gt;SUM(H17,Y17),K17,IF(Q17=F17,F17,IF(Q17=K17,K17,IF(SUM(H17,J17,W17,Y17,AG17,AI17)=0,"Venc. Jogo 4",IF(AG17&gt;AI17,F17,IF(AI17&gt;AG17,K17,IF(AG17=AI17,"Venc. Jogo 4","Erro Recoloque os Resultados")))))))))))</f>
        <v>América-MG</v>
      </c>
      <c r="L59" s="97"/>
      <c r="M59" s="117"/>
      <c r="N59" s="117"/>
      <c r="O59" s="41" t="str">
        <f t="shared" ref="O59:O95" si="26">IF(AND(H59=0,J59&gt;=2),K59,IF(AND(H59=1,J59&gt;=3),K59,IF(AND(H59=2,J59&gt;=4),K59,IF(AND(H59=3,J59&gt;=5),K59,IF(AND(H59=4,J59&gt;=6),K59,IF(AND(H59=5,J59&gt;=7),K59,IF(AND(H59=6,J59&gt;=8),K59,IF(AND(H59=7,J59&gt;=9),K59,IF(AND(H59=8,J59&gt;=10),K59,"")))))))))</f>
        <v/>
      </c>
      <c r="P59" s="41"/>
      <c r="Q59" s="41" t="b">
        <f t="shared" ref="Q59:Q95" si="27">IF(SUM(H59,Y59)=SUM(J59,W59),IF(J59&gt;Y59,K59,IF(Y59&gt;J59,F59)))</f>
        <v>0</v>
      </c>
      <c r="S59" s="95" t="str">
        <f t="shared" ref="S59" si="28">IF(Z59="Venc. Jogo 1","Estadio Indefinido",IF(U59=F15,D15,IF(U59=K15,S15,IF(U59=F16,D16,IF(U59=K16,S16,"Estadio Indefinido")))))</f>
        <v>Estadio Indefinido</v>
      </c>
      <c r="T59" s="95"/>
      <c r="AG59" s="73"/>
      <c r="AH59" s="74"/>
      <c r="AI59" s="100"/>
      <c r="AJ59" s="100"/>
    </row>
    <row r="60" spans="2:36">
      <c r="B60" s="24" t="s">
        <v>264</v>
      </c>
      <c r="D60" s="78" t="str">
        <f>IF(K60="Venc. Jogo 2","Estadio Indefinido",IF(F60=F16,D16,IF(F60=K16,S16,IF(F60=F17,D17,IF(F60=K17,S17,"Estadio Indefinido")))))</f>
        <v>Independência</v>
      </c>
      <c r="E60" s="78"/>
      <c r="F60" s="97" t="str">
        <f>IF(F59="Venc. Jogo 4",F59,IF(F59="Penalidades",F59,IF(K59=F17,F17,IF(AND(K59=K17,F59=K16),K17,IF(AND(F59=F16,K59=F17),F17,IF(AND(F59=F16,K59=K17),F16,IF(P16&lt;&gt;"Venc. Jogo 3",F59,"Venc. Jogo 3")))))))</f>
        <v>América-MG</v>
      </c>
      <c r="G60" s="97"/>
      <c r="H60" s="36">
        <v>0</v>
      </c>
      <c r="I60" s="3" t="s">
        <v>2</v>
      </c>
      <c r="J60" s="35">
        <v>0</v>
      </c>
      <c r="K60" s="78" t="str">
        <f>IF(K59="Venc. Jogo 4",K59,IF(K59="Penalidades",K59,IF(F59=K16,K16,IF(AND(K59=K17,F59=F16),K17,IF(AND(F59=F16,K59=F17),F16,IF(P17&lt;&gt;"Venc. Jogo 4",K59,"Venc. Jogo 4"))))))</f>
        <v>Bahia</v>
      </c>
      <c r="L60" s="78"/>
      <c r="M60" s="116" t="s">
        <v>284</v>
      </c>
      <c r="N60" s="116"/>
      <c r="O60" s="41" t="str">
        <f>IF(H60="","",IF(AND(H60=0,J60&gt;=2),K60,IF(AND(H60=1,J60&gt;=3),K60,IF(AND(H60=2,J60&gt;=4),K60,IF(AND(H60=3,J60&gt;=5),K60,IF(AND(H60=4,J60&gt;=6),K60,IF(AND(H60=5,J60&gt;=7),K60,IF(AND(H60=6,J60&gt;=8),K60,IF(AND(H60=7,J60&gt;=9),K60,IF(AND(H60=8,J60&gt;=10),K60,""))))))))))</f>
        <v/>
      </c>
      <c r="P60" s="41" t="str">
        <f>IF(OR(H58="",J58="",W58="",Y58="",Y60&gt;="0"),K99,"")</f>
        <v/>
      </c>
      <c r="Q60" s="41" t="b">
        <f t="shared" si="27"/>
        <v>0</v>
      </c>
      <c r="S60" s="95" t="str">
        <f>IF(Z60="Venc. Jogo 3","Estadio Indefinido",IF(U60=F16,D16,IF(U60=K16,S16,IF(U60=F17,D17,IF(U60=K17,S17,"Estadio Indefinido")))))</f>
        <v>Fonte Nova</v>
      </c>
      <c r="T60" s="95"/>
      <c r="U60" s="78" t="str">
        <f>K60</f>
        <v>Bahia</v>
      </c>
      <c r="V60" s="78"/>
      <c r="W60" s="35"/>
      <c r="X60" s="3" t="s">
        <v>2</v>
      </c>
      <c r="Y60" s="35"/>
      <c r="Z60" s="78" t="str">
        <f>F60</f>
        <v>América-MG</v>
      </c>
      <c r="AA60" s="78"/>
      <c r="AB60" s="78" t="s">
        <v>285</v>
      </c>
      <c r="AC60" s="78"/>
      <c r="AG60" s="70"/>
      <c r="AH60" s="71"/>
      <c r="AI60" s="84"/>
      <c r="AJ60" s="84"/>
    </row>
    <row r="61" spans="2:36" ht="14.25" hidden="1" customHeight="1">
      <c r="B61" s="24"/>
      <c r="D61" s="78" t="str">
        <f t="shared" ref="D61:D95" si="29">IF(K61="Venc. Jogo 2","Estadio Indefinido",IF(F61=F17,D17,IF(F61=K17,S17,IF(F61=F18,D18,IF(F61=K18,S18,"Estadio Indefinido")))))</f>
        <v>Almeidão</v>
      </c>
      <c r="E61" s="78"/>
      <c r="F61" s="97" t="str">
        <f>IF(O18=K18,K18,IF(OR(H18="",J18="",W18="",Y18=""),"Venc. Jogo 5",IF(AND(H18=W18,J18=Y18,AG18="",AI18=""),"Penalidades",IF(SUM(H18,Y18)&gt;SUM(J18,W18),F18,IF(SUM(J18,W18)&gt;SUM(H18,Y18),K18,IF(Q18=F18,F18,IF(Q18=K18,K18,IF(SUM(H18,J18,W18,Y18,AG18,AI18)=0,"Venc. Jogo 5",IF(AG18&gt;AI18,F18,IF(AI18&gt;AG18,K18,IF(AG18=AI18,"Venc. Jogo 5","Erro Recoloque os Resultados")))))))))))</f>
        <v>Botafogo-PB</v>
      </c>
      <c r="G61" s="97"/>
      <c r="H61" s="8"/>
      <c r="I61" s="8"/>
      <c r="J61" s="8"/>
      <c r="K61" s="97" t="str">
        <f>IF(O19=K19,K19,IF(OR(H19="",J19="",W19="",Y19=""),"Venc. Jogo 6",IF(AND(H19=W19,J19=Y19,AG19="",AI19=""),"Penalidades",IF(SUM(H19,Y19)&gt;SUM(J19,W19),F19,IF(SUM(J19,W19)&gt;SUM(H19,Y19),K19,IF(Q19=F19,F19,IF(Q19=K19,K19,IF(SUM(H19,J19,W19,Y19,AG19,AI19)=0,"Venc. Jogo 6",IF(AG19&gt;AI19,F19,IF(AI19&gt;AG19,K19,IF(AG19=AI19,"Venc. Jogo 6","Erro Recoloque os Resultados")))))))))))</f>
        <v>Santa Cruz</v>
      </c>
      <c r="L61" s="97"/>
      <c r="M61" s="117"/>
      <c r="N61" s="117"/>
      <c r="O61" s="41" t="str">
        <f t="shared" si="26"/>
        <v/>
      </c>
      <c r="P61" s="41"/>
      <c r="Q61" s="41" t="b">
        <f t="shared" si="27"/>
        <v>0</v>
      </c>
      <c r="S61" s="95" t="str">
        <f t="shared" ref="S61:S95" si="30">IF(Z61="Venc. Jogo 1","Estadio Indefinido",IF(U61=F17,D17,IF(U61=K17,S17,IF(U61=F18,D18,IF(U61=K18,S18,"Estadio Indefinido")))))</f>
        <v>Estadio Indefinido</v>
      </c>
      <c r="T61" s="95"/>
      <c r="AG61" s="73"/>
      <c r="AH61" s="74"/>
      <c r="AI61" s="78"/>
      <c r="AJ61" s="78"/>
    </row>
    <row r="62" spans="2:36">
      <c r="B62" s="24" t="s">
        <v>265</v>
      </c>
      <c r="D62" s="78" t="str">
        <f>IF(K62="Venc. Jogo 6","Estadio Indefinido",IF(F62=F18,D18,IF(F62=K18,S18,IF(F62=F19,D19,IF(F62=K19,S19,"Estadio Indefinido")))))</f>
        <v>Almeidão</v>
      </c>
      <c r="E62" s="78"/>
      <c r="F62" s="97" t="str">
        <f>IF(F61="Venc. Jogo 5",F61,IF(F61="Penalidades",F61,IF(AND(F61=K18,K61=F19),F19,IF(AND(F61=K18,K61=K19),K19,IF(AND(F61=F18,K61=F19),F19,IF(AND(F61=F18,K61=K19),F18,IF(P18&lt;&gt;"Venc. Jogo 5",F61,"Venc. Jogo 5")))))))</f>
        <v>Botafogo-PB</v>
      </c>
      <c r="G62" s="97"/>
      <c r="H62" s="36"/>
      <c r="I62" s="3" t="s">
        <v>2</v>
      </c>
      <c r="J62" s="35"/>
      <c r="K62" s="78" t="str">
        <f>IF(K61="Venc. Jogo 6",K61,IF(K61="Penalidades",K61,IF(F61=K18,K18,IF(AND(F61=F18,K61=F19),F18,IF(AND(F61=F18,K61=K19),K19,IF(P19&lt;&gt;"Venc. Jogo 6",K61,"Venc. Jogo 6"))))))</f>
        <v>Santa Cruz</v>
      </c>
      <c r="L62" s="78"/>
      <c r="M62" s="116" t="s">
        <v>285</v>
      </c>
      <c r="N62" s="116"/>
      <c r="O62" s="41" t="str">
        <f>IF(H62="","",IF(AND(H62=0,J62&gt;=2),K62,IF(AND(H62=1,J62&gt;=3),K62,IF(AND(H62=2,J62&gt;=4),K62,IF(AND(H62=3,J62&gt;=5),K62,IF(AND(H62=4,J62&gt;=6),K62,IF(AND(H62=5,J62&gt;=7),K62,IF(AND(H62=6,J62&gt;=8),K62,IF(AND(H62=7,J62&gt;=9),K62,IF(AND(H62=8,J62&gt;=10),K62,""))))))))))</f>
        <v/>
      </c>
      <c r="P62" s="41" t="str">
        <f>IF(OR(H64="",J64="",W64="",Y64="",Y62&gt;="0"),F102,"")</f>
        <v/>
      </c>
      <c r="Q62" s="41" t="b">
        <f t="shared" si="27"/>
        <v>0</v>
      </c>
      <c r="S62" s="95" t="str">
        <f>IF(Z62="Venc. Jogo 5","Estadio Indefinido",IF(U62=F18,D18,IF(U62=K18,S18,IF(U62=F19,D19,IF(U62=K19,S19,"Estadio Indefinido")))))</f>
        <v>Arruda</v>
      </c>
      <c r="T62" s="95"/>
      <c r="U62" s="78" t="str">
        <f>K62</f>
        <v>Santa Cruz</v>
      </c>
      <c r="V62" s="78"/>
      <c r="W62" s="35"/>
      <c r="X62" s="3" t="s">
        <v>2</v>
      </c>
      <c r="Y62" s="35"/>
      <c r="Z62" s="78" t="str">
        <f>F62</f>
        <v>Botafogo-PB</v>
      </c>
      <c r="AA62" s="78"/>
      <c r="AB62" s="78" t="s">
        <v>286</v>
      </c>
      <c r="AC62" s="78"/>
      <c r="AG62" s="70"/>
      <c r="AH62" s="71"/>
      <c r="AI62" s="84"/>
      <c r="AJ62" s="84"/>
    </row>
    <row r="63" spans="2:36" ht="13.5" hidden="1" customHeight="1">
      <c r="B63" s="24"/>
      <c r="D63" s="78" t="str">
        <f t="shared" si="29"/>
        <v>Olival Elias</v>
      </c>
      <c r="E63" s="78"/>
      <c r="F63" s="97" t="str">
        <f>IF(O20=K20,K20,IF(OR(H20="",J20="",W20="",Y20=""),"Venc. Jogo 7",IF(AND(H20=W20,J20=Y20,AG20="",AI20=""),"Penalidades",IF(SUM(H20,Y20)&gt;SUM(J20,W20),F20,IF(SUM(J20,W20)&gt;SUM(H20,Y20),K20,IF(Q20=F20,F20,IF(Q20=K20,K20,IF(SUM(H20,J20,W20,Y20,AG20,AI20)=0,"Venc. Jogo 7",IF(AG20&gt;AI20,F20,IF(AI20&gt;AG20,K20,IF(AG20=AI20,"Venc. Jogo 7","Erro Recoloque os Resultados")))))))))))</f>
        <v>Santa Rita</v>
      </c>
      <c r="G63" s="97"/>
      <c r="H63" s="8"/>
      <c r="I63" s="8"/>
      <c r="J63" s="8"/>
      <c r="K63" s="97" t="str">
        <f>IF(O21=K21,K21,IF(OR(H21="",J21="",W21="",Y21=""),"Venc. Jogo 8",IF(AND(H21=W21,J21=Y21,AG21="",AI21=""),"Penalidades",IF(SUM(H21,Y21)&gt;SUM(J21,W21),F21,IF(SUM(J21,W21)&gt;SUM(H21,Y21),K21,IF(Q21=F21,F21,IF(Q21=K21,K21,IF(SUM(H21,J21,W21,Y21,AG21,AI21)=0,"Venc. Jogo 8",IF(AG21&gt;AI21,F21,IF(AI21&gt;AG21,K21,IF(AG21=AI21,"Venc. Jogo 8","Erro Recoloque os Resultados")))))))))))</f>
        <v>Potigu. de Mossoró</v>
      </c>
      <c r="L63" s="97"/>
      <c r="M63" s="117"/>
      <c r="N63" s="117"/>
      <c r="O63" s="41" t="str">
        <f t="shared" si="26"/>
        <v/>
      </c>
      <c r="P63" s="41"/>
      <c r="Q63" s="41" t="b">
        <f t="shared" si="27"/>
        <v>0</v>
      </c>
      <c r="S63" s="95" t="str">
        <f t="shared" si="30"/>
        <v>Estadio Indefinido</v>
      </c>
      <c r="T63" s="95"/>
      <c r="AG63" s="73"/>
      <c r="AH63" s="74"/>
      <c r="AI63" s="78"/>
      <c r="AJ63" s="78"/>
    </row>
    <row r="64" spans="2:36">
      <c r="B64" s="24" t="s">
        <v>266</v>
      </c>
      <c r="D64" s="78" t="str">
        <f>IF(K64="Venc. Jogo8","Estadio Indefinido",IF(F64=F20,D20,IF(F64=K20,S20,IF(F64=F21,D21,IF(F64=K21,S21,"Estadio Indefinido")))))</f>
        <v>Olival Elias</v>
      </c>
      <c r="E64" s="78"/>
      <c r="F64" s="97" t="str">
        <f>IF(F63="Venc. Jogo 7",F63,IF(F63=F20,F20,IF(F63="Penalidades",F63,IF(AND(K63=K21,F63=K20),K20,IF(AND(K63=F21,F63=K20),F21,IF(P20&lt;&gt;"Venc. Jogo 7",F63,"Venc. Jogo 7"))))))</f>
        <v>Santa Rita</v>
      </c>
      <c r="G64" s="97"/>
      <c r="H64" s="36">
        <v>2</v>
      </c>
      <c r="I64" s="3" t="s">
        <v>2</v>
      </c>
      <c r="J64" s="35">
        <v>0</v>
      </c>
      <c r="K64" s="78" t="str">
        <f>IF(K63="Venc. Jogo 8",K63,IF(K63=K21,K21,IF(K63="Penalidades",K63,IF(AND(K63=F21,F63=K20),K20,IF(AND(K63=F21,F63=F20),F21,IF(P21&lt;&gt;"Venc. Jogo 8",K63,"Venc. Jogo 8"))))))</f>
        <v>Potigu. de Mossoró</v>
      </c>
      <c r="L64" s="78"/>
      <c r="M64" s="116" t="s">
        <v>287</v>
      </c>
      <c r="N64" s="116"/>
      <c r="O64" s="41" t="str">
        <f>IF(H64="","",IF(AND(H64=0,J64&gt;=2),K64,IF(AND(H64=1,J64&gt;=3),K64,IF(AND(H64=2,J64&gt;=4),K64,IF(AND(H64=3,J64&gt;=5),K64,IF(AND(H64=4,J64&gt;=6),K64,IF(AND(H64=5,J64&gt;=7),K64,IF(AND(H64=6,J64&gt;=8),K64,IF(AND(H64=7,J64&gt;=9),K64,IF(AND(H64=8,J64&gt;=10),K64,""))))))))))</f>
        <v/>
      </c>
      <c r="P64" s="41" t="str">
        <f>IF(OR(H62="",J62="",W62="",Y62="",Y64&gt;="0"),K102,"")</f>
        <v>Santa Rita</v>
      </c>
      <c r="Q64" s="41" t="b">
        <f t="shared" si="27"/>
        <v>0</v>
      </c>
      <c r="S64" s="95" t="str">
        <f>IF(Z64="Venc. Jogo 7","Estadio Indefinido",IF(U64=F20,D20,IF(U64=K20,S20,IF(U64=F21,D21,IF(U64=K21,S21,"Estadio Indefinido")))))</f>
        <v>Nogueirão</v>
      </c>
      <c r="T64" s="95"/>
      <c r="U64" s="78" t="str">
        <f>K64</f>
        <v>Potigu. de Mossoró</v>
      </c>
      <c r="V64" s="78"/>
      <c r="W64" s="35">
        <v>2</v>
      </c>
      <c r="X64" s="3" t="s">
        <v>2</v>
      </c>
      <c r="Y64" s="35">
        <v>5</v>
      </c>
      <c r="Z64" s="78" t="str">
        <f>F64</f>
        <v>Santa Rita</v>
      </c>
      <c r="AA64" s="78"/>
      <c r="AB64" s="78" t="s">
        <v>288</v>
      </c>
      <c r="AC64" s="78"/>
      <c r="AG64" s="70"/>
      <c r="AH64" s="71"/>
      <c r="AI64" s="84"/>
      <c r="AJ64" s="84"/>
    </row>
    <row r="65" spans="2:36" ht="15" hidden="1" customHeight="1">
      <c r="B65" s="24"/>
      <c r="D65" s="78" t="str">
        <f t="shared" si="29"/>
        <v xml:space="preserve"> Rei Pelé</v>
      </c>
      <c r="E65" s="78"/>
      <c r="F65" s="97" t="str">
        <f>IF(O22=K22,K22,IF(OR(H22="",J22="",W22="",Y22=""),"Venc. Jogo 9",IF(AND(H22=W22,J22=Y22,AG22="",AI22=""),"Penalidades",IF(SUM(H22,Y22)&gt;SUM(J22,W22),F22,IF(SUM(J22,W22)&gt;SUM(H22,Y22),K22,IF(Q22=F22,F22,IF(Q22=K22,K22,IF(SUM(H22,J22,W22,Y22,AG22,AI22)=0,"Venc. Jogo 9",IF(AG22&gt;AI22,F22,IF(AI22&gt;AG22,K22,IF(AG22=AI22,"Venc. Jogo 9","Erro Recoloque os Resultados")))))))))))</f>
        <v>CRB</v>
      </c>
      <c r="G65" s="97"/>
      <c r="H65" s="8"/>
      <c r="I65" s="8"/>
      <c r="J65" s="8"/>
      <c r="K65" s="97" t="str">
        <f>IF(O23=K23,K23,IF(OR(H23="",J23="",W23="",Y23=""),"Venc. Jogo 10",IF(AND(H23=W23,J23=Y23,AG23="",AI23=""),"Penalidades",IF(SUM(H23,Y23)&gt;SUM(J23,W23),F23,IF(SUM(J23,W23)&gt;SUM(H23,Y23),K23,IF(Q23=F23,F23,IF(Q23=K23,K23,IF(SUM(H23,J23,W23,Y23,AG23,AI23)=0,"Venc. Jogo 10",IF(AG23&gt;AI23,F23,IF(AI23&gt;AG23,K23,IF(AG23=AI23,"Venc. Jogo 10","Erro Recoloque os Resultados")))))))))))</f>
        <v>São Paulo</v>
      </c>
      <c r="L65" s="97"/>
      <c r="M65" s="117"/>
      <c r="N65" s="117"/>
      <c r="O65" s="41" t="str">
        <f t="shared" si="26"/>
        <v/>
      </c>
      <c r="P65" s="41"/>
      <c r="Q65" s="41" t="b">
        <f t="shared" si="27"/>
        <v>0</v>
      </c>
      <c r="S65" s="95" t="str">
        <f t="shared" si="30"/>
        <v>Estadio Indefinido</v>
      </c>
      <c r="T65" s="95"/>
      <c r="AG65" s="73"/>
      <c r="AH65" s="74"/>
      <c r="AI65" s="78"/>
      <c r="AJ65" s="78"/>
    </row>
    <row r="66" spans="2:36">
      <c r="B66" s="24" t="s">
        <v>267</v>
      </c>
      <c r="D66" s="78" t="str">
        <f>IF(K66="Venc. Jogo 10","Estadio Indefinido",IF(F66=F22,D22,IF(F66=K22,S22,IF(F66=F23,D23,IF(F66=K23,S23,"Estadio Indefinido")))))</f>
        <v xml:space="preserve"> Rei Pelé</v>
      </c>
      <c r="E66" s="78"/>
      <c r="F66" s="97" t="str">
        <f>IF(F65="Venc. Jogo 9",F65,IF(F65=F22,F22,IF(AND(F65=K22,K65=F23),F23,IF(AND(F65=K22,K65=K23),K22,IF(P22&lt;&gt;"Venc. Jogo 9",F65,"Venc. Jogo 9")))))</f>
        <v>CRB</v>
      </c>
      <c r="G66" s="97"/>
      <c r="H66" s="36">
        <v>2</v>
      </c>
      <c r="I66" s="3" t="s">
        <v>2</v>
      </c>
      <c r="J66" s="35">
        <v>1</v>
      </c>
      <c r="K66" s="78" t="str">
        <f>IF(K65="Venc. Jogo 10",K65,IF(K65=K23,K23,IF(AND(K65=F23,F65=K22),K22,IF(P23&lt;&gt;"Venc. Jogo 10",K65,"Venc. Jogo 10"))))</f>
        <v>São Paulo</v>
      </c>
      <c r="L66" s="78"/>
      <c r="M66" s="116" t="s">
        <v>289</v>
      </c>
      <c r="N66" s="116"/>
      <c r="O66" s="41" t="str">
        <f>IF(H66="","",IF(AND(H66=0,J66&gt;=2),K66,IF(AND(H66=1,J66&gt;=3),K66,IF(AND(H66=2,J66&gt;=4),K66,IF(AND(H66=3,J66&gt;=5),K66,IF(AND(H66=4,J66&gt;=6),K66,IF(AND(H66=5,J66&gt;=7),K66,IF(AND(H66=6,J66&gt;=8),K66,IF(AND(H66=7,J66&gt;=9),K66,IF(AND(H66=8,J66&gt;=10),K66,""))))))))))</f>
        <v/>
      </c>
      <c r="P66" s="41" t="str">
        <f>IF(OR(H68="",J68="",W68="",Y68="",Y66&gt;="0"),F104,"")</f>
        <v>São Paulo</v>
      </c>
      <c r="Q66" s="41" t="b">
        <f t="shared" si="27"/>
        <v>0</v>
      </c>
      <c r="S66" s="95" t="str">
        <f>IF(Z66="Venc. Jogo 9","Estadio Indefinido",IF(U66=F22,D22,IF(U66=K22,S22,IF(U66=F23,D23,IF(U66=K23,S23,"Estadio Indefinido")))))</f>
        <v>Morumbi</v>
      </c>
      <c r="T66" s="95"/>
      <c r="U66" s="78" t="str">
        <f>K66</f>
        <v>São Paulo</v>
      </c>
      <c r="V66" s="78"/>
      <c r="W66" s="35">
        <v>3</v>
      </c>
      <c r="X66" s="3" t="s">
        <v>2</v>
      </c>
      <c r="Y66" s="35">
        <v>0</v>
      </c>
      <c r="Z66" s="78" t="str">
        <f>F66</f>
        <v>CRB</v>
      </c>
      <c r="AA66" s="78"/>
      <c r="AB66" s="78" t="s">
        <v>290</v>
      </c>
      <c r="AC66" s="78"/>
      <c r="AG66" s="70"/>
      <c r="AH66" s="71"/>
      <c r="AI66" s="84"/>
      <c r="AJ66" s="84"/>
    </row>
    <row r="67" spans="2:36" ht="15" hidden="1" customHeight="1">
      <c r="B67" s="24"/>
      <c r="D67" s="78" t="str">
        <f t="shared" si="29"/>
        <v>Abi Chedid</v>
      </c>
      <c r="E67" s="78"/>
      <c r="F67" s="97" t="str">
        <f>IF(O24=K24,K24,IF(OR(H24="",J24="",W24="",Y24=""),"Venc. Jogo 11",IF(AND(H24=W24,J24=Y24,AG24="",AI24=""),"Penalidades",IF(SUM(H24,Y24)&gt;SUM(J24,W24),F24,IF(SUM(J24,W24)&gt;SUM(H24,Y24),K24,IF(Q24=F24,F24,IF(Q24=K24,K24,IF(SUM(H24,J24,W24,Y24,AG24,AI24)=0,"Venc. Jogo 11",IF(AG24&gt;AI24,F24,IF(AI24&gt;AG24,K24,IF(AG24=AI24,"Venc. Jogo 11","Erro Recoloque os Resultados")))))))))))</f>
        <v>Bragantino</v>
      </c>
      <c r="G67" s="97"/>
      <c r="H67" s="8"/>
      <c r="I67" s="8"/>
      <c r="J67" s="8"/>
      <c r="K67" s="97" t="str">
        <f>IF(O25=K25,K25,IF(OR(H25="",J25="",W25="",Y25=""),"Venc. Jogo 12",IF(AND(H25=W25,J25=Y25,AG25="",AI25=""),"Penalidades",IF(SUM(H25,Y25)&gt;SUM(J25,W25),F25,IF(SUM(J25,W25)&gt;SUM(H25,Y25),K25,IF(Q25=F25,F25,IF(Q25=K25,K25,IF(SUM(H25,J25,W25,Y25,AG25,AI25)=0,"Venc. Jogo 12",IF(AG25&gt;AI25,F25,IF(AI25&gt;AG25,K25,IF(AG25=AI25,"Venc. Jogo 12","Erro Recoloque os Resultados")))))))))))</f>
        <v>Figueirense</v>
      </c>
      <c r="L67" s="97"/>
      <c r="M67" s="117"/>
      <c r="N67" s="117"/>
      <c r="O67" s="41" t="str">
        <f t="shared" si="26"/>
        <v/>
      </c>
      <c r="P67" s="41"/>
      <c r="Q67" s="41" t="b">
        <f t="shared" si="27"/>
        <v>0</v>
      </c>
      <c r="S67" s="95" t="str">
        <f t="shared" si="30"/>
        <v>Estadio Indefinido</v>
      </c>
      <c r="T67" s="95"/>
      <c r="AG67" s="73"/>
      <c r="AH67" s="74"/>
      <c r="AI67" s="78"/>
      <c r="AJ67" s="78"/>
    </row>
    <row r="68" spans="2:36">
      <c r="B68" s="24" t="s">
        <v>268</v>
      </c>
      <c r="D68" s="78" t="str">
        <f>IF(K68="Venc. Jogo 12","Estadio Indefinido",IF(F68=F24,D24,IF(F68=K24,S24,IF(F68=F25,D25,IF(F68=K25,S25,"Estadio Indefinido")))))</f>
        <v>Abi Chedid</v>
      </c>
      <c r="E68" s="78"/>
      <c r="F68" s="97" t="str">
        <f>IF(F67="Venc. Jogo 11",F67,IF(F67="Penalidades",F67,IF(F67=F24,F24,IF(AND(F67=K24,K67=F25),F25,IF(AND(F67=K24,K67=K25),K24,IF(P24&lt;&gt;"Venc. Jogo 11",F67,"Venc. Jogo 11"))))))</f>
        <v>Bragantino</v>
      </c>
      <c r="G68" s="97"/>
      <c r="H68" s="36">
        <v>2</v>
      </c>
      <c r="I68" s="3" t="s">
        <v>2</v>
      </c>
      <c r="J68" s="35">
        <v>1</v>
      </c>
      <c r="K68" s="78" t="str">
        <f>IF(K67="Venc. Jogo 12",K67,IF(K67="Penalidades","Penalidades",IF(K67=K25,K25,IF(AND(K67=F25,F67=K24),K24,IF(AND(K67=F25,F67=F24),F25,IF(P25&lt;&gt;"Venc. Jogo 12",K67,"Venc. Jogo 12"))))))</f>
        <v>Figueirense</v>
      </c>
      <c r="L68" s="78"/>
      <c r="M68" s="116" t="s">
        <v>291</v>
      </c>
      <c r="N68" s="116"/>
      <c r="O68" s="41" t="str">
        <f>IF(H68="","",IF(AND(H68=0,J68&gt;=2),K68,IF(AND(H68=1,J68&gt;=3),K68,IF(AND(H68=2,J68&gt;=4),K68,IF(AND(H68=3,J68&gt;=5),K68,IF(AND(H68=4,J68&gt;=6),K68,IF(AND(H68=5,J68&gt;=7),K68,IF(AND(H68=6,J68&gt;=8),K68,IF(AND(H68=7,J68&gt;=9),K68,IF(AND(H68=8,J68&gt;=10),K68,""))))))))))</f>
        <v/>
      </c>
      <c r="P68" s="41" t="str">
        <f>IF(OR(H66="",J66="",W66="",Y66="",Y68&gt;="0"),K104,"")</f>
        <v/>
      </c>
      <c r="Q68" s="41" t="b">
        <f t="shared" si="27"/>
        <v>0</v>
      </c>
      <c r="S68" s="95" t="str">
        <f>IF(Z68="Venc. Jogo 11","Estadio Indefinido",IF(U68=F24,D24,IF(U68=K24,S24,IF(U68=F25,D25,IF(U68=K25,S25,"Estadio Indefinido")))))</f>
        <v>Orlando Scarpelli</v>
      </c>
      <c r="T68" s="95"/>
      <c r="U68" s="78" t="str">
        <f>K68</f>
        <v>Figueirense</v>
      </c>
      <c r="V68" s="78"/>
      <c r="W68" s="35"/>
      <c r="X68" s="3" t="s">
        <v>2</v>
      </c>
      <c r="Y68" s="35"/>
      <c r="Z68" s="78" t="str">
        <f>F68</f>
        <v>Bragantino</v>
      </c>
      <c r="AA68" s="78"/>
      <c r="AB68" s="78" t="s">
        <v>285</v>
      </c>
      <c r="AC68" s="78"/>
      <c r="AG68" s="70"/>
      <c r="AH68" s="71"/>
      <c r="AI68" s="84"/>
      <c r="AJ68" s="84"/>
    </row>
    <row r="69" spans="2:36" ht="15" hidden="1" customHeight="1">
      <c r="B69" s="24"/>
      <c r="D69" s="78" t="str">
        <f t="shared" si="29"/>
        <v>Couto Pereira</v>
      </c>
      <c r="E69" s="78"/>
      <c r="F69" s="97" t="str">
        <f>IF(O26=K26,K26,IF(OR(H26="",J26="",W26="",Y26=""),"Venc. Jogo 13",IF(AND(H26=W26,J26=Y26,AG26="",AI26=""),"Penalidades",IF(SUM(H26,Y26)&gt;SUM(J26,W26),F26,IF(SUM(J26,W26)&gt;SUM(H26,Y26),K26,IF(Q26=F26,F26,IF(Q26=K26,K26,IF(SUM(H26,J26,W26,Y26,AG26,AI26)=0,"Venc. Jogo 13",IF(AG26&gt;AI26,F26,IF(AI26&gt;AG26,K26,IF(AG26=AI26,"Venc. Jogo 13","Erro Recoloque os Resultados")))))))))))</f>
        <v>Coritiba</v>
      </c>
      <c r="G69" s="97"/>
      <c r="H69" s="8"/>
      <c r="I69" s="8"/>
      <c r="J69" s="8"/>
      <c r="K69" s="97" t="str">
        <f>IF(O27=K27,K27,IF(OR(H27="",J27="",W27="",Y27=""),"Venc. Jogo 14",IF(AND(H27=W27,J27=Y27,AG27="",AI27=""),"Penalidades",IF(SUM(H27,Y27)&gt;SUM(J27,W27),F27,IF(SUM(J27,W27)&gt;SUM(H27,Y27),K27,IF(Q27=F27,F27,IF(Q27=K27,K27,IF(SUM(H27,J27,W27,Y27,AG27,AI27)=0,"Venc. Jogo 14",IF(AG27&gt;AI27,F27,IF(AI27&gt;AG27,K27,IF(AG27=AI27,"Venc. Jogo 14","Erro Recoloque os Resultados")))))))))))</f>
        <v>Caldense</v>
      </c>
      <c r="L69" s="97"/>
      <c r="M69" s="117"/>
      <c r="N69" s="117"/>
      <c r="O69" s="41" t="str">
        <f t="shared" si="26"/>
        <v/>
      </c>
      <c r="P69" s="41"/>
      <c r="Q69" s="41" t="b">
        <f t="shared" si="27"/>
        <v>0</v>
      </c>
      <c r="S69" s="95" t="str">
        <f t="shared" si="30"/>
        <v>Estadio Indefinido</v>
      </c>
      <c r="T69" s="95"/>
      <c r="AG69" s="73"/>
      <c r="AH69" s="74"/>
      <c r="AI69" s="78"/>
      <c r="AJ69" s="78"/>
    </row>
    <row r="70" spans="2:36">
      <c r="B70" s="24" t="s">
        <v>269</v>
      </c>
      <c r="D70" s="78" t="str">
        <f>IF(K70="Venc. Jogo 14","Estadio Indefinido",IF(F70=F26,D26,IF(F70=K26,S26,IF(F70=F27,D27,IF(F70=K27,S27,"Estadio Indefinido")))))</f>
        <v>Ronaldão</v>
      </c>
      <c r="E70" s="78"/>
      <c r="F70" s="97" t="str">
        <f>IF(F69="Venc. Jogo 13",F69,IF(F69="Penalidades",F69,IF(K69=F27,F27,IF(AND(F69=F26,K69=F27),F27,IF(AND(F69=F26,K69=K27),F26,IF(AND(F69=K26,K69=F27),F27,IF(AND(F69=K26,K69=K27),K27,IF(P26&lt;&gt;"Venc. Jogo 13",F69,"Venc. Jogo 13"))))))))</f>
        <v>Caldense</v>
      </c>
      <c r="G70" s="97"/>
      <c r="H70" s="36">
        <v>0</v>
      </c>
      <c r="I70" s="3" t="s">
        <v>2</v>
      </c>
      <c r="J70" s="35">
        <v>2</v>
      </c>
      <c r="K70" s="78" t="str">
        <f>IF(K69="Venc. Jogo 14",K69,IF(K69="Penalidades",K69,IF(F69=K26,K26,IF(AND(K69=F27,F69=F26),F26,IF(AND(K69=K27,F69=F26),K27,IF(P27&lt;&gt;"Venc. Jogo 14",K69,"Venc. Jogo 14"))))))</f>
        <v>Coritiba</v>
      </c>
      <c r="L70" s="78"/>
      <c r="M70" s="116" t="s">
        <v>292</v>
      </c>
      <c r="N70" s="116"/>
      <c r="O70" s="41" t="str">
        <f>IF(H70="","",IF(AND(H70=0,J70&gt;=2),K70,IF(AND(H70=1,J70&gt;=3),K70,IF(AND(H70=2,J70&gt;=4),K70,IF(AND(H70=3,J70&gt;=5),K70,IF(AND(H70=4,J70&gt;=6),K70,IF(AND(H70=5,J70&gt;=7),K70,IF(AND(H70=6,J70&gt;=8),K70,IF(AND(H70=7,J70&gt;=9),K70,IF(AND(H70=8,J70&gt;=10),K70,""))))))))))</f>
        <v>Coritiba</v>
      </c>
      <c r="P70" s="41" t="str">
        <f>IF(OR(H72="",J72="",W72="",Y72="",Y70&gt;="0"),F106,"")</f>
        <v>Coritiba</v>
      </c>
      <c r="Q70" s="41" t="b">
        <f t="shared" si="27"/>
        <v>0</v>
      </c>
      <c r="S70" s="95" t="str">
        <f>IF(Z70="Venc. Jogo 13","Estadio Indefinido",IF(U70=F26,D26,IF(U70=K26,S26,IF(U70=F27,D27,IF(U70=K27,S27,"Estadio Indefinido")))))</f>
        <v>Couto Pereira</v>
      </c>
      <c r="T70" s="95"/>
      <c r="U70" s="78" t="str">
        <f>K70</f>
        <v>Coritiba</v>
      </c>
      <c r="V70" s="78"/>
      <c r="W70" s="44" t="s">
        <v>362</v>
      </c>
      <c r="X70" s="3" t="s">
        <v>2</v>
      </c>
      <c r="Y70" s="44" t="s">
        <v>362</v>
      </c>
      <c r="Z70" s="78" t="str">
        <f>F70</f>
        <v>Caldense</v>
      </c>
      <c r="AA70" s="78"/>
      <c r="AB70" s="78" t="s">
        <v>293</v>
      </c>
      <c r="AC70" s="78"/>
      <c r="AG70" s="70"/>
      <c r="AH70" s="71"/>
      <c r="AI70" s="84"/>
      <c r="AJ70" s="84"/>
    </row>
    <row r="71" spans="2:36" ht="15" hidden="1" customHeight="1">
      <c r="B71" s="24"/>
      <c r="D71" s="78" t="str">
        <f t="shared" si="29"/>
        <v>Ilha do Retiro</v>
      </c>
      <c r="E71" s="78"/>
      <c r="F71" s="97" t="str">
        <f>IF(O28=K28,K28,IF(OR(H28="",J28="",W28="",Y28=""),"Venc. Jogo 15",IF(AND(H28=W28,J28=Y28,AG28="",AI28=""),"Penalidades",IF(SUM(H28,Y28)&gt;SUM(J28,W28),F28,IF(SUM(J28,W28)&gt;SUM(H28,Y28),K28,IF(Q28=F28,F28,IF(Q28=K28,K28,IF(SUM(H28,J28,W28,Y28,AG28,AI28)=0,"Venc. Jogo 15",IF(AG28&gt;AI28,F28,IF(AI28&gt;AG28,K28,IF(AG28=AI28,"Venc. Jogo 15","Erro Recoloque os Resultados")))))))))))</f>
        <v>Sport</v>
      </c>
      <c r="G71" s="97"/>
      <c r="H71" s="8"/>
      <c r="I71" s="8"/>
      <c r="J71" s="8"/>
      <c r="K71" s="97" t="str">
        <f>IF(O29=K29,K29,IF(OR(H29="",J29="",W29="",Y29=""),"Venc. Jogo 16",IF(AND(H29=W29,J29=Y29,AG29="",AI29=""),"Penalidades",IF(SUM(H29,Y29)&gt;SUM(J29,W29),F29,IF(SUM(J29,W29)&gt;SUM(H29,Y29),K29,IF(Q29=F29,F29,IF(Q29=K29,K29,IF(SUM(H29,J29,W29,Y29,AG29,AI29)=0,"Venc. Jogo 16",IF(AG29&gt;AI29,F29,IF(AI29&gt;AG29,K29,IF(AG29=AI29,"Venc. Jogo 16","Erro Recoloque os Resultados")))))))))))</f>
        <v>Paysandu</v>
      </c>
      <c r="L71" s="97"/>
      <c r="M71" s="117"/>
      <c r="N71" s="117"/>
      <c r="O71" s="41" t="str">
        <f t="shared" si="26"/>
        <v/>
      </c>
      <c r="P71" s="41"/>
      <c r="Q71" s="41" t="b">
        <f t="shared" si="27"/>
        <v>0</v>
      </c>
      <c r="S71" s="95" t="str">
        <f t="shared" si="30"/>
        <v>Estadio Indefinido</v>
      </c>
      <c r="T71" s="95"/>
      <c r="AG71" s="73"/>
      <c r="AH71" s="74"/>
      <c r="AI71" s="78"/>
      <c r="AJ71" s="78"/>
    </row>
    <row r="72" spans="2:36">
      <c r="B72" s="24" t="s">
        <v>270</v>
      </c>
      <c r="D72" s="78" t="str">
        <f>IF(K72="Venc. Jogo 16","Estadio Indefinido",IF(F72=F28,D28,IF(F72=K28,S28,IF(F72=F29,D29,IF(F72=K29,S29,"Estadio Indefinido")))))</f>
        <v>Mangueirão</v>
      </c>
      <c r="E72" s="78"/>
      <c r="F72" s="97" t="str">
        <f>IF(F71="Venc. Jogo 15",F71,IF(F71="Penalidades",F71,IF(K71=F29,F29,IF(AND(F71=F28,K71=K29),F28,IF(AND(F71=K28,K71=K29),K29,IF(P28&lt;&gt;"Venc. Jogo 15",F71,"Venc. Jogo 15"))))))</f>
        <v>Paysandu</v>
      </c>
      <c r="G72" s="97"/>
      <c r="H72" s="36"/>
      <c r="I72" s="3" t="s">
        <v>2</v>
      </c>
      <c r="J72" s="35"/>
      <c r="K72" s="78" t="str">
        <f>IF(K71="Venc. Jogo 16",K71,IF(K71="Penalidades",K71,IF(F71=K28,K28,IF(AND(K71=K29,F71=F28),K29,IF(AND(K71=F29,F71=F28),F28,IF(P29&lt;&gt;"Venc. Jogo 16",K71,"Venc. Jogo 16"))))))</f>
        <v>Sport</v>
      </c>
      <c r="L72" s="78"/>
      <c r="M72" s="116" t="s">
        <v>294</v>
      </c>
      <c r="N72" s="116"/>
      <c r="O72" s="41" t="str">
        <f>IF(H72="","",IF(AND(H72=0,J72&gt;=2),K72,IF(AND(H72=1,J72&gt;=3),K72,IF(AND(H72=2,J72&gt;=4),K72,IF(AND(H72=3,J72&gt;=5),K72,IF(AND(H72=4,J72&gt;=6),K72,IF(AND(H72=5,J72&gt;=7),K72,IF(AND(H72=6,J72&gt;=8),K72,IF(AND(H72=7,J72&gt;=9),K72,IF(AND(H72=8,J72&gt;=10),K72,""))))))))))</f>
        <v/>
      </c>
      <c r="P72" s="41" t="str">
        <f>IF(OR(H70="",J70="",W70="",Y70="",Y72&gt;="0"),K106,"")</f>
        <v/>
      </c>
      <c r="Q72" s="41" t="b">
        <f t="shared" si="27"/>
        <v>0</v>
      </c>
      <c r="S72" s="95" t="str">
        <f>IF(Z72="Venc. Jogo 15","Estadio Indefinido",IF(U72=F28,D28,IF(U72=K28,S28,IF(U72=F29,D29,IF(U72=K29,S29,"Estadio Indefinido")))))</f>
        <v>Ilha do Retiro</v>
      </c>
      <c r="T72" s="95"/>
      <c r="U72" s="78" t="str">
        <f>K72</f>
        <v>Sport</v>
      </c>
      <c r="V72" s="78"/>
      <c r="W72" s="35"/>
      <c r="X72" s="3" t="s">
        <v>2</v>
      </c>
      <c r="Y72" s="35"/>
      <c r="Z72" s="78" t="str">
        <f>F72</f>
        <v>Paysandu</v>
      </c>
      <c r="AA72" s="78"/>
      <c r="AB72" s="78" t="s">
        <v>295</v>
      </c>
      <c r="AC72" s="78"/>
      <c r="AG72" s="70"/>
      <c r="AH72" s="71"/>
      <c r="AI72" s="84"/>
      <c r="AJ72" s="84"/>
    </row>
    <row r="73" spans="2:36" ht="15" hidden="1" customHeight="1">
      <c r="B73" s="24"/>
      <c r="D73" s="78" t="str">
        <f t="shared" si="29"/>
        <v>Presidente Dutra</v>
      </c>
      <c r="E73" s="78"/>
      <c r="F73" s="97" t="str">
        <f>IF(O30=K30,K30,IF(OR(H30="",J30="",W30="",Y30=""),"Venc. Jogo 17",IF(AND(H30=W30,J30=Y30,AG30="",AI30=""),"Penalidades",IF(SUM(H30,Y30)&gt;SUM(J30,W30),F30,IF(SUM(J30,W30)&gt;SUM(H30,Y30),K30,IF(Q30=F30,F30,IF(Q30=K30,K30,IF(SUM(H30,J30,W30,Y30,AG30,AI30)=0,"Venc. Jogo 17",IF(AG30&gt;AI30,F30,IF(AI30&gt;AG30,K30,IF(AG30=AI30,"Venc. Jogo 17","Erro Recoloque os Resultados")))))))))))</f>
        <v>Cuiabá</v>
      </c>
      <c r="G73" s="97"/>
      <c r="H73" s="8"/>
      <c r="I73" s="8"/>
      <c r="J73" s="8"/>
      <c r="K73" s="97" t="str">
        <f>IF(O31=K31,K31,IF(OR(H31="",J31="",W31="",Y31=""),"Venc. Jogo 18",IF(AND(H31=W31,J31=Y31,AG31="",AI31=""),"Penalidades",IF(SUM(H31,Y31)&gt;SUM(J31,W31),F31,IF(SUM(J31,W31)&gt;SUM(H31,Y31),K31,IF(Q31=F31,F31,IF(Q31=K31,K31,IF(SUM(H31,J31,W31,Y31,AG31,AI31)=0,"Venc. Jogo 18",IF(AG31&gt;AI31,F31,IF(AI31&gt;AG31,K31,IF(AG31=AI31,"Venc. Jogo 18","Erro Recoloque os Resultados")))))))))))</f>
        <v>Internacional</v>
      </c>
      <c r="L73" s="97"/>
      <c r="M73" s="117"/>
      <c r="N73" s="117"/>
      <c r="O73" s="41" t="str">
        <f t="shared" si="26"/>
        <v/>
      </c>
      <c r="P73" s="41"/>
      <c r="Q73" s="41" t="b">
        <f t="shared" si="27"/>
        <v>0</v>
      </c>
      <c r="S73" s="95" t="str">
        <f t="shared" si="30"/>
        <v>Estadio Indefinido</v>
      </c>
      <c r="T73" s="95"/>
      <c r="AG73" s="73"/>
      <c r="AH73" s="74"/>
      <c r="AI73" s="78"/>
      <c r="AJ73" s="78"/>
    </row>
    <row r="74" spans="2:36">
      <c r="B74" s="24" t="s">
        <v>271</v>
      </c>
      <c r="D74" s="78" t="str">
        <f>IF(K74="Venc. Jogo 18","Estadio Indefinido",IF(F74=F30,D30,IF(F74=K30,S30,IF(F74=F31,D31,IF(F74=K31,S31,"Estadio Indefinido")))))</f>
        <v>Presidente Dutra</v>
      </c>
      <c r="E74" s="78"/>
      <c r="F74" s="114" t="str">
        <f>IF(F73="Venc. Jogo 17",F73,IF(F73="Penalidades",F73,IF(F73=F30,F30,IF(AND(F73=K30,K73=F31),F31,IF(AND(F73=K30,K73=K31),K30,IF(P30&lt;&gt;"Venc. Jogo 17",F73,"Venc. Jogo 17"))))))</f>
        <v>Cuiabá</v>
      </c>
      <c r="G74" s="114"/>
      <c r="H74" s="36">
        <v>1</v>
      </c>
      <c r="I74" s="3" t="s">
        <v>2</v>
      </c>
      <c r="J74" s="35">
        <v>1</v>
      </c>
      <c r="K74" s="78" t="str">
        <f>IF(K73="Venc. Jogo 18",K73,IF(K73="Penalidades",K73,IF(K73=K31,K31,IF(AND(K73=F31,F73=K30),K30,IF(AND(K73=F31,F73=F30),F31,IF(P32&lt;&gt;"Venc. Jogo 18",K73,"Venc. Jogo 18"))))))</f>
        <v>Internacional</v>
      </c>
      <c r="L74" s="78"/>
      <c r="M74" s="116" t="s">
        <v>296</v>
      </c>
      <c r="N74" s="116"/>
      <c r="O74" s="41" t="str">
        <f>IF(H74="","",IF(AND(H74=0,J74&gt;=2),K74,IF(AND(H74=1,J74&gt;=3),K74,IF(AND(H74=2,J74&gt;=4),K74,IF(AND(H74=3,J74&gt;=5),K74,IF(AND(H74=4,J74&gt;=6),K74,IF(AND(H74=5,J74&gt;=7),K74,IF(AND(H74=6,J74&gt;=8),K74,IF(AND(H74=7,J74&gt;=9),K74,IF(AND(H74=8,J74&gt;=10),K74,""))))))))))</f>
        <v/>
      </c>
      <c r="P74" s="41" t="str">
        <f>IF(OR(H76="",J76="",W76="",Y76="",Y74&gt;="0"),F108,"")</f>
        <v>Venc. Jogo 49</v>
      </c>
      <c r="Q74" s="41" t="str">
        <f t="shared" si="27"/>
        <v>Internacional</v>
      </c>
      <c r="S74" s="95" t="str">
        <f>IF(Z74="Venc. Jogo 17","Estadio Indefinido",IF(U74=F30,D30,IF(U74=K30,S30,IF(U74=F31,D31,IF(U74=K31,S31,"Estadio Indefinido")))))</f>
        <v>Beira Rio</v>
      </c>
      <c r="T74" s="95"/>
      <c r="U74" s="95" t="str">
        <f>K74</f>
        <v>Internacional</v>
      </c>
      <c r="V74" s="95"/>
      <c r="W74" s="35"/>
      <c r="X74" s="3" t="s">
        <v>2</v>
      </c>
      <c r="Y74" s="35"/>
      <c r="Z74" s="78" t="str">
        <f>F74</f>
        <v>Cuiabá</v>
      </c>
      <c r="AA74" s="78"/>
      <c r="AB74" s="78" t="s">
        <v>297</v>
      </c>
      <c r="AC74" s="78"/>
      <c r="AG74" s="70"/>
      <c r="AH74" s="71"/>
      <c r="AI74" s="84"/>
      <c r="AJ74" s="84"/>
    </row>
    <row r="75" spans="2:36" ht="15" hidden="1" customHeight="1">
      <c r="B75" s="24"/>
      <c r="D75" s="78" t="str">
        <f t="shared" si="29"/>
        <v xml:space="preserve">Castelão </v>
      </c>
      <c r="E75" s="78"/>
      <c r="F75" s="114" t="str">
        <f>IF(O32=K32,K32,IF(OR(H32="",J32="",W32="",Y32=""),"Venc. Jogo 19",IF(AND(H32=W32,J32=Y32,AG32="",AI32=""),"Penalidades",IF(SUM(H32,Y32)&gt;SUM(J32,W32),F32,IF(SUM(J32,W32)&gt;SUM(H32,Y32),K32,IF(Q32=F32,F32,IF(Q32=K32,K32,IF(SUM(H32,J32,W32,Y32,AG32,AI32)=0,"Venc. Jogo 19",IF(AG32&gt;AI32,F32,IF(AI32&gt;AG32,K32,IF(AG32=AI32,"Venc. Jogo 19","Erro Recoloque os Resultados")))))))))))</f>
        <v>Ceará</v>
      </c>
      <c r="G75" s="114"/>
      <c r="H75" s="8"/>
      <c r="I75" s="8"/>
      <c r="J75" s="8"/>
      <c r="K75" s="97" t="str">
        <f>IF(O33=K33,K33,IF(OR(H33="",J33="",W33="",Y33=""),"Venc. Jogo 20",IF(AND(H33=W33,J33=Y33,AG33="",AI33=""),"Penalidades",IF(SUM(H33,Y33)&gt;SUM(J33,W33),F33,IF(SUM(J33,W33)&gt;SUM(H33,Y33),K33,IF(Q33=F33,F33,IF(Q33=K33,K33,IF(SUM(H33,J33,W33,Y33,AG33,AI33)=0,"Venc. Jogo 20",IF(AG33&gt;AI33,F33,IF(AI33&gt;AG33,K33,IF(AG33=AI33,"Venc. Jogo 20","Erro Recoloque os Resultados")))))))))))</f>
        <v>Chapecoense</v>
      </c>
      <c r="L75" s="97"/>
      <c r="M75" s="117"/>
      <c r="N75" s="117"/>
      <c r="O75" s="41" t="str">
        <f t="shared" si="26"/>
        <v/>
      </c>
      <c r="P75" s="41"/>
      <c r="Q75" s="41" t="b">
        <f>IF(SUM(H75,Y75)=SUM(J75,W75),IF(J75&gt;Y75,K75,IF(Y75&gt;J75,F75)))</f>
        <v>0</v>
      </c>
      <c r="S75" s="95" t="str">
        <f t="shared" si="30"/>
        <v>Estadio Indefinido</v>
      </c>
      <c r="T75" s="95"/>
      <c r="U75" s="15"/>
      <c r="V75" s="15"/>
      <c r="AG75" s="73"/>
      <c r="AH75" s="74"/>
      <c r="AI75" s="78"/>
      <c r="AJ75" s="78"/>
    </row>
    <row r="76" spans="2:36">
      <c r="B76" s="24" t="s">
        <v>272</v>
      </c>
      <c r="D76" s="78" t="str">
        <f>IF(K76="Venc. Jogo 20","Estadio Indefinido",IF(F76=F32,D32,IF(F76=K32,S32,IF(F76=F33,D33,IF(F76=K33,S33,"Estadio Indefinido")))))</f>
        <v>Arena Condá</v>
      </c>
      <c r="E76" s="78"/>
      <c r="F76" s="114" t="str">
        <f>IF(F75="Venc. Jogo 19",F75,IF(F75="Penalidades",F75,IF(K75=F33,F33,IF(AND(F75=F32,K75=K33),F32,IF(AND(F75=K32,K75=K33),K33,IF(P32&lt;&gt;"Venc. Jogo 19",F75,"Venc. Jogo 19"))))))</f>
        <v>Chapecoense</v>
      </c>
      <c r="G76" s="114"/>
      <c r="H76" s="36"/>
      <c r="I76" s="3" t="s">
        <v>2</v>
      </c>
      <c r="J76" s="35"/>
      <c r="K76" s="78" t="str">
        <f>IF(K75="Venc. Jogo 20",K75,IF(K75="Penalidades",K75,IF(F75=K32,K32,IF(AND(K75=F33,F75=F32),F32,IF(AND(K75=K33,F75=F32),K33,IF(P33&lt;&gt;"Venc. Jogo 20",K75,"Venc. Jogo 20"))))))</f>
        <v>Ceará</v>
      </c>
      <c r="L76" s="78"/>
      <c r="M76" s="116" t="s">
        <v>285</v>
      </c>
      <c r="N76" s="116"/>
      <c r="O76" s="41" t="str">
        <f>IF(H76="","",IF(AND(H76=0,J76&gt;=2),K76,IF(AND(H76=1,J76&gt;=3),K76,IF(AND(H76=2,J76&gt;=4),K76,IF(AND(H76=3,J76&gt;=5),K76,IF(AND(H76=4,J76&gt;=6),K76,IF(AND(H76=5,J76&gt;=7),K76,IF(AND(H76=6,J76&gt;=8),K76,IF(AND(H76=7,J76&gt;=9),K76,IF(AND(H76=8,J76&gt;=10),K76,""))))))))))</f>
        <v/>
      </c>
      <c r="P76" s="41" t="str">
        <f>IF(OR(H74="",J74="",W74="",Y74="",Y76&gt;="0"),K108,"")</f>
        <v>Venc. Jogo 50</v>
      </c>
      <c r="Q76" s="41" t="b">
        <f t="shared" si="27"/>
        <v>0</v>
      </c>
      <c r="S76" s="95" t="str">
        <f>IF(Z76="Venc. Jogo 19","Estadio Indefinido",IF(U76=F32,D32,IF(U76=K32,S32,IF(U76=F33,D33,IF(U76=K33,S33,"Estadio Indefinido")))))</f>
        <v xml:space="preserve">Castelão </v>
      </c>
      <c r="T76" s="95"/>
      <c r="U76" s="95" t="str">
        <f>K76</f>
        <v>Ceará</v>
      </c>
      <c r="V76" s="95"/>
      <c r="W76" s="35"/>
      <c r="X76" s="3" t="s">
        <v>2</v>
      </c>
      <c r="Y76" s="35"/>
      <c r="Z76" s="78" t="str">
        <f>F76</f>
        <v>Chapecoense</v>
      </c>
      <c r="AA76" s="78"/>
      <c r="AB76" s="78" t="s">
        <v>298</v>
      </c>
      <c r="AC76" s="78"/>
      <c r="AG76" s="70"/>
      <c r="AH76" s="71"/>
      <c r="AI76" s="84"/>
      <c r="AJ76" s="84"/>
    </row>
    <row r="77" spans="2:36" ht="15" hidden="1" customHeight="1">
      <c r="B77" s="24"/>
      <c r="D77" s="78" t="str">
        <f t="shared" si="29"/>
        <v>Presidente Vargas</v>
      </c>
      <c r="E77" s="78"/>
      <c r="F77" s="97" t="str">
        <f>IF(O34=K34,K34,IF(OR(H34="",J34="",W34="",Y34=""),"Venc. Jogo 21",IF(AND(H34=W34,J34=Y34,AG34="",AI34=""),"Penalidades",IF(SUM(H34,Y34)&gt;SUM(J34,W34),F34,IF(SUM(J34,W34)&gt;SUM(H34,Y34),K34,IF(Q34=F34,F34,IF(Q34=K34,K34,IF(SUM(H34,J34,W34,Y34,AG34,AI34)=0,"Venc. Jogo 21",IF(AG34&gt;AI34,F34,IF(AI34&gt;AG34,K34,IF(AG34=AI34,"Venc. Jogo 21","Erro Recoloque os Resultados")))))))))))</f>
        <v>Treze</v>
      </c>
      <c r="G77" s="97"/>
      <c r="H77" s="8"/>
      <c r="I77" s="8"/>
      <c r="J77" s="8"/>
      <c r="K77" s="97" t="str">
        <f>IF(O35=K35,K35,IF(OR(H35="",J35="",W35="",Y35=""),"Venc. Jogo 22",IF(AND(H35=W35,J35=Y35,AG35="",AI35=""),"Penalidades",IF(SUM(H35,Y35)&gt;SUM(J35,W35),F35,IF(SUM(J35,W35)&gt;SUM(H35,Y35),K35,IF(Q35=F35,F35,IF(Q35=K35,K35,IF(SUM(H35,J35,W35,Y35,AG35,AI35)=0,"Venc. Jogo 22",IF(AG35&gt;AI35,F35,IF(AI35&gt;AG35,K35,IF(AG35=AI35,"Venc. Jogo 22","Erro Recoloque os Resultados")))))))))))</f>
        <v>Vasco</v>
      </c>
      <c r="L77" s="97"/>
      <c r="M77" s="117"/>
      <c r="N77" s="117"/>
      <c r="O77" s="41" t="str">
        <f t="shared" si="26"/>
        <v/>
      </c>
      <c r="P77" s="41"/>
      <c r="Q77" s="41" t="b">
        <f t="shared" si="27"/>
        <v>0</v>
      </c>
      <c r="S77" s="95" t="str">
        <f t="shared" si="30"/>
        <v>Estadio Indefinido</v>
      </c>
      <c r="T77" s="95"/>
      <c r="AG77" s="73"/>
      <c r="AH77" s="74"/>
      <c r="AI77" s="78"/>
      <c r="AJ77" s="78"/>
    </row>
    <row r="78" spans="2:36">
      <c r="B78" s="24" t="s">
        <v>273</v>
      </c>
      <c r="D78" s="78" t="str">
        <f>IF(K78="Venc. Jogo 22","Estadio Indefinido",IF(F78=F34,D34,IF(F78=K34,S34,IF(F78=F35,D35,IF(F78=K35,S35,"Estadio Indefinido")))))</f>
        <v>Presidente Vargas</v>
      </c>
      <c r="E78" s="78"/>
      <c r="F78" s="114" t="str">
        <f>IF(F77="Venc. Jogo 21",F77,IF(F77="Penalidades",F77,IF(F77=F34,F34,IF(AND(F77=K34,K77=F35),F35,IF(AND(F77=K34,K77=K35),K34,IF(P34&lt;&gt;"Venc. Jogo 21",F77,"Venc. Jogo 21"))))))</f>
        <v>Treze</v>
      </c>
      <c r="G78" s="114"/>
      <c r="H78" s="36">
        <v>1</v>
      </c>
      <c r="I78" s="3" t="s">
        <v>2</v>
      </c>
      <c r="J78" s="35">
        <v>2</v>
      </c>
      <c r="K78" s="97" t="str">
        <f>IF(K77="Venc. Jogo 22",K77,IF(K77=K35,K35,IF(K77="Penalidades",K77,IF(AND(K77=F35,F77=F34),F35,IF(AND(K77=F35,F77=K34),K34,IF(P35&lt;&gt;"Venc. Jogo 22",K77,"Venc. Jogo 22"))))))</f>
        <v>Vasco</v>
      </c>
      <c r="L78" s="97"/>
      <c r="M78" s="116" t="s">
        <v>95</v>
      </c>
      <c r="N78" s="116"/>
      <c r="O78" s="41" t="str">
        <f>IF(H78="","",IF(AND(H78=0,J78&gt;=2),K78,IF(AND(H78=1,J78&gt;=3),K78,IF(AND(H78=2,J78&gt;=4),K78,IF(AND(H78=3,J78&gt;=5),K78,IF(AND(H78=4,J78&gt;=6),K78,IF(AND(H78=5,J78&gt;=7),K78,IF(AND(H78=6,J78&gt;=8),K78,IF(AND(H78=7,J78&gt;=9),K78,IF(AND(H78=8,J78&gt;=10),K78,""))))))))))</f>
        <v/>
      </c>
      <c r="P78" s="41" t="str">
        <f>IF(OR(H80="",J80="",W80="",Y80="",Y78&gt;="0"),F110,"")</f>
        <v/>
      </c>
      <c r="Q78" s="41" t="b">
        <f t="shared" si="27"/>
        <v>0</v>
      </c>
      <c r="S78" s="95" t="str">
        <f>IF(Z78="Venc. Jogo 21","Estadio Indefinido",IF(U78=F34,D34,IF(U78=K34,S34,IF(U78=F35,D35,IF(U78=K35,S35,"Estadio Indefinido")))))</f>
        <v>São Januário</v>
      </c>
      <c r="T78" s="95"/>
      <c r="U78" s="95" t="str">
        <f>K78</f>
        <v>Vasco</v>
      </c>
      <c r="V78" s="95"/>
      <c r="W78" s="35">
        <v>1</v>
      </c>
      <c r="X78" s="3" t="s">
        <v>2</v>
      </c>
      <c r="Y78" s="35">
        <v>1</v>
      </c>
      <c r="Z78" s="78" t="str">
        <f>F78</f>
        <v>Treze</v>
      </c>
      <c r="AA78" s="78"/>
      <c r="AB78" s="78" t="s">
        <v>299</v>
      </c>
      <c r="AC78" s="78"/>
      <c r="AG78" s="70"/>
      <c r="AH78" s="71"/>
      <c r="AI78" s="84"/>
      <c r="AJ78" s="84"/>
    </row>
    <row r="79" spans="2:36" ht="14.25" hidden="1" customHeight="1">
      <c r="B79" s="24"/>
      <c r="D79" s="78" t="str">
        <f>IF(K79="Venc. Jogo 2","Estadio Indefinido",IF(F79=F35,D35,IF(F79=K35,S35,IF(F79=F36,D36,IF(F79=K36,S36,"Estadio Indefinido")))))</f>
        <v>Durival Britto</v>
      </c>
      <c r="E79" s="78"/>
      <c r="F79" s="114" t="str">
        <f>IF(O36=K36,K36,IF(OR(H36="",J36="",W36="",Y36=""),"Venc. Jogo 23",IF(AND(H36=W36,J36=Y36,AG36="",AI36=""),"Penalidades",IF(SUM(H36,Y36)&gt;SUM(J36,W36),F36,IF(SUM(J36,W36)&gt;SUM(H36,Y36),K36,IF(Q36=F36,F36,IF(Q36=K36,K36,IF(SUM(H36,J36,W36,Y36,AG36,AI36)=0,"Venc. Jogo 23",IF(AG36&gt;AI36,F36,IF(AI36&gt;AG36,K36,IF(AG36=AI36,"Venc. Jogo 23","Erro Recoloque os Resultados")))))))))))</f>
        <v>Paraná</v>
      </c>
      <c r="G79" s="114"/>
      <c r="H79" s="8"/>
      <c r="I79" s="8"/>
      <c r="J79" s="8"/>
      <c r="K79" s="97" t="str">
        <f>IF(O37=K37,K37,IF(OR(H37="",J37="",W37="",Y37=""),"Venc. Jogo 24",IF(AND(H37=W37,J37=Y37,AG37="",AI37=""),"Penalidades",IF(SUM(H37,Y37)&gt;SUM(J37,W37),F37,IF(SUM(J37,W37)&gt;SUM(H37,Y37),K37,IF(Q37=F37,F37,IF(Q37=K37,K37,IF(SUM(H37,J37,W37,Y37,AG37,AI37)=0,"Venc. Jogo 24",IF(AG37&gt;AI37,F37,IF(AI37&gt;AG37,K37,IF(AG37=AI37,"Venc. Jogo 24","Erro Recoloque os Resultados")))))))))))</f>
        <v>Ponte Preta</v>
      </c>
      <c r="L79" s="97"/>
      <c r="M79" s="117"/>
      <c r="N79" s="117"/>
      <c r="O79" s="41" t="str">
        <f t="shared" si="26"/>
        <v/>
      </c>
      <c r="P79" s="41"/>
      <c r="Q79" s="41" t="b">
        <f t="shared" si="27"/>
        <v>0</v>
      </c>
      <c r="S79" s="95" t="str">
        <f t="shared" si="30"/>
        <v>Estadio Indefinido</v>
      </c>
      <c r="T79" s="95"/>
      <c r="U79" s="95" t="str">
        <f t="shared" ref="U79:U95" si="31">K79</f>
        <v>Ponte Preta</v>
      </c>
      <c r="V79" s="95"/>
      <c r="W79" s="14"/>
      <c r="X79" s="3" t="s">
        <v>2</v>
      </c>
      <c r="Y79" s="14"/>
      <c r="Z79" s="78" t="str">
        <f t="shared" ref="Z79:Z95" si="32">F79</f>
        <v>Paraná</v>
      </c>
      <c r="AA79" s="78"/>
      <c r="AB79" s="78"/>
      <c r="AC79" s="78"/>
      <c r="AG79" s="73"/>
      <c r="AH79" s="74"/>
      <c r="AI79" s="78"/>
      <c r="AJ79" s="78"/>
    </row>
    <row r="80" spans="2:36">
      <c r="B80" s="24" t="s">
        <v>274</v>
      </c>
      <c r="D80" s="78" t="str">
        <f>IF(K80="Venc. Jogo 24","Estadio Indefinido",IF(F80=F36,D36,IF(F80=K36,S36,IF(F80=F37,D37,IF(F80=K37,S37,"Estadio Indefinido")))))</f>
        <v>Durival Britto</v>
      </c>
      <c r="E80" s="78"/>
      <c r="F80" s="114" t="str">
        <f>IF(F79="Venc. Jogo 23",F79,IF(F79=F36,F36,IF(F79="Penalidades",F79,IF(AND(F79=K36,K79=F37),F37,IF(AND(F79=K36,K79=K37),K36,IF(P36&lt;&gt;"Venc. Jogo 23",F79,"Venc. Jogo 23"))))))</f>
        <v>Paraná</v>
      </c>
      <c r="G80" s="114"/>
      <c r="H80" s="36">
        <v>1</v>
      </c>
      <c r="I80" s="3" t="s">
        <v>2</v>
      </c>
      <c r="J80" s="35">
        <v>1</v>
      </c>
      <c r="K80" s="97" t="str">
        <f>IF(K79="Venc. Jogo 24",K79,IF(K79=K37,K37,IF(K79="Penalidades",K79,IF(AND(K79=F37,F79=K36),K36,IF(AND(K79=F37,F79=F36),F37,IF(P37&lt;&gt;"Venc. Jogo 24",K79,"Venc. Jogo 24"))))))</f>
        <v>Ponte Preta</v>
      </c>
      <c r="L80" s="97"/>
      <c r="M80" s="116" t="s">
        <v>300</v>
      </c>
      <c r="N80" s="116"/>
      <c r="O80" s="41" t="str">
        <f>IF(H80="","",IF(AND(H80=0,J80&gt;=2),K80,IF(AND(H80=1,J80&gt;=3),K80,IF(AND(H80=2,J80&gt;=4),K80,IF(AND(H80=3,J80&gt;=5),K80,IF(AND(H80=4,J80&gt;=6),K80,IF(AND(H80=5,J80&gt;=7),K80,IF(AND(H80=6,J80&gt;=8),K80,IF(AND(H80=7,J80&gt;=9),K80,IF(AND(H80=8,J80&gt;=10),K80,""))))))))))</f>
        <v/>
      </c>
      <c r="P80" s="41" t="str">
        <f>IF(OR(H78="",J78="",W78="",Y78="",Y80&gt;="0"),K110,"")</f>
        <v/>
      </c>
      <c r="Q80" s="41" t="b">
        <f t="shared" si="27"/>
        <v>0</v>
      </c>
      <c r="S80" s="95" t="str">
        <f>IF(Z80="Venc. Jogo 23","Estadio Indefinido",IF(U80=F36,D36,IF(U80=K36,S36,IF(U80=F37,D37,IF(U80=K37,S37,"Estadio Indefinido")))))</f>
        <v>Moisés Lucarelli</v>
      </c>
      <c r="T80" s="95"/>
      <c r="U80" s="95" t="str">
        <f t="shared" si="31"/>
        <v>Ponte Preta</v>
      </c>
      <c r="V80" s="95"/>
      <c r="W80" s="35">
        <v>1</v>
      </c>
      <c r="X80" s="3" t="s">
        <v>2</v>
      </c>
      <c r="Y80" s="35">
        <v>1</v>
      </c>
      <c r="Z80" s="78" t="str">
        <f t="shared" si="32"/>
        <v>Paraná</v>
      </c>
      <c r="AA80" s="78"/>
      <c r="AB80" s="78" t="s">
        <v>301</v>
      </c>
      <c r="AC80" s="78"/>
      <c r="AG80" s="70">
        <v>7</v>
      </c>
      <c r="AH80" s="71"/>
      <c r="AI80" s="84">
        <v>8</v>
      </c>
      <c r="AJ80" s="84"/>
    </row>
    <row r="81" spans="2:36" ht="15" hidden="1" customHeight="1">
      <c r="B81" s="24"/>
      <c r="D81" s="78" t="str">
        <f t="shared" si="29"/>
        <v>Ecoestádio</v>
      </c>
      <c r="E81" s="78"/>
      <c r="F81" s="97" t="str">
        <f>IF(O38=K38,K38,IF(OR(H38="",J38="",W38="",Y38=""),"Venc. Jogo 25",IF(AND(H38=W38,J38=Y38,AG38="",AI38=""),"Penalidades",IF(SUM(H38,Y38)&gt;SUM(J38,W38),F38,IF(SUM(J38,W38)&gt;SUM(H38,Y38),K38,IF(Q38=F38,F38,IF(Q38=K38,K38,IF(SUM(H38,J38,W38,Y38,AG38,AI38)=0,"Venc. Jogo 25",IF(AG38&gt;AI38,F38,IF(AI38&gt;AG38,K38,IF(AG38=AI38,"Venc. Jogo 25","Erro Recoloque os Resultados")))))))))))</f>
        <v>Jmalucelli</v>
      </c>
      <c r="G81" s="97"/>
      <c r="H81" s="8"/>
      <c r="I81" s="8"/>
      <c r="J81" s="8"/>
      <c r="K81" s="97" t="str">
        <f>IF(O39=K39,K39,IF(OR(H39="",J39="",W39="",Y39=""),"Venc. Jogo 26",IF(AND(H39=W39,J39=Y39,AG39="",AI39=""),"Penalidades",IF(SUM(H39,Y39)&gt;SUM(J39,W39),F39,IF(SUM(J39,W39)&gt;SUM(H39,Y39),K39,IF(Q39=F39,F39,IF(Q39=K39,K39,IF(SUM(H39,J39,W39,Y39,AG39,AI39)=0,"Venc. Jogo 26",IF(AG39&gt;AI39,F39,IF(AI39&gt;AG39,K39,IF(AG39=AI39,"Venc. Jogo 26","Erro Recoloque os Resultados")))))))))))</f>
        <v>Novo Hamburgo</v>
      </c>
      <c r="L81" s="97"/>
      <c r="M81" s="117"/>
      <c r="N81" s="117"/>
      <c r="O81" s="41" t="str">
        <f t="shared" si="26"/>
        <v/>
      </c>
      <c r="P81" s="41"/>
      <c r="Q81" s="41" t="b">
        <f t="shared" si="27"/>
        <v>0</v>
      </c>
      <c r="S81" s="95" t="str">
        <f t="shared" si="30"/>
        <v>Estadio Indefinido</v>
      </c>
      <c r="T81" s="95"/>
      <c r="U81" s="78" t="str">
        <f t="shared" si="31"/>
        <v>Novo Hamburgo</v>
      </c>
      <c r="V81" s="78"/>
      <c r="W81" s="14"/>
      <c r="X81" s="3" t="s">
        <v>2</v>
      </c>
      <c r="Y81" s="14"/>
      <c r="Z81" s="78" t="str">
        <f t="shared" si="32"/>
        <v>Jmalucelli</v>
      </c>
      <c r="AA81" s="78"/>
      <c r="AB81" s="78"/>
      <c r="AC81" s="78"/>
      <c r="AG81" s="73"/>
      <c r="AH81" s="74"/>
      <c r="AI81" s="78"/>
      <c r="AJ81" s="78"/>
    </row>
    <row r="82" spans="2:36">
      <c r="B82" s="24" t="s">
        <v>275</v>
      </c>
      <c r="D82" s="78" t="str">
        <f>IF(K82="Venc. Jogo 26","Estadio Indefinido",IF(F82=F38,D38,IF(F82=K38,S38,IF(F82=F39,D39,IF(F82=K39,S39,"Estadio Indefinido")))))</f>
        <v>Estádio do Vale</v>
      </c>
      <c r="E82" s="78"/>
      <c r="F82" s="114" t="str">
        <f>IF(F81="Venc. Jogo 25",F81,IF(F81="Penalidades",F81,IF(K81=F39,F39,IF(AND(F81=F38,K81=K39),F38,IF(AND(F81=K38,K81=K39),K39,IF(P38&lt;&gt;"Venc. Jogo 25",F81,"Venc. Jogo 25"))))))</f>
        <v>Novo Hamburgo</v>
      </c>
      <c r="G82" s="114"/>
      <c r="H82" s="36">
        <v>1</v>
      </c>
      <c r="I82" s="3" t="s">
        <v>2</v>
      </c>
      <c r="J82" s="35">
        <v>0</v>
      </c>
      <c r="K82" s="97" t="str">
        <f>IF(K81="Venc. Jogo 26",K81,IF(F81=K38,K38,IF(K81="Penalidades",K81,IF(AND(K81=F39,F81=F38),F38,IF(AND(K81=K39,F81=F38),K39,IF(P39&lt;&gt;"Venc. Jogo 26",K81,"Venc. Jogo 26"))))))</f>
        <v>Jmalucelli</v>
      </c>
      <c r="L82" s="97"/>
      <c r="M82" s="116" t="s">
        <v>292</v>
      </c>
      <c r="N82" s="116"/>
      <c r="O82" s="41" t="str">
        <f>IF(H82="","",IF(AND(H82=0,J82&gt;=2),K82,IF(AND(H82=1,J82&gt;=3),K82,IF(AND(H82=2,J82&gt;=4),K82,IF(AND(H82=3,J82&gt;=5),K82,IF(AND(H82=4,J82&gt;=6),K82,IF(AND(H82=5,J82&gt;=7),K82,IF(AND(H82=6,J82&gt;=8),K82,IF(AND(H82=7,J82&gt;=9),K82,IF(AND(H82=8,J82&gt;=10),K82,""))))))))))</f>
        <v/>
      </c>
      <c r="P82" s="41" t="str">
        <f>IF(OR(H84="",J84="",W84="",Y84="",Y82&gt;="0"),F112,"")</f>
        <v>Novo Hamburgo</v>
      </c>
      <c r="Q82" s="41" t="b">
        <f t="shared" si="27"/>
        <v>0</v>
      </c>
      <c r="S82" s="95" t="str">
        <f>IF(Z82="Venc. Jogo 25","Estadio Indefinido",IF(U82=F38,D38,IF(U82=K38,S38,IF(U82=F39,D39,IF(U82=K39,S39,"Estadio Indefinido")))))</f>
        <v>Ecoestádio</v>
      </c>
      <c r="T82" s="95"/>
      <c r="U82" s="95" t="str">
        <f t="shared" si="31"/>
        <v>Jmalucelli</v>
      </c>
      <c r="V82" s="95"/>
      <c r="W82" s="35">
        <v>0</v>
      </c>
      <c r="X82" s="3" t="s">
        <v>2</v>
      </c>
      <c r="Y82" s="35">
        <v>2</v>
      </c>
      <c r="Z82" s="78" t="str">
        <f t="shared" si="32"/>
        <v>Novo Hamburgo</v>
      </c>
      <c r="AA82" s="78"/>
      <c r="AB82" s="78" t="s">
        <v>293</v>
      </c>
      <c r="AC82" s="78"/>
      <c r="AG82" s="70"/>
      <c r="AH82" s="71"/>
      <c r="AI82" s="84"/>
      <c r="AJ82" s="84"/>
    </row>
    <row r="83" spans="2:36" ht="15" hidden="1" customHeight="1">
      <c r="B83" s="24"/>
      <c r="D83" s="78" t="str">
        <f t="shared" si="29"/>
        <v>Frasqueirão</v>
      </c>
      <c r="E83" s="78"/>
      <c r="F83" s="114" t="str">
        <f>IF(O40=K40,K40,IF(OR(H40="",J40="",W40="",Y40=""),"Venc. Jogo 27",IF(AND(H40=W40,J40=Y40,AG40="",AI40=""),"Penalidades",IF(SUM(H40,Y40)&gt;SUM(J40,W40),F40,IF(SUM(J40,W40)&gt;SUM(H40,Y40),K40,IF(Q40=F40,F40,IF(Q40=K40,K40,IF(SUM(H40,J40,W40,Y40,AG40,AI40)=0,"Venc. Jogo 27",IF(AG40&gt;AI40,F40,IF(AI40&gt;AG40,K40,IF(AG40=AI40,"Venc. Jogo 27","Erro Recoloque os Resultados")))))))))))</f>
        <v>ABC</v>
      </c>
      <c r="G83" s="114"/>
      <c r="H83" s="8"/>
      <c r="I83" s="8"/>
      <c r="J83" s="8"/>
      <c r="K83" s="97" t="str">
        <f>IF(O41=K41,K41,IF(OR(H41="",J41="",W41="",Y41=""),"Venc. Jogo 28",IF(AND(H41=W41,J41=Y41,AG41="",AI41=""),"Penalidades",IF(SUM(H41,Y41)&gt;SUM(J41,W41),F41,IF(SUM(J41,W41)&gt;SUM(H41,Y41),K41,IF(Q41=F41,F41,IF(Q41=K41,K41,IF(SUM(H41,J41,W41,Y41,AG41,AI41)=0,"Venc. Jogo 28",IF(AG41&gt;AI41,F41,IF(AI41&gt;AG41,K41,IF(AG41=AI41,"Venc. Jogo 28","Erro Recoloque os Resultados")))))))))))</f>
        <v>Atlético-GO</v>
      </c>
      <c r="L83" s="97"/>
      <c r="M83" s="117"/>
      <c r="N83" s="117"/>
      <c r="O83" s="41" t="str">
        <f t="shared" si="26"/>
        <v/>
      </c>
      <c r="P83" s="41"/>
      <c r="Q83" s="41" t="b">
        <f t="shared" si="27"/>
        <v>0</v>
      </c>
      <c r="S83" s="95" t="str">
        <f t="shared" si="30"/>
        <v>Estadio Indefinido</v>
      </c>
      <c r="T83" s="95"/>
      <c r="U83" s="95" t="str">
        <f t="shared" si="31"/>
        <v>Atlético-GO</v>
      </c>
      <c r="V83" s="95"/>
      <c r="W83" s="14"/>
      <c r="X83" s="3" t="s">
        <v>2</v>
      </c>
      <c r="Y83" s="14"/>
      <c r="Z83" s="78" t="str">
        <f t="shared" si="32"/>
        <v>ABC</v>
      </c>
      <c r="AA83" s="78"/>
      <c r="AB83" s="78"/>
      <c r="AC83" s="78"/>
      <c r="AG83" s="73"/>
      <c r="AH83" s="74"/>
      <c r="AI83" s="78"/>
      <c r="AJ83" s="78"/>
    </row>
    <row r="84" spans="2:36">
      <c r="B84" s="24" t="s">
        <v>276</v>
      </c>
      <c r="D84" s="78" t="str">
        <f>IF(K84="Venc. Jogo 28","Estadio Indefinido",IF(F84=F40,D40,IF(F84=K40,S40,IF(F84=F41,D41,IF(F84=K41,S41,"Estadio Indefinido")))))</f>
        <v>Frasqueirão</v>
      </c>
      <c r="E84" s="78"/>
      <c r="F84" s="114" t="str">
        <f>IF(F83="Venc. Jogo 27",F83,IF(F83="Penalidades",F83,IF(F83=F40,F40,IF(AND(F83=K40,K83=F41),F41,IF(AND(F83=K40,K83=K41),K40,IF(P40&lt;&gt;"Venc. Jogo 27",K83,"Venc. Jogo 27"))))))</f>
        <v>ABC</v>
      </c>
      <c r="G84" s="114"/>
      <c r="H84" s="36">
        <v>1</v>
      </c>
      <c r="I84" s="3" t="s">
        <v>2</v>
      </c>
      <c r="J84" s="35">
        <v>1</v>
      </c>
      <c r="K84" s="97" t="str">
        <f>IF(K83="Venc. Jogo 28",K83,IF(K83=K41,K41,IF(K83="Penalidades",K83,IF(AND(F83=K40,K83=F41),K40,IF(AND(F83=F40,K83=F41),F41,IF(P41&lt;&gt;"Venc. Jogo 28",K83,"Venc. Jogo 28"))))))</f>
        <v>Atlético-GO</v>
      </c>
      <c r="L84" s="97"/>
      <c r="M84" s="116" t="s">
        <v>302</v>
      </c>
      <c r="N84" s="116"/>
      <c r="O84" s="41" t="str">
        <f>IF(H84="","",IF(AND(H84=0,J84&gt;=2),K84,IF(AND(H84=1,J84&gt;=3),K84,IF(AND(H84=2,J84&gt;=4),K84,IF(AND(H84=3,J84&gt;=5),K84,IF(AND(H84=4,J84&gt;=6),K84,IF(AND(H84=5,J84&gt;=7),K84,IF(AND(H84=6,J84&gt;=8),K84,IF(AND(H84=7,J84&gt;=9),K84,IF(AND(H84=8,J84&gt;=10),K84,""))))))))))</f>
        <v/>
      </c>
      <c r="P84" s="41" t="str">
        <f>IF(OR(H82="",J82="",W82="",Y82="",Y84&gt;="0"),K112,"")</f>
        <v/>
      </c>
      <c r="Q84" s="41" t="str">
        <f t="shared" si="27"/>
        <v>Atlético-GO</v>
      </c>
      <c r="S84" s="95" t="str">
        <f>IF(Z84="Venc. Jogo 27","Estadio Indefinido",IF(U84=F40,D40,IF(U84=K40,S40,IF(U84=F41,D41,IF(U84=K41,S41,"Estadio Indefinido")))))</f>
        <v xml:space="preserve"> Serra Dourada</v>
      </c>
      <c r="T84" s="95"/>
      <c r="U84" s="95" t="str">
        <f t="shared" si="31"/>
        <v>Atlético-GO</v>
      </c>
      <c r="V84" s="95"/>
      <c r="W84" s="35"/>
      <c r="X84" s="3" t="s">
        <v>2</v>
      </c>
      <c r="Y84" s="35"/>
      <c r="Z84" s="78" t="str">
        <f t="shared" si="32"/>
        <v>ABC</v>
      </c>
      <c r="AA84" s="78"/>
      <c r="AB84" s="78" t="s">
        <v>303</v>
      </c>
      <c r="AC84" s="78"/>
      <c r="AG84" s="70"/>
      <c r="AH84" s="71"/>
      <c r="AI84" s="84"/>
      <c r="AJ84" s="84"/>
    </row>
    <row r="85" spans="2:36" ht="15" hidden="1" customHeight="1">
      <c r="B85" s="24"/>
      <c r="D85" s="78" t="str">
        <f t="shared" si="29"/>
        <v>Vila Belmiro</v>
      </c>
      <c r="E85" s="78"/>
      <c r="F85" s="97" t="str">
        <f>IF(O42=K42,K42,IF(OR(H42="",J42="",W42="",Y42=""),"Venc. Jogo 29",IF(AND(H42=W42,J42=Y42,AG42="",AI42=""),"Penalidades",IF(SUM(H42,Y42)&gt;SUM(J42,W42),F42,IF(SUM(J42,W42)&gt;SUM(H42,Y42),K42,IF(Q42=F42,F42,IF(Q42=K42,K42,IF(SUM(H42,J42,W42,Y42,AG42,AI42)=0,"Venc. Jogo 29",IF(AG42&gt;AI42,F42,IF(AI42&gt;AG42,K42,IF(AG42=AI42,"Venc. Jogo 29","Erro Recoloque os Resultados")))))))))))</f>
        <v>Santos</v>
      </c>
      <c r="G85" s="97"/>
      <c r="H85" s="8"/>
      <c r="I85" s="8"/>
      <c r="J85" s="8"/>
      <c r="K85" s="97" t="str">
        <f>IF(O43=K43,K43,IF(OR(H43="",J43="",W43="",Y43=""),"Venc. Jogo 30",IF(AND(H43=W43,J43=Y43,AG43="",AI43=""),"Penalidades",IF(SUM(H43,Y43)&gt;SUM(J43,W43),F43,IF(SUM(J43,W43)&gt;SUM(H43,Y43),K43,IF(Q43=F43,F43,IF(Q43=K43,K43,IF(SUM(H43,J43,W43,Y43,AG43,AI43)=0,"Venc. Jogo 30",IF(AG43&gt;AI43,F43,IF(AI43&gt;AG43,K43,IF(AG43=AI43,"Venc. Jogo 30","Erro Recoloque os Resultados")))))))))))</f>
        <v>Princ. do Solimões</v>
      </c>
      <c r="L85" s="97"/>
      <c r="M85" s="117"/>
      <c r="N85" s="117"/>
      <c r="O85" s="41" t="str">
        <f t="shared" si="26"/>
        <v/>
      </c>
      <c r="P85" s="41"/>
      <c r="Q85" s="41" t="b">
        <f t="shared" si="27"/>
        <v>0</v>
      </c>
      <c r="S85" s="95" t="str">
        <f t="shared" si="30"/>
        <v>Estadio Indefinido</v>
      </c>
      <c r="T85" s="95"/>
      <c r="U85" s="78" t="str">
        <f t="shared" si="31"/>
        <v>Princ. do Solimões</v>
      </c>
      <c r="V85" s="78"/>
      <c r="W85" s="14"/>
      <c r="X85" s="3" t="s">
        <v>2</v>
      </c>
      <c r="Y85" s="14"/>
      <c r="Z85" s="78" t="str">
        <f t="shared" si="32"/>
        <v>Santos</v>
      </c>
      <c r="AA85" s="78"/>
      <c r="AB85" s="78"/>
      <c r="AC85" s="78"/>
      <c r="AG85" s="73"/>
      <c r="AH85" s="74"/>
      <c r="AI85" s="78"/>
      <c r="AJ85" s="78"/>
    </row>
    <row r="86" spans="2:36">
      <c r="B86" s="24" t="s">
        <v>277</v>
      </c>
      <c r="D86" s="78" t="str">
        <f>IF(K86="Venc. Jogo 30","Estadio Indefinido",IF(F86=F42,D42,IF(F86=K42,S42,IF(F86=F43,D43,IF(F86=K43,S43,"Estadio Indefinido")))))</f>
        <v>SESI - Manaus</v>
      </c>
      <c r="E86" s="78"/>
      <c r="F86" s="114" t="str">
        <f>IF(F85="Venc. Jogo 29",F85,IF(K85=F43,F43,IF(AND(F85=F42,K85=K43),F42,IF(AND(F85=K42,K85=K43),K43,IF(F85="Penalidades",F85,IF(P42&lt;&gt;"Venc. Jogo 29",F85,"Venc. Jogo 29"))))))</f>
        <v>Princ. do Solimões</v>
      </c>
      <c r="G86" s="114"/>
      <c r="H86" s="36">
        <v>1</v>
      </c>
      <c r="I86" s="3" t="s">
        <v>2</v>
      </c>
      <c r="J86" s="35">
        <v>2</v>
      </c>
      <c r="K86" s="97" t="str">
        <f>IF(K85="Venc. Jogo 30",K85,IF(K85="Penalidades",K85,IF(F85=K42,K42,IF(AND(F85=F42,K85=F43),F42,IF(AND(F85=F42,K85=K43),K43,IF(P43&lt;&gt;"Venc. Jogo 30",K85,"Venc. Jogo 30"))))))</f>
        <v>Santos</v>
      </c>
      <c r="L86" s="97"/>
      <c r="M86" s="116" t="s">
        <v>304</v>
      </c>
      <c r="N86" s="116"/>
      <c r="O86" s="41" t="str">
        <f>IF(H86="","",IF(AND(H86=0,J86&gt;=2),K86,IF(AND(H86=1,J86&gt;=3),K86,IF(AND(H86=2,J86&gt;=4),K86,IF(AND(H86=3,J86&gt;=5),K86,IF(AND(H86=4,J86&gt;=6),K86,IF(AND(H86=5,J86&gt;=7),K86,IF(AND(H86=6,J86&gt;=8),K86,IF(AND(H86=7,J86&gt;=9),K86,IF(AND(H86=8,J86&gt;=10),K86,""))))))))))</f>
        <v/>
      </c>
      <c r="P86" s="41" t="str">
        <f>IF(OR(H88="",J88="",W88="",Y88="",Y86&gt;="0"),F114,"")</f>
        <v/>
      </c>
      <c r="Q86" s="41" t="b">
        <f t="shared" si="27"/>
        <v>0</v>
      </c>
      <c r="S86" s="95" t="str">
        <f>IF(Z86="Venc. Jogo 29","Estadio Indefinido",IF(U86=F42,D42,IF(U86=K42,S42,IF(U86=F43,D43,IF(U86=K43,S43,"Estadio Indefinido")))))</f>
        <v>Vila Belmiro</v>
      </c>
      <c r="T86" s="95"/>
      <c r="U86" s="95" t="str">
        <f t="shared" si="31"/>
        <v>Santos</v>
      </c>
      <c r="V86" s="95"/>
      <c r="W86" s="35"/>
      <c r="X86" s="3" t="s">
        <v>2</v>
      </c>
      <c r="Y86" s="35"/>
      <c r="Z86" s="78" t="str">
        <f t="shared" si="32"/>
        <v>Princ. do Solimões</v>
      </c>
      <c r="AA86" s="78"/>
      <c r="AB86" s="78" t="s">
        <v>305</v>
      </c>
      <c r="AC86" s="78"/>
      <c r="AG86" s="70"/>
      <c r="AH86" s="71"/>
      <c r="AI86" s="84"/>
      <c r="AJ86" s="84"/>
    </row>
    <row r="87" spans="2:36" ht="15" hidden="1" customHeight="1">
      <c r="B87" s="24"/>
      <c r="D87" s="78" t="str">
        <f t="shared" si="29"/>
        <v>Café</v>
      </c>
      <c r="E87" s="78"/>
      <c r="F87" s="114" t="str">
        <f>IF(O44=K44,K44,IF(OR(H44="",J44="",W44="",Y44=""),"Venc. Jogo 31",IF(AND(H44=W44,J44=Y44,AG44="",AI44=""),"Penalidades",IF(SUM(H44,Y44)&gt;SUM(J44,W44),F44,IF(SUM(J44,W44)&gt;SUM(H44,Y44),K44,IF(Q44=F44,F44,IF(Q44=K44,K44,IF(SUM(H44,J44,W44,Y44,AG44,AI44)=0,"Venc. Jogo 31",IF(AG44&gt;AI44,F44,IF(AI44&gt;AG44,K44,IF(AG44=AI44,"Venc. Jogo 31","Erro Recoloque os Resultados")))))))))))</f>
        <v>Londrina</v>
      </c>
      <c r="G87" s="114"/>
      <c r="H87" s="8"/>
      <c r="I87" s="8"/>
      <c r="J87" s="8"/>
      <c r="K87" s="97" t="str">
        <f>IF(O45=K45,K45,IF(OR(H45="",J45="",W45="",Y45=""),"Venc. Jogo 32",IF(AND(H45=W45,J45=Y45,AG45="",AI45=""),"Penalidades",IF(SUM(H45,Y45)&gt;SUM(J45,W45),F45,IF(SUM(J45,W45)&gt;SUM(H45,Y45),K45,IF(Q45=F45,F45,IF(Q45=K45,K45,IF(SUM(H45,J45,W45,Y45,AG45,AI45)=0,"Venc. Jogo 32",IF(AG45&gt;AI45,F45,IF(AI45&gt;AG45,K45,IF(AG45=AI45,"Venc. Jogo 32","Erro Recoloque os Resultados")))))))))))</f>
        <v>Barueri</v>
      </c>
      <c r="L87" s="97"/>
      <c r="M87" s="117"/>
      <c r="N87" s="117"/>
      <c r="O87" s="41" t="str">
        <f t="shared" si="26"/>
        <v/>
      </c>
      <c r="P87" s="41"/>
      <c r="Q87" s="41" t="b">
        <f t="shared" si="27"/>
        <v>0</v>
      </c>
      <c r="S87" s="95" t="str">
        <f t="shared" si="30"/>
        <v>Estadio Indefinido</v>
      </c>
      <c r="T87" s="95"/>
      <c r="U87" s="95" t="str">
        <f t="shared" si="31"/>
        <v>Barueri</v>
      </c>
      <c r="V87" s="95"/>
      <c r="W87" s="14"/>
      <c r="X87" s="3" t="s">
        <v>2</v>
      </c>
      <c r="Y87" s="14"/>
      <c r="Z87" s="78" t="str">
        <f t="shared" si="32"/>
        <v>Londrina</v>
      </c>
      <c r="AA87" s="78"/>
      <c r="AB87" s="78"/>
      <c r="AC87" s="78"/>
      <c r="AG87" s="73"/>
      <c r="AH87" s="74"/>
      <c r="AI87" s="78"/>
      <c r="AJ87" s="78"/>
    </row>
    <row r="88" spans="2:36">
      <c r="B88" s="24" t="s">
        <v>278</v>
      </c>
      <c r="D88" s="78" t="str">
        <f>IF(K88="Venc. Jogo 32","Estadio Indefinido",IF(F88=F44,D44,IF(F88=K44,S44,IF(F88=F45,D45,IF(F88=K45,S45,"Estadio Indefinido")))))</f>
        <v>Café</v>
      </c>
      <c r="E88" s="78"/>
      <c r="F88" s="114" t="str">
        <f>IF(F87="Venc. Jogo 31",F87,IF(F87="Penalidades",F87,IF(K87=F45,F45,IF(AND(F87=F44,K87=K45),F44,IF(AND(F87=K44,K87=K45),K45,IF(P44&lt;&gt;"Venc. Jogo 31",F87,"Venc. Jogo 31"))))))</f>
        <v>Londrina</v>
      </c>
      <c r="G88" s="114"/>
      <c r="H88" s="36">
        <v>0</v>
      </c>
      <c r="I88" s="3" t="s">
        <v>2</v>
      </c>
      <c r="J88" s="35">
        <v>0</v>
      </c>
      <c r="K88" s="97" t="str">
        <f>IF(K87="Venc. Jogo 32",K87,IF(F87=K44,K44,IF(K87="Penalidades",K87,IF(AND(F87=F44,K87=F45),F44,IF(AND(F87=F44,K87=K45),K45,IF(P45&lt;&gt;"Venc. Jogo 32",K87,"Venc. Jogo 32"))))))</f>
        <v>Barueri</v>
      </c>
      <c r="L88" s="97"/>
      <c r="M88" s="116" t="s">
        <v>306</v>
      </c>
      <c r="N88" s="116"/>
      <c r="O88" s="41" t="str">
        <f>IF(H88="","",IF(AND(H88=0,J88&gt;=2),K88,IF(AND(H88=1,J88&gt;=3),K88,IF(AND(H88=2,J88&gt;=4),K88,IF(AND(H88=3,J88&gt;=5),K88,IF(AND(H88=4,J88&gt;=6),K88,IF(AND(H88=5,J88&gt;=7),K88,IF(AND(H88=6,J88&gt;=8),K88,IF(AND(H88=7,J88&gt;=9),K88,IF(AND(H88=8,J88&gt;=10),K88,""))))))))))</f>
        <v/>
      </c>
      <c r="P88" s="41" t="str">
        <f>IF(OR(H86="",J86="",W86="",Y86="",Y88&gt;="0"),K114,"")</f>
        <v>Londrina</v>
      </c>
      <c r="Q88" s="41" t="str">
        <f t="shared" si="27"/>
        <v>Londrina</v>
      </c>
      <c r="S88" s="95" t="str">
        <f>IF(Z88="Venc. Jogo 31","Estadio Indefinido",IF(U88=F44,D44,IF(U88=K44,S44,IF(U88=F45,D45,IF(U88=K45,S45,"Estadio Indefinido")))))</f>
        <v>Arena Barueri</v>
      </c>
      <c r="T88" s="95"/>
      <c r="U88" s="95" t="str">
        <f t="shared" si="31"/>
        <v>Barueri</v>
      </c>
      <c r="V88" s="95"/>
      <c r="W88" s="35">
        <v>3</v>
      </c>
      <c r="X88" s="3" t="s">
        <v>2</v>
      </c>
      <c r="Y88" s="35">
        <v>3</v>
      </c>
      <c r="Z88" s="78" t="str">
        <f t="shared" si="32"/>
        <v>Londrina</v>
      </c>
      <c r="AA88" s="78"/>
      <c r="AB88" s="78" t="s">
        <v>307</v>
      </c>
      <c r="AC88" s="78"/>
      <c r="AG88" s="70"/>
      <c r="AH88" s="71"/>
      <c r="AI88" s="84"/>
      <c r="AJ88" s="84"/>
    </row>
    <row r="89" spans="2:36" ht="15" hidden="1" customHeight="1">
      <c r="B89" s="24"/>
      <c r="D89" s="78" t="str">
        <f t="shared" si="29"/>
        <v xml:space="preserve"> Castelão (MA)</v>
      </c>
      <c r="E89" s="78"/>
      <c r="F89" s="97" t="str">
        <f>IF(O46=K46,K46,IF(OR(H46="",J46="",W46="",Y46=""),"Venc. Jogo33",IF(AND(H46=W46,J46=Y46,AG46="",AI46=""),"Penalidades",IF(SUM(H46,Y46)&gt;SUM(J46,W46),F46,IF(SUM(J46,W46)&gt;SUM(H46,Y46),K46,IF(Q46=F46,F46,IF(Q46=K46,K46,IF(SUM(H46,J46,W46,Y46,AG46,AI46)=0,"Venc. Jogo 33",IF(AG46&gt;AI46,F46,IF(AI46&gt;AG46,K46,IF(AG46=AI46,"Venc. Jogo 33","Erro Recoloque os Resultados")))))))))))</f>
        <v>Sampaio Corrêa</v>
      </c>
      <c r="G89" s="97"/>
      <c r="H89" s="8"/>
      <c r="I89" s="8"/>
      <c r="J89" s="8"/>
      <c r="K89" s="97" t="str">
        <f>IF(O47=K47,K47,IF(OR(H47="",J47="",W47="",Y47=""),"Venc. Jogo 34",IF(AND(H47=W47,J47=Y47,AG47="",AI47=""),"Penalidades",IF(SUM(H47,Y47)&gt;SUM(J47,W47),F47,IF(SUM(J47,W47)&gt;SUM(H47,Y47),K47,IF(Q47=F47,F47,IF(Q47=K47,K47,IF(SUM(H47,J47,W47,Y47,AG47,AI47)=0,"Venc. Jogo 34",IF(AG47&gt;AI47,F47,IF(AI47&gt;AG47,K47,IF(AG47=AI47,"Venc. Jogo 34","Erro Recoloque os Resultados")))))))))))</f>
        <v>Palmeiras</v>
      </c>
      <c r="L89" s="97"/>
      <c r="M89" s="117"/>
      <c r="N89" s="117"/>
      <c r="O89" s="41" t="str">
        <f t="shared" si="26"/>
        <v/>
      </c>
      <c r="P89" s="41"/>
      <c r="Q89" s="41" t="b">
        <f t="shared" si="27"/>
        <v>0</v>
      </c>
      <c r="S89" s="95" t="str">
        <f t="shared" si="30"/>
        <v>Estadio Indefinido</v>
      </c>
      <c r="T89" s="95"/>
      <c r="U89" s="78" t="str">
        <f t="shared" si="31"/>
        <v>Palmeiras</v>
      </c>
      <c r="V89" s="78"/>
      <c r="W89" s="14"/>
      <c r="X89" s="3" t="s">
        <v>2</v>
      </c>
      <c r="Y89" s="14"/>
      <c r="Z89" s="78" t="str">
        <f t="shared" si="32"/>
        <v>Sampaio Corrêa</v>
      </c>
      <c r="AA89" s="78"/>
      <c r="AB89" s="78"/>
      <c r="AC89" s="78"/>
      <c r="AG89" s="73"/>
      <c r="AH89" s="74"/>
      <c r="AI89" s="78"/>
      <c r="AJ89" s="78"/>
    </row>
    <row r="90" spans="2:36">
      <c r="B90" s="24" t="s">
        <v>279</v>
      </c>
      <c r="D90" s="78" t="str">
        <f>IF(K90="Venc. Jogo 34","Estadio Indefinido",IF(F90=F46,D46,IF(F90=K46,S46,IF(F90=F47,D47,IF(F90=K47,S47,"Estadio Indefinido")))))</f>
        <v xml:space="preserve"> Castelão (MA)</v>
      </c>
      <c r="E90" s="78"/>
      <c r="F90" s="114" t="str">
        <f>IF(F89="Venc. Jojo 33",F89,IF(F89="Penalidades",F89,IF(F89=F46,F46,IF(AND(F89=K46,K89=F47),F47,IF(AND(F89=K46,K89=K47),K46,IF(P46&lt;&gt;"Venc. Jojo 33",F89,"Venc. Jojo 33"))))))</f>
        <v>Sampaio Corrêa</v>
      </c>
      <c r="G90" s="114"/>
      <c r="H90" s="36">
        <v>2</v>
      </c>
      <c r="I90" s="3" t="s">
        <v>2</v>
      </c>
      <c r="J90" s="35">
        <v>1</v>
      </c>
      <c r="K90" s="97" t="str">
        <f>IF(K89="Venc. Jogo 34",K89,IF(K89=K47,K47,IF(K89="Penalidades",K89,IF(AND(F89=F46,K89=F47),F47,IF(AND(F89=K46,K89=F47),K46,IF(P46&lt;&gt;"Venc. Jogo 34",K89,"Venc. Jogo 34"))))))</f>
        <v>Palmeiras</v>
      </c>
      <c r="L90" s="97"/>
      <c r="M90" s="116" t="s">
        <v>97</v>
      </c>
      <c r="N90" s="116"/>
      <c r="O90" s="41" t="str">
        <f>IF(H90="","",IF(AND(H90=0,J90&gt;=2),K90,IF(AND(H90=1,J90&gt;=3),K90,IF(AND(H90=2,J90&gt;=4),K90,IF(AND(H90=3,J90&gt;=5),K90,IF(AND(H90=4,J90&gt;=6),K90,IF(AND(H90=5,J90&gt;=7),K90,IF(AND(H90=6,J90&gt;=8),K90,IF(AND(H90=7,J90&gt;=9),K90,IF(AND(H90=8,J90&gt;=10),K90,""))))))))))</f>
        <v/>
      </c>
      <c r="P90" s="41" t="str">
        <f>IF(OR(H92="",J92="",W92="",Y92="",Y90&gt;="0"),F116,"")</f>
        <v>Venc. Jogo 57</v>
      </c>
      <c r="Q90" s="41" t="b">
        <f t="shared" si="27"/>
        <v>0</v>
      </c>
      <c r="S90" s="95" t="str">
        <f>IF(Z90="Venc. Jogo 33","Estadio Indefinido",IF(U90=F46,D46,IF(U90=K46,S46,IF(U90=F47,D47,IF(U90=K47,S47,"Estadio Indefinido")))))</f>
        <v xml:space="preserve">Pacaembu
</v>
      </c>
      <c r="T90" s="95"/>
      <c r="U90" s="95" t="str">
        <f t="shared" si="31"/>
        <v>Palmeiras</v>
      </c>
      <c r="V90" s="95"/>
      <c r="W90" s="35"/>
      <c r="X90" s="3" t="s">
        <v>2</v>
      </c>
      <c r="Y90" s="35"/>
      <c r="Z90" s="78" t="str">
        <f t="shared" si="32"/>
        <v>Sampaio Corrêa</v>
      </c>
      <c r="AA90" s="78"/>
      <c r="AB90" s="78" t="s">
        <v>308</v>
      </c>
      <c r="AC90" s="78"/>
      <c r="AG90" s="70"/>
      <c r="AH90" s="71"/>
      <c r="AI90" s="84"/>
      <c r="AJ90" s="84"/>
    </row>
    <row r="91" spans="2:36" ht="18" hidden="1" customHeight="1">
      <c r="B91" s="24"/>
      <c r="D91" s="78" t="str">
        <f t="shared" si="29"/>
        <v>Coaracy Fonseca</v>
      </c>
      <c r="E91" s="78"/>
      <c r="F91" s="114" t="str">
        <f>IF(O48=K48,K48,IF(OR(H48="",J48="",W48="",Y48=""),"Venc. Jogo 35",IF(AND(H48=W48,J48=Y48,AG48="",AI48=""),"Penalidades",IF(SUM(H48,Y48)&gt;SUM(J48,W48),F48,IF(SUM(J48,W48)&gt;SUM(H48,Y48),K48,IF(Q48=F48,F48,IF(Q48=K48,K48,IF(SUM(H48,J48,W48,Y48,AG48,AI48)=0,"Venc. Jogo 35",IF(AG48&gt;AI48,F48,IF(AI48&gt;AG48,K48,IF(AG48=AI48,"Venc. Jogo 35","Erro Recoloque os Resultados")))))))))))</f>
        <v>ASA</v>
      </c>
      <c r="G91" s="114"/>
      <c r="H91" s="8"/>
      <c r="I91" s="8"/>
      <c r="J91" s="8"/>
      <c r="K91" s="97" t="str">
        <f>IF(O49=K49,K49,IF(OR(H49="",J49="",W49="",Y49=""),"Venc. Jogo 36",IF(AND(H49=W49,J49=Y49,AG49="",AI49=""),"Penalidades",IF(SUM(H49,Y49)&gt;SUM(J49,W49),F49,IF(SUM(J49,W49)&gt;SUM(H49,Y49),K49,IF(Q49=F49,F49,IF(Q49=K49,K49,IF(SUM(H49,J49,W49,Y49,AG49,AI49)=0,"Venc. Jogo 36",IF(AG49&gt;AI49,F49,IF(AI49&gt;AG49,K49,IF(AG49=AI49,"Venc. Jogo 36","Erro Recoloque os Resultados")))))))))))</f>
        <v xml:space="preserve"> Avaí</v>
      </c>
      <c r="L91" s="97"/>
      <c r="M91" s="117"/>
      <c r="N91" s="117"/>
      <c r="O91" s="41" t="str">
        <f t="shared" si="26"/>
        <v/>
      </c>
      <c r="P91" s="41"/>
      <c r="Q91" s="41" t="b">
        <f t="shared" si="27"/>
        <v>0</v>
      </c>
      <c r="S91" s="95" t="str">
        <f t="shared" si="30"/>
        <v>Estadio Indefinido</v>
      </c>
      <c r="T91" s="95"/>
      <c r="U91" s="95" t="str">
        <f t="shared" si="31"/>
        <v xml:space="preserve"> Avaí</v>
      </c>
      <c r="V91" s="95"/>
      <c r="W91" s="14"/>
      <c r="X91" s="3" t="s">
        <v>2</v>
      </c>
      <c r="Y91" s="14"/>
      <c r="Z91" s="78" t="str">
        <f t="shared" si="32"/>
        <v>ASA</v>
      </c>
      <c r="AA91" s="78"/>
      <c r="AB91" s="78"/>
      <c r="AC91" s="78"/>
      <c r="AG91" s="73"/>
      <c r="AH91" s="74"/>
      <c r="AI91" s="78"/>
      <c r="AJ91" s="78"/>
    </row>
    <row r="92" spans="2:36" ht="15" customHeight="1">
      <c r="B92" s="24" t="s">
        <v>281</v>
      </c>
      <c r="D92" s="78" t="str">
        <f>IF(K92="Venc. Jogo 36","Estadio Indefinido",IF(F92=F48,D48,IF(F92=K48,S48,IF(F92=F49,D49,IF(F92=K49,S49,"Estadio Indefinido")))))</f>
        <v>Coaracy Fonseca</v>
      </c>
      <c r="E92" s="78"/>
      <c r="F92" s="114" t="str">
        <f>IF(F91="Venc. Jogo 35",F91,IF(F91="Penalidades",F91,IF(F91=F48,F48,IF(AND(F91=K48,K91=F49),F49,IF(AND(F91=K48,K91=K49),K48,IF(P48&lt;&gt;"Venc. Jogo 35",F91,"Venc. Jogo 35"))))))</f>
        <v>ASA</v>
      </c>
      <c r="G92" s="114"/>
      <c r="H92" s="36">
        <v>3</v>
      </c>
      <c r="I92" s="3" t="s">
        <v>2</v>
      </c>
      <c r="J92" s="35">
        <v>2</v>
      </c>
      <c r="K92" s="97" t="str">
        <f>IF(K91="Venc. Jogo 36",K91,IF(K91=K49,K49,IF(K91="Penalidades",K91,IF(AND(K91=F49,F91=F48),F49,IF(AND(K91=F49,F91=K48),K48,IF(P49&lt;&gt;"Venc. Jogo 36",K91,"Venc. Jogo 36"))))))</f>
        <v xml:space="preserve"> Avaí</v>
      </c>
      <c r="L92" s="97"/>
      <c r="M92" s="116" t="s">
        <v>293</v>
      </c>
      <c r="N92" s="116"/>
      <c r="O92" s="41" t="str">
        <f>IF(H92="","",IF(AND(H92=0,J92&gt;=2),K92,IF(AND(H92=1,J92&gt;=3),K92,IF(AND(H92=2,J92&gt;=4),K92,IF(AND(H92=3,J92&gt;=5),K92,IF(AND(H92=4,J92&gt;=6),K92,IF(AND(H92=5,J92&gt;=7),K92,IF(AND(H92=6,J92&gt;=8),K92,IF(AND(H92=7,J92&gt;=9),K92,IF(AND(H92=8,J92&gt;=10),K92,""))))))))))</f>
        <v/>
      </c>
      <c r="P92" s="41" t="str">
        <f>IF(OR(H90="",J90="",W90="",Y90="",Y92&gt;="0"),K116,"")</f>
        <v>Venc. Jogo 58</v>
      </c>
      <c r="Q92" s="41" t="b">
        <f t="shared" si="27"/>
        <v>0</v>
      </c>
      <c r="S92" s="95" t="str">
        <f>IF(Z92="Venc. Jogo 35","Estadio Indefinido",IF(U92=F48,D48,IF(U92=K48,S48,IF(U92=F49,D49,IF(U92=K49,S49,"Estadio Indefinido")))))</f>
        <v>Ressacada</v>
      </c>
      <c r="T92" s="95"/>
      <c r="U92" s="95" t="str">
        <f t="shared" si="31"/>
        <v xml:space="preserve"> Avaí</v>
      </c>
      <c r="V92" s="95"/>
      <c r="W92" s="35"/>
      <c r="X92" s="3" t="s">
        <v>2</v>
      </c>
      <c r="Y92" s="35"/>
      <c r="Z92" s="78" t="str">
        <f t="shared" si="32"/>
        <v>ASA</v>
      </c>
      <c r="AA92" s="78"/>
      <c r="AB92" s="78" t="s">
        <v>309</v>
      </c>
      <c r="AC92" s="78"/>
      <c r="AG92" s="70"/>
      <c r="AH92" s="71"/>
      <c r="AI92" s="84"/>
      <c r="AJ92" s="84"/>
    </row>
    <row r="93" spans="2:36" ht="18" hidden="1" customHeight="1">
      <c r="B93" s="24"/>
      <c r="D93" s="78" t="str">
        <f t="shared" si="29"/>
        <v>Mario Helênio</v>
      </c>
      <c r="E93" s="78"/>
      <c r="F93" s="97" t="str">
        <f>IF(O50=K50,K50,IF(OR(H50="",J50="",W50="",Y50=""),"Venc. Jogo 37",IF(AND(H50=W50,J50=Y50,AG50="",AI50=""),"Penalidades",IF(SUM(H50,Y50)&gt;SUM(J50,W50),F50,IF(SUM(J50,W50)&gt;SUM(H50,Y50),K50,IF(Q50=F50,F50,IF(Q50=K50,K50,IF(SUM(H50,J50,W50,Y50,AG50,AI50)=0,"Venc. Jogo 37",IF(AG50&gt;AI50,F50,IF(AI50&gt;AG50,K50,IF(AG50=AI50,"Venc. Jogo 37","Erro Recoloque os Resultados")))))))))))</f>
        <v>Tupi-MG</v>
      </c>
      <c r="G93" s="97"/>
      <c r="H93" s="8"/>
      <c r="I93" s="8"/>
      <c r="J93" s="8"/>
      <c r="K93" s="97" t="str">
        <f>IF(O51=K51,K51,IF(OR(H51="",J51="",W51="",Y51=""),"Venc. Jogo 38",IF(AND(H51=W51,J51=Y51,AG51="",AI51=""),"Penalidades",IF(SUM(H51,Y51)&gt;SUM(J51,W51),F51,IF(SUM(J51,W51)&gt;SUM(H51,Y51),K51,IF(Q51=F51,F51,IF(Q51=K51,K51,IF(SUM(H51,J51,W51,Y51,AG51,AI51)=0,"Venc. Jogo 38",IF(AG51&gt;AI51,F51,IF(AI51&gt;AG51,K51,IF(AG51=AI51,"Venc. Jogo 38","Erro Recoloque os Resultados")))))))))))</f>
        <v>Fluminense</v>
      </c>
      <c r="L93" s="97"/>
      <c r="M93" s="117"/>
      <c r="N93" s="117"/>
      <c r="O93" s="41" t="str">
        <f t="shared" si="26"/>
        <v/>
      </c>
      <c r="P93" s="41"/>
      <c r="Q93" s="41" t="b">
        <f t="shared" si="27"/>
        <v>0</v>
      </c>
      <c r="S93" s="95" t="str">
        <f t="shared" si="30"/>
        <v>Estadio Indefinido</v>
      </c>
      <c r="T93" s="95"/>
      <c r="U93" s="78" t="str">
        <f t="shared" si="31"/>
        <v>Fluminense</v>
      </c>
      <c r="V93" s="78"/>
      <c r="W93" s="14"/>
      <c r="X93" s="3" t="s">
        <v>2</v>
      </c>
      <c r="Y93" s="14"/>
      <c r="Z93" s="78" t="str">
        <f t="shared" si="32"/>
        <v>Tupi-MG</v>
      </c>
      <c r="AA93" s="78"/>
      <c r="AB93" s="78"/>
      <c r="AC93" s="78"/>
      <c r="AG93" s="73"/>
      <c r="AH93" s="74"/>
      <c r="AI93" s="78"/>
      <c r="AJ93" s="78"/>
    </row>
    <row r="94" spans="2:36" ht="15" customHeight="1">
      <c r="B94" s="24" t="s">
        <v>280</v>
      </c>
      <c r="D94" s="78" t="str">
        <f>IF(K94="Venc. Jogo 38","Estadio Indefinido",IF(F94=F50,D50,IF(F94=K50,S50,IF(F94=F51,D51,IF(F94=K51,S51,"Estadio Indefinido")))))</f>
        <v>Mario Helênio</v>
      </c>
      <c r="E94" s="78"/>
      <c r="F94" s="95" t="str">
        <f>IF(F93="Venc. Jogo 37",F93,IF(F93="Penalidades",F93,IF(F93=F50,F50,IF(AND(F93=K50,K93=F51),F51,IF(AND(F93=K50,K93=K51),K50,IF(P50&lt;&gt;"Venc. Jogo 37",F93,"Venc. Jogo 37"))))))</f>
        <v>Tupi-MG</v>
      </c>
      <c r="G94" s="95"/>
      <c r="H94" s="36">
        <v>0</v>
      </c>
      <c r="I94" s="3" t="s">
        <v>2</v>
      </c>
      <c r="J94" s="35">
        <v>3</v>
      </c>
      <c r="K94" s="78" t="str">
        <f>IF(K93="Venc. Jogo 38",K93,IF(K93="Penalidades",K93,IF(K93=K51,K51,IF(AND(F93=F50,K93=F51),F51,IF(AND(F93=K50,K93=F51),K50,IF(P51&lt;&gt;"Venc. Jogo 38",K93,"Venc. Jogo 38"))))))</f>
        <v>Fluminense</v>
      </c>
      <c r="L94" s="78"/>
      <c r="M94" s="116" t="s">
        <v>310</v>
      </c>
      <c r="N94" s="116"/>
      <c r="O94" s="41" t="str">
        <f>IF(H94="","",IF(AND(H94=0,J94&gt;=2),K94,IF(AND(H94=1,J94&gt;=3),K94,IF(AND(H94=2,J94&gt;=4),K94,IF(AND(H94=3,J94&gt;=5),K94,IF(AND(H94=4,J94&gt;=6),K94,IF(AND(H94=5,J94&gt;=7),K94,IF(AND(H94=6,J94&gt;=8),K94,IF(AND(H94=7,J94&gt;=9),K94,IF(AND(H94=8,J94&gt;=10),K94,""))))))))))</f>
        <v>Fluminense</v>
      </c>
      <c r="P94" s="41" t="str">
        <f>IF(OR(H96="",J96="",W96="",Y96="",Y94&gt;="0"),F118,"")</f>
        <v>Fluminense</v>
      </c>
      <c r="Q94" s="41" t="b">
        <f t="shared" si="27"/>
        <v>0</v>
      </c>
      <c r="S94" s="95" t="str">
        <f>IF(Z94="Venc. Jogo 37","Estadio Indefinido",IF(U94=F50,D50,IF(U94=K50,S50,IF(U94=F51,D51,IF(U94=K51,S51,"Estadio Indefinido")))))</f>
        <v>Maracanã</v>
      </c>
      <c r="T94" s="95"/>
      <c r="U94" s="95" t="str">
        <f t="shared" si="31"/>
        <v>Fluminense</v>
      </c>
      <c r="V94" s="95"/>
      <c r="W94" s="44" t="s">
        <v>362</v>
      </c>
      <c r="X94" s="3" t="s">
        <v>2</v>
      </c>
      <c r="Y94" s="44" t="s">
        <v>362</v>
      </c>
      <c r="Z94" s="78" t="str">
        <f t="shared" si="32"/>
        <v>Tupi-MG</v>
      </c>
      <c r="AA94" s="78"/>
      <c r="AB94" s="78" t="s">
        <v>309</v>
      </c>
      <c r="AC94" s="78"/>
      <c r="AG94" s="70"/>
      <c r="AH94" s="71"/>
      <c r="AI94" s="84"/>
      <c r="AJ94" s="84"/>
    </row>
    <row r="95" spans="2:36" ht="13.5" hidden="1" customHeight="1">
      <c r="B95" s="24"/>
      <c r="D95" s="78" t="str">
        <f t="shared" si="29"/>
        <v xml:space="preserve"> Arena das Dunas</v>
      </c>
      <c r="E95" s="78"/>
      <c r="F95" s="96" t="str">
        <f>IF(O52=K52,K52,IF(OR(H52="",J52="",W52="",Y52=""),"Venc. Jogo 39",IF(AND(H52=W52,J52=Y52,AG52="",AI52=""),"Penalidades",IF(SUM(H52,Y52)&gt;SUM(J52,W52),F52,IF(SUM(J52,W52)&gt;SUM(H52,Y52),K52,IF(Q52=F52,F52,IF(Q52=K52,K52,IF(SUM(H52,J52,W52,Y52,AG52,AI52)=0,"Venc. Jogo 39",IF(AG52&gt;AI52,F52,IF(AI52&gt;AG52,K52,IF(AG52=AI52,"Venc. Jogo 39","Erro Recoloque os Resultados")))))))))))</f>
        <v>América-RN</v>
      </c>
      <c r="G95" s="96"/>
      <c r="H95" s="12"/>
      <c r="I95" s="12"/>
      <c r="J95" s="12"/>
      <c r="K95" s="75" t="str">
        <f>IF(O53=K53,K53,IF(OR(H53="",J53="",W53="",Y53=""),"Venc. Jogo 40",IF(AND(H53=W53,J53=Y53,AG53="",AI53=""),"Penalidades",IF(SUM(H53,Y53)&gt;SUM(J53,W53),F53,IF(SUM(J53,W53)&gt;SUM(H53,Y53),K53,IF(Q53=F53,F53,IF(Q53=K53,K53,IF(SUM(H53,J53,W53,Y53,AG53,AI53)=0,"Venc. Jogo 40",IF(AG53&gt;AI53,F53,IF(AI53&gt;AG53,K53,IF(AG53=AI53,"Venc. Jogo 40","Erro Recoloque os Resultados")))))))))))</f>
        <v>Náutico</v>
      </c>
      <c r="L95" s="75"/>
      <c r="M95" s="98"/>
      <c r="N95" s="98"/>
      <c r="O95" s="41" t="str">
        <f t="shared" si="26"/>
        <v/>
      </c>
      <c r="P95" s="41"/>
      <c r="Q95" s="41" t="b">
        <f t="shared" si="27"/>
        <v>0</v>
      </c>
      <c r="S95" s="95" t="str">
        <f t="shared" si="30"/>
        <v>Estadio Indefinido</v>
      </c>
      <c r="T95" s="95"/>
      <c r="U95" s="95" t="str">
        <f t="shared" si="31"/>
        <v>Náutico</v>
      </c>
      <c r="V95" s="95"/>
      <c r="W95" s="14"/>
      <c r="X95" s="3" t="s">
        <v>2</v>
      </c>
      <c r="Y95" s="14"/>
      <c r="Z95" s="78" t="str">
        <f t="shared" si="32"/>
        <v>América-RN</v>
      </c>
      <c r="AA95" s="78"/>
      <c r="AB95" s="78"/>
      <c r="AC95" s="78"/>
      <c r="AG95" s="73"/>
      <c r="AH95" s="74"/>
      <c r="AI95" s="78"/>
      <c r="AJ95" s="78"/>
    </row>
    <row r="96" spans="2:36">
      <c r="B96" s="24" t="s">
        <v>282</v>
      </c>
      <c r="D96" s="78" t="str">
        <f>IF(K96="Venc. Jogo 40","Estadio Indefinido",IF(F96=F52,D52,IF(F96=K52,S52,IF(F96=F53,D53,IF(F96=K53,S53,"Estadio Indefinido")))))</f>
        <v xml:space="preserve"> Arena das Dunas</v>
      </c>
      <c r="E96" s="78"/>
      <c r="F96" s="95" t="str">
        <f>IF(F95="Venc. Jogo 39",F95,IF(F95="Penalidades",F95,IF(F95=F52,F52,IF(AND(F95=K52,K95=F53),F53,IF(AND(F95=K52,K95=K53),K52,IF(P52&lt;&gt;"Venc. Jogo 39",F95,"Venc. Jogo 39"))))))</f>
        <v>América-RN</v>
      </c>
      <c r="G96" s="95"/>
      <c r="H96" s="36">
        <v>3</v>
      </c>
      <c r="I96" s="3" t="s">
        <v>2</v>
      </c>
      <c r="J96" s="35">
        <v>0</v>
      </c>
      <c r="K96" s="78" t="str">
        <f>IF(K95="Venc. Jogo 40",K95,IF(K95="Penalidades",K95,IF(K95=K53,K53,IF(AND(F95=F52,K95=F53),F53,IF(AND(F95=K52,K95=F53),K52,IF(P53&lt;&gt;"Venc. Jogo 40",K95,"Venc. Jogo 40"))))))</f>
        <v>Náutico</v>
      </c>
      <c r="L96" s="78"/>
      <c r="M96" s="116" t="s">
        <v>311</v>
      </c>
      <c r="N96" s="116"/>
      <c r="O96" s="41" t="str">
        <f>IF(H96="","",IF(AND(H96=0,J96&gt;=2),K96,IF(AND(H96=1,J96&gt;=3),K96,IF(AND(H96=2,J96&gt;=4),K96,IF(AND(H96=3,J96&gt;=5),K96,IF(AND(H96=4,J96&gt;=6),K96,IF(AND(H96=5,J96&gt;=7),K96,IF(AND(H96=6,J96&gt;=8),K96,IF(AND(H96=7,J96&gt;=9),K96,IF(AND(H96=8,J96&gt;=10),K96,""))))))))))</f>
        <v/>
      </c>
      <c r="P96" s="41" t="str">
        <f>IF(OR(H94="",J94="",W94="",Y94="",Y96&gt;="0"),K118,"")</f>
        <v/>
      </c>
      <c r="Q96" s="41" t="b">
        <f>IF(SUM(H96,Y96)=SUM(J96,W96),IF(J96&gt;Y96,K96,IF(Y96&gt;J96,F96)))</f>
        <v>0</v>
      </c>
      <c r="S96" s="95" t="str">
        <f>IF(Z96="Venc. Jogo 39","Estadio Indefinido",IF(U96=F52,D52,IF(U96=K52,S52,IF(U96=F53,D53,IF(U96=K53,S53,"Estadio Indefinido")))))</f>
        <v>Arena Pernambuco</v>
      </c>
      <c r="T96" s="95"/>
      <c r="U96" s="95" t="str">
        <f t="shared" ref="U96" si="33">K96</f>
        <v>Náutico</v>
      </c>
      <c r="V96" s="95"/>
      <c r="W96" s="35"/>
      <c r="X96" s="3" t="s">
        <v>2</v>
      </c>
      <c r="Y96" s="35"/>
      <c r="Z96" s="78" t="str">
        <f t="shared" ref="Z96" si="34">F96</f>
        <v>América-RN</v>
      </c>
      <c r="AA96" s="78"/>
      <c r="AB96" s="78" t="s">
        <v>312</v>
      </c>
      <c r="AC96" s="78"/>
      <c r="AG96" s="70"/>
      <c r="AH96" s="71"/>
      <c r="AI96" s="84"/>
      <c r="AJ96" s="84"/>
    </row>
    <row r="98" spans="2:36">
      <c r="B98" s="126" t="s">
        <v>367</v>
      </c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8"/>
    </row>
    <row r="99" spans="2:36" ht="15.75" hidden="1" customHeight="1">
      <c r="D99" s="75"/>
      <c r="E99" s="75"/>
      <c r="F99" s="75" t="str">
        <f>IF(O58=K58,K58,IF(OR(H58="",J58="",W58="",Y58=""),"Venc. Jogo 41",IF(AND(H58=W58,J58=Y58,AG58="",AI58=""),"Penalidades",IF(SUM(H58,Y58)&gt;SUM(J58,W58),F58,IF(SUM(J58,W58)&gt;SUM(H58,Y58),K58,IF(Q58=F58,F58,IF(Q58=K58,K58,IF(SUM(H58,J58,W58,Y58,AG58,AI58)=0,"Venc. Jogo 41",IF(AG58&gt;AI58,F58,IF(AI58&gt;AG58,K58,IF(AG58=AI58,"Venc. Jogo 41","Erro Recoloque os Resultados")))))))))))</f>
        <v>Corinthians</v>
      </c>
      <c r="G99" s="75"/>
      <c r="K99" s="75" t="str">
        <f>IF(O60=K60,K60,IF(OR(H60="",J60="",W60="",Y60=""),"Venc. Jogo 42",IF(AND(H60=W60,J60=Y60,AG60="",AI60=""),"Penalidades",IF(SUM(H60,Y60)&gt;SUM(J60,W60),F60,IF(SUM(J60,W60)&gt;SUM(H60,Y60),K60,IF(Q60=F60,F60,IF(Q60=K60,K60,IF(SUM(H60,J60,W60,Y60,AG60,AI60)=0,"Venc. Jogo 42",IF(AG60&gt;AI60,F60,IF(AI60&gt;AG60,K60,IF(AG60=AI60,"Venc. Jogo 42","Erro Recoloque os Resultados")))))))))))</f>
        <v>Venc. Jogo 42</v>
      </c>
      <c r="L99" s="75"/>
      <c r="M99" s="98"/>
      <c r="N99" s="98"/>
      <c r="S99" s="96"/>
      <c r="T99" s="96"/>
      <c r="U99" s="75"/>
      <c r="V99" s="75"/>
      <c r="Z99" s="75"/>
      <c r="AA99" s="75"/>
      <c r="AB99" s="75"/>
      <c r="AC99" s="75"/>
    </row>
    <row r="100" spans="2:36">
      <c r="F100" s="79"/>
      <c r="G100" s="79"/>
      <c r="J100" s="40"/>
      <c r="K100" s="79"/>
      <c r="L100" s="79"/>
    </row>
    <row r="101" spans="2:36">
      <c r="B101" s="24" t="s">
        <v>321</v>
      </c>
      <c r="D101" s="78" t="str">
        <f>IF(K101="Venc. Jogo 42","Estadio Indefinido",IF(F101=F14,D14,IF(F101=K14,S14,IF(F101=F15,D15,IF(F101=K15,S15,IF(F101=F16,D16,IF(F101=K16,S16,IF(F101=F17,D17,IF(F101=K17,S17,"Estadio Indefinido")))))))))</f>
        <v>Estadio Indefinido</v>
      </c>
      <c r="E101" s="78"/>
      <c r="F101" s="99" t="str">
        <f>IF(F99="Venc. Jogo 41",F99,IF(F99="Penalidades",F99,IF(AND(F58="Venc. Jogo 41",K58="Venc. Jogo 42"),F99,IF(OR(F99=F14,K99=F14),F14,IF(OR(F99=F17,K99=F17),F17,IF(OR(F99=F16,K99=F16),F16,IF(OR(F99=F15,K99=F15),F15,IF(OR(F99=K14,K99=K14),K14,IF(OR(F99=K17,K99=K17),K17,IF(OR(F99=K16,K99=K16),K16,IF(OR(F99=K15,K99=K15),K15,IF(P58&lt;&gt;"Venc. Jogo 41",F99,F99))))))))))))</f>
        <v>Corinthians</v>
      </c>
      <c r="G101" s="99"/>
      <c r="H101" s="35"/>
      <c r="I101" s="3" t="s">
        <v>2</v>
      </c>
      <c r="J101" s="35"/>
      <c r="K101" s="99" t="str">
        <f>IF(K99="Venc. Jogo 42",K99,IF(K99="Penalidades",K99,IF(AND(F58="Venc. Jogo 41",K58="Venc. Jogo 42"),K99,IF(OR(F99=K15,K99=K15),K15,IF(OR(F99=K16,K99=K16),K16,IF(OR(F99=K17,K99=K17),K17,IF(OR(F99=K14,K99=K14),K14,IF(OR(F99=F15,K99=F15),F15,IF(OR(F99=F16,K99=F16),F16,IF(OR(F99=F17,K99=F17),F17,IF(OR(F99=F14,K99=F14),F14,IF(P60&lt;&gt;"Venc. Jogo 42",K99,K99))))))))))))</f>
        <v>Venc. Jogo 42</v>
      </c>
      <c r="L101" s="99"/>
      <c r="M101" s="81" t="s">
        <v>313</v>
      </c>
      <c r="N101" s="81"/>
      <c r="O101" s="41" t="str">
        <f>IF(H101="","",IF(AND(H101=0,J101&gt;=2),K101,IF(AND(H101=1,J101&gt;=3),K101,IF(AND(H101=2,J101&gt;=4),K101,IF(AND(H101=3,J101&gt;=5),K101,IF(AND(H101=4,J101&gt;=6),K101,IF(AND(H101=5,J101&gt;=7),K101,IF(AND(H101=6,J101&gt;=8),K101,IF(AND(H101=7,J101&gt;=9),K101,IF(AND(H101=8,J101&gt;=10),K101,""))))))))))</f>
        <v/>
      </c>
      <c r="P101" s="41"/>
      <c r="Q101" s="41" t="b">
        <f>IF(SUM(H101,Y101)=SUM(J101,W101),IF(J101&gt;Y101,K101,IF(Y101&gt;J101,F101)))</f>
        <v>0</v>
      </c>
      <c r="S101" s="95" t="str">
        <f>IF(Z101="Venc. Jogo 41","Estadio Indefinido",IF(U101=U14,S14,IF(U101=Z14,D14,IF(U101=U15,S15,IF(U101=Z15,D15,IF(U101=U16,S16,IF(U101=Z16,D16,IF(U101=U17,S17,IF(U101=Z17,D17,"Estadio Indefinido")))))))))</f>
        <v>Estadio Indefinido</v>
      </c>
      <c r="T101" s="95"/>
      <c r="U101" s="78" t="str">
        <f>K101</f>
        <v>Venc. Jogo 42</v>
      </c>
      <c r="V101" s="78"/>
      <c r="W101" s="35"/>
      <c r="X101" s="3" t="s">
        <v>2</v>
      </c>
      <c r="Y101" s="35"/>
      <c r="Z101" s="78" t="str">
        <f>F101</f>
        <v>Corinthians</v>
      </c>
      <c r="AA101" s="78"/>
      <c r="AB101" s="84" t="s">
        <v>313</v>
      </c>
      <c r="AC101" s="84"/>
      <c r="AG101" s="84"/>
      <c r="AH101" s="84"/>
      <c r="AI101" s="84"/>
      <c r="AJ101" s="84"/>
    </row>
    <row r="102" spans="2:36" ht="16.5" hidden="1" customHeight="1">
      <c r="B102" s="24"/>
      <c r="D102" s="78" t="str">
        <f t="shared" ref="D102" si="35">IF(K102="Venc. Jogo 42","Estadio Indefinido",IF(F102=F15,D15,IF(F102=K15,S15,IF(F102=F16,D16,IF(F102=K16,S16,IF(F102=F17,D17,IF(F102=K17,S17,IF(F102=F18,D18,IF(F102=K18,S18,"Estadio Indefinido")))))))))</f>
        <v>Estadio Indefinido</v>
      </c>
      <c r="E102" s="78"/>
      <c r="F102" s="97" t="str">
        <f>IF(O62=K62,K62,IF(OR(H62="",J62="",W62="",Y62=""),"Venc. Jogo 43",IF(AND(H62=W62,J62=Y62,AG62="",AI62=""),"Penalidades",IF(SUM(H62,Y62)&gt;SUM(J62,W62),F62,IF(SUM(J62,W62)&gt;SUM(H62,Y62),K62,IF(Q62=F62,F62,IF(Q62=K62,K62,IF(SUM(H62,J62,W62,Y62,AG62,AI62)=0,"Venc. Jogo 43",IF(AG62&gt;AI62,F62,IF(AI62&gt;AG62,K62,IF(AG62=AI62,"Venc. Jogo 43","Erro Recoloque os Resultados")))))))))))</f>
        <v>Venc. Jogo 43</v>
      </c>
      <c r="G102" s="97"/>
      <c r="H102" s="8"/>
      <c r="I102" s="8"/>
      <c r="J102" s="8"/>
      <c r="K102" s="97" t="str">
        <f>IF(O64=K64,K64,IF(OR(H64="",J64="",W64="",Y64=""),"Venc. Jogo 44",IF(AND(H64=W64,J64=Y64,AG64="",AI64=""),"Penalidades",IF(SUM(H64,Y64)&gt;SUM(J64,W64),F64,IF(SUM(J64,W64)&gt;SUM(H64,Y64),K64,IF(Q64=F64,F64,IF(Q64=K64,K64,IF(SUM(H64,J64,W64,Y64,AG64,AI64)=0,"Venc. Jogo 44",IF(AG64&gt;AI64,F64,IF(AI64&gt;AG64,K64,IF(AG64=AI64,"Venc. Jogo 44","Erro Recoloque os Resultados")))))))))))</f>
        <v>Santa Rita</v>
      </c>
      <c r="L102" s="97"/>
      <c r="M102" s="116" t="s">
        <v>313</v>
      </c>
      <c r="N102" s="116"/>
      <c r="O102" s="41" t="str">
        <f t="shared" ref="O102:O118" si="36">IF(H102="","",IF(AND(H102=0,J102&gt;=2),K102,IF(AND(H102=1,J102&gt;=3),K102,IF(AND(H102=2,J102&gt;=4),K102,IF(AND(H102=3,J102&gt;=5),K102,IF(AND(H102=4,J102&gt;=6),K102,IF(AND(H102=5,J102&gt;=7),K102,IF(AND(H102=6,J102&gt;=8),K102,IF(AND(H102=7,J102&gt;=9),K102,IF(AND(H102=8,J102&gt;=10),K102,""))))))))))</f>
        <v/>
      </c>
      <c r="P102" s="41"/>
      <c r="Q102" s="41" t="b">
        <f t="shared" ref="Q102:Q118" si="37">IF(SUM(H102,Y102)=SUM(J102,W102),IF(J102&gt;Y102,K102,IF(Y102&gt;J102,F102)))</f>
        <v>0</v>
      </c>
      <c r="AG102" s="73"/>
      <c r="AH102" s="74"/>
      <c r="AI102" s="100"/>
      <c r="AJ102" s="100"/>
    </row>
    <row r="103" spans="2:36">
      <c r="B103" s="24" t="s">
        <v>322</v>
      </c>
      <c r="D103" s="78" t="str">
        <f>IF(K103="Venc. Jogo 44","Estadio Indefinido",IF(F103=F18,D18,IF(F103=K18,S18,IF(F103=F19,D19,IF(F103=K19,S19,IF(F103=F20,D20,IF(F103=K20,S20,IF(F103=F21,D21,IF(F103=K21,S21,"Estadio Indefinido")))))))))</f>
        <v>Estadio Indefinido</v>
      </c>
      <c r="E103" s="78"/>
      <c r="F103" s="97" t="str">
        <f>IF(F102="Venc. Jogo 43",F102,IF(F102="Penalidades",F102,IF(AND(F102="Venc. Jogo 44",K102="Venc. Jogo 44"),F102,IF(OR(F102=F19,K102=F19),F19,IF(OR(F102=F20,K102=F20),F20,IF(OR(F102=F21,K102=F21),F21,IF(OR(F102=F18,K102=F18),F18,IF(OR(F102=K19,K102=K19),K19,IF(OR(F102=K20,K102=K20),K20,IF(OR(F102=K21,K102=K21),K21,IF(OR(F102=K18,K102=K18),K18,IF(P62&lt;&gt;"Venc. Jogo 43",F102,F102))))))))))))</f>
        <v>Venc. Jogo 43</v>
      </c>
      <c r="G103" s="97"/>
      <c r="H103" s="35"/>
      <c r="I103" s="3" t="s">
        <v>2</v>
      </c>
      <c r="J103" s="35"/>
      <c r="K103" s="97" t="str">
        <f>IF(K102="Venc. Jogo 44",K102,IF(K102="Penalidades",K102,IF(AND(F102="Venc. Jogo 44",K102="Venc. Jogo 44"),K102,IF(OR(F102=K18,K102=K18),K18,IF(OR(F102=K21,K102=K21),K21,IF(OR(F102=K20,K102=K20),K20,IF(OR(F102=K19,K102=K19),K19,IF(OR(F102=F18,K102=F18),F18,IF(OR(F102=F21,K102=F21),F21,IF(OR(F102=F20,K102=F20),F20,IF(OR(F102=F19,K102=F19),F19,IF(P64&lt;&gt;"Venc. Jogo 44",K102,K102))))))))))))</f>
        <v>Santa Rita</v>
      </c>
      <c r="L103" s="97"/>
      <c r="M103" s="81" t="s">
        <v>313</v>
      </c>
      <c r="N103" s="81"/>
      <c r="O103" s="41" t="str">
        <f t="shared" si="36"/>
        <v/>
      </c>
      <c r="P103" s="41"/>
      <c r="Q103" s="41" t="b">
        <f t="shared" si="37"/>
        <v>0</v>
      </c>
      <c r="S103" s="95" t="str">
        <f>IF(Z103="Venc. Jogo 43","Estadio Indefinido",IF(U103=U18,S18,IF(U103=Z18,D18,IF(U103=U19,S19,IF(U103=Z19,D19,IF(U103=U20,S20,IF(U103=Z20,D20,IF(U103=U21,S21,IF(U103=Z21,D21,"Estadio Indefinido")))))))))</f>
        <v>Estadio Indefinido</v>
      </c>
      <c r="T103" s="95"/>
      <c r="U103" s="78" t="str">
        <f>K103</f>
        <v>Santa Rita</v>
      </c>
      <c r="V103" s="78"/>
      <c r="W103" s="35"/>
      <c r="X103" s="3" t="s">
        <v>2</v>
      </c>
      <c r="Y103" s="35"/>
      <c r="Z103" s="78" t="str">
        <f>F103</f>
        <v>Venc. Jogo 43</v>
      </c>
      <c r="AA103" s="78"/>
      <c r="AB103" s="84" t="s">
        <v>313</v>
      </c>
      <c r="AC103" s="84"/>
      <c r="AG103" s="70"/>
      <c r="AH103" s="71"/>
      <c r="AI103" s="84"/>
      <c r="AJ103" s="84"/>
    </row>
    <row r="104" spans="2:36" ht="15" hidden="1" customHeight="1">
      <c r="B104" s="24"/>
      <c r="D104" s="78" t="str">
        <f t="shared" ref="D104" si="38">IF(K104="Venc. Jogo 44","Estadio Indefinido",IF(F104=F19,D19,IF(F104=K19,S19,IF(F104=F20,D20,IF(F104=K20,S20,IF(F104=F21,D21,IF(F104=K21,S21,IF(F104=F22,D22,IF(F104=K22,S22,"Estadio Indefinido")))))))))</f>
        <v>Estadio Indefinido</v>
      </c>
      <c r="E104" s="78"/>
      <c r="F104" s="97" t="str">
        <f>IF(O66=K66,K66,IF(OR(H66="",J66="",W66="",Y66=""),"Venc. Jogo 45",IF(AND(H66=W66,J66=Y66,AG66="",AI66=""),"Penalidades",IF(SUM(H66,Y66)&gt;SUM(J66,W66),F66,IF(SUM(J66,W66)&gt;SUM(H66,Y66),K66,IF(Q66=F66,F66,IF(Q66=K66,K66,IF(SUM(H66,J66,W66,Y66,AG66,AI66)=0,"Venc. Jogo 45",IF(AG66&gt;AI66,F66,IF(AI66&gt;AG66,K66,IF(AG66=AI66,"Venc. Jogo 45","Erro Recoloque os Resultados")))))))))))</f>
        <v>São Paulo</v>
      </c>
      <c r="G104" s="97"/>
      <c r="H104" s="8"/>
      <c r="I104" s="8"/>
      <c r="J104" s="8"/>
      <c r="K104" s="97" t="str">
        <f>IF(O68=K68,K68,IF(OR(H68="",J68="",W68="",Y68=""),"Venc. Jogo 46",IF(AND(H68=W68,J68=Y68,AG68="",AI68=""),"Penalidades",IF(SUM(H68,Y68)&gt;SUM(J68,W68),F68,IF(SUM(J68,W68)&gt;SUM(H68,Y68),K68,IF(Q68=F68,F68,IF(Q68=K68,K68,IF(SUM(H68,J68,W68,Y68,AG68,AI68)=0,"Venc. Jogo 46",IF(AG68&gt;AI68,F68,IF(AI68&gt;AG68,K68,IF(AG68=AI68,"Venc. Jogo 46","Erro Recoloque os Resultados")))))))))))</f>
        <v>Venc. Jogo 46</v>
      </c>
      <c r="L104" s="97"/>
      <c r="M104" s="117"/>
      <c r="N104" s="117"/>
      <c r="O104" s="41" t="str">
        <f t="shared" si="36"/>
        <v/>
      </c>
      <c r="P104" s="41"/>
      <c r="Q104" s="41" t="b">
        <f t="shared" si="37"/>
        <v>0</v>
      </c>
      <c r="S104" s="114"/>
      <c r="T104" s="114"/>
      <c r="AG104" s="73"/>
      <c r="AH104" s="74"/>
      <c r="AI104" s="78"/>
      <c r="AJ104" s="78"/>
    </row>
    <row r="105" spans="2:36">
      <c r="B105" s="24" t="s">
        <v>323</v>
      </c>
      <c r="D105" s="78" t="str">
        <f>IF(K105="Venc. Jogo 46","Estadio Indefinido",IF(F105=F22,D22,IF(F105=K22,S22,IF(F105=F23,D23,IF(F105=K23,S23,IF(F105=F24,D24,IF(F105=K24,S24,IF(F105=F25,D25,IF(F105=K25,S25,"Estadio Indefinido")))))))))</f>
        <v>Estadio Indefinido</v>
      </c>
      <c r="E105" s="78"/>
      <c r="F105" s="97" t="str">
        <f>IF(F104="Venc. Jogo 45",F104,IF(F104="Penalidades",F104,IF(AND(F104="Venc. Jogo 45",K104="Venc. Jogo 46"),F104,IF(OR(F104=F22,K104=F22),F22,IF(OR(F104=F24,K104=F24),F24,IF(OR(F104=F25,K104=F25),F25,IF(OR(F104=F23,K104=F23),F23,IF(OR(F104=K22,K104=K22),K22,IF(OR(F104=K24,K104=K24),K24,IF(OR(F104=K25,K104=K25),K25,IF(OR(F104=K23,K104=K23),K23,IF(P66&lt;&gt;"Venc. Jogo 45",F104,F104))))))))))))</f>
        <v>São Paulo</v>
      </c>
      <c r="G105" s="97"/>
      <c r="H105" s="35"/>
      <c r="I105" s="3" t="s">
        <v>2</v>
      </c>
      <c r="J105" s="35"/>
      <c r="K105" s="97" t="str">
        <f>IF(K104="Venc. Jogo 46",K104,IF(K104="Penalidades",K104,IF(AND(F104="Venc. Jogo 45",K104="Venc. Jogo 46"),K104,IF(OR(F104=K23,K104=K23),K23,IF(OR(F104=K25,K104=K25),K25,IF(OR(F104=K24,K104=K24),K24,IF(OR(F104=K22,K104=K22),K22,IF(OR(F104=F23,K104=F23),F23,IF(OR(F104=F25,K104=F25),F25,IF(OR(F104=F24,K104=F24),F24,IF(OR(F104=F22,K104=F22),F22,IF(P68&lt;&gt;"Venc. Jogo 46",K104,K104))))))))))))</f>
        <v>Venc. Jogo 46</v>
      </c>
      <c r="L105" s="97"/>
      <c r="M105" s="81" t="s">
        <v>313</v>
      </c>
      <c r="N105" s="81"/>
      <c r="O105" s="41" t="str">
        <f t="shared" si="36"/>
        <v/>
      </c>
      <c r="P105" s="41"/>
      <c r="Q105" s="41" t="b">
        <f t="shared" si="37"/>
        <v>0</v>
      </c>
      <c r="S105" s="95" t="str">
        <f>IF(Z105="Venc. Jogo 45","Estadio Indefinido",IF(U105=U22,S22,IF(U105=Z22,D22,IF(U105=U23,S23,IF(U105=Z23,D23,IF(U105=U24,S24,IF(U105=Z24,D24,IF(U105=U25,S25,IF(U105=Z25,D25,"Estadio Indefinido")))))))))</f>
        <v>Estadio Indefinido</v>
      </c>
      <c r="T105" s="95"/>
      <c r="U105" s="78" t="str">
        <f>K105</f>
        <v>Venc. Jogo 46</v>
      </c>
      <c r="V105" s="78"/>
      <c r="W105" s="35"/>
      <c r="X105" s="3" t="s">
        <v>2</v>
      </c>
      <c r="Y105" s="35"/>
      <c r="Z105" s="78" t="str">
        <f>F105</f>
        <v>São Paulo</v>
      </c>
      <c r="AA105" s="78"/>
      <c r="AB105" s="84" t="s">
        <v>313</v>
      </c>
      <c r="AC105" s="84"/>
      <c r="AG105" s="70"/>
      <c r="AH105" s="71"/>
      <c r="AI105" s="84"/>
      <c r="AJ105" s="84"/>
    </row>
    <row r="106" spans="2:36" ht="15" hidden="1" customHeight="1">
      <c r="B106" s="24"/>
      <c r="D106" s="78" t="str">
        <f t="shared" ref="D106" si="39">IF(K106="Venc. Jogo 46","Estadio Indefinido",IF(F106=F23,D23,IF(F106=K23,S23,IF(F106=F24,D24,IF(F106=K24,S24,IF(F106=F25,D25,IF(F106=K25,S25,IF(F106=F26,D26,IF(F106=K26,S26,"Estadio Indefinido")))))))))</f>
        <v>Couto Pereira</v>
      </c>
      <c r="E106" s="78"/>
      <c r="F106" s="97" t="str">
        <f>IF(O70=K70,K70,IF(OR(H70="",J70="",W70="",Y70=""),"Venc. Jogo 47",IF(AND(H70=W70,J70=Y70,AG70="",AI70=""),"Penalidades",IF(SUM(H70,Y70)&gt;SUM(J70,W70),F70,IF(SUM(J70,W70)&gt;SUM(H70,Y70),K70,IF(Q70=F70,F70,IF(Q70=K70,K70,IF(SUM(H70,J70,W70,Y70,AG70,AI70)=0,"Venc. Jogo 47",IF(AG70&gt;AI70,F70,IF(AI70&gt;AG70,K70,IF(AG70=AI70,"Venc. Jogo 47","Erro Recoloque os Resultados")))))))))))</f>
        <v>Coritiba</v>
      </c>
      <c r="G106" s="97"/>
      <c r="H106" s="8"/>
      <c r="I106" s="8"/>
      <c r="J106" s="8"/>
      <c r="K106" s="97" t="str">
        <f>IF(O72=K72,K72,IF(OR(H72="",J72="",W72="",Y72=""),"Venc. Jogo 48",IF(AND(H72=W72,J72=Y72,AG72="",AI72=""),"Penalidades",IF(SUM(H72,Y72)&gt;SUM(J72,W72),F72,IF(SUM(J72,W72)&gt;SUM(H72,Y72),K72,IF(Q72=F72,F72,IF(Q72=K72,K72,IF(SUM(H72,J72,W72,Y72,AG72,AI72)=0,"Venc. Jogo 48",IF(AG72&gt;AI72,F72,IF(AI72&gt;AG72,K72,IF(AG72=AI72,"Venc. Jogo 48","Erro Recoloque os Resultados")))))))))))</f>
        <v>Venc. Jogo 48</v>
      </c>
      <c r="L106" s="97"/>
      <c r="M106" s="117"/>
      <c r="N106" s="117"/>
      <c r="O106" s="41" t="str">
        <f t="shared" si="36"/>
        <v/>
      </c>
      <c r="P106" s="41"/>
      <c r="Q106" s="41" t="b">
        <f t="shared" si="37"/>
        <v>0</v>
      </c>
      <c r="S106" s="114"/>
      <c r="T106" s="114"/>
      <c r="AG106" s="73"/>
      <c r="AH106" s="74"/>
      <c r="AI106" s="78"/>
      <c r="AJ106" s="78"/>
    </row>
    <row r="107" spans="2:36">
      <c r="B107" s="24" t="s">
        <v>324</v>
      </c>
      <c r="D107" s="78" t="str">
        <f>IF(K107="Venc. Jogo 48","Estadio Indefinido",IF(F107=F26,D26,IF(F107=K26,S26,IF(F107=F27,D27,IF(F107=K27,S27,IF(F107=F28,D28,IF(F107=K28,S28,IF(F107=F29,D29,IF(F107=K29,S29,"Estadio Indefinido")))))))))</f>
        <v>Estadio Indefinido</v>
      </c>
      <c r="E107" s="78"/>
      <c r="F107" s="97" t="str">
        <f>IF(F106="Venc. Jogo 47",F106,IF(F106="Penalidades",F106,IF(AND(F106="Venc. Jogo 47",K106="Venc. Jogo 48"),F106,IF(OR(F106=F27,K106=F27),F27,IF(OR(F106=F29,K106=F29),F29,IF(OR(F106=F28,K106=F28),F28,IF(OR(F106=F26,K106=F26),F26,IF(OR(F106=K27,K106=K27),K27,IF(OR(F106=K29,K106=K29),K29,IF(OR(F106=K28,K106=K28),K28,IF(OR(F106=K26,K106=K26),K26,IF(P70&lt;&gt;"Venc. Jogo 47",F106,F106))))))))))))</f>
        <v>Coritiba</v>
      </c>
      <c r="G107" s="97"/>
      <c r="H107" s="35"/>
      <c r="I107" s="3" t="s">
        <v>2</v>
      </c>
      <c r="J107" s="35"/>
      <c r="K107" s="97" t="str">
        <f>IF(K106="Venc. Jogo 48",K106,IF(K106="Penalidades",K106,IF(AND(F106="Venc. Jogo 47",K106="Venc. Jogo 48"),K106,IF(OR(F106=K26,K106=K26),K26,IF(OR(F106=K28,K106=K28),K28,IF(OR(F106=K29,K106=K29),K29,IF(OR(F106=K27,K106=K27),K27,IF(OR(F106=F26,K106=F26),F26,IF(OR(F106=F28,K106=F28),F28,IF(OR(F106=F29,K106=F29),F29,IF(OR(F106=F27,K106=F27),F27,IF(P72&lt;&gt;"Venc. Jogo 48",K106,K106))))))))))))</f>
        <v>Venc. Jogo 48</v>
      </c>
      <c r="L107" s="97"/>
      <c r="M107" s="81" t="s">
        <v>313</v>
      </c>
      <c r="N107" s="81"/>
      <c r="O107" s="41" t="str">
        <f t="shared" si="36"/>
        <v/>
      </c>
      <c r="P107" s="41"/>
      <c r="Q107" s="41" t="b">
        <f t="shared" si="37"/>
        <v>0</v>
      </c>
      <c r="S107" s="95" t="str">
        <f>IF(Z107="Venc. Jogo 47","Estadio Indefinido",IF(U107=U26,S26,IF(U107=Z26,D26,IF(U107=U27,S27,IF(U107=Z27,D27,IF(U107=U28,S28,IF(U107=Z28,D28,IF(U107=U29,S29,IF(U107=Z29,D29,"Estadio Indefinido")))))))))</f>
        <v>Estadio Indefinido</v>
      </c>
      <c r="T107" s="95"/>
      <c r="U107" s="78" t="str">
        <f>K107</f>
        <v>Venc. Jogo 48</v>
      </c>
      <c r="V107" s="78"/>
      <c r="W107" s="35"/>
      <c r="X107" s="3" t="s">
        <v>2</v>
      </c>
      <c r="Y107" s="35"/>
      <c r="Z107" s="78" t="str">
        <f>F107</f>
        <v>Coritiba</v>
      </c>
      <c r="AA107" s="78"/>
      <c r="AB107" s="84" t="s">
        <v>313</v>
      </c>
      <c r="AC107" s="84"/>
      <c r="AG107" s="70"/>
      <c r="AH107" s="71"/>
      <c r="AI107" s="84"/>
      <c r="AJ107" s="84"/>
    </row>
    <row r="108" spans="2:36" ht="15" hidden="1" customHeight="1">
      <c r="B108" s="24"/>
      <c r="D108" s="78" t="str">
        <f t="shared" ref="D108" si="40">IF(K108="Venc. Jogo 48","Estadio Indefinido",IF(F108=F27,D27,IF(F108=K27,S27,IF(F108=F28,D28,IF(F108=K28,S28,IF(F108=F29,D29,IF(F108=K29,S29,IF(F108=F30,D30,IF(F108=K30,S30,"Estadio Indefinido")))))))))</f>
        <v>Estadio Indefinido</v>
      </c>
      <c r="E108" s="78"/>
      <c r="F108" s="97" t="str">
        <f>IF(O74=K74,K74,IF(OR(H74="",J74="",W74="",Y74=""),"Venc. Jogo 49",IF(AND(H74=W74,J74=Y74,AG74="",AI74=""),"Penalidades",IF(SUM(H74,Y74)&gt;SUM(J74,W74),F74,IF(SUM(J74,W74)&gt;SUM(H74,Y74),K74,IF(Q74=F74,F74,IF(Q74=K74,K74,IF(SUM(H74,J74,W74,Y74,AG74,AI74)=0,"Venc. Jogo 49",IF(AG74&gt;AI74,F74,IF(AI74&gt;AG74,K74,IF(AG74=AI74,"Venc. Jogo 49","Erro Recoloque os Resultados")))))))))))</f>
        <v>Venc. Jogo 49</v>
      </c>
      <c r="G108" s="97"/>
      <c r="H108" s="8"/>
      <c r="I108" s="8"/>
      <c r="J108" s="8"/>
      <c r="K108" s="97" t="str">
        <f>IF(O76=K76,K76,IF(OR(H76="",J76="",W76="",Y76=""),"Venc. Jogo 50",IF(AND(H76=W76,J76=Y76,AG76="",AI76=""),"Penalidades",IF(SUM(H76,Y76)&gt;SUM(J76,W76),F76,IF(SUM(J76,W76)&gt;SUM(H76,Y76),K76,IF(Q76=F76,F76,IF(Q76=K76,K76,IF(SUM(H76,J76,W76,Y76,AG76,AI76)=0,"Venc. Jogo 50",IF(AG76&gt;AI76,F76,IF(AI76&gt;AG76,K76,IF(AG76=AI76,"Venc. Jogo 50","Erro Recoloque os Resultados")))))))))))</f>
        <v>Venc. Jogo 50</v>
      </c>
      <c r="L108" s="97"/>
      <c r="M108" s="117"/>
      <c r="N108" s="117"/>
      <c r="O108" s="41" t="str">
        <f t="shared" si="36"/>
        <v/>
      </c>
      <c r="P108" s="41"/>
      <c r="Q108" s="41" t="b">
        <f t="shared" si="37"/>
        <v>0</v>
      </c>
      <c r="S108" s="114"/>
      <c r="T108" s="114"/>
      <c r="AG108" s="73"/>
      <c r="AH108" s="74"/>
      <c r="AI108" s="78"/>
      <c r="AJ108" s="78"/>
    </row>
    <row r="109" spans="2:36">
      <c r="B109" s="24" t="s">
        <v>325</v>
      </c>
      <c r="D109" s="78" t="str">
        <f>IF(K109="Venc. Jogo 50","Estadio Indefinido",IF(F109=F30,D30,IF(F109=K30,S30,IF(F109=F31,D31,IF(F109=K31,S31,IF(F109=F32,D32,IF(F109=K32,S32,IF(F109=F33,D33,IF(F109=K33,S33,"Estadio Indefinido")))))))))</f>
        <v>Estadio Indefinido</v>
      </c>
      <c r="E109" s="78"/>
      <c r="F109" s="97" t="str">
        <f>IF(F108="Venc. Jogo 49",F108,IF(F108="Penalidades",F108,IF(AND(F108="Venc. Jogo 49",K108="Venc. Jogo 50"),F108,IF(OR(F108=F30,K108=F30),F30,IF(OR(F108=F33,K108=F33),F33,IF(OR(F108=F32,K108=F32),F32,IF(OR(F108=F31,K108=F31),F31,IF(OR(F108=K30,K108=K30),K30,IF(OR(F108=K33,K108=K33),K33,IF(OR(F108=K32,K108=K32),K32,IF(OR(F108=K31,K108=K31),K31,IF(P74&lt;&gt;"Venc. Jogo 49",F108,F108))))))))))))</f>
        <v>Venc. Jogo 49</v>
      </c>
      <c r="G109" s="97"/>
      <c r="H109" s="35"/>
      <c r="I109" s="3" t="s">
        <v>2</v>
      </c>
      <c r="J109" s="35"/>
      <c r="K109" s="97" t="str">
        <f>IF(K108="Venc. Jogo 50",K108,IF(K108="Penalidades",K108,IF(AND(F108="Venc. Jogo 49",K108="Venc. Jogo 50"),K108,IF(OR(F108=K31,K108=K31),K31,IF(OR(F108=K32,K108=K32),K32,IF(OR(F108=K33,K108=K33),K33,IF(OR(F108=K30,K108=K30),K30,IF(OR(F108=F31,K108=F31),F31,IF(OR(F108=F32,K108=F32),F32,IF(OR(F108=F33,K108=F33),F33,IF(OR(F108=F30,K108=F30),F30,IF(P76&lt;&gt;"Venc. Jogo 50",K108,K108))))))))))))</f>
        <v>Venc. Jogo 50</v>
      </c>
      <c r="L109" s="97"/>
      <c r="M109" s="81" t="s">
        <v>313</v>
      </c>
      <c r="N109" s="81"/>
      <c r="O109" s="41" t="str">
        <f t="shared" si="36"/>
        <v/>
      </c>
      <c r="P109" s="41"/>
      <c r="Q109" s="41" t="b">
        <f t="shared" si="37"/>
        <v>0</v>
      </c>
      <c r="S109" s="95" t="str">
        <f>IF(Z109="Venc. Jogo 49","Estadio Indefinido",IF(U109=U30,S30,IF(U109=Z30,D30,IF(U109=U31,S31,IF(U109=Z31,D31,IF(U109=U32,S32,IF(U109=Z32,D32,IF(U109=U33,S33,IF(U109=Z33,D33,"Estadio Indefinido")))))))))</f>
        <v>Estadio Indefinido</v>
      </c>
      <c r="T109" s="95"/>
      <c r="U109" s="78" t="str">
        <f>K109</f>
        <v>Venc. Jogo 50</v>
      </c>
      <c r="V109" s="78"/>
      <c r="W109" s="35"/>
      <c r="X109" s="3" t="s">
        <v>2</v>
      </c>
      <c r="Y109" s="35"/>
      <c r="Z109" s="78" t="str">
        <f>F109</f>
        <v>Venc. Jogo 49</v>
      </c>
      <c r="AA109" s="78"/>
      <c r="AB109" s="84" t="s">
        <v>313</v>
      </c>
      <c r="AC109" s="84"/>
      <c r="AG109" s="70"/>
      <c r="AH109" s="71"/>
      <c r="AI109" s="84"/>
      <c r="AJ109" s="84"/>
    </row>
    <row r="110" spans="2:36" ht="15" hidden="1" customHeight="1">
      <c r="B110" s="24"/>
      <c r="D110" s="78" t="str">
        <f t="shared" ref="D110" si="41">IF(K110="Venc. Jogo 50","Estadio Indefinido",IF(F110=F31,D31,IF(F110=K31,S31,IF(F110=F32,D32,IF(F110=K32,S32,IF(F110=F33,D33,IF(F110=K33,S33,IF(F110=F34,D34,IF(F110=K34,S34,"Estadio Indefinido")))))))))</f>
        <v>Estadio Indefinido</v>
      </c>
      <c r="E110" s="78"/>
      <c r="F110" s="97" t="str">
        <f>IF(O78=K78,K78,IF(OR(H78="",J78="",W78="",Y78=""),"Venc. Jogo 51",IF(AND(H78=W78,J78=Y78,AG78="",AI78=""),"Penalidades",IF(SUM(H78,Y78)&gt;SUM(J78,W78),F78,IF(SUM(J78,W78)&gt;SUM(H78,Y78),K78,IF(Q78=F78,F78,IF(Q78=K78,K78,IF(SUM(H78,J78,W78,Y78,AG78,AI78)=0,"Venc. Jogo 51",IF(AG78&gt;AI78,F78,IF(AI78&gt;AG78,K78,IF(AG78=AI78,"Venc. Jogo 51","Erro Recoloque os Resultados")))))))))))</f>
        <v>Vasco</v>
      </c>
      <c r="G110" s="97"/>
      <c r="H110" s="8"/>
      <c r="I110" s="8"/>
      <c r="J110" s="8"/>
      <c r="K110" s="97" t="str">
        <f>IF(O80=K80,K80,IF(OR(H80="",J80="",W80="",Y80=""),"Venc. Jogo 52",IF(AND(H80=W80,J80=Y80,AG80="",AI80=""),"Penalidades",IF(SUM(H80,Y80)&gt;SUM(J80,W80),F80,IF(SUM(J80,W80)&gt;SUM(H80,Y80),K80,IF(Q80=F80,F80,IF(Q80=K80,K80,IF(SUM(H80,J80,W80,Y80,AG80,AI80)=0,"Venc. Jogo 52",IF(AG80&gt;AI80,F80,IF(AI80&gt;AG80,K80,IF(AG80=AI80,"Venc. Jogo 52","Erro Recoloque os Resultados")))))))))))</f>
        <v>Ponte Preta</v>
      </c>
      <c r="L110" s="97"/>
      <c r="M110" s="117"/>
      <c r="N110" s="117"/>
      <c r="O110" s="41" t="str">
        <f t="shared" si="36"/>
        <v/>
      </c>
      <c r="P110" s="41"/>
      <c r="Q110" s="41" t="b">
        <f t="shared" si="37"/>
        <v>0</v>
      </c>
      <c r="S110" s="114"/>
      <c r="T110" s="114"/>
      <c r="AG110" s="73"/>
      <c r="AH110" s="74"/>
      <c r="AI110" s="78"/>
      <c r="AJ110" s="78"/>
    </row>
    <row r="111" spans="2:36">
      <c r="B111" s="24" t="s">
        <v>326</v>
      </c>
      <c r="D111" s="78" t="str">
        <f>IF(K111="Venc. Jogo 52","Estadio Indefinido",IF(F111=F34,D34,IF(F111=K34,S34,IF(F111=F35,D35,IF(F111=K35,S35,IF(F111=F36,D36,IF(F111=K36,S36,IF(F111=F37,D37,IF(F111=K37,S37,"Estadio Indefinido")))))))))</f>
        <v>Moisés Lucarelli</v>
      </c>
      <c r="E111" s="78"/>
      <c r="F111" s="97" t="str">
        <f>IF(F110="Venc. Jogo 51",F110,IF(F110="Penalidades",F110,IF(AND(F110="Venc. Jogo 51",K110="Venc. Jogo 52"),F110,IF(OR(F110=F34,K110=F34),F34,IF(OR(F110=F36,K110=F36),F36,IF(OR(F110=F37,K110=F37),F37,IF(OR(F110=F35,K110=F35),F35,IF(OR(F110=K34,K110=K34),K34,IF(OR(F110=K36,K110=K36),K36,IF(OR(F110=K37,K110=K37),K37,IF(OR(F110=K35,K110=K35),K35,IF(P78&lt;&gt;"Venc. Jogo 51",F110,F110))))))))))))</f>
        <v>Ponte Preta</v>
      </c>
      <c r="G111" s="97"/>
      <c r="H111" s="35"/>
      <c r="I111" s="3" t="s">
        <v>2</v>
      </c>
      <c r="J111" s="35"/>
      <c r="K111" s="97" t="str">
        <f>IF(K110="Venc. Jogo 52",K110,IF(K110="Penalidades",K110,IF(AND(F110="Venc. Jogo 51",K110="Venc. Jogo 52"),K110,IF(OR(F110=K35,K110=K35),K35,IF(OR(F110=K37,K110=K37),K37,IF(OR(F110=K36,K110=K36),K36,IF(OR(F110=K34,K110=K34),K34,IF(OR(F110=F35,K110=F35),F35,IF(OR(F110=F37,K110=F37),F37,IF(OR(F110=F36,K110=F36),F36,IF(OR(F110=F34,K110=F34),F34,IF(P80&lt;&gt;"Venc. Jogo 52",K110,K110))))))))))))</f>
        <v>Vasco</v>
      </c>
      <c r="L111" s="97"/>
      <c r="M111" s="81" t="s">
        <v>313</v>
      </c>
      <c r="N111" s="81"/>
      <c r="O111" s="41" t="str">
        <f t="shared" si="36"/>
        <v/>
      </c>
      <c r="P111" s="41"/>
      <c r="Q111" s="41" t="b">
        <f t="shared" si="37"/>
        <v>0</v>
      </c>
      <c r="S111" s="95" t="str">
        <f>IF(Z111="Venc. Jogo 51","Estadio Indefinido",IF(U111=U34,S34,IF(U111=Z34,D34,IF(U111=U35,S35,IF(U111=Z35,D35,IF(U111=U36,S36,IF(U111=Z36,D36,IF(U111=U37,S37,IF(U111=Z37,D37,"Estadio Indefinido")))))))))</f>
        <v>São Januário</v>
      </c>
      <c r="T111" s="95"/>
      <c r="U111" s="78" t="str">
        <f>K111</f>
        <v>Vasco</v>
      </c>
      <c r="V111" s="78"/>
      <c r="W111" s="35"/>
      <c r="X111" s="3" t="s">
        <v>2</v>
      </c>
      <c r="Y111" s="35"/>
      <c r="Z111" s="78" t="str">
        <f>F111</f>
        <v>Ponte Preta</v>
      </c>
      <c r="AA111" s="78"/>
      <c r="AB111" s="84" t="s">
        <v>313</v>
      </c>
      <c r="AC111" s="84"/>
      <c r="AG111" s="70"/>
      <c r="AH111" s="71"/>
      <c r="AI111" s="84"/>
      <c r="AJ111" s="84"/>
    </row>
    <row r="112" spans="2:36" ht="15" hidden="1" customHeight="1">
      <c r="B112" s="24"/>
      <c r="D112" s="78" t="str">
        <f t="shared" ref="D112" si="42">IF(K112="Venc. Jogo 52","Estadio Indefinido",IF(F112=F35,D35,IF(F112=K35,S35,IF(F112=F36,D36,IF(F112=K36,S36,IF(F112=F37,D37,IF(F112=K37,S37,IF(F112=F38,D38,IF(F112=K38,S38,"Estadio Indefinido")))))))))</f>
        <v>Estadio Indefinido</v>
      </c>
      <c r="E112" s="78"/>
      <c r="F112" s="97" t="str">
        <f>IF(O82=K82,K82,IF(OR(H82="",J82="",W82="",Y82=""),"Venc. Jogo 53",IF(AND(H82=W82,J82=Y82,AG82="",AI82=""),"Penalidades",IF(SUM(H82,Y82)&gt;SUM(J82,W82),F82,IF(SUM(J82,W82)&gt;SUM(H82,Y82),K82,IF(Q82=F82,F82,IF(Q82=K82,K82,IF(SUM(H82,J82,W82,Y82,AG82,AI82)=0,"Venc. Jogo 53",IF(AG82&gt;AI82,F82,IF(AI82&gt;AG82,K82,IF(AG82=AI82,"Venc. Jogo 53","Erro Recoloque os Resultados")))))))))))</f>
        <v>Novo Hamburgo</v>
      </c>
      <c r="G112" s="97"/>
      <c r="H112" s="8"/>
      <c r="I112" s="8"/>
      <c r="J112" s="8"/>
      <c r="K112" s="97" t="str">
        <f>IF(O84=K84,K84,IF(OR(H84="",J84="",W84="",Y84=""),"Venc. Jogo 54",IF(AND(H84=W84,J84=Y84,AG84="",AI84=""),"Penalidades",IF(SUM(H84,Y84)&gt;SUM(J84,W84),F84,IF(SUM(J84,W84)&gt;SUM(H84,Y84),K84,IF(Q84=F84,F84,IF(Q84=K84,K84,IF(SUM(H84,J84,W84,Y84,AG84,AI84)=0,"Venc. Jogo 54",IF(AG84&gt;AI84,F84,IF(AI84&gt;AG84,K84,IF(AG84=AI84,"Venc. Jogo 54","Erro Recoloque os Resultados")))))))))))</f>
        <v>Venc. Jogo 54</v>
      </c>
      <c r="L112" s="97"/>
      <c r="M112" s="117"/>
      <c r="N112" s="117"/>
      <c r="O112" s="41" t="str">
        <f t="shared" si="36"/>
        <v/>
      </c>
      <c r="P112" s="41"/>
      <c r="Q112" s="41" t="b">
        <f t="shared" si="37"/>
        <v>0</v>
      </c>
      <c r="S112" s="114"/>
      <c r="T112" s="114"/>
      <c r="AG112" s="73"/>
      <c r="AH112" s="74"/>
      <c r="AI112" s="78"/>
      <c r="AJ112" s="78"/>
    </row>
    <row r="113" spans="2:36">
      <c r="B113" s="24" t="s">
        <v>327</v>
      </c>
      <c r="D113" s="78" t="str">
        <f>IF(K113="Venc. Jogo 54","Estadio Indefinido",IF(F113=F38,D38,IF(F113=K38,S38,IF(F113=F39,D39,IF(F113=K39,S39,IF(F113=F40,D40,IF(F113=K40,S40,IF(F113=F41,D41,IF(F113=K41,S41,"Estadio Indefinido")))))))))</f>
        <v>Estadio Indefinido</v>
      </c>
      <c r="E113" s="78"/>
      <c r="F113" s="97" t="str">
        <f>IF(F112="Venc. Jogo 53",F112,IF(F112="Penalidades",F112,IF(AND(F112="Venc. Jogo 53",K112="Venc. Jogo 54"),F112,IF(OR(F112=F39,K112=F39),F39,IF(OR(F112=F40,K112=F40),F40,IF(OR(F112=F41,K112=F41),F41,IF(OR(F112=F38,K112=F38),F38,IF(OR(F112=K39,K112=K39),K39,IF(OR(F112=K40,K112=K40),K40,IF(OR(F112=K41,K112=K41),K41,IF(OR(F112=K38,K112=K38),K38,IF(P82&lt;&gt;"Venc. Jogo 53",F112,F112))))))))))))</f>
        <v>Novo Hamburgo</v>
      </c>
      <c r="G113" s="97"/>
      <c r="H113" s="35"/>
      <c r="I113" s="3" t="s">
        <v>2</v>
      </c>
      <c r="J113" s="35"/>
      <c r="K113" s="97" t="str">
        <f>IF(K112="Venc. Jogo 54",K112,IF(K112="Penalidades",K112,IF(AND(F112="Venc. Jogo 53",K112="Venc. Jogo 54"),K112,IF(OR(F112=K38,K112=K38),K38,IF(OR(F112=K41,K112=K41),K41,IF(OR(F112=K40,K112=K40),K40,IF(OR(F112=K39,K112=K39),K39,IF(OR(F112=F38,K112=F38),F38,IF(OR(F112=F41,K112=F41),F41,IF(OR(F112=F40,K112=F40),F40,IF(OR(F112=F39,K112=F39),F39,IF(P84&lt;&gt;"Venc. Jogo 54",K112,K112))))))))))))</f>
        <v>Venc. Jogo 54</v>
      </c>
      <c r="L113" s="97"/>
      <c r="M113" s="81" t="s">
        <v>313</v>
      </c>
      <c r="N113" s="81"/>
      <c r="O113" s="41" t="str">
        <f t="shared" si="36"/>
        <v/>
      </c>
      <c r="P113" s="41"/>
      <c r="Q113" s="41" t="b">
        <f t="shared" si="37"/>
        <v>0</v>
      </c>
      <c r="S113" s="95" t="str">
        <f>IF(Z113="Venc. Jogo 53","Estadio Indefinido",IF(U113=U38,S38,IF(U113=Z38,D38,IF(U113=U39,S39,IF(U113=Z39,D39,IF(U113=U40,S40,IF(U113=Z40,D40,IF(U113=U41,S41,IF(U113=Z41,D41,"Estadio Indefinido")))))))))</f>
        <v>Estadio Indefinido</v>
      </c>
      <c r="T113" s="95"/>
      <c r="U113" s="78" t="str">
        <f>K113</f>
        <v>Venc. Jogo 54</v>
      </c>
      <c r="V113" s="78"/>
      <c r="W113" s="35"/>
      <c r="X113" s="3" t="s">
        <v>2</v>
      </c>
      <c r="Y113" s="35"/>
      <c r="Z113" s="78" t="str">
        <f>F113</f>
        <v>Novo Hamburgo</v>
      </c>
      <c r="AA113" s="78"/>
      <c r="AB113" s="84" t="s">
        <v>313</v>
      </c>
      <c r="AC113" s="84"/>
      <c r="AG113" s="70"/>
      <c r="AH113" s="71"/>
      <c r="AI113" s="84"/>
      <c r="AJ113" s="84"/>
    </row>
    <row r="114" spans="2:36" ht="15" hidden="1" customHeight="1">
      <c r="B114" s="24"/>
      <c r="D114" s="78" t="str">
        <f t="shared" ref="D114" si="43">IF(K114="Venc. Jogo 54","Estadio Indefinido",IF(F114=F39,D39,IF(F114=K39,S39,IF(F114=F40,D40,IF(F114=K40,S40,IF(F114=F41,D41,IF(F114=K41,S41,IF(F114=F42,D42,IF(F114=K42,S42,"Estadio Indefinido")))))))))</f>
        <v>Estadio Indefinido</v>
      </c>
      <c r="E114" s="78"/>
      <c r="F114" s="97" t="str">
        <f>IF(O86=K86,K86,IF(OR(H86="",J86="",W86="",Y86=""),"Venc. Jogo 55",IF(AND(H86=W86,J86=Y86,AG86="",AI86=""),"Penalidades",IF(SUM(H86,Y86)&gt;SUM(J86,W86),F86,IF(SUM(J86,W86)&gt;SUM(H86,Y86),K86,IF(Q86=F86,F86,IF(Q86=K86,K86,IF(SUM(H86,J86,W86,Y86,AG86,AI86)=0,"Venc. Jogo 55",IF(AG86&gt;AI86,F86,IF(AI86&gt;AG86,K86,IF(AG86=AI86,"Venc. Jogo 55","Erro Recoloque os Resultados")))))))))))</f>
        <v>Venc. Jogo 55</v>
      </c>
      <c r="G114" s="97"/>
      <c r="H114" s="8"/>
      <c r="I114" s="8"/>
      <c r="J114" s="8"/>
      <c r="K114" s="97" t="str">
        <f>IF(O88=K88,K88,IF(OR(H88="",J88="",W88="",Y88=""),"Venc. Jogo 56",IF(AND(H88=W88,J88=Y88,AG88="",AI88=""),"Penalidades",IF(SUM(H88,Y88)&gt;SUM(J88,W88),F88,IF(SUM(J88,W88)&gt;SUM(H88,Y88),K88,IF(Q88=F88,F88,IF(Q88=K88,K88,IF(SUM(H88,J88,W88,Y88,AG88,AI88)=0,"Venc. Jogo 56",IF(AG88&gt;AI88,F88,IF(AI88&gt;AG88,K88,IF(AG88=AI88,"Venc. Jogo 56","Erro Recoloque os Resultados")))))))))))</f>
        <v>Londrina</v>
      </c>
      <c r="L114" s="97"/>
      <c r="M114" s="117"/>
      <c r="N114" s="117"/>
      <c r="O114" s="41" t="str">
        <f t="shared" si="36"/>
        <v/>
      </c>
      <c r="P114" s="41"/>
      <c r="Q114" s="41" t="b">
        <f t="shared" si="37"/>
        <v>0</v>
      </c>
      <c r="S114" s="114"/>
      <c r="T114" s="114"/>
      <c r="AG114" s="73"/>
      <c r="AH114" s="74"/>
      <c r="AI114" s="78"/>
      <c r="AJ114" s="78"/>
    </row>
    <row r="115" spans="2:36">
      <c r="B115" s="24" t="s">
        <v>328</v>
      </c>
      <c r="D115" s="78" t="str">
        <f>IF(K115="Venc. Jogo 56","Estadio Indefinido",IF(F115=F42,D42,IF(F115=K42,S42,IF(F115=F43,D43,IF(F115=K43,S43,IF(F115=F44,D44,IF(F115=K44,S44,IF(F115=F45,D45,IF(F115=K45,S45,"Estadio Indefinido")))))))))</f>
        <v>Estadio Indefinido</v>
      </c>
      <c r="E115" s="78"/>
      <c r="F115" s="97" t="str">
        <f>IF(F114="Venc. Jogo 55",F114,IF(F114="Penalidades",F114,IF(AND(F114="Venc. Jogo 55",K114="Venc. Jogo 56"),F114,IF(OR(F114=F43,K114=F43),F43,IF(OR(F114=F45,K114=F45),F45,IF(OR(F114=F44,K114=F44),F44,IF(OR(F114=F42,K114=F42),F42,IF(OR(F114=K43,K114=K43),K43,IF(OR(F114=K45,K114=K45),K45,IF(OR(F114=K44,K114=K44),K44,IF(OR(F114=K42,K114=K42),K42,IF(P86&lt;&gt;"Venc. Jogo 55",F114,F114))))))))))))</f>
        <v>Venc. Jogo 55</v>
      </c>
      <c r="G115" s="97"/>
      <c r="H115" s="35"/>
      <c r="I115" s="3" t="s">
        <v>2</v>
      </c>
      <c r="J115" s="35"/>
      <c r="K115" s="97" t="str">
        <f>IF(K114="Venc. Jogo 56",K114,IF(K114="Penalidades",K114,IF(AND(F114="Venc. Jogo 55",K114="Venc. Jogo 56"),K114,IF(OR(F114=K42,K114=K42),K42,IF(OR(F114=K44,K114=K44),K44,IF(OR(F114=K45,K114=K45),K45,IF(OR(F114=K43,K114=K43),K43,IF(OR(F114=F42,K114=F42),F42,IF(OR(F114=F44,K114=F44),F44,IF(OR(F114=F45,K114=F45),F45,IF(OR(F114=F43,K114=F43),F43,IF(P88&lt;&gt;"Venc. Jogo 56",K114,K114))))))))))))</f>
        <v>Londrina</v>
      </c>
      <c r="L115" s="97"/>
      <c r="M115" s="81" t="s">
        <v>313</v>
      </c>
      <c r="N115" s="81"/>
      <c r="O115" s="41" t="str">
        <f t="shared" si="36"/>
        <v/>
      </c>
      <c r="P115" s="41"/>
      <c r="Q115" s="41" t="b">
        <f t="shared" si="37"/>
        <v>0</v>
      </c>
      <c r="S115" s="95" t="str">
        <f>IF(Z115="Venc. Jogo 55","Estadio Indefinido",IF(U115=U42,S42,IF(U115=Z42,D42,IF(U115=U43,S43,IF(U115=Z43,D43,IF(U115=U44,S44,IF(U115=Z44,D44,IF(U115=U45,S45,IF(U115=Z45,D45,"Estadio Indefinido")))))))))</f>
        <v>Estadio Indefinido</v>
      </c>
      <c r="T115" s="95"/>
      <c r="U115" s="78" t="str">
        <f>K115</f>
        <v>Londrina</v>
      </c>
      <c r="V115" s="78"/>
      <c r="W115" s="35"/>
      <c r="X115" s="3" t="s">
        <v>2</v>
      </c>
      <c r="Y115" s="35"/>
      <c r="Z115" s="78" t="str">
        <f>F115</f>
        <v>Venc. Jogo 55</v>
      </c>
      <c r="AA115" s="78"/>
      <c r="AB115" s="84" t="s">
        <v>313</v>
      </c>
      <c r="AC115" s="84"/>
      <c r="AG115" s="70"/>
      <c r="AH115" s="71"/>
      <c r="AI115" s="84"/>
      <c r="AJ115" s="84"/>
    </row>
    <row r="116" spans="2:36" ht="15" hidden="1" customHeight="1">
      <c r="B116" s="24"/>
      <c r="D116" s="78" t="str">
        <f t="shared" ref="D116" si="44">IF(K116="Venc. Jogo 56","Estadio Indefinido",IF(F116=F43,D43,IF(F116=K43,S43,IF(F116=F44,D44,IF(F116=K44,S44,IF(F116=F45,D45,IF(F116=K45,S45,IF(F116=F46,D46,IF(F116=K46,S46,"Estadio Indefinido")))))))))</f>
        <v>Estadio Indefinido</v>
      </c>
      <c r="E116" s="78"/>
      <c r="F116" s="97" t="str">
        <f>IF(O90=K90,K90,IF(OR(H90="",J90="",W90="",Y90=""),"Venc. Jogo 57",IF(AND(H90=W90,J90=Y90,AG90="",AI90=""),"Penalidades",IF(SUM(H90,Y90)&gt;SUM(J90,W90),F90,IF(SUM(J90,W90)&gt;SUM(H90,Y90),K90,IF(Q90=F90,F90,IF(Q90=K90,K90,IF(SUM(H90,J90,W90,Y90,AG90,AI90)=0,"Venc. Jogo 57",IF(AG90&gt;AI90,F90,IF(AI90&gt;AG90,K90,IF(AG90=AI90,"Venc. Jogo 57","Erro Recoloque os Resultados")))))))))))</f>
        <v>Venc. Jogo 57</v>
      </c>
      <c r="G116" s="97"/>
      <c r="H116" s="8"/>
      <c r="I116" s="8"/>
      <c r="J116" s="8"/>
      <c r="K116" s="97" t="str">
        <f>IF(O92=K92,K92,IF(OR(H92="",J92="",W92="",Y92=""),"Venc. Jogo 58",IF(AND(H92=W92,J92=Y92,AG92="",AI92=""),"Penalidades",IF(SUM(H92,Y92)&gt;SUM(J92,W92),F92,IF(SUM(J92,W92)&gt;SUM(H92,Y92),K92,IF(Q92=F92,F92,IF(Q92=K92,K92,IF(SUM(H92,J92,W92,Y92,AG92,AI92)=0,"Venc. Jogo 58",IF(AG92&gt;AI92,F92,IF(AI92&gt;AG92,K92,IF(AG92=AI92,"Venc. Jogo 58","Erro Recoloque os Resultados")))))))))))</f>
        <v>Venc. Jogo 58</v>
      </c>
      <c r="L116" s="97"/>
      <c r="M116" s="117"/>
      <c r="N116" s="117"/>
      <c r="O116" s="41" t="str">
        <f t="shared" si="36"/>
        <v/>
      </c>
      <c r="P116" s="41"/>
      <c r="Q116" s="41" t="b">
        <f t="shared" si="37"/>
        <v>0</v>
      </c>
      <c r="S116" s="114"/>
      <c r="T116" s="114"/>
      <c r="AG116" s="73"/>
      <c r="AH116" s="74"/>
      <c r="AI116" s="78"/>
      <c r="AJ116" s="78"/>
    </row>
    <row r="117" spans="2:36">
      <c r="B117" s="24" t="s">
        <v>329</v>
      </c>
      <c r="D117" s="78" t="str">
        <f>IF(K117="Venc. Jogo 58","Estadio Indefinido",IF(F117=F46,D46,IF(F117=K46,S46,IF(F117=F47,D47,IF(F117=K47,S47,IF(F117=F48,D48,IF(F117=K48,S48,IF(F117=F49,D49,IF(F117=K49,S49,"Estadio Indefinido")))))))))</f>
        <v>Estadio Indefinido</v>
      </c>
      <c r="E117" s="78"/>
      <c r="F117" s="97" t="str">
        <f>IF(F116="Venc. Jogo 57",F116,IF(F116="Penalidades",F116,IF(AND(F116="Venc. Jogo 57",K116="Venc. Jogo 58"),F116,IF(OR(F116=F46,K116=F46),F46,IF(OR(F116=F48,K116=F48),F48,IF(OR(F116=F49,K116=F49),F49,IF(OR(F116=F47,K116=F47),F47,IF(OR(F116=K46,K116=K46),K46,IF(OR(F116=K48,K116=K48),K48,IF(OR(F116=K49,K116=K49),K49,IF(OR(F116=K47,K116=K47),K47,IF(P90&lt;&gt;"Venc. Jogo 57",F116,F116))))))))))))</f>
        <v>Venc. Jogo 57</v>
      </c>
      <c r="G117" s="97"/>
      <c r="H117" s="35"/>
      <c r="I117" s="3" t="s">
        <v>2</v>
      </c>
      <c r="J117" s="35"/>
      <c r="K117" s="97" t="str">
        <f>IF(K116="Venc. Jogo 58",K116,IF(K116="Penalidades",K116,IF(AND(F116="Venc. Jogo 57",K116="Venc. Jogo 58"),K116,IF(OR(F116=K47,K116=K47),K47,IF(OR(F116=K49,K116=K49),K49,IF(OR(F116=K48,K116=K48),K48,IF(OR(F116=K46,K116=K46),K46,IF(OR(F116=F47,K116=F47),F47,IF(OR(F116=F49,K116=F49),F49,IF(OR(F116=F48,K116=F48),F48,IF(OR(F116=F46,K116=F46),F46,IF(P92&lt;&gt;"Venc. Jogo 58",K116,K116))))))))))))</f>
        <v>Venc. Jogo 58</v>
      </c>
      <c r="L117" s="97"/>
      <c r="M117" s="81" t="s">
        <v>313</v>
      </c>
      <c r="N117" s="81"/>
      <c r="O117" s="41" t="str">
        <f t="shared" si="36"/>
        <v/>
      </c>
      <c r="P117" s="41"/>
      <c r="Q117" s="41" t="b">
        <f t="shared" si="37"/>
        <v>0</v>
      </c>
      <c r="S117" s="95" t="str">
        <f>IF(Z117="Venc. Jogo 57","Estadio Indefinido",IF(U117=U46,S46,IF(U117=Z46,D46,IF(U117=U47,S47,IF(U117=Z47,D47,IF(U117=U48,S48,IF(U117=Z48,D48,IF(U117=U49,S49,IF(U117=Z49,D49,"Estadio Indefinido")))))))))</f>
        <v>Estadio Indefinido</v>
      </c>
      <c r="T117" s="95"/>
      <c r="U117" s="78" t="str">
        <f>K117</f>
        <v>Venc. Jogo 58</v>
      </c>
      <c r="V117" s="78"/>
      <c r="W117" s="35"/>
      <c r="X117" s="3" t="s">
        <v>2</v>
      </c>
      <c r="Y117" s="35"/>
      <c r="Z117" s="78" t="str">
        <f>F117</f>
        <v>Venc. Jogo 57</v>
      </c>
      <c r="AA117" s="78"/>
      <c r="AB117" s="84" t="s">
        <v>313</v>
      </c>
      <c r="AC117" s="84"/>
      <c r="AG117" s="70"/>
      <c r="AH117" s="71"/>
      <c r="AI117" s="84"/>
      <c r="AJ117" s="84"/>
    </row>
    <row r="118" spans="2:36" ht="15" hidden="1" customHeight="1">
      <c r="B118" s="24"/>
      <c r="D118" s="78" t="str">
        <f t="shared" ref="D118" si="45">IF(K118="Venc. Jogo 58","Estadio Indefinido",IF(F118=F47,D47,IF(F118=K47,S47,IF(F118=F48,D48,IF(F118=K48,S48,IF(F118=F49,D49,IF(F118=K49,S49,IF(F118=F50,D50,IF(F118=K50,S50,"Estadio Indefinido")))))))))</f>
        <v>Estadio Indefinido</v>
      </c>
      <c r="E118" s="78"/>
      <c r="F118" s="97" t="str">
        <f>IF(O94=K94,K94,IF(OR(H94="",J94="",W94="",Y94=""),"Venc. Jogo 59",IF(AND(H94=W94,J94=Y94,AG94="",AI94=""),"Penalidades",IF(SUM(H94,Y94)&gt;SUM(J94,W94),F94,IF(SUM(J94,W94)&gt;SUM(H94,Y94),K94,IF(Q94=F94,F94,IF(Q94=K94,K94,IF(SUM(H94,J94,W94,Y94,AG94,AI94)=0,"Venc. Jogo 59",IF(AG94&gt;AI94,F94,IF(AI94&gt;AG94,K94,IF(AG94=AI94,"Venc. Jogo 59","Erro Recoloque os Resultados")))))))))))</f>
        <v>Fluminense</v>
      </c>
      <c r="G118" s="97"/>
      <c r="H118" s="8"/>
      <c r="I118" s="8"/>
      <c r="J118" s="8"/>
      <c r="K118" s="97" t="str">
        <f>IF(O96=K96,K96,IF(OR(H96="",J96="",W96="",Y96=""),"Venc. Jogo 60",IF(AND(H96=W96,J96=Y96,AG96="",AI96=""),"Penalidades",IF(SUM(H96,Y96)&gt;SUM(J96,W96),F96,IF(SUM(J96,W96)&gt;SUM(H96,Y96),K96,IF(Q96=F96,F96,IF(Q96=K96,K96,IF(SUM(H96,J96,W96,Y96,AG96,AI96)=0,"Venc. Jogo 60",IF(AG96&gt;AI96,F96,IF(AI96&gt;AG96,K96,IF(AG96=AI96,"Venc. Jogo 60","Erro Recoloque os Resultados")))))))))))</f>
        <v>Venc. Jogo 60</v>
      </c>
      <c r="L118" s="97"/>
      <c r="M118" s="117"/>
      <c r="N118" s="117"/>
      <c r="O118" s="41" t="str">
        <f t="shared" si="36"/>
        <v/>
      </c>
      <c r="P118" s="41"/>
      <c r="Q118" s="41" t="b">
        <f t="shared" si="37"/>
        <v>0</v>
      </c>
      <c r="S118" s="114"/>
      <c r="T118" s="114"/>
      <c r="AG118" s="70"/>
      <c r="AH118" s="71"/>
      <c r="AI118" s="78"/>
      <c r="AJ118" s="78"/>
    </row>
    <row r="119" spans="2:36">
      <c r="B119" s="24" t="s">
        <v>330</v>
      </c>
      <c r="D119" s="77" t="str">
        <f>IF(K119="Venc. Jogo 60","Estadio Indefinido",IF(F119=F50,D50,IF(F119=K50,S50,IF(F119=F51,D51,IF(F119=K51,S51,IF(F119=F52,D52,IF(F119=K52,S52,IF(F119=F53,D53,IF(F119=K53,S53,"Estadio Indefinido")))))))))</f>
        <v>Estadio Indefinido</v>
      </c>
      <c r="E119" s="77"/>
      <c r="F119" s="99" t="str">
        <f>IF(F118="Venc. Jogo 59",F118,IF(F118="Penalidades",F118,IF(AND(F118="Venc. Jogo 59",K118="Venc. Jogo 60"),F118,IF(OR(F118=F50,K118=F50),F50,IF(OR(F118=F52,K118=F52),F52,IF(OR(F118=F53,K118=F53),F53,IF(OR(F118=F51,K118=F51),F51,IF(OR(F118=K50,K118=K50),K50,IF(OR(F118=K52,K118=K52),K52,IF(OR(F118=K53,K118=K53),K53,IF(OR(F118=K51,K118=K51),K51,IF(P94&lt;&gt;"Venc. Jogo 59",F118,F118))))))))))))</f>
        <v>Fluminense</v>
      </c>
      <c r="G119" s="99"/>
      <c r="H119" s="35"/>
      <c r="I119" s="3" t="s">
        <v>2</v>
      </c>
      <c r="J119" s="35"/>
      <c r="K119" s="78" t="str">
        <f>IF(K118="Venc. Jogo 60",K118,IF(K118="Penalidades",K118,IF(AND(F118="Venc. Jogo 59",K118="Venc. Jogo 60"),K118,IF(OR(F118=K51,K118=K51),K51,IF(OR(F118=K53,K118=K53),K53,IF(OR(F118=K52,K118=K52),K52,IF(OR(F118=K50,K118=K50),K50,IF(OR(F118=F51,K118=F51),F51,IF(OR(F118=F53,K118=F53),F53,IF(OR(F118=F52,K118=F52),F52,IF(OR(F118=F50,K118=F50),F50,IF(P96&lt;&gt;"Venc. Jogo 60",K118,K118))))))))))))</f>
        <v>Venc. Jogo 60</v>
      </c>
      <c r="L119" s="78"/>
      <c r="M119" s="81" t="s">
        <v>313</v>
      </c>
      <c r="N119" s="81"/>
      <c r="O119" s="41" t="str">
        <f>IF(H119="","",IF(AND(H119=0,J119&gt;=2),K119,IF(AND(H119=1,J119&gt;=3),K119,IF(AND(H119=2,J119&gt;=4),K119,IF(AND(H119=3,J119&gt;=5),K119,IF(AND(H119=4,J119&gt;=6),K119,IF(AND(H119=5,J119&gt;=7),K119,IF(AND(H119=6,J119&gt;=8),K119,IF(AND(H119=7,J119&gt;=9),K119,IF(AND(H119=8,J119&gt;=10),K119,""))))))))))</f>
        <v/>
      </c>
      <c r="P119" s="41"/>
      <c r="Q119" s="41" t="b">
        <f>IF(SUM(H119,Y119)=SUM(J119,W119),IF(J119&gt;Y119,K119,IF(Y119&gt;J119,F119)))</f>
        <v>0</v>
      </c>
      <c r="S119" s="123" t="str">
        <f>IF(Z119="Venc. Jogo 59","Estadio Indefinido",IF(U119=U50,S50,IF(U119=Z50,D50,IF(U119=U51,S51,IF(U119=Z51,D51,IF(U119=U52,S52,IF(U119=Z52,D52,IF(U119=U53,S53,IF(U119=Z53,D53,"Estadio Indefinido")))))))))</f>
        <v>Estadio Indefinido</v>
      </c>
      <c r="T119" s="123"/>
      <c r="U119" s="78" t="str">
        <f>K119</f>
        <v>Venc. Jogo 60</v>
      </c>
      <c r="V119" s="78"/>
      <c r="W119" s="35"/>
      <c r="X119" s="3" t="s">
        <v>2</v>
      </c>
      <c r="Y119" s="35"/>
      <c r="Z119" s="78" t="str">
        <f>F119</f>
        <v>Fluminense</v>
      </c>
      <c r="AA119" s="78"/>
      <c r="AB119" s="84" t="s">
        <v>313</v>
      </c>
      <c r="AC119" s="84"/>
      <c r="AG119" s="70"/>
      <c r="AH119" s="71"/>
      <c r="AI119" s="84"/>
      <c r="AJ119" s="84"/>
    </row>
    <row r="120" spans="2:36">
      <c r="D120" s="99"/>
      <c r="E120" s="99"/>
      <c r="F120" s="99"/>
      <c r="G120" s="99"/>
      <c r="S120" s="115"/>
      <c r="T120" s="115"/>
    </row>
    <row r="121" spans="2:36">
      <c r="B121" s="126" t="s">
        <v>368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8"/>
    </row>
    <row r="123" spans="2:36">
      <c r="K123" s="101" t="s">
        <v>314</v>
      </c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3"/>
    </row>
    <row r="124" spans="2:36">
      <c r="K124" s="104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6"/>
    </row>
    <row r="125" spans="2:36">
      <c r="K125" s="104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6"/>
    </row>
    <row r="126" spans="2:36">
      <c r="K126" s="107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9"/>
    </row>
    <row r="128" spans="2:36">
      <c r="F128" s="110" t="s">
        <v>332</v>
      </c>
      <c r="G128" s="111"/>
      <c r="H128" s="22" t="s">
        <v>331</v>
      </c>
      <c r="I128" s="11"/>
      <c r="J128" s="76" t="s">
        <v>333</v>
      </c>
      <c r="K128" s="76"/>
      <c r="L128" s="76"/>
    </row>
    <row r="129" spans="5:12">
      <c r="E129" s="27" t="s">
        <v>334</v>
      </c>
      <c r="F129" s="78" t="s">
        <v>315</v>
      </c>
      <c r="G129" s="78"/>
      <c r="H129" s="37"/>
      <c r="I129" s="27">
        <v>1</v>
      </c>
      <c r="J129" s="113" t="str">
        <f>IF(OR(H$129=I129,H$130=I129,H$131=I129,H$132=I129,H$133=I129,H$134=I129,H$135=I129,H$136=I129,H$137=I129,H$138=I129,H$139=I129,H$140=I129,H$141=I129,H$142=I129,H$143=I129,H$144=I129),I129,"")</f>
        <v/>
      </c>
      <c r="K129" s="113"/>
      <c r="L129" s="113"/>
    </row>
    <row r="130" spans="5:12">
      <c r="E130" s="27" t="s">
        <v>211</v>
      </c>
      <c r="F130" s="73" t="s">
        <v>316</v>
      </c>
      <c r="G130" s="74"/>
      <c r="H130" s="37"/>
      <c r="I130" s="28">
        <v>2</v>
      </c>
      <c r="J130" s="112" t="str">
        <f t="shared" ref="J130:J144" si="46">IF(OR(H$129=I130,H$130=I130,H$131=I130,H$132=I130,H$133=I130,H$134=I130,H$135=I130,H$136=I130,H$137=I130,H$138=I130,H$139=I130,H$140=I130,H$141=I130,H$142=I130,H$143=I130,H$144=I130),I130,"")</f>
        <v/>
      </c>
      <c r="K130" s="112"/>
      <c r="L130" s="112"/>
    </row>
    <row r="131" spans="5:12">
      <c r="E131" s="27" t="s">
        <v>336</v>
      </c>
      <c r="F131" s="73" t="s">
        <v>317</v>
      </c>
      <c r="G131" s="74"/>
      <c r="H131" s="37"/>
      <c r="I131" s="27">
        <v>3</v>
      </c>
      <c r="J131" s="112" t="str">
        <f t="shared" si="46"/>
        <v/>
      </c>
      <c r="K131" s="112"/>
      <c r="L131" s="112"/>
    </row>
    <row r="132" spans="5:12">
      <c r="E132" s="27" t="s">
        <v>335</v>
      </c>
      <c r="F132" s="73" t="s">
        <v>318</v>
      </c>
      <c r="G132" s="74"/>
      <c r="H132" s="37"/>
      <c r="I132" s="27">
        <v>4</v>
      </c>
      <c r="J132" s="112" t="str">
        <f t="shared" si="46"/>
        <v/>
      </c>
      <c r="K132" s="112"/>
      <c r="L132" s="112"/>
    </row>
    <row r="133" spans="5:12">
      <c r="E133" s="27" t="s">
        <v>337</v>
      </c>
      <c r="F133" s="73" t="s">
        <v>319</v>
      </c>
      <c r="G133" s="74"/>
      <c r="H133" s="37"/>
      <c r="I133" s="27">
        <v>5</v>
      </c>
      <c r="J133" s="112" t="str">
        <f t="shared" si="46"/>
        <v/>
      </c>
      <c r="K133" s="112"/>
      <c r="L133" s="112"/>
    </row>
    <row r="134" spans="5:12">
      <c r="E134" s="27" t="s">
        <v>211</v>
      </c>
      <c r="F134" s="73" t="s">
        <v>320</v>
      </c>
      <c r="G134" s="74"/>
      <c r="H134" s="37"/>
      <c r="I134" s="27">
        <v>6</v>
      </c>
      <c r="J134" s="112" t="str">
        <f t="shared" si="46"/>
        <v/>
      </c>
      <c r="K134" s="112"/>
      <c r="L134" s="112"/>
    </row>
    <row r="135" spans="5:12">
      <c r="E135" s="27" t="str">
        <f>IF(F135=F101,D101,IF(F135=F103,D103,IF(F135=F105,D105,IF(F135=F107,D107,IF(F135=F109,D109,IF(F135=F111,D111,IF(F135=F113,D113,IF(F135=F115,D115,IF(F135=F117,D117,IF(F135=F119,D119,IF(F135=U101,S101,IF(F135=U103,S103,IF(F135=U105,S105,IF(F135=U107,S107,IF(F135=U109,S109,IF(F135=U111,S111,IF(F135=U113,S113,IF(F135=U115,S115,IF(F135=U117,S117,IF(F135=U119,S119,"Estadio Indefinido"))))))))))))))))))))</f>
        <v>Estadio Indefinido</v>
      </c>
      <c r="F135" s="73" t="str">
        <f>IF(OR(H101="",J101="",W101="",Y101=""),"Venc. Jogo 61",IF(AND(H101=W101,J101=Y101,AG101="",AI101=""),"Penalidades J61",IF(SUM(H101,Y101)&gt;SUM(J101,W101),F101,IF(SUM(J101,W101)&gt;SUM(H101,Y101),K101,IF(Q101=F101,F101,IF(Q101=K101,K101,IF(SUM(H101,J101,W101,Y101,AG101,AI101)=0,"Venc. Jogo 61",IF(AG101&gt;AI101,F101,IF(AI101&gt;AG101,K101,IF(AG101=AI101,"Venc. Jogo 61","Erro Recoloque os Resultados"))))))))))</f>
        <v>Venc. Jogo 61</v>
      </c>
      <c r="G135" s="74"/>
      <c r="H135" s="37"/>
      <c r="I135" s="27">
        <v>7</v>
      </c>
      <c r="J135" s="112" t="str">
        <f t="shared" si="46"/>
        <v/>
      </c>
      <c r="K135" s="112"/>
      <c r="L135" s="112"/>
    </row>
    <row r="136" spans="5:12">
      <c r="E136" s="27" t="str">
        <f>IF(F136=F101,D101,IF(F136=F103,D103,IF(F136=F105,D105,IF(F136=F107,D107,IF(F136=F109,D109,IF(F136=F111,D111,IF(F136=F113,D113,IF(F136=F115,D115,IF(F136=F117,D117,IF(F136=F119,D119,IF(F136=U101,S101,IF(F136=U103,S103,IF(F136=U105,S105,IF(F136=U107,S107,IF(F136=U109,S109,IF(F136=U111,S111,IF(F136=U113,S113,IF(F136=U115,S115,IF(F136=U117,S117,IF(F136=U119,S119,"Estadio Indefinido"))))))))))))))))))))</f>
        <v>Estadio Indefinido</v>
      </c>
      <c r="F136" s="73" t="str">
        <f>IF(OR(H103="",J103="",W103="",Y103=""),"Venc. Jogo 62",IF(AND(H103=W103,J103=Y103,AG103="",AI103=""),"Penalidades J62",IF(SUM(H103,Y103)&gt;SUM(J103,W103),F103,IF(SUM(J103,W103)&gt;SUM(H103,Y103),K103,IF(Q103=F103,F103,IF(Q103=K103,K103,IF(SUM(H103,J103,W103,Y103,AG103,AI103)=0,"Venc. Jogo 62",IF(AG103&gt;AI103,F103,IF(AI103&gt;AG103,K103,IF(AG103=AI103,"Venc. Jogo 62","Erro Recoloque os Resultados"))))))))))</f>
        <v>Venc. Jogo 62</v>
      </c>
      <c r="G136" s="74"/>
      <c r="H136" s="37"/>
      <c r="I136" s="27">
        <v>8</v>
      </c>
      <c r="J136" s="112" t="str">
        <f t="shared" si="46"/>
        <v/>
      </c>
      <c r="K136" s="112"/>
      <c r="L136" s="112"/>
    </row>
    <row r="137" spans="5:12">
      <c r="E137" s="27" t="str">
        <f>IF(F137=F101,D101,IF(F137=F103,D103,IF(F137=F105,D105,IF(F137=F107,D107,IF(F137=F109,D109,IF(F137=F111,D111,IF(F137=F113,D113,IF(F137=F115,D115,IF(F137=F117,D117,IF(F137=F119,D119,IF(F137=U101,S101,IF(F137=U103,S103,IF(F137=U105,S105,IF(F137=U107,S107,IF(F137=U109,S109,IF(F137=U111,S111,IF(F137=U113,S113,IF(F137=U115,S115,IF(F137=U117,S117,IF(F137=U119,S119,"Estadio Indefinido"))))))))))))))))))))</f>
        <v>Estadio Indefinido</v>
      </c>
      <c r="F137" s="73" t="str">
        <f>IF(OR(H105="",J105="",W105="",Y105=""),"Venc. Jogo 63",IF(AND(H105=W105,J105=Y105,AG105="",AI105=""),"Penalidades J63",IF(SUM(H105,Y105)&gt;SUM(J105,W105),F105,IF(SUM(J105,W105)&gt;SUM(H105,Y105),K105,IF(Q105=F105,F105,IF(Q105=K105,K105,IF(SUM(H105,J105,W105,Y105,AG105,AI105)=0,"Venc. Jogo 63",IF(AG105&gt;AI105,F105,IF(AI105&gt;AG105,K105,IF(AG105=AI105,"Venc. Jogo 63","Erro Recoloque os Resultados"))))))))))</f>
        <v>Venc. Jogo 63</v>
      </c>
      <c r="G137" s="74"/>
      <c r="H137" s="37"/>
      <c r="I137" s="27">
        <v>9</v>
      </c>
      <c r="J137" s="112" t="str">
        <f t="shared" si="46"/>
        <v/>
      </c>
      <c r="K137" s="112"/>
      <c r="L137" s="112"/>
    </row>
    <row r="138" spans="5:12">
      <c r="E138" s="27" t="str">
        <f>IF(F138=F101,D101,IF(F138=F103,D103,IF(F138=F105,D105,IF(F138=F107,D107,IF(F138=F109,D109,IF(F138=F111,D111,IF(F138=F113,D113,IF(F138=F115,D115,IF(F138=F117,D117,IF(F138=F119,D119,IF(F138=U101,S101,IF(F138=U103,S103,IF(F138=U105,S105,IF(F138=U107,S107,IF(F138=U109,S109,IF(F138=U111,S111,IF(F138=U113,S113,IF(F138=U115,S115,IF(F138=U117,S117,IF(F138=U119,S119,"Estadio Indefinido"))))))))))))))))))))</f>
        <v>Estadio Indefinido</v>
      </c>
      <c r="F138" s="73" t="str">
        <f>IF(OR(H107="",J107="",W107="",Y107=""),"Venc. Jogo 64",IF(AND(H107=W107,J107=Y107,AG107="",AI107=""),"Penalidades J64",IF(SUM(H107,Y107)&gt;SUM(J107,W107),F107,IF(SUM(J107,W107)&gt;SUM(H107,Y107),K107,IF(Q107=F107,F107,IF(Q107=K107,K107,IF(SUM(H107,J107,W107,Y107,AG107,AI107)=0,"Venc. Jogo 64",IF(AG107&gt;AI107,F107,IF(AI107&gt;AG107,K107,IF(AG107=AI107,"Venc. Jogo 64","Erro Recoloque os Resultados"))))))))))</f>
        <v>Venc. Jogo 64</v>
      </c>
      <c r="G138" s="74"/>
      <c r="H138" s="37"/>
      <c r="I138" s="27">
        <v>10</v>
      </c>
      <c r="J138" s="112" t="str">
        <f t="shared" si="46"/>
        <v/>
      </c>
      <c r="K138" s="112"/>
      <c r="L138" s="112"/>
    </row>
    <row r="139" spans="5:12">
      <c r="E139" s="27" t="str">
        <f>IF(F139=F101,D101,IF(F139=F103,D103,IF(F139=F105,D105,IF(F139=F107,D107,IF(F139=F109,D109,IF(F139=F111,D111,IF(F139=F113,D113,IF(F139=F115,D115,IF(F139=F117,D117,IF(F139=F119,D119,IF(F139=U101,S101,IF(F139=U103,S103,IF(F139=U105,S105,IF(F139=U107,S107,IF(F139=U109,S109,IF(F139=U111,S111,IF(F139=U113,S113,IF(F139=U115,S115,IF(F139=U117,S117,IF(F139=U119,S119,"Estadio Indefinido"))))))))))))))))))))</f>
        <v>Estadio Indefinido</v>
      </c>
      <c r="F139" s="73" t="str">
        <f>IF(OR(H109="",J109="",W109="",Y109=""),"Venc. Jogo 65",IF(AND(H109=W109,J109=Y109,AG109="",AI109=""),"Penalidades J65",IF(SUM(H109,Y109)&gt;SUM(J109,W109),F109,IF(SUM(J109,W109)&gt;SUM(H109,Y109),K109,IF(Q109=F109,F109,IF(Q109=K109,K109,IF(SUM(H109,J109,W109,Y109,AG109,AI109)=0,"Venc. Jogo 65",IF(AG109&gt;AI109,F109,IF(AI109&gt;AG109,K109,IF(AG109=AI109,"Venc. Jogo 65","Erro Recoloque os Resultados"))))))))))</f>
        <v>Venc. Jogo 65</v>
      </c>
      <c r="G139" s="74"/>
      <c r="H139" s="37"/>
      <c r="I139" s="27">
        <v>11</v>
      </c>
      <c r="J139" s="112" t="str">
        <f t="shared" si="46"/>
        <v/>
      </c>
      <c r="K139" s="112"/>
      <c r="L139" s="112"/>
    </row>
    <row r="140" spans="5:12">
      <c r="E140" s="27" t="str">
        <f>IF(F140=F101,D101,IF(F140=F103,D103,IF(F140=F105,D105,IF(F140=F107,D107,IF(F140=F109,D109,IF(F140=F111,D111,IF(F140=F113,D113,IF(F140=F115,D115,IF(F140=F117,D117,IF(F140=F119,D119,IF(F140=U101,S101,IF(F140=U103,S103,IF(F140=U105,S105,IF(F140=U107,S107,IF(F140=U109,S109,IF(F140=U111,S111,IF(F140=U113,S113,IF(F140=U115,S115,IF(F140=U117,S117,IF(F140=U119,S119,"Estadio Indefinido"))))))))))))))))))))</f>
        <v>Estadio Indefinido</v>
      </c>
      <c r="F140" s="73" t="str">
        <f>IF(OR(H111="",J111="",W111="",Y111=""),"Venc. Jogo 66",IF(AND(H111=W111,J111=Y111,AG111="",AI111=""),"Penalidades J66",IF(SUM(H111,Y111)&gt;SUM(J111,W111),F111,IF(SUM(J111,W111)&gt;SUM(H111,Y111),K111,IF(Q111=F111,F111,IF(Q111=K111,K111,IF(SUM(H111,J111,W111,Y111,AG111,AI111)=0,"Venc. Jogo 66",IF(AG111&gt;AI111,F111,IF(AI111&gt;AG111,K111,IF(AG111=AI111,"Venc. Jogo 66","Erro Recoloque os Resultados"))))))))))</f>
        <v>Venc. Jogo 66</v>
      </c>
      <c r="G140" s="74"/>
      <c r="H140" s="37"/>
      <c r="I140" s="27">
        <v>12</v>
      </c>
      <c r="J140" s="112" t="str">
        <f t="shared" si="46"/>
        <v/>
      </c>
      <c r="K140" s="112"/>
      <c r="L140" s="112"/>
    </row>
    <row r="141" spans="5:12">
      <c r="E141" s="27" t="str">
        <f>IF(F141=F101,D101,IF(F141=F103,D103,IF(F141=F105,D105,IF(F141=F107,D107,IF(F141=F109,D109,IF(F141=F111,D111,IF(F141=F113,D113,IF(F141=F115,D115,IF(F141=F117,D117,IF(F141=F119,D119,IF(F141=U101,S101,IF(F141=U103,S103,IF(F141=U105,S105,IF(F141=U107,S107,IF(F141=U109,S109,IF(F141=U111,S111,IF(F141=U113,S113,IF(F141=U115,S115,IF(F141=U117,S117,IF(F141=U119,S119,"Estadio Indefinido"))))))))))))))))))))</f>
        <v>Estadio Indefinido</v>
      </c>
      <c r="F141" s="73" t="str">
        <f>IF(OR(H113="",J113="",W113="",Y113=""),"Venc. Jogo 67",IF(AND(H113=W113,J113=Y113,AG113="",AI113=""),"Penalidades J67",IF(SUM(H113,Y113)&gt;SUM(J113,W113),F113,IF(SUM(J113,W113)&gt;SUM(H113,Y113),K113,IF(Q113=F113,F113,IF(Q113=K113,K113,IF(SUM(H113,J113,W113,Y113,AG113,AI113)=0,"Venc. Jogo 67",IF(AG113&gt;AI113,F113,IF(AI113&gt;AG113,K113,IF(AG113=AI113,"Venc. Jogo 67","Erro Recoloque os Resultados"))))))))))</f>
        <v>Venc. Jogo 67</v>
      </c>
      <c r="G141" s="74"/>
      <c r="H141" s="37"/>
      <c r="I141" s="27">
        <v>13</v>
      </c>
      <c r="J141" s="112" t="str">
        <f t="shared" si="46"/>
        <v/>
      </c>
      <c r="K141" s="112"/>
      <c r="L141" s="112"/>
    </row>
    <row r="142" spans="5:12">
      <c r="E142" s="27" t="str">
        <f>IF(F142=F101,D101,IF(F142=F103,D103,IF(F142=F105,D105,IF(F142=F107,D107,IF(F142=F109,D109,IF(F142=F111,D111,IF(F142=F113,D113,IF(F142=F115,D115,IF(F142=F117,D117,IF(F142=F119,D119,IF(F142=U101,S101,IF(F142=U103,S103,IF(F142=U105,S105,IF(F142=U107,S107,IF(F142=U109,S109,IF(F142=U111,S111,IF(F142=U113,S113,IF(F142=U115,S115,IF(F142=U117,S117,IF(F142=U119,S119,"Estadio Indefinido"))))))))))))))))))))</f>
        <v>Estadio Indefinido</v>
      </c>
      <c r="F142" s="73" t="str">
        <f>IF(OR(H115="",J115="",W115="",Y115=""),"Venc. Jogo 68",IF(AND(H115=W115,J115=Y115,AG115="",AI115=""),"Penalidades J68",IF(SUM(H115,Y115)&gt;SUM(J115,W115),F115,IF(SUM(J115,W115)&gt;SUM(H115,Y115),K115,IF(Q115=F115,F115,IF(Q115=K115,K115,IF(SUM(H115,J115,W115,Y115,AG115,AI115)=0,"Venc. Jogo 68",IF(AG115&gt;AI115,F115,IF(AI115&gt;AG115,K115,IF(AG115=AI115,"Venc. Jogo 68","Erro Recoloque os Resultados"))))))))))</f>
        <v>Venc. Jogo 68</v>
      </c>
      <c r="G142" s="74"/>
      <c r="H142" s="37"/>
      <c r="I142" s="27">
        <v>14</v>
      </c>
      <c r="J142" s="112" t="str">
        <f t="shared" si="46"/>
        <v/>
      </c>
      <c r="K142" s="112"/>
      <c r="L142" s="112"/>
    </row>
    <row r="143" spans="5:12">
      <c r="E143" s="27" t="str">
        <f>IF(F143=F101,D101,IF(F143=F103,D103,IF(F143=F105,D105,IF(F143=F107,D107,IF(F143=F109,D109,IF(F143=F111,D111,IF(F143=F113,D113,IF(F143=F115,D115,IF(F143=F117,D117,IF(F143=F119,D119,IF(F143=U101,S101,IF(F143=U103,S103,IF(F143=U105,S105,IF(F143=U107,S107,IF(F143=U109,S109,IF(F143=U111,S111,IF(F143=U113,S113,IF(F143=U115,S115,IF(F143=U117,S117,IF(F143=U119,S119,"Estadio Indefinido"))))))))))))))))))))</f>
        <v>Estadio Indefinido</v>
      </c>
      <c r="F143" s="73" t="str">
        <f>IF(OR(H117="",J117="",W117="",Y117=""),"Venc. Jogo 69",IF(AND(H117=W117,J117=Y117,AG117="",AI117=""),"Penalidades J69",IF(SUM(H117,Y117)&gt;SUM(J117,W117),F117,IF(SUM(J117,W117)&gt;SUM(H117,Y117),K117,IF(Q117=F117,F117,IF(Q117=K117,K117,IF(SUM(H117,J117,W117,Y117,AG117,AI117)=0,"Venc. Jogo 69",IF(AG117&gt;AI117,F117,IF(AI117&gt;AG117,K117,IF(AG117=AI117,"Venc. Jogo 69","Erro Recoloque os Resultados"))))))))))</f>
        <v>Venc. Jogo 69</v>
      </c>
      <c r="G143" s="74"/>
      <c r="H143" s="37"/>
      <c r="I143" s="27">
        <v>15</v>
      </c>
      <c r="J143" s="112" t="str">
        <f t="shared" si="46"/>
        <v/>
      </c>
      <c r="K143" s="112"/>
      <c r="L143" s="112"/>
    </row>
    <row r="144" spans="5:12">
      <c r="E144" s="27" t="str">
        <f>IF(F144=F101,D101,IF(F144=F103,D103,IF(F144=F105,D105,IF(F144=F107,D107,IF(F144=F109,D109,IF(F144=F111,D111,IF(F144=F113,D113,IF(F144=F115,D115,IF(F144=F117,D117,IF(F144=F119,D119,IF(F144=U101,S101,IF(F144=U103,S103,IF(F144=U105,S105,IF(F144=U107,S107,IF(F144=U109,S109,IF(F144=U111,S111,IF(F144=U113,S113,IF(F144=U115,S115,IF(F144=U117,S117,IF(F144=U119,S119,"Estadio Indefinido"))))))))))))))))))))</f>
        <v>Estadio Indefinido</v>
      </c>
      <c r="F144" s="124" t="str">
        <f>IF(OR(H119="",J119="",W119="",Y119=""),"Venc. Jogo 70",IF(AND(H119=W119,J119=Y119,AG119="",AI119=""),"Penalidades J70",IF(SUM(H119,Y119)&gt;SUM(J119,W119),F119,IF(SUM(J119,W119)&gt;SUM(H119,Y119),K119,IF(Q119=F119,F119,IF(Q119=K119,K119,IF(SUM(H119,J119,W119,Y119,AG119,AI119)=0,"Venc. Jogo 70",IF(AG119&gt;AI119,F119,IF(AI119&gt;AG119,K119,IF(AG119=AI119,"Venc. Jogo 70","Erro Recoloque os Resultados"))))))))))</f>
        <v>Venc. Jogo 70</v>
      </c>
      <c r="G144" s="125"/>
      <c r="H144" s="37"/>
      <c r="I144" s="27">
        <v>16</v>
      </c>
      <c r="J144" s="112" t="str">
        <f t="shared" si="46"/>
        <v/>
      </c>
      <c r="K144" s="112"/>
      <c r="L144" s="112"/>
    </row>
    <row r="145" spans="2:40">
      <c r="F145" s="99"/>
      <c r="G145" s="99"/>
    </row>
    <row r="146" spans="2:40">
      <c r="D146" s="34">
        <f>COUNTIF(H$129:H$144,1)</f>
        <v>0</v>
      </c>
      <c r="E146" s="34">
        <f>COUNTIF(H$129:H$144,2)</f>
        <v>0</v>
      </c>
      <c r="F146" s="34">
        <f>COUNTIF(H$129:H$144,3)</f>
        <v>0</v>
      </c>
      <c r="G146" s="34">
        <f>COUNTIF(H$129:H$144,4)</f>
        <v>0</v>
      </c>
      <c r="H146" s="34">
        <f>COUNTIF(H$129:H$144,5)</f>
        <v>0</v>
      </c>
      <c r="I146" s="34">
        <f>COUNTIF(H$129:H$144,6)</f>
        <v>0</v>
      </c>
      <c r="J146" s="34">
        <f>COUNTIF(H$129:H$144,7)</f>
        <v>0</v>
      </c>
      <c r="K146" s="34">
        <f>COUNTIF(H$129:H$144,8)</f>
        <v>0</v>
      </c>
      <c r="L146" s="34">
        <f>COUNTIF(H$129:H$144,9)</f>
        <v>0</v>
      </c>
      <c r="M146" s="51"/>
      <c r="N146" s="51"/>
    </row>
    <row r="147" spans="2:40">
      <c r="D147" s="34">
        <f>COUNTIF(H$129:H$144,10)</f>
        <v>0</v>
      </c>
      <c r="E147" s="34">
        <f>COUNTIF(H$129:H$144,11)</f>
        <v>0</v>
      </c>
      <c r="F147" s="34">
        <f>COUNTIF(H$129:H$144,12)</f>
        <v>0</v>
      </c>
      <c r="G147" s="34">
        <f>COUNTIF(H$129:H$144,13)</f>
        <v>0</v>
      </c>
      <c r="H147" s="34">
        <f>COUNTIF(H$129:H$144,14)</f>
        <v>0</v>
      </c>
      <c r="I147" s="34">
        <f>COUNTIF(H$129:H$144,15)</f>
        <v>0</v>
      </c>
      <c r="J147" s="34">
        <f>COUNTIF(H$129:H$144,16)</f>
        <v>0</v>
      </c>
      <c r="K147" s="34"/>
      <c r="L147" s="34"/>
      <c r="M147" s="51"/>
      <c r="N147" s="51"/>
      <c r="AG147" s="16"/>
      <c r="AH147" s="16"/>
      <c r="AI147" s="16"/>
      <c r="AJ147" s="10"/>
      <c r="AK147" s="1"/>
      <c r="AL147" s="1"/>
      <c r="AM147" s="1"/>
      <c r="AN147" s="1"/>
    </row>
    <row r="148" spans="2:40">
      <c r="B148" s="24" t="s">
        <v>338</v>
      </c>
      <c r="D148" s="73" t="str">
        <f>IF(F148=F129,E129,IF(F148=F130,E130,IF(F148=F131,E131,IF(F148=F132,E132,IF(F148=F133,E133,IF(F148=F134,E134,IF(F148=F135,E135,IF(F148=F136,E136,IF(F148=F137,E137,IF(F148=F138,E138,IF(F148=F139,E139,IF(F148=F140,E140,IF(F148=F141,E141,IF(F148=F142,E142,IF(F148=F143,E143,IF(F148=F144,E144,"Estadio Indefinido"))))))))))))))))</f>
        <v>Estadio Indefinido</v>
      </c>
      <c r="E148" s="74"/>
      <c r="F148" s="73" t="str">
        <f>IF(D146&gt;=2,"Erro",IF(I129=H129,F129,IF(I129=H130,F130,IF(I129=H131,F131,IF(I129=H132,F132,IF(I129=H133,F133,IF(I129=H134,F134,IF(I129=H135,F135,IF(I129=H136,F136,IF(I129=H137,F137,IF(I129=H138,F138,IF(I129=H139,F139,IF(I129=H140,F140,IF(I129=H141,F141,IF(I129=H142,F142,IF(I129=H143,F143,IF(I129=H144,F144,"Sorteio 1")))))))))))))))))</f>
        <v>Sorteio 1</v>
      </c>
      <c r="G148" s="74"/>
      <c r="H148" s="35"/>
      <c r="I148" s="3" t="s">
        <v>1</v>
      </c>
      <c r="J148" s="35"/>
      <c r="K148" s="73" t="str">
        <f>IF(J147&gt;=2,"Erro",IF(I144=H129,F129,IF(I144=H130,F130,IF(I144=H131,F131,IF(I144=H132,F132,IF(I144=H133,F133,IF(I144=H134,F134,IF(I144=H135,F135,IF(I144=H136,F136,IF(I144=H137,F137,IF(I144=H138,F138,IF(I144=H139,F139,IF(I144=H140,F140,IF(I144=H141,F141,IF(I144=H142,F142,IF(I144=H143,F143,IF(I144=H144,F144,"Sorteio 16")))))))))))))))))</f>
        <v>Sorteio 16</v>
      </c>
      <c r="L148" s="74"/>
      <c r="M148" s="81" t="s">
        <v>313</v>
      </c>
      <c r="N148" s="81"/>
      <c r="O148" s="41" t="str">
        <f>IF(H148="","",IF(AND(H148=0,J148&gt;=2),K148,IF(AND(H148=1,J148&gt;=3),K148,IF(AND(H148=2,J148&gt;=4),K148,IF(AND(H148=3,J148&gt;=5),K148,IF(AND(H148=4,J148&gt;=6),K148,IF(AND(H148=5,J148&gt;=7),K148,IF(AND(H148=6,J148&gt;=8),K148,IF(AND(H148=7,J148&gt;=9),K148,IF(AND(H148=8,J148&gt;=10),K148,""))))))))))</f>
        <v/>
      </c>
      <c r="P148" s="27" t="str">
        <f>IF(OR(H149="",J149="",W149="",Y149="",Y148&gt;="0"),F175,"")</f>
        <v>Venc. Jogo 71</v>
      </c>
      <c r="Q148" s="41" t="b">
        <f>IF(SUM(H148,Y148)=SUM(J148,W148),IF(J148&gt;Y148,K148,IF(Y148&gt;J148,F148)))</f>
        <v>0</v>
      </c>
      <c r="S148" s="82" t="str">
        <f>IF(U148=F129,E129,IF(U148=F130,E130,IF(U148=F131,E131,IF(U148=F132,E132,IF(U148=F133,E133,IF(U148=F134,E134,IF(U148=F135,E135,IF(U148=F136,E136,IF(U148=F137,E137,IF(U148=F138,E138,IF(U148=F139,E139,IF(U148=F140,E140,IF(U148=F141,E141,IF(U148=F142,E142,IF(U148=F143,E143,IF(U148=F144,E144,"Estadio Indefinido"))))))))))))))))</f>
        <v>Estadio Indefinido</v>
      </c>
      <c r="T148" s="83"/>
      <c r="U148" s="73" t="str">
        <f t="shared" ref="U148:U155" si="47">K148</f>
        <v>Sorteio 16</v>
      </c>
      <c r="V148" s="74"/>
      <c r="W148" s="35"/>
      <c r="X148" s="3" t="s">
        <v>1</v>
      </c>
      <c r="Y148" s="35"/>
      <c r="Z148" s="73" t="str">
        <f>F148</f>
        <v>Sorteio 1</v>
      </c>
      <c r="AA148" s="74"/>
      <c r="AB148" s="84" t="s">
        <v>313</v>
      </c>
      <c r="AC148" s="84"/>
      <c r="AG148" s="84"/>
      <c r="AH148" s="84"/>
      <c r="AI148" s="84"/>
      <c r="AJ148" s="84"/>
    </row>
    <row r="149" spans="2:40">
      <c r="B149" s="24" t="s">
        <v>339</v>
      </c>
      <c r="D149" s="73" t="str">
        <f>IF(F149=F129,E129,IF(F149=F130,E130,IF(F149=F131,E131,IF(F149=F132,E132,IF(F149=F133,E133,IF(F149=F134,E134,IF(F149=F135,E135,IF(F149=F136,E136,IF(F149=F137,E137,IF(F149=F138,E138,IF(F149=F139,E139,IF(F149=F140,E140,IF(F149=F141,E141,IF(F149=F142,E142,IF(F149=F143,E143,IF(F149=F144,E144,"Estadio Indefinido"))))))))))))))))</f>
        <v>Estadio Indefinido</v>
      </c>
      <c r="E149" s="74"/>
      <c r="F149" s="73" t="str">
        <f>IF(E146&gt;=2,"Erro",IF(I130=H129,F129,IF(I130=H130,F130,IF(I130=H131,F131,IF(I130=H132,F132,IF(I130=H133,F133,IF(I130=H134,F134,IF(I130=H135,F135,IF(I130=H136,F136,IF(I130=H137,F137,IF(I130=H138,F138,IF(I130=H139,F139,IF(I130=H140,F140,IF(I130=H141,F141,IF(I130=H142,F142,IF(I130=H143,F143,IF(I130=H144,F144,"Sorteio 2")))))))))))))))))</f>
        <v>Sorteio 2</v>
      </c>
      <c r="G149" s="74"/>
      <c r="H149" s="35"/>
      <c r="I149" s="3" t="s">
        <v>1</v>
      </c>
      <c r="J149" s="35"/>
      <c r="K149" s="73" t="str">
        <f>IF(I147&gt;=2,"Erro",IF(I143=H129,F129,IF(I143=H130,F130,IF(I143=H131,F131,IF(I143=H132,F132,IF(I143=H133,F133,IF(I143=H134,F134,IF(I143=H135,F135,IF(I143=H136,F136,IF(I143=H137,F137,IF(I143=H138,F138,IF(I143=H139,F139,IF(I143=H140,F140,IF(I143=H141,F141,IF(I143=H142,F142,IF(I143=H143,F143,IF(I143=H144,F144,"Sorteio 15")))))))))))))))))</f>
        <v>Sorteio 15</v>
      </c>
      <c r="L149" s="74"/>
      <c r="M149" s="81" t="s">
        <v>313</v>
      </c>
      <c r="N149" s="81"/>
      <c r="O149" s="41" t="str">
        <f t="shared" ref="O149:O154" si="48">IF(H149="","",IF(AND(H149=0,J149&gt;=2),K149,IF(AND(H149=1,J149&gt;=3),K149,IF(AND(H149=2,J149&gt;=4),K149,IF(AND(H149=3,J149&gt;=5),K149,IF(AND(H149=4,J149&gt;=6),K149,IF(AND(H149=5,J149&gt;=7),K149,IF(AND(H149=6,J149&gt;=8),K149,IF(AND(H149=7,J149&gt;=9),K149,IF(AND(H149=8,J149&gt;=10),K149,""))))))))))</f>
        <v/>
      </c>
      <c r="P149" s="27" t="str">
        <f>IF(OR(H148="",J148="",W148="",Y148="",Y149&gt;="0"),K175,"")</f>
        <v>Venc. Jogo 72</v>
      </c>
      <c r="Q149" s="41" t="b">
        <f>IF(SUM(H149,Y149)=SUM(J149,W149),IF(J149&gt;Y149,K149,IF(Y149&gt;J149,F149)))</f>
        <v>0</v>
      </c>
      <c r="S149" s="82" t="str">
        <f>IF(U149=F129,E129,IF(U149=F130,E130,IF(U149=F131,E131,IF(U149=F132,E132,IF(U149=F133,E133,IF(U149=F134,E134,IF(U149=F135,E135,IF(U149=F136,E136,IF(U149=F137,E137,IF(U149=F138,E138,IF(U149=F139,E139,IF(U149=F140,E140,IF(U149=F141,E141,IF(U149=F142,E142,IF(U149=F143,E143,IF(U149=F144,E144,"Estadio Indefinido"))))))))))))))))</f>
        <v>Estadio Indefinido</v>
      </c>
      <c r="T149" s="83"/>
      <c r="U149" s="73" t="str">
        <f t="shared" si="47"/>
        <v>Sorteio 15</v>
      </c>
      <c r="V149" s="74"/>
      <c r="W149" s="35"/>
      <c r="X149" s="3" t="s">
        <v>1</v>
      </c>
      <c r="Y149" s="35"/>
      <c r="Z149" s="73" t="str">
        <f>F149</f>
        <v>Sorteio 2</v>
      </c>
      <c r="AA149" s="74"/>
      <c r="AB149" s="84" t="s">
        <v>313</v>
      </c>
      <c r="AC149" s="84"/>
      <c r="AG149" s="70"/>
      <c r="AH149" s="71"/>
      <c r="AI149" s="70"/>
      <c r="AJ149" s="71"/>
    </row>
    <row r="150" spans="2:40">
      <c r="B150" s="24" t="s">
        <v>340</v>
      </c>
      <c r="D150" s="73" t="str">
        <f>IF(F150=F129,E129,IF(F150=F130,E130,IF(F150=F131,E131,IF(F150=F132,E132,IF(F150=F133,E133,IF(F150=F134,E134,IF(F150=F135,E135,IF(F150=F136,E136,IF(F150=F137,E137,IF(F150=F138,E138,IF(F150=F139,E139,IF(F150=F140,E140,IF(F150=F141,E141,IF(F150=F142,E142,IF(F150=F143,E143,IF(F150=F144,E144,"Estadio Indefinido"))))))))))))))))</f>
        <v>Estadio Indefinido</v>
      </c>
      <c r="E150" s="74"/>
      <c r="F150" s="73" t="str">
        <f>IF(F146&gt;=2,"Erro",IF(I131=H129,F129,IF(I131=H130,F130,IF(I131=H131,F131,IF(I131=H132,F132,IF(I131=H133,F133,IF(I131=H134,F134,IF(I131=H135,F135,IF(I131=H136,F136,IF(I131=H137,F137,IF(I131=H138,F138,IF(I131=H139,F139,IF(I131=H140,F140,IF(I131=H141,F141,IF(I131=H142,F142,IF(I131=H143,F143,IF(I131=H144,F144,"Sorteio 3")))))))))))))))))</f>
        <v>Sorteio 3</v>
      </c>
      <c r="G150" s="74"/>
      <c r="H150" s="35"/>
      <c r="I150" s="3" t="s">
        <v>1</v>
      </c>
      <c r="J150" s="35"/>
      <c r="K150" s="73" t="str">
        <f>IF(H147&gt;=2,"Erro",IF(I142=H129,F129,IF(I142=H130,F130,IF(I142=H131,F131,IF(I142=H132,F132,IF(I142=H133,F133,IF(I142=H134,F134,IF(I142=H135,F135,IF(I142=H136,F136,IF(I142=H137,F137,IF(I142=H138,F138,IF(I142=H139,F139,IF(I142=H140,F140,IF(I142=H141,F141,IF(I142=H142,F142,IF(I142=H143,F143,IF(I142=H144,F144,"Sorteio 14")))))))))))))))))</f>
        <v>Sorteio 14</v>
      </c>
      <c r="L150" s="74"/>
      <c r="M150" s="81" t="s">
        <v>313</v>
      </c>
      <c r="N150" s="81"/>
      <c r="O150" s="41" t="str">
        <f t="shared" si="48"/>
        <v/>
      </c>
      <c r="P150" s="27" t="str">
        <f>IF(OR(H151="",J151="",W151="",Y151="",Y150&gt;="0"),F178,"")</f>
        <v>Venc. Jogo 73</v>
      </c>
      <c r="Q150" s="41" t="b">
        <f t="shared" ref="Q150:Q155" si="49">IF(SUM(H150,Y150)=SUM(J150,W150),IF(J150&gt;Y150,K150,IF(Y150&gt;J150,F150)))</f>
        <v>0</v>
      </c>
      <c r="S150" s="82" t="str">
        <f>IF(U150=F129,E129,IF(U150=F130,E130,IF(U150=F131,E131,IF(U150=F132,E132,IF(U150=F133,E133,IF(U150=F134,E134,IF(U150=F135,E135,IF(U150=F136,E136,IF(U150=F137,E137,IF(U150=F138,E138,IF(U150=F139,E139,IF(U150=F140,E140,IF(U150=F141,E141,IF(U150=F142,E142,IF(U150=F143,E143,IF(U150=F144,E144,"Estadio Indefinido"))))))))))))))))</f>
        <v>Estadio Indefinido</v>
      </c>
      <c r="T150" s="83"/>
      <c r="U150" s="73" t="str">
        <f t="shared" si="47"/>
        <v>Sorteio 14</v>
      </c>
      <c r="V150" s="74"/>
      <c r="W150" s="35"/>
      <c r="X150" s="3" t="s">
        <v>1</v>
      </c>
      <c r="Y150" s="35"/>
      <c r="Z150" s="73" t="str">
        <f>F150</f>
        <v>Sorteio 3</v>
      </c>
      <c r="AA150" s="74"/>
      <c r="AB150" s="84" t="s">
        <v>313</v>
      </c>
      <c r="AC150" s="84"/>
      <c r="AG150" s="70"/>
      <c r="AH150" s="71"/>
      <c r="AI150" s="70"/>
      <c r="AJ150" s="71"/>
    </row>
    <row r="151" spans="2:40">
      <c r="B151" s="24" t="s">
        <v>341</v>
      </c>
      <c r="D151" s="73" t="str">
        <f>IF(F151=F129,E129,IF(F151=F130,E130,IF(F151=F131,E131,IF(F151=F132,E132,IF(F151=F133,E133,IF(F151=F134,E134,IF(F151=F135,E135,IF(F151=F136,E136,IF(F151=F137,E137,IF(F151=F138,E138,IF(F151=F139,E139,IF(F151=F140,E140,IF(F151=F141,E141,IF(F151=F142,E142,IF(F151=F143,E143,IF(F151=F144,E144,"Estadio Indefinido"))))))))))))))))</f>
        <v>Estadio Indefinido</v>
      </c>
      <c r="E151" s="74"/>
      <c r="F151" s="73" t="str">
        <f>IF(G146&gt;=2,"Erro",IF(I132=H129,F129,IF(I132=H130,F130,IF(I132=H131,F131,IF(I132=H132,F132,IF(I132=H133,F133,IF(I132=H134,F134,IF(I132=H135,F135,IF(I132=H136,F136,IF(I132=H137,F137,IF(I132=H138,F138,IF(I132=H139,F139,IF(I132=H140,F140,IF(I132=H141,F141,IF(I132=H142,F142,IF(I132=H143,F143,IF(I132=H144,F144,"Sorteio 4")))))))))))))))))</f>
        <v>Sorteio 4</v>
      </c>
      <c r="G151" s="74"/>
      <c r="H151" s="35"/>
      <c r="I151" s="3" t="s">
        <v>1</v>
      </c>
      <c r="J151" s="35"/>
      <c r="K151" s="73" t="str">
        <f>IF(G147&gt;=2,"Erro",IF(I141=H129,F129,IF(I141=H130,F130,IF(I141=H131,F131,IF(I141=H132,F132,IF(I141=H133,F133,IF(I141=H134,F134,IF(I141=H135,F135,IF(I141=H136,F136,IF(I141=H137,F137,IF(I141=H138,F138,IF(I141=H139,F139,IF(I141=H140,F140,IF(I141=H141,F141,IF(I141=H142,F142,IF(I141=H143,F143,IF(I141=H144,F144,"Sorteio 13")))))))))))))))))</f>
        <v>Sorteio 13</v>
      </c>
      <c r="L151" s="74"/>
      <c r="M151" s="81" t="s">
        <v>313</v>
      </c>
      <c r="N151" s="81"/>
      <c r="O151" s="41" t="str">
        <f t="shared" si="48"/>
        <v/>
      </c>
      <c r="P151" s="27" t="str">
        <f>IF(OR(H150="",J150="",W150="",Y150="",Y151&gt;="0"),K178,"")</f>
        <v>Venc. Jogo 74</v>
      </c>
      <c r="Q151" s="41" t="b">
        <f t="shared" si="49"/>
        <v>0</v>
      </c>
      <c r="S151" s="82" t="str">
        <f>IF(U151=F129,E129,IF(U151=F130,E130,IF(U151=F131,E131,IF(U151=F132,E132,IF(U151=F133,E133,IF(U151=F134,E134,IF(U151=F135,E135,IF(U151=F136,E136,IF(U151=F137,E137,IF(U151=F138,E138,IF(U151=F139,E139,IF(U151=F140,E140,IF(U151=F141,E141,IF(U151=F142,E142,IF(U151=F143,E143,IF(U151=F144,E144,"Estadio Indefinido"))))))))))))))))</f>
        <v>Estadio Indefinido</v>
      </c>
      <c r="T151" s="83"/>
      <c r="U151" s="73" t="str">
        <f t="shared" si="47"/>
        <v>Sorteio 13</v>
      </c>
      <c r="V151" s="74"/>
      <c r="W151" s="35"/>
      <c r="X151" s="3" t="s">
        <v>1</v>
      </c>
      <c r="Y151" s="35"/>
      <c r="Z151" s="73" t="str">
        <f>F151</f>
        <v>Sorteio 4</v>
      </c>
      <c r="AA151" s="74"/>
      <c r="AB151" s="84" t="s">
        <v>313</v>
      </c>
      <c r="AC151" s="84"/>
      <c r="AG151" s="70"/>
      <c r="AH151" s="71"/>
      <c r="AI151" s="70"/>
      <c r="AJ151" s="71"/>
    </row>
    <row r="152" spans="2:40">
      <c r="B152" s="24" t="s">
        <v>342</v>
      </c>
      <c r="D152" s="73" t="str">
        <f>IF(F152=F129,E129,IF(F152=F130,E130,IF(F152=F131,E131,IF(F152=F132,E132,IF(F152=F133,E133,IF(F152=F134,E134,IF(F152=F135,E135,IF(F152=F136,E136,IF(F152=F137,E137,IF(F152=F138,E138,IF(F152=F139,E139,IF(F152=F140,E140,IF(F152=F141,E141,IF(F152=F142,E142,IF(F152=F143,E143,IF(F152=F144,E144,"Estadio Indefinido"))))))))))))))))</f>
        <v>Estadio Indefinido</v>
      </c>
      <c r="E152" s="74"/>
      <c r="F152" s="73" t="str">
        <f>IF(H146&gt;=2,"Erro",IF(I133=H129,F129,IF(I133=H130,F130,IF(I133=H131,F131,IF(I133=H132,F132,IF(I133=H133,F133,IF(I133=H134,F134,IF(I133=H135,F135,IF(I133=H136,F136,IF(I133=H137,F137,IF(I133=H138,F138,IF(I133=H139,F139,IF(I133=H140,F140,IF(I142=H141,F141,IF(I133=H142,F142,IF(I133=H143,F143,IF(I133=H144,F144,"Sorteio 5")))))))))))))))))</f>
        <v>Sorteio 5</v>
      </c>
      <c r="G152" s="74"/>
      <c r="H152" s="35"/>
      <c r="I152" s="3" t="s">
        <v>1</v>
      </c>
      <c r="J152" s="35"/>
      <c r="K152" s="73" t="str">
        <f>IF(F147&gt;=2,"Erro",IF(I140=H129,F129,IF(I140=H130,F130,IF(I140=H131,F131,IF(I140=H132,F132,IF(I140=H133,F133,IF(I140=H134,F134,IF(I140=H135,F135,IF(I140=H136,F136,IF(I140=H137,F137,IF(I140=H138,F138,IF(I140=H139,F139,IF(I140=H140,F140,IF(I140=H141,F141,IF(I140=H142,F142,IF(I140=H143,F143,IF(I140=H144,F144,"Sorteio 12")))))))))))))))))</f>
        <v>Sorteio 12</v>
      </c>
      <c r="L152" s="74"/>
      <c r="M152" s="81" t="s">
        <v>313</v>
      </c>
      <c r="N152" s="81"/>
      <c r="O152" s="41" t="str">
        <f t="shared" si="48"/>
        <v/>
      </c>
      <c r="P152" s="27" t="str">
        <f>IF(OR(H153="",J153="",W153="",Y153="",Y152&gt;="0"),F180,"")</f>
        <v>Venc. Jogo 75</v>
      </c>
      <c r="Q152" s="41" t="b">
        <f t="shared" si="49"/>
        <v>0</v>
      </c>
      <c r="S152" s="82" t="str">
        <f>IF(U152=F129,E129,IF(U152=F130,E130,IF(U152=F131,E131,IF(U152=F132,E132,IF(U152=F133,E133,IF(U152=F134,E134,IF(U152=F135,E135,IF(U152=F136,E136,IF(U152=F137,E137,IF(U152=F138,E138,IF(U152=F139,E139,IF(U152=F140,E140,IF(U152=F141,E141,IF(U152=F142,E142,IF(U152=F143,E143,IF(U152=F144,E144,"Estadio Indefinido"))))))))))))))))</f>
        <v>Estadio Indefinido</v>
      </c>
      <c r="T152" s="83"/>
      <c r="U152" s="73" t="str">
        <f t="shared" si="47"/>
        <v>Sorteio 12</v>
      </c>
      <c r="V152" s="74"/>
      <c r="W152" s="35"/>
      <c r="X152" s="3" t="s">
        <v>1</v>
      </c>
      <c r="Y152" s="35"/>
      <c r="Z152" s="73" t="str">
        <f>F152</f>
        <v>Sorteio 5</v>
      </c>
      <c r="AA152" s="74"/>
      <c r="AB152" s="84" t="s">
        <v>313</v>
      </c>
      <c r="AC152" s="84"/>
      <c r="AG152" s="70"/>
      <c r="AH152" s="71"/>
      <c r="AI152" s="70"/>
      <c r="AJ152" s="71"/>
    </row>
    <row r="153" spans="2:40">
      <c r="B153" s="24" t="s">
        <v>343</v>
      </c>
      <c r="D153" s="73" t="str">
        <f>IF(F153=F129,E129,IF(F153=F130,E130,IF(F153=F131,E131,IF(F153=F132,E132,IF(F153=F133,E133,IF(F153=F134,E134,IF(F153=F135,E135,IF(F153=F136,E136,IF(F153=F137,E137,IF(F153=F138,E138,IF(F153=F139,E139,IF(F153=F140,E140,IF(F153=F141,E141,IF(F153=F142,E142,IF(F153=F143,E143,IF(F153=F144,E144,"Estadio Indefinido"))))))))))))))))</f>
        <v>Estadio Indefinido</v>
      </c>
      <c r="E153" s="74"/>
      <c r="F153" s="73" t="str">
        <f>IF(I146&gt;=2,"Erro",IF(I134=H129,F129,IF(I134=H130,F130,IF(I134=H131,F131,IF(I134=H132,F132,IF(I134=H133,F133,IF(I134=H134,F134,IF(I134=H135,F135,IF(I134=H136,F136,IF(I134=H137,F137,IF(I134=H138,F138,IF(I134=H139,F139,IF(I134=H140,F140,IF(I134=H141,F141,IF(I134=H142,F142,IF(I134=H143,F143,IF(I134=H144,F144,"Sorteio 6")))))))))))))))))</f>
        <v>Sorteio 6</v>
      </c>
      <c r="G153" s="74"/>
      <c r="H153" s="35"/>
      <c r="I153" s="3" t="s">
        <v>1</v>
      </c>
      <c r="J153" s="35"/>
      <c r="K153" s="73" t="str">
        <f>IF(E147&gt;=2,"Erro",IF(I139=H129,F129,IF(I139=H130,F130,IF(I139=H131,F131,IF(I139=H132,F132,IF(I139=H133,F133,IF(I139=H134,F134,IF(I139=H135,F135,IF(I139=H136,F136,IF(I139=H137,F137,IF(I139=H138,F138,IF(I139=H139,F139,IF(I139=H140,F140,IF(I139=H141,F141,IF(I139=H142,F142,IF(I139=H143,F143,IF(I139=H144,F144,"Sorteio 11")))))))))))))))))</f>
        <v>Sorteio 11</v>
      </c>
      <c r="L153" s="74"/>
      <c r="M153" s="81" t="s">
        <v>313</v>
      </c>
      <c r="N153" s="81"/>
      <c r="O153" s="41" t="str">
        <f t="shared" si="48"/>
        <v/>
      </c>
      <c r="P153" s="27" t="str">
        <f>IF(OR(H152="",J152="",W152="",Y152="",Y153&gt;="0"),K180,"")</f>
        <v>Venc. Jogo 76</v>
      </c>
      <c r="Q153" s="41" t="b">
        <f t="shared" si="49"/>
        <v>0</v>
      </c>
      <c r="S153" s="82" t="str">
        <f>IF(U153=F129,E129,IF(U153=F130,E130,IF(U153=F131,E131,IF(U153=F132,E132,IF(U153=F133,E133,IF(U153=F134,E134,IF(U153=F135,E135,IF(U153=F136,E136,IF(U153=F137,E137,IF(U153=F138,E138,IF(U153=F139,E139,IF(U153=F140,E140,IF(U153=F141,E141,IF(U153=F142,E142,IF(U153=F143,E143,IF(U153=F144,E144,"Estadio Indefinido"))))))))))))))))</f>
        <v>Estadio Indefinido</v>
      </c>
      <c r="T153" s="83"/>
      <c r="U153" s="73" t="str">
        <f t="shared" si="47"/>
        <v>Sorteio 11</v>
      </c>
      <c r="V153" s="74"/>
      <c r="W153" s="35"/>
      <c r="X153" s="3" t="s">
        <v>1</v>
      </c>
      <c r="Y153" s="35"/>
      <c r="Z153" s="73" t="str">
        <f t="shared" ref="Z153:Z155" si="50">F153</f>
        <v>Sorteio 6</v>
      </c>
      <c r="AA153" s="74"/>
      <c r="AB153" s="84" t="s">
        <v>313</v>
      </c>
      <c r="AC153" s="84"/>
      <c r="AG153" s="70"/>
      <c r="AH153" s="71"/>
      <c r="AI153" s="70"/>
      <c r="AJ153" s="71"/>
    </row>
    <row r="154" spans="2:40">
      <c r="B154" s="24" t="s">
        <v>344</v>
      </c>
      <c r="D154" s="73" t="str">
        <f>IF(F154=F129,E129,IF(F154=F130,E130,IF(F154=F131,E131,IF(F154=F132,E132,IF(F154=F133,E133,IF(F154=F134,E134,IF(F154=F135,E135,IF(F154=F136,E136,IF(F154=F137,E137,IF(F154=F138,E138,IF(F154=F139,E139,IF(F154=F140,E140,IF(F154=F141,E141,IF(F154=F142,E142,IF(F154=F143,E143,IF(F154=F144,E144,"Estadio Indefinido"))))))))))))))))</f>
        <v>Estadio Indefinido</v>
      </c>
      <c r="E154" s="74"/>
      <c r="F154" s="73" t="str">
        <f>IF(J146&gt;=2,"Erro",IF(I135=H129,F129,IF(I135=H130,F130,IF(I135=H131,F131,IF(I135=H132,F132,IF(I135=H133,F133,IF(I135=H134,F134,IF(I135=H135,F135,IF(I135=H136,F136,IF(I135=H137,F137,IF(I135=H138,F138,IF(I135=H139,F139,IF(I135=H140,F140,IF(I135=H141,F141,IF(I135=H142,F142,IF(I135=H143,F143,IF(I135=H144,F144,"Sorteio 7")))))))))))))))))</f>
        <v>Sorteio 7</v>
      </c>
      <c r="G154" s="74"/>
      <c r="H154" s="35"/>
      <c r="I154" s="3" t="s">
        <v>1</v>
      </c>
      <c r="J154" s="35"/>
      <c r="K154" s="73" t="str">
        <f>IF(D147&gt;=2,"Erro",IF(I138=H129,F129,IF(I138=H130,F130,IF(I138=H131,F131,IF(I138=H132,F132,IF(I138=H133,F133,IF(I138=H134,F134,IF(I138=H135,F135,IF(I138=H136,F136,IF(I138=H137,F137,IF(I138=H138,F138,IF(I138=H139,F139,IF(I138=H140,F140,IF(I138=H141,F141,IF(I138=H142,F142,IF(I138=H143,F143,IF(I138=H144,F144,"Sorteio 10")))))))))))))))))</f>
        <v>Sorteio 10</v>
      </c>
      <c r="L154" s="74"/>
      <c r="M154" s="81" t="s">
        <v>313</v>
      </c>
      <c r="N154" s="81"/>
      <c r="O154" s="41" t="str">
        <f t="shared" si="48"/>
        <v/>
      </c>
      <c r="P154" s="27" t="str">
        <f>IF(OR(H155="",J155="",W155="",Y155="",Y154&gt;="0"),F182,"")</f>
        <v>Venc. Jogo 77</v>
      </c>
      <c r="Q154" s="41" t="b">
        <f t="shared" si="49"/>
        <v>0</v>
      </c>
      <c r="S154" s="82" t="str">
        <f>IF(U154=F129,E129,IF(U154=F130,E130,IF(U154=F131,E131,IF(U154=F132,E132,IF(U154=F133,E133,IF(U154=F134,E134,IF(U154=F135,E135,IF(U154=F136,E136,IF(U154=F137,E137,IF(U154=F138,E138,IF(U154=F139,E139,IF(U154=F140,E140,IF(U154=F141,E141,IF(U154=F142,E142,IF(U154=F143,E143,IF(U154=F144,E144,"Estadio Indefinido"))))))))))))))))</f>
        <v>Estadio Indefinido</v>
      </c>
      <c r="T154" s="83"/>
      <c r="U154" s="73" t="str">
        <f t="shared" si="47"/>
        <v>Sorteio 10</v>
      </c>
      <c r="V154" s="74"/>
      <c r="W154" s="35"/>
      <c r="X154" s="3" t="s">
        <v>1</v>
      </c>
      <c r="Y154" s="35"/>
      <c r="Z154" s="73" t="str">
        <f t="shared" si="50"/>
        <v>Sorteio 7</v>
      </c>
      <c r="AA154" s="74"/>
      <c r="AB154" s="84" t="s">
        <v>313</v>
      </c>
      <c r="AC154" s="84"/>
      <c r="AG154" s="70"/>
      <c r="AH154" s="71"/>
      <c r="AI154" s="70"/>
      <c r="AJ154" s="71"/>
    </row>
    <row r="155" spans="2:40">
      <c r="B155" s="24" t="s">
        <v>345</v>
      </c>
      <c r="D155" s="73" t="str">
        <f>IF(F155=F129,E129,IF(F155=F130,E130,IF(F155=F131,E131,IF(F155=F132,E132,IF(F155=F133,E133,IF(F155=F134,E134,IF(F155=F135,E135,IF(F155=F136,E136,IF(F155=F137,E137,IF(F155=F138,E138,IF(F155=F139,E139,IF(F155=F140,E140,IF(F155=F141,E141,IF(F155=F142,E142,IF(F155=F143,E143,IF(F155=F144,E144,"Estadio Indefinido"))))))))))))))))</f>
        <v>Estadio Indefinido</v>
      </c>
      <c r="E155" s="74"/>
      <c r="F155" s="73" t="str">
        <f>IF(K146&gt;=2,"Erro",IF(I136=H129,F129,IF(I136=H130,F130,IF(I136=H131,F131,IF(I136=H132,F132,IF(I136=H133,F133,IF(I136=H134,F134,IF(I136=H135,F135,IF(I136=H136,F136,IF(I136=H137,F137,IF(I136=H138,F138,IF(I136=H139,F139,IF(I136=H140,F140,IF(I136=H141,F141,IF(I136=H142,F142,IF(I136=H143,F143,IF(I136=H144,F144,"Sorteio 8")))))))))))))))))</f>
        <v>Sorteio 8</v>
      </c>
      <c r="G155" s="74"/>
      <c r="H155" s="35"/>
      <c r="I155" s="3" t="s">
        <v>1</v>
      </c>
      <c r="J155" s="35"/>
      <c r="K155" s="73" t="str">
        <f>IF(L146&gt;=2,"Erro",IF(I137=H129,F129,IF(I137=H130,F130,IF(I137=H131,F131,IF(I137=H132,F132,IF(I137=H133,F133,IF(I137=H134,F134,IF(I137=H135,F135,IF(I137=H136,F136,IF(I137=H137,F137,IF(I137=H138,F138,IF(I137=H139,F139,IF(I137=H140,F140,IF(I137=H141,F141,IF(I137=H142,F142,IF(I137=H143,F143,IF(I137=H144,F144,"Sorteio 9")))))))))))))))))</f>
        <v>Sorteio 9</v>
      </c>
      <c r="L155" s="74"/>
      <c r="M155" s="81" t="s">
        <v>313</v>
      </c>
      <c r="N155" s="81"/>
      <c r="O155" s="41" t="str">
        <f>IF(H155="","",IF(AND(H155=0,J155&gt;=2),K155,IF(AND(H155=1,J155&gt;=3),K155,IF(AND(H155=2,J155&gt;=4),K155,IF(AND(H155=3,J155&gt;=5),K155,IF(AND(H155=4,J155&gt;=6),K155,IF(AND(H155=5,J155&gt;=7),K155,IF(AND(H155=6,J155&gt;=8),K155,IF(AND(H155=7,J155&gt;=9),K155,IF(AND(H155=8,J155&gt;=10),K155,""))))))))))</f>
        <v/>
      </c>
      <c r="P155" s="27" t="str">
        <f>IF(OR(H154="",J154="",W154="",Y154="",Y155&gt;="0"),K182,"")</f>
        <v>Venc. Jogo 78</v>
      </c>
      <c r="Q155" s="41" t="b">
        <f t="shared" si="49"/>
        <v>0</v>
      </c>
      <c r="S155" s="82" t="str">
        <f>IF(U155=F129,E129,IF(U155=F130,E130,IF(U155=F131,E131,IF(U155=F132,E132,IF(U155=F133,E133,IF(U155=F134,E134,IF(U155=F135,E135,IF(U155=F136,E136,IF(U155=F137,E137,IF(U155=F138,E138,IF(U155=F139,E139,IF(U155=F140,E140,IF(U155=F141,E141,IF(U155=F142,E142,IF(U155=F143,E143,IF(U155=F144,E144,"Estadio Indefinido"))))))))))))))))</f>
        <v>Estadio Indefinido</v>
      </c>
      <c r="T155" s="83"/>
      <c r="U155" s="73" t="str">
        <f t="shared" si="47"/>
        <v>Sorteio 9</v>
      </c>
      <c r="V155" s="74"/>
      <c r="W155" s="35"/>
      <c r="X155" s="3" t="s">
        <v>1</v>
      </c>
      <c r="Y155" s="35"/>
      <c r="Z155" s="73" t="str">
        <f t="shared" si="50"/>
        <v>Sorteio 8</v>
      </c>
      <c r="AA155" s="74"/>
      <c r="AB155" s="84" t="s">
        <v>313</v>
      </c>
      <c r="AC155" s="84"/>
      <c r="AG155" s="84"/>
      <c r="AH155" s="84"/>
      <c r="AI155" s="84"/>
      <c r="AJ155" s="84"/>
    </row>
    <row r="156" spans="2:40">
      <c r="AG156" s="75"/>
      <c r="AH156" s="75"/>
    </row>
    <row r="157" spans="2:40">
      <c r="B157" s="126" t="s">
        <v>369</v>
      </c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8"/>
      <c r="AK157" s="11"/>
    </row>
    <row r="158" spans="2:40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48"/>
      <c r="N158" s="52"/>
      <c r="O158" s="41"/>
      <c r="P158" s="41"/>
      <c r="Q158" s="41"/>
      <c r="R158" s="41"/>
      <c r="S158" s="41"/>
      <c r="T158" s="47"/>
      <c r="U158" s="23"/>
      <c r="V158" s="23"/>
      <c r="W158" s="23"/>
      <c r="X158" s="23"/>
      <c r="Y158" s="23"/>
      <c r="Z158" s="23"/>
      <c r="AA158" s="23"/>
      <c r="AB158" s="23"/>
      <c r="AC158" s="23"/>
      <c r="AG158" s="23"/>
      <c r="AH158" s="23"/>
    </row>
    <row r="159" spans="2:40">
      <c r="B159" s="23"/>
      <c r="C159" s="23"/>
      <c r="D159" s="23"/>
      <c r="E159" s="23"/>
      <c r="F159" s="23"/>
      <c r="G159" s="23"/>
      <c r="H159" s="23"/>
      <c r="I159" s="23"/>
      <c r="J159" s="23"/>
      <c r="K159" s="132" t="s">
        <v>346</v>
      </c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4"/>
      <c r="W159" s="23"/>
      <c r="X159" s="23"/>
      <c r="Y159" s="23"/>
      <c r="Z159" s="23"/>
      <c r="AA159" s="23"/>
      <c r="AB159" s="23"/>
      <c r="AC159" s="23"/>
      <c r="AG159" s="23"/>
      <c r="AH159" s="23"/>
    </row>
    <row r="160" spans="2:40">
      <c r="B160" s="23"/>
      <c r="C160" s="23"/>
      <c r="D160" s="23"/>
      <c r="E160" s="23"/>
      <c r="F160" s="23"/>
      <c r="G160" s="23"/>
      <c r="H160" s="23"/>
      <c r="I160" s="23"/>
      <c r="J160" s="23"/>
      <c r="K160" s="135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7"/>
      <c r="W160" s="23"/>
      <c r="X160" s="23"/>
      <c r="Y160" s="23"/>
      <c r="Z160" s="23"/>
      <c r="AA160" s="23"/>
      <c r="AB160" s="23"/>
      <c r="AC160" s="23"/>
      <c r="AG160" s="23"/>
      <c r="AH160" s="23"/>
    </row>
    <row r="161" spans="2:40">
      <c r="B161" s="23"/>
      <c r="C161" s="23"/>
      <c r="D161" s="23"/>
      <c r="E161" s="23"/>
      <c r="F161" s="23"/>
      <c r="G161" s="23"/>
      <c r="H161" s="23"/>
      <c r="I161" s="23"/>
      <c r="J161" s="23"/>
      <c r="K161" s="138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40"/>
      <c r="W161" s="23"/>
      <c r="X161" s="23"/>
      <c r="Y161" s="23"/>
      <c r="Z161" s="23"/>
      <c r="AA161" s="23"/>
      <c r="AB161" s="23"/>
      <c r="AC161" s="23"/>
      <c r="AG161" s="23"/>
      <c r="AH161" s="23"/>
    </row>
    <row r="162" spans="2:40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48"/>
      <c r="N162" s="52"/>
      <c r="O162" s="41"/>
      <c r="P162" s="41"/>
      <c r="Q162" s="41"/>
      <c r="R162" s="41"/>
      <c r="S162" s="41"/>
      <c r="T162" s="47"/>
      <c r="U162" s="23"/>
      <c r="V162" s="23"/>
      <c r="W162" s="23"/>
      <c r="X162" s="23"/>
      <c r="Y162" s="23"/>
      <c r="Z162" s="23"/>
      <c r="AA162" s="23"/>
      <c r="AB162" s="23"/>
      <c r="AC162" s="23"/>
      <c r="AG162" s="23"/>
      <c r="AH162" s="23"/>
    </row>
    <row r="163" spans="2:40">
      <c r="B163" s="23"/>
      <c r="C163" s="23"/>
      <c r="D163" s="23"/>
      <c r="E163" s="23"/>
      <c r="F163" s="77" t="str">
        <f>IF(F175="Penalidades","Equipe 1",IF(F175="Venc. Jogo 71","Equipe 1",F175))</f>
        <v>Equipe 1</v>
      </c>
      <c r="G163" s="77"/>
      <c r="H163" s="38"/>
      <c r="I163" s="23"/>
      <c r="J163" s="41" t="str">
        <f>IF(AND(H163="C",H164="C"),"Erro",F163)</f>
        <v>Equipe 1</v>
      </c>
      <c r="K163" s="23"/>
      <c r="L163" s="23"/>
      <c r="M163" s="48"/>
      <c r="N163" s="52"/>
      <c r="O163" s="41"/>
      <c r="P163" s="41"/>
      <c r="Q163" s="41"/>
      <c r="R163" s="41"/>
      <c r="S163" s="41"/>
      <c r="T163" s="47"/>
      <c r="U163" s="23"/>
      <c r="V163" s="23"/>
      <c r="W163" s="23"/>
      <c r="X163" s="23"/>
      <c r="Y163" s="23"/>
      <c r="Z163" s="23"/>
      <c r="AA163" s="23"/>
      <c r="AB163" s="23"/>
      <c r="AC163" s="23"/>
      <c r="AG163" s="23"/>
      <c r="AH163" s="23"/>
    </row>
    <row r="164" spans="2:40">
      <c r="B164" s="23"/>
      <c r="C164" s="23"/>
      <c r="D164" s="23"/>
      <c r="E164" s="23"/>
      <c r="F164" s="78" t="str">
        <f>IF(K175="Penalidades","Equipe 2",IF(K175="Venc. Jogo 72","Equipe 2",K175))</f>
        <v>Equipe 2</v>
      </c>
      <c r="G164" s="78"/>
      <c r="H164" s="35"/>
      <c r="I164" s="23"/>
      <c r="J164" s="41" t="str">
        <f>IF(AND(H163="C",H164="C"),"Erro",F164)</f>
        <v>Equipe 2</v>
      </c>
      <c r="K164" s="23"/>
      <c r="L164" s="23"/>
      <c r="M164" s="48"/>
      <c r="N164" s="52"/>
      <c r="O164" s="41"/>
      <c r="P164" s="41"/>
      <c r="Q164" s="41"/>
      <c r="R164" s="41"/>
      <c r="S164" s="41"/>
      <c r="T164" s="47"/>
      <c r="U164" s="23"/>
      <c r="V164" s="23"/>
      <c r="W164" s="23"/>
      <c r="X164" s="23"/>
      <c r="Y164" s="23"/>
      <c r="Z164" s="23"/>
      <c r="AA164" s="23"/>
      <c r="AB164" s="23"/>
      <c r="AC164" s="23"/>
      <c r="AG164" s="23"/>
      <c r="AH164" s="23"/>
    </row>
    <row r="165" spans="2:40">
      <c r="B165" s="25"/>
      <c r="C165" s="25"/>
      <c r="D165" s="25"/>
      <c r="E165" s="25"/>
      <c r="F165" s="25"/>
      <c r="G165" s="25"/>
      <c r="H165" s="25"/>
      <c r="I165" s="25"/>
      <c r="J165" s="41"/>
      <c r="K165" s="25"/>
      <c r="L165" s="25"/>
      <c r="M165" s="48"/>
      <c r="N165" s="52"/>
      <c r="O165" s="41"/>
      <c r="P165" s="41"/>
      <c r="Q165" s="41"/>
      <c r="R165" s="41"/>
      <c r="S165" s="41"/>
      <c r="T165" s="47"/>
      <c r="U165" s="25"/>
      <c r="V165" s="25"/>
      <c r="W165" s="25"/>
      <c r="X165" s="25"/>
      <c r="Y165" s="25"/>
      <c r="Z165" s="25"/>
      <c r="AA165" s="25"/>
      <c r="AB165" s="25"/>
      <c r="AC165" s="25"/>
      <c r="AG165" s="25"/>
      <c r="AH165" s="25"/>
    </row>
    <row r="166" spans="2:40">
      <c r="B166" s="23"/>
      <c r="C166" s="23"/>
      <c r="D166" s="23"/>
      <c r="E166" s="23"/>
      <c r="F166" s="78" t="str">
        <f>IF(F178="Penalidades","Equipe 3",IF(F178="Venc. Jogo 73","Equipe 3",F178))</f>
        <v>Equipe 3</v>
      </c>
      <c r="G166" s="78"/>
      <c r="H166" s="35"/>
      <c r="I166" s="23"/>
      <c r="J166" s="41" t="str">
        <f>IF(AND(H166="C",H167="C"),"Erro",F166)</f>
        <v>Equipe 3</v>
      </c>
      <c r="K166" s="23"/>
      <c r="L166" s="23"/>
      <c r="M166" s="48"/>
      <c r="N166" s="52"/>
      <c r="O166" s="41"/>
      <c r="P166" s="41"/>
      <c r="Q166" s="41"/>
      <c r="R166" s="41"/>
      <c r="S166" s="41"/>
      <c r="T166" s="47"/>
      <c r="U166" s="23"/>
      <c r="V166" s="23"/>
      <c r="W166" s="23"/>
      <c r="X166" s="23"/>
      <c r="Y166" s="23"/>
      <c r="Z166" s="23"/>
      <c r="AA166" s="23"/>
      <c r="AB166" s="23"/>
      <c r="AC166" s="23"/>
      <c r="AG166" s="23"/>
      <c r="AH166" s="23"/>
    </row>
    <row r="167" spans="2:40">
      <c r="B167" s="23"/>
      <c r="C167" s="23"/>
      <c r="D167" s="23"/>
      <c r="E167" s="23"/>
      <c r="F167" s="78" t="str">
        <f>IF(K178="Penalidades","Equipe 4",IF(K178="Venc. Jogo 74","Equipe 4",K178))</f>
        <v>Equipe 4</v>
      </c>
      <c r="G167" s="78"/>
      <c r="H167" s="35"/>
      <c r="I167" s="23"/>
      <c r="J167" s="41" t="str">
        <f>IF(AND(H166="C",H167="C"),"Erro",F167)</f>
        <v>Equipe 4</v>
      </c>
      <c r="K167" s="23"/>
      <c r="L167" s="23"/>
      <c r="M167" s="48"/>
      <c r="N167" s="52"/>
      <c r="O167" s="41"/>
      <c r="P167" s="41"/>
      <c r="Q167" s="41"/>
      <c r="R167" s="41"/>
      <c r="S167" s="41"/>
      <c r="T167" s="47"/>
      <c r="U167" s="23"/>
      <c r="V167" s="23"/>
      <c r="W167" s="23"/>
      <c r="X167" s="23"/>
      <c r="Y167" s="23"/>
      <c r="Z167" s="23"/>
      <c r="AA167" s="23"/>
      <c r="AB167" s="23"/>
      <c r="AC167" s="23"/>
      <c r="AG167" s="23"/>
      <c r="AH167" s="23"/>
    </row>
    <row r="168" spans="2:40" s="4" customFormat="1">
      <c r="B168" s="25"/>
      <c r="C168" s="25"/>
      <c r="D168" s="25"/>
      <c r="E168" s="25"/>
      <c r="F168" s="25"/>
      <c r="G168" s="25"/>
      <c r="H168" s="25"/>
      <c r="I168" s="25"/>
      <c r="J168" s="41"/>
      <c r="K168" s="25"/>
      <c r="L168" s="25"/>
      <c r="M168" s="48"/>
      <c r="N168" s="52"/>
      <c r="O168" s="41"/>
      <c r="P168" s="41"/>
      <c r="Q168" s="41"/>
      <c r="R168" s="41"/>
      <c r="S168" s="41"/>
      <c r="T168" s="47"/>
      <c r="U168" s="25"/>
      <c r="V168" s="25"/>
      <c r="W168" s="25"/>
      <c r="X168" s="25"/>
      <c r="Y168" s="25"/>
      <c r="Z168" s="25"/>
      <c r="AA168" s="25"/>
      <c r="AB168" s="25"/>
      <c r="AC168" s="25"/>
      <c r="AG168" s="25"/>
      <c r="AH168" s="25"/>
      <c r="AK168" s="26"/>
      <c r="AL168" s="26"/>
      <c r="AM168" s="26"/>
      <c r="AN168" s="11"/>
    </row>
    <row r="169" spans="2:40">
      <c r="B169" s="23"/>
      <c r="C169" s="23"/>
      <c r="D169" s="23"/>
      <c r="E169" s="23"/>
      <c r="F169" s="78" t="str">
        <f>IF(F180="Penalidades","Equipe 5",IF(F180="Venc. Jogo 75","Equipe 5",F180))</f>
        <v>Equipe 5</v>
      </c>
      <c r="G169" s="78"/>
      <c r="H169" s="35"/>
      <c r="I169" s="23"/>
      <c r="J169" s="41" t="str">
        <f>IF(AND(H170="C",H169="C"),"Erro",F169)</f>
        <v>Equipe 5</v>
      </c>
      <c r="K169" s="23"/>
      <c r="L169" s="23"/>
      <c r="M169" s="48"/>
      <c r="N169" s="52"/>
      <c r="O169" s="41"/>
      <c r="P169" s="41"/>
      <c r="Q169" s="41"/>
      <c r="R169" s="41"/>
      <c r="S169" s="41"/>
      <c r="T169" s="47"/>
      <c r="U169" s="23"/>
      <c r="V169" s="23"/>
      <c r="W169" s="23"/>
      <c r="X169" s="23"/>
      <c r="Y169" s="23"/>
      <c r="Z169" s="23"/>
      <c r="AA169" s="23"/>
      <c r="AB169" s="23"/>
      <c r="AC169" s="23"/>
      <c r="AG169" s="23"/>
      <c r="AH169" s="23"/>
    </row>
    <row r="170" spans="2:40">
      <c r="B170" s="23"/>
      <c r="C170" s="23"/>
      <c r="D170" s="23"/>
      <c r="E170" s="23"/>
      <c r="F170" s="78" t="str">
        <f>IF(K180="Penalidades","Equipe 6",IF(K180="Venc. Jogo 76","Equipe 6",K180))</f>
        <v>Equipe 6</v>
      </c>
      <c r="G170" s="78"/>
      <c r="H170" s="35"/>
      <c r="I170" s="23"/>
      <c r="J170" s="41" t="str">
        <f>IF(AND(H170="C",H169="C"),"Erro",F170)</f>
        <v>Equipe 6</v>
      </c>
      <c r="K170" s="23"/>
      <c r="L170" s="23"/>
      <c r="M170" s="48"/>
      <c r="N170" s="52"/>
      <c r="O170" s="41"/>
      <c r="P170" s="41"/>
      <c r="Q170" s="41"/>
      <c r="R170" s="41"/>
      <c r="S170" s="41"/>
      <c r="T170" s="47"/>
      <c r="U170" s="23"/>
      <c r="V170" s="23"/>
      <c r="W170" s="23"/>
      <c r="X170" s="23"/>
      <c r="Y170" s="23"/>
      <c r="Z170" s="23"/>
      <c r="AA170" s="23"/>
      <c r="AB170" s="23"/>
      <c r="AC170" s="23"/>
      <c r="AG170" s="23"/>
      <c r="AH170" s="23"/>
    </row>
    <row r="171" spans="2:40" s="4" customFormat="1">
      <c r="B171" s="25"/>
      <c r="C171" s="25"/>
      <c r="D171" s="25"/>
      <c r="E171" s="25"/>
      <c r="F171" s="25"/>
      <c r="G171" s="25"/>
      <c r="H171" s="25"/>
      <c r="I171" s="25"/>
      <c r="J171" s="41"/>
      <c r="K171" s="25"/>
      <c r="L171" s="25"/>
      <c r="M171" s="48"/>
      <c r="N171" s="52"/>
      <c r="O171" s="41"/>
      <c r="P171" s="41"/>
      <c r="Q171" s="41"/>
      <c r="R171" s="41"/>
      <c r="S171" s="41"/>
      <c r="T171" s="47"/>
      <c r="U171" s="25"/>
      <c r="V171" s="25"/>
      <c r="W171" s="25"/>
      <c r="X171" s="25"/>
      <c r="Y171" s="25"/>
      <c r="Z171" s="25"/>
      <c r="AA171" s="25"/>
      <c r="AB171" s="25"/>
      <c r="AC171" s="25"/>
      <c r="AG171" s="25"/>
      <c r="AH171" s="25"/>
      <c r="AK171" s="26"/>
      <c r="AL171" s="26"/>
      <c r="AM171" s="26"/>
      <c r="AN171" s="11"/>
    </row>
    <row r="172" spans="2:40">
      <c r="B172" s="23"/>
      <c r="C172" s="23"/>
      <c r="D172" s="23"/>
      <c r="E172" s="23"/>
      <c r="F172" s="78" t="str">
        <f>IF(F182="Penalidades","Equipe 7",IF(F182="Venc. Jogo 77","Equipe 7",F182))</f>
        <v>Equipe 7</v>
      </c>
      <c r="G172" s="78"/>
      <c r="H172" s="35"/>
      <c r="I172" s="23"/>
      <c r="J172" s="41" t="str">
        <f>IF(AND(H172="C",H173="C"),"Erro",F172)</f>
        <v>Equipe 7</v>
      </c>
      <c r="K172" s="23"/>
      <c r="L172" s="23"/>
      <c r="M172" s="48"/>
      <c r="N172" s="52"/>
      <c r="O172" s="41"/>
      <c r="P172" s="41"/>
      <c r="Q172" s="41"/>
      <c r="R172" s="41"/>
      <c r="S172" s="41"/>
      <c r="T172" s="47"/>
      <c r="U172" s="23"/>
      <c r="V172" s="23"/>
      <c r="W172" s="23"/>
      <c r="X172" s="23"/>
      <c r="Y172" s="23"/>
      <c r="Z172" s="23"/>
      <c r="AA172" s="23"/>
      <c r="AB172" s="23"/>
      <c r="AC172" s="23"/>
      <c r="AG172" s="23"/>
      <c r="AH172" s="23"/>
    </row>
    <row r="173" spans="2:40">
      <c r="B173" s="23"/>
      <c r="C173" s="23"/>
      <c r="D173" s="23"/>
      <c r="E173" s="23"/>
      <c r="F173" s="100" t="str">
        <f>IF(K182="Penalidades","Equipe 8",IF(K182="Venc. Jogo 78","Equipe 8",K182))</f>
        <v>Equipe 8</v>
      </c>
      <c r="G173" s="100"/>
      <c r="H173" s="39"/>
      <c r="I173" s="23"/>
      <c r="J173" s="41" t="str">
        <f>IF(AND(H173="C",H172="C"),"Erro",F173)</f>
        <v>Equipe 8</v>
      </c>
      <c r="K173" s="23"/>
      <c r="L173" s="23"/>
      <c r="M173" s="48"/>
      <c r="N173" s="52"/>
      <c r="O173" s="41"/>
      <c r="P173" s="41"/>
      <c r="Q173" s="41"/>
      <c r="R173" s="41"/>
      <c r="S173" s="41"/>
      <c r="T173" s="47"/>
      <c r="U173" s="23"/>
      <c r="V173" s="23"/>
      <c r="W173" s="23"/>
      <c r="X173" s="23"/>
      <c r="Y173" s="23"/>
      <c r="Z173" s="23"/>
      <c r="AA173" s="23"/>
      <c r="AB173" s="23"/>
      <c r="AC173" s="23"/>
      <c r="AG173" s="23"/>
      <c r="AH173" s="23"/>
    </row>
    <row r="174" spans="2:40">
      <c r="B174" s="23"/>
      <c r="C174" s="23"/>
      <c r="D174" s="23"/>
      <c r="E174" s="23"/>
      <c r="F174" s="75"/>
      <c r="G174" s="75"/>
      <c r="H174" s="23"/>
      <c r="I174" s="23"/>
      <c r="J174" s="23"/>
      <c r="K174" s="23"/>
      <c r="L174" s="23"/>
      <c r="M174" s="48"/>
      <c r="N174" s="52"/>
      <c r="O174" s="41"/>
      <c r="P174" s="41"/>
      <c r="Q174" s="41"/>
      <c r="R174" s="41"/>
      <c r="S174" s="41"/>
      <c r="T174" s="47"/>
      <c r="U174" s="23"/>
      <c r="V174" s="23"/>
      <c r="W174" s="23"/>
      <c r="X174" s="23"/>
      <c r="Y174" s="23"/>
      <c r="Z174" s="23"/>
      <c r="AA174" s="23"/>
      <c r="AB174" s="23"/>
      <c r="AC174" s="23"/>
      <c r="AG174" s="23"/>
      <c r="AH174" s="23"/>
    </row>
    <row r="175" spans="2:40" ht="14.25" hidden="1" customHeight="1">
      <c r="F175" s="75" t="str">
        <f>IF(OR(H148="",J148="",W148="",Y148=""),"Venc. Jogo 71",IF(AND(H148=W148,J148=Y148,AG148="",AI148=""),"Penalidades",IF(SUM(H148,Y148)&gt;SUM(J148,W148),F148,IF(SUM(J148,W148)&gt;SUM(H148,Y148),K148,IF(Q148=F148,F148,IF(Q148=K148,K148,IF(SUM(H148,J148,W148,Y148,AG148,AI148)=0,"Venc. Jogo 71",IF(AG148&gt;AI148,F148,IF(AI148&gt;AG148,K148,IF(AG148=AI148,"Venc. Jogo 71","Erro Recoloque os Resultados"))))))))))</f>
        <v>Venc. Jogo 71</v>
      </c>
      <c r="G175" s="75"/>
      <c r="K175" s="75" t="str">
        <f>IF(OR(H149="",J149="",W149="",Y149=""),"Venc. Jogo 72",IF(AND(H149=W149,J149=Y149,AG149="",AI149=""),"Penalidades",IF(SUM(H149,Y149)&gt;SUM(J149,W149),F149,IF(SUM(J149,W149)&gt;SUM(H149,Y149),K149,IF(Q149=F149,F149,IF(Q149=K149,K149,IF(SUM(H149,J149,W149,Y149,AG149,AI149)=0,"Venc. Jogo 72",IF(AG149&gt;AI149,F149,IF(AI149&gt;AG149,K149,IF(AG149=AI149,"Venc. Jogo 72","Erro Recoloque os Resultados"))))))))))</f>
        <v>Venc. Jogo 72</v>
      </c>
      <c r="L175" s="75"/>
      <c r="AG175" s="75"/>
      <c r="AH175" s="75"/>
    </row>
    <row r="176" spans="2:40">
      <c r="D176" s="75"/>
      <c r="E176" s="75"/>
      <c r="F176" s="75"/>
      <c r="G176" s="75"/>
      <c r="H176" s="23"/>
      <c r="I176" s="29"/>
      <c r="J176" s="23"/>
      <c r="K176" s="75"/>
      <c r="L176" s="75"/>
      <c r="M176" s="98"/>
      <c r="N176" s="98"/>
      <c r="S176" s="96"/>
      <c r="T176" s="96"/>
      <c r="U176" s="75"/>
      <c r="V176" s="75"/>
      <c r="W176" s="23"/>
      <c r="X176" s="29"/>
      <c r="Y176" s="23"/>
      <c r="Z176" s="75"/>
      <c r="AA176" s="75"/>
      <c r="AB176" s="75"/>
      <c r="AC176" s="75"/>
      <c r="AG176" s="16"/>
      <c r="AH176" s="16"/>
      <c r="AI176" s="16"/>
      <c r="AJ176" s="10"/>
      <c r="AK176" s="1"/>
      <c r="AL176" s="1"/>
      <c r="AM176" s="1"/>
      <c r="AN176" s="1"/>
    </row>
    <row r="177" spans="2:39">
      <c r="B177" s="24" t="s">
        <v>347</v>
      </c>
      <c r="D177" s="78" t="str">
        <f>IF(F177=F148,D148,IF(F177=F149,D149,IF(F177=U148,S148,IF(F177=U149,S149,"Estadio Indefinido"))))</f>
        <v>Estadio Indefinido</v>
      </c>
      <c r="E177" s="78"/>
      <c r="F177" s="78" t="str">
        <f>IF(J163="Erro",J163,IF(H163="C",F163,IF(H164="C",F164,F175)))</f>
        <v>Venc. Jogo 71</v>
      </c>
      <c r="G177" s="78"/>
      <c r="H177" s="35"/>
      <c r="I177" s="3" t="s">
        <v>1</v>
      </c>
      <c r="J177" s="35"/>
      <c r="K177" s="78" t="str">
        <f>IF(J164="Erro",J164,IF(H163="C",F164,IF(H164="C",F163,K175)))</f>
        <v>Venc. Jogo 72</v>
      </c>
      <c r="L177" s="78"/>
      <c r="M177" s="81" t="s">
        <v>313</v>
      </c>
      <c r="N177" s="81"/>
      <c r="O177" s="41" t="str">
        <f>IF(H177="","",IF(AND(H177=0,J177&gt;=2),K177,IF(AND(H177=1,J177&gt;=3),K177,IF(AND(H177=2,J177&gt;=4),K177,IF(AND(H177=3,J177&gt;=5),K177,IF(AND(H177=4,J177&gt;=6),K177,IF(AND(H177=5,J177&gt;=7),K177,IF(AND(H177=6,J177&gt;=8),K177,IF(AND(H177=7,J177&gt;=9),K177,IF(AND(H177=8,J177&gt;=10),K177,""))))))))))</f>
        <v/>
      </c>
      <c r="P177" s="27" t="str">
        <f>IF(OR(H179="",J179="",W179="",Y179="",Y177&gt;="0"),F194,"")</f>
        <v>Venc. Jogo 79</v>
      </c>
      <c r="Q177" s="41" t="b">
        <f>IF(SUM(H177,Y177)=SUM(J177,W177),IF(J177&gt;Y177,K177,IF(Y177&gt;J177,F177)))</f>
        <v>0</v>
      </c>
      <c r="S177" s="95" t="str">
        <f>IF(U177=F148,D148,IF(U177=F149,D149,IF(U177=U148,S148,IF(U177=U149,S149,"Estadio Indefinido"))))</f>
        <v>Estadio Indefinido</v>
      </c>
      <c r="T177" s="95"/>
      <c r="U177" s="78" t="str">
        <f>K177</f>
        <v>Venc. Jogo 72</v>
      </c>
      <c r="V177" s="78"/>
      <c r="W177" s="35"/>
      <c r="X177" s="3" t="s">
        <v>1</v>
      </c>
      <c r="Y177" s="35"/>
      <c r="Z177" s="78" t="str">
        <f>F177</f>
        <v>Venc. Jogo 71</v>
      </c>
      <c r="AA177" s="78"/>
      <c r="AB177" s="78" t="s">
        <v>313</v>
      </c>
      <c r="AC177" s="78"/>
      <c r="AG177" s="84"/>
      <c r="AH177" s="84"/>
      <c r="AI177" s="84"/>
      <c r="AJ177" s="84"/>
    </row>
    <row r="178" spans="2:39" ht="15" hidden="1" customHeight="1">
      <c r="B178" s="24"/>
      <c r="D178" s="78" t="str">
        <f t="shared" ref="D178" si="51">IF(F178=F149,D149,IF(F178=F150,D150,IF(F178=U149,S149,IF(F178=U150,S150,"Estadio Indefinido"))))</f>
        <v>Estadio Indefinido</v>
      </c>
      <c r="E178" s="78"/>
      <c r="F178" s="75" t="str">
        <f>IF(OR(H150="",J150="",W150="",Y150=""),"Venc. Jogo 73",IF(AND(H150=W150,J150=Y150,AG150="",AI150=""),"Penalidades",IF(SUM(H150,Y150)&gt;SUM(J150,W150),F150,IF(SUM(J150,W150)&gt;SUM(H150,Y150),K150,IF(Q150=F150,F150,IF(Q150=K150,K150,IF(SUM(H150,J150,W150,Y150,AG150,AI150)=0,"Venc. Jogo 73",IF(AG150&gt;AI150,F150,IF(AI150&gt;AG150,K150,IF(AG150=AI150,"Venc. Jogo 73","Erro Recoloque os Resultados"))))))))))</f>
        <v>Venc. Jogo 73</v>
      </c>
      <c r="G178" s="75"/>
      <c r="H178" s="23"/>
      <c r="I178" s="29"/>
      <c r="J178" s="23"/>
      <c r="K178" s="75" t="str">
        <f>IF(OR(H151="",J151="",W151="",Y151=""),"Venc. Jogo 74",IF(AND(H151=W151,J151=Y151,AG151="",AI151=""),"Penalidades",IF(SUM(H151,Y151)&gt;SUM(J151,W151),F151,IF(SUM(J151,W151)&gt;SUM(H151,Y151),K151,IF(Q151=F151,F151,IF(Q151=K151,K151,IF(SUM(H151,J151,W151,Y151,AG151,AI151)=0,"Venc. Jogo 74",IF(AG151&gt;AI151,F151,IF(AI151&gt;AG151,K151,IF(AG151=AI151,"Venc. Jogo 74","Erro Recoloque os Resultados"))))))))))</f>
        <v>Venc. Jogo 74</v>
      </c>
      <c r="L178" s="75"/>
      <c r="M178" s="98"/>
      <c r="N178" s="98"/>
      <c r="S178" s="96"/>
      <c r="T178" s="96"/>
      <c r="U178" s="75"/>
      <c r="V178" s="75"/>
      <c r="W178" s="23"/>
      <c r="X178" s="29"/>
      <c r="Y178" s="23"/>
      <c r="Z178" s="75"/>
      <c r="AA178" s="75"/>
      <c r="AB178" s="75"/>
      <c r="AC178" s="75"/>
      <c r="AG178" s="73"/>
      <c r="AH178" s="74"/>
      <c r="AI178" s="73"/>
      <c r="AJ178" s="74"/>
    </row>
    <row r="179" spans="2:39">
      <c r="B179" s="24" t="s">
        <v>348</v>
      </c>
      <c r="D179" s="78" t="str">
        <f>IF(F179=F150,D150,IF(F179=F151,D151,IF(F179=U150,S150,IF(F179=U151,S151,"Estadio Indefinido"))))</f>
        <v>Estadio Indefinido</v>
      </c>
      <c r="E179" s="78"/>
      <c r="F179" s="78" t="str">
        <f>IF(J166="Erro",J166,IF(H166="C",F166,IF(H167="C",F167,F178)))</f>
        <v>Venc. Jogo 73</v>
      </c>
      <c r="G179" s="78"/>
      <c r="H179" s="35"/>
      <c r="I179" s="3" t="s">
        <v>1</v>
      </c>
      <c r="J179" s="35"/>
      <c r="K179" s="78" t="str">
        <f>IF(J167="Erro",J167,IF(H166="C",F167,IF(H167="C",F166,K178)))</f>
        <v>Venc. Jogo 74</v>
      </c>
      <c r="L179" s="78"/>
      <c r="M179" s="81" t="s">
        <v>313</v>
      </c>
      <c r="N179" s="81"/>
      <c r="O179" s="41" t="str">
        <f>IF(H179="","",IF(AND(H179=0,J179&gt;=2),K179,IF(AND(H179=1,J179&gt;=3),K179,IF(AND(H179=2,J179&gt;=4),K179,IF(AND(H179=3,J179&gt;=5),K179,IF(AND(H179=4,J179&gt;=6),K179,IF(AND(H179=5,J179&gt;=7),K179,IF(AND(H179=6,J179&gt;=8),K179,IF(AND(H179=7,J179&gt;=9),K179,IF(AND(H179=8,J179&gt;=10),K179,""))))))))))</f>
        <v/>
      </c>
      <c r="P179" s="27" t="str">
        <f>IF(OR(H177="",J177="",W177="",Y177="",Y179&gt;="0"),K194,"")</f>
        <v>Venc. Jogo 80</v>
      </c>
      <c r="Q179" s="41" t="b">
        <f>IF(SUM(H179,Y179)=SUM(J179,W179),IF(J179&gt;Y179,K179,IF(Y179&gt;J179,F179)))</f>
        <v>0</v>
      </c>
      <c r="S179" s="95" t="str">
        <f>IF(U179=F150,D150,IF(U179=F151,D151,IF(U179=U150,S150,IF(U179=U151,S151,"Estadio Indefinido"))))</f>
        <v>Estadio Indefinido</v>
      </c>
      <c r="T179" s="95"/>
      <c r="U179" s="78" t="str">
        <f>K179</f>
        <v>Venc. Jogo 74</v>
      </c>
      <c r="V179" s="78"/>
      <c r="W179" s="35"/>
      <c r="X179" s="3" t="s">
        <v>1</v>
      </c>
      <c r="Y179" s="35"/>
      <c r="Z179" s="78" t="str">
        <f>F179</f>
        <v>Venc. Jogo 73</v>
      </c>
      <c r="AA179" s="78"/>
      <c r="AB179" s="78" t="s">
        <v>313</v>
      </c>
      <c r="AC179" s="78"/>
      <c r="AG179" s="70"/>
      <c r="AH179" s="71"/>
      <c r="AI179" s="70"/>
      <c r="AJ179" s="71"/>
    </row>
    <row r="180" spans="2:39" ht="10.5" hidden="1" customHeight="1">
      <c r="B180" s="24"/>
      <c r="D180" s="78" t="str">
        <f t="shared" ref="D180" si="52">IF(F180=F151,D151,IF(F180=F152,D152,IF(F180=U151,S151,IF(F180=U152,S152,"Estadio Indefinido"))))</f>
        <v>Estadio Indefinido</v>
      </c>
      <c r="E180" s="78"/>
      <c r="F180" s="75" t="str">
        <f>IF(OR(H152="",J152="",W152="",Y152=""),"Venc. Jogo 75",IF(AND(H152=W152,J152=Y152,AG152="",AI152=""),"Penalidades",IF(SUM(H152,Y152)&gt;SUM(J152,W152),F152,IF(SUM(J152,W152)&gt;SUM(H152,Y152),K152,IF(Q152=F152,F152,IF(Q152=K152,K152,IF(SUM(H152,J152,W152,Y152,AG152,AI152)=0,"Venc. Jogo 75",IF(AG152&gt;AI152,F152,IF(AI152&gt;AG152,K152,IF(AG152=AI152,"Venc. Jogo 75","Erro Recoloque os Resultados"))))))))))</f>
        <v>Venc. Jogo 75</v>
      </c>
      <c r="G180" s="75"/>
      <c r="H180" s="23"/>
      <c r="I180" s="29"/>
      <c r="J180" s="23"/>
      <c r="K180" s="75" t="str">
        <f>IF(OR(H153="",J153="",W153="",Y153=""),"Venc. Jogo 76",IF(AND(H153=W153,J153=Y153,AG153="",AI153=""),"Penalidades",IF(SUM(H153,Y153)&gt;SUM(J153,W153),F153,IF(SUM(J153,W153)&gt;SUM(H153,Y153),K153,IF(Q153=F153,F153,IF(Q153=K153,K153,IF(SUM(H153,J153,W153,Y153,AG153,AI153)=0,"Venc. Jogo 76",IF(AG153&gt;AI153,F153,IF(AI153&gt;AG153,K153,IF(AG153=AI153,"Venc. Jogo 76","Erro Recoloque os Resultados"))))))))))</f>
        <v>Venc. Jogo 76</v>
      </c>
      <c r="L180" s="75"/>
      <c r="M180" s="98"/>
      <c r="N180" s="98"/>
      <c r="S180" s="96"/>
      <c r="T180" s="96"/>
      <c r="U180" s="75"/>
      <c r="V180" s="75"/>
      <c r="W180" s="23"/>
      <c r="X180" s="29"/>
      <c r="Y180" s="23"/>
      <c r="Z180" s="75"/>
      <c r="AA180" s="75"/>
      <c r="AB180" s="75"/>
      <c r="AC180" s="75"/>
      <c r="AG180" s="73"/>
      <c r="AH180" s="74"/>
      <c r="AI180" s="73"/>
      <c r="AJ180" s="74"/>
    </row>
    <row r="181" spans="2:39">
      <c r="B181" s="24" t="s">
        <v>349</v>
      </c>
      <c r="D181" s="78" t="str">
        <f>IF(F181=F152,D152,IF(F181=F153,D153,IF(F181=U152,S152,IF(F181=U153,S153,"Estadio Indefinido"))))</f>
        <v>Estadio Indefinido</v>
      </c>
      <c r="E181" s="78"/>
      <c r="F181" s="78" t="str">
        <f>IF(J169="Erro",J169,IF(H169="C",F169,IF(H170="C",F170,F180)))</f>
        <v>Venc. Jogo 75</v>
      </c>
      <c r="G181" s="78"/>
      <c r="H181" s="35"/>
      <c r="I181" s="3" t="s">
        <v>1</v>
      </c>
      <c r="J181" s="35"/>
      <c r="K181" s="78" t="str">
        <f>IF(J170="Erro",J170,IF(H169="C",F170,IF(H170="C",F169,K180)))</f>
        <v>Venc. Jogo 76</v>
      </c>
      <c r="L181" s="78"/>
      <c r="M181" s="81" t="s">
        <v>313</v>
      </c>
      <c r="N181" s="81"/>
      <c r="O181" s="41" t="str">
        <f>IF(H181="","",IF(AND(H181=0,J181&gt;=2),K181,IF(AND(H181=1,J181&gt;=3),K181,IF(AND(H181=2,J181&gt;=4),K181,IF(AND(H181=3,J181&gt;=5),K181,IF(AND(H181=4,J181&gt;=6),K181,IF(AND(H181=5,J181&gt;=7),K181,IF(AND(H181=6,J181&gt;=8),K181,IF(AND(H181=7,J181&gt;=9),K181,IF(AND(H181=8,J181&gt;=10),K181,""))))))))))</f>
        <v/>
      </c>
      <c r="P181" s="27" t="str">
        <f>IF(OR(H183="",J183="",W183="",Y183="",Y181&gt;="0"),F196,"")</f>
        <v>Venc. Jogo 81</v>
      </c>
      <c r="Q181" s="41" t="b">
        <f>IF(SUM(H181,Y181)=SUM(J181,W181),IF(J181&gt;Y181,K181,IF(Y181&gt;J181,F181)))</f>
        <v>0</v>
      </c>
      <c r="S181" s="95" t="str">
        <f>IF(U181=F152,D152,IF(U181=F153,D153,IF(U181=U152,S152,IF(U181=U153,S153,"Estadio Indefinido"))))</f>
        <v>Estadio Indefinido</v>
      </c>
      <c r="T181" s="95"/>
      <c r="U181" s="78" t="str">
        <f>K181</f>
        <v>Venc. Jogo 76</v>
      </c>
      <c r="V181" s="78"/>
      <c r="W181" s="35"/>
      <c r="X181" s="3" t="s">
        <v>1</v>
      </c>
      <c r="Y181" s="35"/>
      <c r="Z181" s="78" t="str">
        <f>F181</f>
        <v>Venc. Jogo 75</v>
      </c>
      <c r="AA181" s="78"/>
      <c r="AB181" s="84" t="s">
        <v>313</v>
      </c>
      <c r="AC181" s="84"/>
      <c r="AG181" s="84"/>
      <c r="AH181" s="84"/>
      <c r="AI181" s="84"/>
      <c r="AJ181" s="84"/>
    </row>
    <row r="182" spans="2:39" ht="15" hidden="1" customHeight="1">
      <c r="B182" s="24"/>
      <c r="D182" s="78" t="str">
        <f t="shared" ref="D182" si="53">IF(F182=F153,D153,IF(F182=F154,D154,IF(F182=U153,S153,IF(F182=U154,S154,"Estadio Indefinido"))))</f>
        <v>Estadio Indefinido</v>
      </c>
      <c r="E182" s="78"/>
      <c r="F182" s="75" t="str">
        <f>IF(OR(H154="",J154="",W154="",Y154=""),"Venc. Jogo 77",IF(AND(H154=W154,J154=Y154,AG154="",AI154=""),"Penalidades",IF(SUM(H154,Y154)&gt;SUM(J154,W154),F154,IF(SUM(J154,W154)&gt;SUM(H154,Y154),K154,IF(Q154=F154,F154,IF(Q154=K154,K154,IF(SUM(H154,J154,W154,Y154,AG154,AI154)=0,"Venc. Jogo 77",IF(AG154&gt;AI154,F154,IF(AI154&gt;AG154,K154,IF(AG154=AI154,"Venc. Jogo 77","Erro Recoloque os Resultados"))))))))))</f>
        <v>Venc. Jogo 77</v>
      </c>
      <c r="G182" s="75"/>
      <c r="H182" s="23"/>
      <c r="I182" s="29"/>
      <c r="J182" s="23"/>
      <c r="K182" s="75" t="str">
        <f>IF(OR(H155="",J155="",W155="",Y155=""),"Venc. Jogo 78",IF(AND(H155=W155,J155=Y155,AG155="",AI155=""),"Penalidades",IF(SUM(H155,Y155)&gt;SUM(J155,W155),F155,IF(SUM(J155,W155)&gt;SUM(H155,Y155),K155,IF(Q155=F155,F155,IF(Q155=K155,K155,IF(SUM(H155,J155,W155,Y155,AG155,AI155)=0,"Venc. Jogo 78",IF(AG155&gt;AI155,F155,IF(AI155&gt;AG155,K155,IF(AG155=AI155,"Venc. Jogo 78","Erro Recoloque os Resultados"))))))))))</f>
        <v>Venc. Jogo 78</v>
      </c>
      <c r="L182" s="75"/>
      <c r="M182" s="98"/>
      <c r="N182" s="98"/>
      <c r="S182" s="96"/>
      <c r="T182" s="96"/>
      <c r="U182" s="75"/>
      <c r="V182" s="75"/>
      <c r="W182" s="23"/>
      <c r="X182" s="29"/>
      <c r="Y182" s="23"/>
      <c r="Z182" s="75"/>
      <c r="AA182" s="75"/>
      <c r="AB182" s="75"/>
      <c r="AC182" s="75"/>
      <c r="AG182" s="73"/>
      <c r="AH182" s="74"/>
      <c r="AI182" s="73"/>
      <c r="AJ182" s="74"/>
    </row>
    <row r="183" spans="2:39">
      <c r="B183" s="24" t="s">
        <v>350</v>
      </c>
      <c r="D183" s="78" t="str">
        <f>IF(F183=F154,D154,IF(F183=F155,D155,IF(F183=U154,S154,IF(F183=U155,S155,"Estadio Indefinido"))))</f>
        <v>Estadio Indefinido</v>
      </c>
      <c r="E183" s="78"/>
      <c r="F183" s="78" t="str">
        <f>IF(J172="Erro",J172,IF(H172="C",F172,IF(H173="C",F173,F182)))</f>
        <v>Venc. Jogo 77</v>
      </c>
      <c r="G183" s="78"/>
      <c r="H183" s="35"/>
      <c r="I183" s="3" t="s">
        <v>1</v>
      </c>
      <c r="J183" s="35"/>
      <c r="K183" s="78" t="str">
        <f>IF(J173="Erro",J173,IF(H172="C",F173,IF(H173="C",F172,K182)))</f>
        <v>Venc. Jogo 78</v>
      </c>
      <c r="L183" s="78"/>
      <c r="M183" s="81" t="s">
        <v>313</v>
      </c>
      <c r="N183" s="81"/>
      <c r="O183" s="41" t="str">
        <f>IF(H183="","",IF(AND(H183=0,J183&gt;=2),K183,IF(AND(H183=1,J183&gt;=3),K183,IF(AND(H183=2,J183&gt;=4),K183,IF(AND(H183=3,J183&gt;=5),K183,IF(AND(H183=4,J183&gt;=6),K183,IF(AND(H183=5,J183&gt;=7),K183,IF(AND(H183=6,J183&gt;=8),K183,IF(AND(H183=7,J183&gt;=9),K183,IF(AND(H183=8,J183&gt;=10),K183,""))))))))))</f>
        <v/>
      </c>
      <c r="P183" s="27" t="str">
        <f>IF(OR(H181="",J181="",W181="",Y181="",Y183&gt;="0"),K196,"")</f>
        <v>Venc. Jogo 82</v>
      </c>
      <c r="Q183" s="41" t="b">
        <f>IF(SUM(H183,Y183)=SUM(J183,W183),IF(J183&gt;Y183,K183,IF(Y183&gt;J183,F183)))</f>
        <v>0</v>
      </c>
      <c r="S183" s="95" t="str">
        <f>IF(U183=F154,D154,IF(U183=F155,D155,IF(U183=U154,S154,IF(U183=U155,S155,"Estadio Indefinido"))))</f>
        <v>Estadio Indefinido</v>
      </c>
      <c r="T183" s="95"/>
      <c r="U183" s="78" t="str">
        <f>K183</f>
        <v>Venc. Jogo 78</v>
      </c>
      <c r="V183" s="78"/>
      <c r="W183" s="35"/>
      <c r="X183" s="3" t="s">
        <v>1</v>
      </c>
      <c r="Y183" s="35"/>
      <c r="Z183" s="78" t="str">
        <f>F183</f>
        <v>Venc. Jogo 77</v>
      </c>
      <c r="AA183" s="78"/>
      <c r="AB183" s="84" t="s">
        <v>313</v>
      </c>
      <c r="AC183" s="84"/>
      <c r="AG183" s="70"/>
      <c r="AH183" s="71"/>
      <c r="AI183" s="70"/>
      <c r="AJ183" s="71"/>
    </row>
    <row r="184" spans="2:39">
      <c r="F184" s="1" t="s">
        <v>373</v>
      </c>
    </row>
    <row r="185" spans="2:39">
      <c r="B185" s="76" t="s">
        <v>370</v>
      </c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</row>
    <row r="186" spans="2:39">
      <c r="AM186" s="20"/>
    </row>
    <row r="187" spans="2:39">
      <c r="F187" s="77" t="str">
        <f>IF(F194="Penalidades","Equipe 9",IF(F194="Venc. Jogo 79","Equipe 9",F194))</f>
        <v>Equipe 9</v>
      </c>
      <c r="G187" s="77"/>
      <c r="H187" s="38"/>
      <c r="I187" s="25"/>
      <c r="J187" s="41" t="str">
        <f>IF(AND(H187="C",H188="C"),"Erro",F187)</f>
        <v>Equipe 9</v>
      </c>
    </row>
    <row r="188" spans="2:39">
      <c r="F188" s="78" t="str">
        <f>IF(K194="Penalidades","Equipe 10",IF(K194="Venc. Jogo 80","Equipe 10",K194))</f>
        <v>Equipe 10</v>
      </c>
      <c r="G188" s="78"/>
      <c r="H188" s="35"/>
      <c r="I188" s="25"/>
      <c r="J188" s="41" t="str">
        <f>IF(AND(H187="C",H188="C"),"Erro",F188)</f>
        <v>Equipe 10</v>
      </c>
    </row>
    <row r="189" spans="2:39">
      <c r="F189" s="25"/>
      <c r="G189" s="25"/>
      <c r="H189" s="25"/>
      <c r="I189" s="25"/>
      <c r="J189" s="41"/>
    </row>
    <row r="190" spans="2:39">
      <c r="F190" s="78" t="str">
        <f>IF(F196="Penalidades","Equipe 11",IF(F196="Venc. Jogo 81","Equipe 11",F196))</f>
        <v>Equipe 11</v>
      </c>
      <c r="G190" s="78"/>
      <c r="H190" s="35"/>
      <c r="I190" s="25"/>
      <c r="J190" s="41" t="str">
        <f>IF(AND(H190="C",H191="C"),"Erro",F190)</f>
        <v>Equipe 11</v>
      </c>
    </row>
    <row r="191" spans="2:39">
      <c r="F191" s="78" t="str">
        <f>IF(K196="Penalidades","Equipe 12",IF(K196="Venc. Jogo 82","Equipe 12",K196))</f>
        <v>Equipe 12</v>
      </c>
      <c r="G191" s="78"/>
      <c r="H191" s="35"/>
      <c r="I191" s="25"/>
      <c r="J191" s="41" t="str">
        <f>IF(AND(H190="C",H191="C"),"Erro",F191)</f>
        <v>Equipe 12</v>
      </c>
    </row>
    <row r="193" spans="2:40">
      <c r="AG193" s="16"/>
      <c r="AH193" s="16"/>
      <c r="AI193" s="16"/>
      <c r="AJ193" s="10"/>
      <c r="AK193" s="1"/>
      <c r="AL193" s="1"/>
      <c r="AM193" s="1"/>
      <c r="AN193" s="1"/>
    </row>
    <row r="194" spans="2:40" ht="17.25" hidden="1" customHeight="1">
      <c r="D194" s="75"/>
      <c r="E194" s="75"/>
      <c r="F194" s="75" t="str">
        <f>IF(OR(H177="",J177="",W177="",Y177=""),"Venc. Jogo 79",IF(AND(H177=W177,J177=Y177,AG177="",AI177=""),"Penalidades",IF(SUM(H177,Y177)&gt;SUM(J177,W177),F177,IF(SUM(J177,W177)&gt;SUM(H177,Y177),K177,IF(Q177=F177,F177,IF(Q177=K177,K177,IF(SUM(H177,J177,W177,Y177,AG177,AI177)=0,"Venc. Jogo 79",IF(AG177&gt;AI177,F177,IF(AI177&gt;AG177,K177,IF(AG177=AI177,"Venc. Jogo 79","Erro Recoloque os Resultados"))))))))))</f>
        <v>Venc. Jogo 79</v>
      </c>
      <c r="G194" s="75"/>
      <c r="H194" s="25"/>
      <c r="I194" s="30"/>
      <c r="J194" s="25"/>
      <c r="K194" s="75" t="str">
        <f>IF(OR(H179="",J179="",W179="",Y179=""),"Venc. Jogo 80",IF(AND(H179=W179,J179=Y179,AG179="",AI179=""),"Penalidades",IF(SUM(H179,Y179)&gt;SUM(J179,W179),F179,IF(SUM(J179,W179)&gt;SUM(H179,Y179),K179,IF(Q179=F179,F179,IF(Q179=K179,K179,IF(SUM(H179,J179,W179,Y179,AG179,AI179)=0,"Venc. Jogo 80",IF(AG179&gt;AI179,F179,IF(AI179&gt;AG179,K179,IF(AG179=AI179,"Venc. Jogo 80","Erro Recoloque os Resultados"))))))))))</f>
        <v>Venc. Jogo 80</v>
      </c>
      <c r="L194" s="75"/>
      <c r="S194" s="96"/>
      <c r="T194" s="96"/>
      <c r="U194" s="75"/>
      <c r="V194" s="75"/>
      <c r="W194" s="25"/>
      <c r="X194" s="30"/>
      <c r="Y194" s="25"/>
      <c r="Z194" s="75"/>
      <c r="AA194" s="75"/>
      <c r="AG194" s="78"/>
      <c r="AH194" s="78"/>
      <c r="AI194" s="78"/>
      <c r="AJ194" s="78"/>
    </row>
    <row r="195" spans="2:40">
      <c r="B195" s="24" t="s">
        <v>351</v>
      </c>
      <c r="D195" s="73" t="str">
        <f>IF(F195=F177,D177,IF(F195=F179,D179,IF(F195=U177,S177,IF(F195=U179,S179,"Estadio Indefinido"))))</f>
        <v>Estadio Indefinido</v>
      </c>
      <c r="E195" s="74"/>
      <c r="F195" s="73" t="str">
        <f>IF(J187="Erro",J187,IF(H187="C",F187,IF(H188="C",F188,F194)))</f>
        <v>Venc. Jogo 79</v>
      </c>
      <c r="G195" s="74"/>
      <c r="H195" s="35"/>
      <c r="I195" s="3" t="s">
        <v>1</v>
      </c>
      <c r="J195" s="35"/>
      <c r="K195" s="73" t="str">
        <f>IF(J188="Erro",J188,IF(H187="C",F188,IF(H188="C",F187,K194)))</f>
        <v>Venc. Jogo 80</v>
      </c>
      <c r="L195" s="74"/>
      <c r="M195" s="81" t="s">
        <v>313</v>
      </c>
      <c r="N195" s="81"/>
      <c r="O195" s="41" t="str">
        <f>IF(H195="","",IF(AND(H195=0,J195&gt;=2),K195,IF(AND(H195=1,J195&gt;=3),K195,IF(AND(H195=2,J195&gt;=4),K195,IF(AND(H195=3,J195&gt;=5),K195,IF(AND(H195=4,J195&gt;=6),K195,IF(AND(H195=5,J195&gt;=7),K195,IF(AND(H195=6,J195&gt;=8),K195,IF(AND(H195=7,J195&gt;=9),K195,IF(AND(H195=8,J195&gt;=10),K195,""))))))))))</f>
        <v/>
      </c>
      <c r="P195" s="27" t="str">
        <f>IF(OR(H197="",J197="",W197="",Y197="",Y195&gt;="0"),F205,"")</f>
        <v>Venc. Jogo 83</v>
      </c>
      <c r="Q195" s="41" t="b">
        <f>IF(SUM(H195,Y195)=SUM(J195,W195),IF(J195&gt;Y195,K195,IF(Y195&gt;J195,F195)))</f>
        <v>0</v>
      </c>
      <c r="S195" s="82" t="str">
        <f>IF(U195=F177,D177,IF(U195=F179,D179,IF(U195=U177,S177,IF(U195=U179,S179,"Estadio Indefinido"))))</f>
        <v>Estadio Indefinido</v>
      </c>
      <c r="T195" s="83"/>
      <c r="U195" s="73" t="str">
        <f>K195</f>
        <v>Venc. Jogo 80</v>
      </c>
      <c r="V195" s="74"/>
      <c r="W195" s="35"/>
      <c r="X195" s="3" t="s">
        <v>1</v>
      </c>
      <c r="Y195" s="35"/>
      <c r="Z195" s="73" t="str">
        <f>F195</f>
        <v>Venc. Jogo 79</v>
      </c>
      <c r="AA195" s="74"/>
      <c r="AB195" s="84" t="s">
        <v>313</v>
      </c>
      <c r="AC195" s="84"/>
      <c r="AG195" s="70"/>
      <c r="AH195" s="71"/>
      <c r="AI195" s="70"/>
      <c r="AJ195" s="71"/>
    </row>
    <row r="196" spans="2:40" ht="15" hidden="1" customHeight="1">
      <c r="B196" s="24"/>
      <c r="D196" s="97"/>
      <c r="E196" s="97"/>
      <c r="F196" s="75" t="str">
        <f>IF(OR(H181="",J181="",W181="",Y181=""),"Venc. Jogo 81",IF(AND(H181=W181,J181=Y181,AG181="",AI181=""),"Penalidades",IF(SUM(H181,Y181)&gt;SUM(J181,W181),F181,IF(SUM(J181,W181)&gt;SUM(H181,Y181),K181,IF(Q181=F181,F181,IF(Q181=K181,K181,IF(SUM(H181,J181,W181,Y181,AG181,AI181)=0,"Venc. Jogo 81",IF(AG181&gt;AI181,F181,IF(AI181&gt;AG181,K181,IF(AG181=AI181,"Venc. Jogo 81","Erro Recoloque os Resultados"))))))))))</f>
        <v>Venc. Jogo 81</v>
      </c>
      <c r="G196" s="75"/>
      <c r="H196" s="25"/>
      <c r="I196" s="30"/>
      <c r="J196" s="25"/>
      <c r="K196" s="75" t="str">
        <f>IF(OR(H183="",J183="",W183="",Y183=""),"Venc. Jogo 82",IF(AND(H183=W183,J183=Y183,AG183="",AI183=""),"Penalidades",IF(SUM(H183,Y183)&gt;SUM(J183,W183),F183,IF(SUM(J183,W183)&gt;SUM(H183,Y183),K183,IF(Q183=F183,F183,IF(Q183=K183,K183,IF(SUM(H183,J183,W183,Y183,AG183,AI183)=0,"Venc. Jogo 82",IF(AG183&gt;AI183,F183,IF(AI183&gt;AG183,K183,IF(AG183=AI183,"Venc. Jogo 82","Erro Recoloque os Resultados"))))))))))</f>
        <v>Venc. Jogo 82</v>
      </c>
      <c r="L196" s="75"/>
      <c r="M196" s="98"/>
      <c r="N196" s="98"/>
      <c r="S196" s="96"/>
      <c r="T196" s="96"/>
      <c r="U196" s="75"/>
      <c r="V196" s="75"/>
      <c r="W196" s="25"/>
      <c r="X196" s="30"/>
      <c r="Y196" s="25"/>
      <c r="Z196" s="75"/>
      <c r="AA196" s="75"/>
      <c r="AB196" s="75"/>
      <c r="AC196" s="75"/>
      <c r="AG196" s="73"/>
      <c r="AH196" s="74"/>
      <c r="AI196" s="73"/>
      <c r="AJ196" s="74"/>
    </row>
    <row r="197" spans="2:40">
      <c r="B197" s="24" t="s">
        <v>352</v>
      </c>
      <c r="D197" s="73" t="str">
        <f>IF(F197=F181,D181,IF(F197=F183,D183,IF(F197=U181,S181,IF(F197=U183,S183,"Estadio Indefinido"))))</f>
        <v>Estadio Indefinido</v>
      </c>
      <c r="E197" s="74"/>
      <c r="F197" s="78" t="str">
        <f>IF(J190="Erro",J190,IF(H190="C",F190,IF(H191="C",F191,F196)))</f>
        <v>Venc. Jogo 81</v>
      </c>
      <c r="G197" s="78"/>
      <c r="H197" s="35"/>
      <c r="I197" s="3" t="s">
        <v>1</v>
      </c>
      <c r="J197" s="35"/>
      <c r="K197" s="78" t="str">
        <f>IF(J191="Erro",J191,IF(H190="C",F191,IF(H191="C",F190,K196)))</f>
        <v>Venc. Jogo 82</v>
      </c>
      <c r="L197" s="78"/>
      <c r="M197" s="81" t="s">
        <v>313</v>
      </c>
      <c r="N197" s="81"/>
      <c r="O197" s="41" t="str">
        <f>IF(H197="","",IF(AND(H197=0,J197&gt;=2),K197,IF(AND(H197=1,J197&gt;=3),K197,IF(AND(H197=2,J197&gt;=4),K197,IF(AND(H197=3,J197&gt;=5),K197,IF(AND(H197=4,J197&gt;=6),K197,IF(AND(H197=5,J197&gt;=7),K197,IF(AND(H197=6,J197&gt;=8),K197,IF(AND(H197=7,J197&gt;=9),K197,IF(AND(H197=8,J197&gt;=10),K197,""))))))))))</f>
        <v/>
      </c>
      <c r="P197" s="27" t="str">
        <f>IF(OR(H195="",J195="",W195="",Y195="",Y197&gt;="0"),K205,"")</f>
        <v>Venc. Jogo 84</v>
      </c>
      <c r="Q197" s="41" t="b">
        <f>IF(SUM(H197,Y197)=SUM(J197,W197),IF(J197&gt;Y197,K197,IF(Y197&gt;J197,F197)))</f>
        <v>0</v>
      </c>
      <c r="S197" s="95" t="str">
        <f>IF(U197=F181,D181,IF(U197=F183,D183,IF(U197=U181,S181,IF(U197=U183,S183,"Estadio Indefinido"))))</f>
        <v>Estadio Indefinido</v>
      </c>
      <c r="T197" s="95"/>
      <c r="U197" s="78" t="str">
        <f>K197</f>
        <v>Venc. Jogo 82</v>
      </c>
      <c r="V197" s="78"/>
      <c r="W197" s="35"/>
      <c r="X197" s="3" t="s">
        <v>1</v>
      </c>
      <c r="Y197" s="35"/>
      <c r="Z197" s="78" t="str">
        <f>F197</f>
        <v>Venc. Jogo 81</v>
      </c>
      <c r="AA197" s="78"/>
      <c r="AB197" s="84" t="s">
        <v>313</v>
      </c>
      <c r="AC197" s="84"/>
      <c r="AG197" s="70"/>
      <c r="AH197" s="71"/>
      <c r="AI197" s="70"/>
      <c r="AJ197" s="71"/>
    </row>
    <row r="198" spans="2:40">
      <c r="F198" s="75"/>
      <c r="G198" s="75"/>
    </row>
    <row r="199" spans="2:40" s="31" customFormat="1" ht="15" customHeight="1">
      <c r="B199" s="94" t="s">
        <v>371</v>
      </c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K199" s="32"/>
      <c r="AL199" s="32"/>
      <c r="AM199" s="32"/>
      <c r="AN199" s="33"/>
    </row>
    <row r="200" spans="2:40" ht="15" customHeight="1"/>
    <row r="201" spans="2:40">
      <c r="F201" s="77" t="str">
        <f>IF(F205="Penalidades","Finalista 1",IF(F205="Venc. Jogo 83","Finalista 1",F205))</f>
        <v>Finalista 1</v>
      </c>
      <c r="G201" s="77"/>
      <c r="H201" s="38"/>
      <c r="I201" s="25"/>
      <c r="J201" s="41" t="str">
        <f>IF(AND(H201="C",H202="C"),"Erro",F201)</f>
        <v>Finalista 1</v>
      </c>
    </row>
    <row r="202" spans="2:40">
      <c r="F202" s="78" t="str">
        <f>IF(K205="Penalidades","Finalista 2",IF(K205="Venc. Jogo 84","Finalista 2",K205))</f>
        <v>Finalista 2</v>
      </c>
      <c r="G202" s="78"/>
      <c r="H202" s="35"/>
      <c r="I202" s="25"/>
      <c r="J202" s="41" t="str">
        <f>IF(AND(H201="C",H202="C"),"Erro",F202)</f>
        <v>Finalista 2</v>
      </c>
    </row>
    <row r="205" spans="2:40" ht="18" hidden="1" customHeight="1">
      <c r="D205" s="79"/>
      <c r="E205" s="79"/>
      <c r="F205" s="79" t="str">
        <f>IF(OR(H195="",J195="",W195="",Y195=""),"Venc. Jogo 83",IF(AND(H195=W195,J195=Y195,AG195="",AI195=""),"Penalidades",IF(SUM(H195,Y195)&gt;SUM(J195,W195),F195,IF(SUM(J195,W195)&gt;SUM(H195,Y195),K195,IF(Q195=F195,F195,IF(Q195=K195,K195,IF(SUM(H195,J195,W195,Y195,AG195,AI195)=0,"Venc. Jogo 83",IF(AG195&gt;AI195,F195,IF(AI195&gt;AG195,K195,IF(AG195=AI195,"Venc. Jogo 83","Erro Recoloque os Resultados"))))))))))</f>
        <v>Venc. Jogo 83</v>
      </c>
      <c r="G205" s="79"/>
      <c r="K205" s="79" t="str">
        <f>IF(OR(H197="",J197="",W197="",Y197=""),"Venc. Jogo 84",IF(AND(H197=W197,J197=Y197,AG197="",AI197=""),"Penalidades",IF(SUM(H197,Y197)&gt;SUM(J197,W197),F197,IF(SUM(J197,W197)&gt;SUM(H197,Y197),K197,IF(Q197=F197,F197,IF(Q197=K197,K197,IF(SUM(H197,J197,W197,Y197,AG197,AI197)=0,"Venc. Jogo 84",IF(AG197&gt;AI197,F197,IF(AI197&gt;AG197,K197,IF(AG197=AI197,"Venc. Jogo 84","Erro Recoloque os Resultados"))))))))))</f>
        <v>Venc. Jogo 84</v>
      </c>
      <c r="L205" s="79"/>
      <c r="M205" s="80"/>
      <c r="N205" s="80"/>
      <c r="AG205" s="72" t="s">
        <v>221</v>
      </c>
      <c r="AH205" s="72"/>
      <c r="AI205" s="72" t="s">
        <v>222</v>
      </c>
      <c r="AJ205" s="72"/>
    </row>
    <row r="206" spans="2:40">
      <c r="B206" s="24" t="s">
        <v>356</v>
      </c>
      <c r="D206" s="73" t="str">
        <f>IF(F206=F195,D195,IF(F206=F197,D197,IF(F206=U195,S195,IF(F206=U197,S197,"Estadio Indefinido"))))</f>
        <v>Estadio Indefinido</v>
      </c>
      <c r="E206" s="74"/>
      <c r="F206" s="78" t="str">
        <f>IF(J201="Erro",J201,IF(H201="C",F201,IF(H202="C",F202,F205)))</f>
        <v>Venc. Jogo 83</v>
      </c>
      <c r="G206" s="78"/>
      <c r="H206" s="35"/>
      <c r="I206" s="3" t="s">
        <v>1</v>
      </c>
      <c r="J206" s="35"/>
      <c r="K206" s="73" t="str">
        <f>IF(J202="Erro",J202,IF(H201="C",F202,IF(H202="C",F201,K205)))</f>
        <v>Venc. Jogo 84</v>
      </c>
      <c r="L206" s="74"/>
      <c r="M206" s="81" t="s">
        <v>313</v>
      </c>
      <c r="N206" s="81"/>
      <c r="O206" s="41" t="str">
        <f>IF(H206="","",IF(AND(H206=0,J206&gt;=2),K206,IF(AND(H206=1,J206&gt;=3),K206,IF(AND(H206=2,J206&gt;=4),K206,IF(AND(H206=3,J206&gt;=5),K206,IF(AND(H206=4,J206&gt;=6),K206,IF(AND(H206=5,J206&gt;=7),K206,IF(AND(H206=6,J206&gt;=8),K206,IF(AND(H206=7,J206&gt;=9),K206,IF(AND(H206=8,J206&gt;=10),K206,""))))))))))</f>
        <v/>
      </c>
      <c r="Q206" s="41" t="b">
        <f>IF(SUM(H206,Y206)=SUM(J206,W206),IF(J206&gt;Y206,K206,IF(Y206&gt;J206,F206)))</f>
        <v>0</v>
      </c>
      <c r="S206" s="82" t="str">
        <f>IF(U206=F195,D195,IF(U206=F197,D197,IF(U206=U195,S195,IF(U206=U197,S197,"Estadio Indefinido"))))</f>
        <v>Estadio Indefinido</v>
      </c>
      <c r="T206" s="83"/>
      <c r="U206" s="73" t="str">
        <f>K206</f>
        <v>Venc. Jogo 84</v>
      </c>
      <c r="V206" s="74"/>
      <c r="W206" s="35"/>
      <c r="X206" s="3" t="s">
        <v>1</v>
      </c>
      <c r="Y206" s="35"/>
      <c r="Z206" s="73" t="str">
        <f>F206</f>
        <v>Venc. Jogo 83</v>
      </c>
      <c r="AA206" s="74"/>
      <c r="AB206" s="84" t="s">
        <v>313</v>
      </c>
      <c r="AC206" s="84"/>
      <c r="AG206" s="70"/>
      <c r="AH206" s="71"/>
      <c r="AI206" s="70"/>
      <c r="AJ206" s="71"/>
    </row>
    <row r="207" spans="2:40">
      <c r="F207" s="75"/>
      <c r="G207" s="75"/>
    </row>
    <row r="210" spans="2:36">
      <c r="K210" s="76" t="s">
        <v>372</v>
      </c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</row>
    <row r="212" spans="2:36">
      <c r="F212" s="77" t="str">
        <f>IF(F216="Penalidades","Perd. Jogo 83",IF(F216="Perd. Jogo 83","Perd. Jogo 83",F216))</f>
        <v>Perd. Jogo 83</v>
      </c>
      <c r="G212" s="77"/>
      <c r="H212" s="35"/>
      <c r="I212" s="25"/>
      <c r="J212" s="141" t="str">
        <f>IF(AND(H212="C",H213="C"),"Erro",F212)</f>
        <v>Perd. Jogo 83</v>
      </c>
    </row>
    <row r="213" spans="2:36">
      <c r="F213" s="78" t="str">
        <f>IF(K216="Penalidades","Perd. Jogo 84",IF(K216="Perd. Jogo 84","Perd. Jogo 84",K216))</f>
        <v>Perd. Jogo 84</v>
      </c>
      <c r="G213" s="78"/>
      <c r="H213" s="35"/>
      <c r="I213" s="25"/>
      <c r="J213" s="141" t="str">
        <f>IF(AND(H212="C",H213="C"),"Erro",F213)</f>
        <v>Perd. Jogo 84</v>
      </c>
    </row>
    <row r="216" spans="2:36" hidden="1">
      <c r="D216" s="79"/>
      <c r="E216" s="79"/>
      <c r="F216" s="79" t="str">
        <f>IF(F205=F195,K195,IF(F205=K195,F195,"Perd. Jogo 83"))</f>
        <v>Perd. Jogo 83</v>
      </c>
      <c r="G216" s="79"/>
      <c r="K216" s="79" t="str">
        <f>IF(K205=F197,K197,IF(K205=K197,F197,"Perd. Jogo 84"))</f>
        <v>Perd. Jogo 84</v>
      </c>
      <c r="L216" s="79"/>
      <c r="M216" s="80"/>
      <c r="N216" s="80"/>
      <c r="AG216" s="72" t="s">
        <v>221</v>
      </c>
      <c r="AH216" s="72"/>
      <c r="AI216" s="72" t="s">
        <v>222</v>
      </c>
      <c r="AJ216" s="72"/>
    </row>
    <row r="217" spans="2:36">
      <c r="B217" s="24" t="s">
        <v>357</v>
      </c>
      <c r="D217" s="73" t="str">
        <f>IF(F217=F195,D195,IF(F217=F197,D197,IF(F217=U195,S195,IF(F217=U197,S197,"Estadio Indefinido"))))</f>
        <v>Estadio Indefinido</v>
      </c>
      <c r="E217" s="74"/>
      <c r="F217" s="78" t="str">
        <f>IF(J212="Erro",J212,IF(H212="C",F212,IF(H213="C",F213,F216)))</f>
        <v>Perd. Jogo 83</v>
      </c>
      <c r="G217" s="78"/>
      <c r="H217" s="35"/>
      <c r="I217" s="3" t="s">
        <v>1</v>
      </c>
      <c r="J217" s="35"/>
      <c r="K217" s="73" t="str">
        <f>IF(J213="Erro",J213,IF(H212="C",F213,IF(H213="C",F212,K216)))</f>
        <v>Perd. Jogo 84</v>
      </c>
      <c r="L217" s="74"/>
      <c r="M217" s="81" t="s">
        <v>313</v>
      </c>
      <c r="N217" s="81"/>
      <c r="O217" s="41" t="str">
        <f>IF(H217="","",IF(AND(H217=0,J217&gt;=2),K217,IF(AND(H217=1,J217&gt;=3),K217,IF(AND(H217=2,J217&gt;=4),K217,IF(AND(H217=3,J217&gt;=5),K217,IF(AND(H217=4,J217&gt;=6),K217,IF(AND(H217=5,J217&gt;=7),K217,IF(AND(H217=6,J217&gt;=8),K217,IF(AND(H217=7,J217&gt;=9),K217,IF(AND(H217=8,J217&gt;=10),K217,""))))))))))</f>
        <v/>
      </c>
      <c r="Q217" s="41" t="b">
        <f>IF(SUM(H217,Y217)=SUM(J217,W217),IF(J217&gt;Y217,K217,IF(Y217&gt;J217,F217)))</f>
        <v>0</v>
      </c>
      <c r="S217" s="82" t="str">
        <f>IF(U217=F195,D195,IF(U217=F197,D197,IF(U217=U195,S195,IF(U217=U197,S197,"Estadio Indefinido"))))</f>
        <v>Estadio Indefinido</v>
      </c>
      <c r="T217" s="83"/>
      <c r="U217" s="73" t="str">
        <f>K217</f>
        <v>Perd. Jogo 84</v>
      </c>
      <c r="V217" s="74"/>
      <c r="W217" s="35"/>
      <c r="X217" s="3" t="s">
        <v>1</v>
      </c>
      <c r="Y217" s="35"/>
      <c r="Z217" s="73" t="str">
        <f>F217</f>
        <v>Perd. Jogo 83</v>
      </c>
      <c r="AA217" s="74"/>
      <c r="AB217" s="84" t="s">
        <v>313</v>
      </c>
      <c r="AC217" s="84"/>
      <c r="AG217" s="70"/>
      <c r="AH217" s="71"/>
      <c r="AI217" s="70"/>
      <c r="AJ217" s="71"/>
    </row>
    <row r="220" spans="2:36">
      <c r="K220" s="85" t="str">
        <f>IF(O206=K206,K206,IF(OR(H206="",J206="",W206="",Y206=""),"Campeão",IF(AND(H206=W206,J206=Y206,AG206="",AI206=""),"Penalidades",IF(SUM(H206,Y206)&gt;SUM(J206,W206),F206,IF(SUM(J206,W206)&gt;SUM(H206,Y206),K206,IF(Q206=F206,F206,IF(O206=K206,K206,IF(SUM(H206,J206,W206,Y206,AG206,AI206)=0,"Campeão",IF(AG206&gt;AI206,F206,IF(AI206&gt;AG206,K206,IF(AG206=AI206,"Campeão","Erro Recoloque os Resultados")))))))))))</f>
        <v>Campeão</v>
      </c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7"/>
    </row>
    <row r="221" spans="2:36">
      <c r="K221" s="88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90"/>
    </row>
    <row r="222" spans="2:36">
      <c r="K222" s="88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90"/>
    </row>
    <row r="223" spans="2:36">
      <c r="K223" s="88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90"/>
    </row>
    <row r="224" spans="2:36">
      <c r="K224" s="91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3"/>
    </row>
    <row r="226" spans="6:27">
      <c r="F226" s="69" t="str">
        <f>IF(K220=F206,K206,IF(K220=K206,F206,"2º Colocado"))</f>
        <v>2º Colocado</v>
      </c>
      <c r="G226" s="69"/>
      <c r="H226" s="69"/>
      <c r="I226" s="69"/>
      <c r="J226" s="69"/>
      <c r="K226" s="69"/>
      <c r="L226" s="69"/>
      <c r="M226" s="69"/>
      <c r="N226" s="69"/>
      <c r="S226" s="69" t="str">
        <f>IF(O217=K217,K217,IF(OR(H217="",J217="",W217="",Y217=""),"3º Colocado",IF(AND(H217=W217,J217=Y217,AG217="",AI217=""),"Penalidades",IF(SUM(H217,Y217)&gt;SUM(J217,W217),F217,IF(SUM(J217,W217)&gt;SUM(H217,Y217),K217,IF(Q217=F217,F217,IF(O217=K217,K217,IF(SUM(H217,J217,W217,Y217,AG217,AI217)=0,"3º Colocado",IF(AG217&gt;AI217,F217,IF(AI217&gt;AG217,K217,IF(AG217=AI217,"3ºColocado","Erro Recoloque os Resultados")))))))))))</f>
        <v>3º Colocado</v>
      </c>
      <c r="T226" s="69"/>
      <c r="U226" s="69"/>
      <c r="V226" s="69"/>
      <c r="W226" s="69"/>
      <c r="X226" s="69"/>
      <c r="Y226" s="69"/>
      <c r="Z226" s="69"/>
      <c r="AA226" s="69"/>
    </row>
    <row r="227" spans="6:27">
      <c r="F227" s="69"/>
      <c r="G227" s="69"/>
      <c r="H227" s="69"/>
      <c r="I227" s="69"/>
      <c r="J227" s="69"/>
      <c r="K227" s="69"/>
      <c r="L227" s="69"/>
      <c r="M227" s="69"/>
      <c r="N227" s="69"/>
      <c r="S227" s="69"/>
      <c r="T227" s="69"/>
      <c r="U227" s="69"/>
      <c r="V227" s="69"/>
      <c r="W227" s="69"/>
      <c r="X227" s="69"/>
      <c r="Y227" s="69"/>
      <c r="Z227" s="69"/>
      <c r="AA227" s="69"/>
    </row>
    <row r="228" spans="6:27">
      <c r="F228" s="69"/>
      <c r="G228" s="69"/>
      <c r="H228" s="69"/>
      <c r="I228" s="69"/>
      <c r="J228" s="69"/>
      <c r="K228" s="69"/>
      <c r="L228" s="69"/>
      <c r="M228" s="69"/>
      <c r="N228" s="69"/>
      <c r="S228" s="69"/>
      <c r="T228" s="69"/>
      <c r="U228" s="69"/>
      <c r="V228" s="69"/>
      <c r="W228" s="69"/>
      <c r="X228" s="69"/>
      <c r="Y228" s="69"/>
      <c r="Z228" s="69"/>
      <c r="AA228" s="69"/>
    </row>
    <row r="229" spans="6:27">
      <c r="F229" s="69"/>
      <c r="G229" s="69"/>
      <c r="H229" s="69"/>
      <c r="I229" s="69"/>
      <c r="J229" s="69"/>
      <c r="K229" s="69"/>
      <c r="L229" s="69"/>
      <c r="M229" s="69"/>
      <c r="N229" s="69"/>
      <c r="S229" s="69"/>
      <c r="T229" s="69"/>
      <c r="U229" s="69"/>
      <c r="V229" s="69"/>
      <c r="W229" s="69"/>
      <c r="X229" s="69"/>
      <c r="Y229" s="69"/>
      <c r="Z229" s="69"/>
      <c r="AA229" s="69"/>
    </row>
  </sheetData>
  <sheetProtection password="8417" sheet="1" objects="1" scenarios="1" selectLockedCells="1"/>
  <mergeCells count="1265">
    <mergeCell ref="B121:AJ121"/>
    <mergeCell ref="B98:AJ98"/>
    <mergeCell ref="B55:AJ55"/>
    <mergeCell ref="D12:AJ12"/>
    <mergeCell ref="D8:AJ8"/>
    <mergeCell ref="B157:AJ157"/>
    <mergeCell ref="AG181:AH181"/>
    <mergeCell ref="AG182:AH182"/>
    <mergeCell ref="AI148:AJ148"/>
    <mergeCell ref="AI149:AJ149"/>
    <mergeCell ref="AI150:AJ150"/>
    <mergeCell ref="AI151:AJ151"/>
    <mergeCell ref="AI152:AJ152"/>
    <mergeCell ref="AI153:AJ153"/>
    <mergeCell ref="AI154:AJ154"/>
    <mergeCell ref="AI155:AJ155"/>
    <mergeCell ref="K159:V161"/>
    <mergeCell ref="F174:G174"/>
    <mergeCell ref="F170:G170"/>
    <mergeCell ref="F169:G169"/>
    <mergeCell ref="F167:G167"/>
    <mergeCell ref="F166:G166"/>
    <mergeCell ref="F164:G164"/>
    <mergeCell ref="F163:G163"/>
    <mergeCell ref="F173:G173"/>
    <mergeCell ref="F172:G172"/>
    <mergeCell ref="U180:V180"/>
    <mergeCell ref="Z180:AA180"/>
    <mergeCell ref="AB180:AC180"/>
    <mergeCell ref="S181:T181"/>
    <mergeCell ref="U181:V181"/>
    <mergeCell ref="Z181:AA181"/>
    <mergeCell ref="AB181:AC181"/>
    <mergeCell ref="S182:T182"/>
    <mergeCell ref="U182:V182"/>
    <mergeCell ref="Z182:AA182"/>
    <mergeCell ref="S177:T177"/>
    <mergeCell ref="S178:T178"/>
    <mergeCell ref="S179:T179"/>
    <mergeCell ref="S180:T180"/>
    <mergeCell ref="AG148:AH148"/>
    <mergeCell ref="AG149:AH149"/>
    <mergeCell ref="AG150:AH150"/>
    <mergeCell ref="AG151:AH151"/>
    <mergeCell ref="AG152:AH152"/>
    <mergeCell ref="AG153:AH153"/>
    <mergeCell ref="AG154:AH154"/>
    <mergeCell ref="AG155:AH155"/>
    <mergeCell ref="AG156:AH156"/>
    <mergeCell ref="AG175:AH175"/>
    <mergeCell ref="AG177:AH177"/>
    <mergeCell ref="AG178:AH178"/>
    <mergeCell ref="AG179:AH179"/>
    <mergeCell ref="AG180:AH180"/>
    <mergeCell ref="Z177:AA177"/>
    <mergeCell ref="AB177:AC177"/>
    <mergeCell ref="U178:V178"/>
    <mergeCell ref="Z178:AA178"/>
    <mergeCell ref="AB178:AC178"/>
    <mergeCell ref="U179:V179"/>
    <mergeCell ref="Z179:AA179"/>
    <mergeCell ref="AB179:AC179"/>
    <mergeCell ref="U151:V151"/>
    <mergeCell ref="U152:V152"/>
    <mergeCell ref="U153:V153"/>
    <mergeCell ref="U154:V154"/>
    <mergeCell ref="AB182:AC182"/>
    <mergeCell ref="S183:T183"/>
    <mergeCell ref="U183:V183"/>
    <mergeCell ref="Z183:AA183"/>
    <mergeCell ref="AB183:AC183"/>
    <mergeCell ref="K175:L175"/>
    <mergeCell ref="F175:G175"/>
    <mergeCell ref="D180:E180"/>
    <mergeCell ref="F180:G180"/>
    <mergeCell ref="K180:L180"/>
    <mergeCell ref="M180:N180"/>
    <mergeCell ref="D181:E181"/>
    <mergeCell ref="F181:G181"/>
    <mergeCell ref="K181:L181"/>
    <mergeCell ref="M181:N181"/>
    <mergeCell ref="D182:E182"/>
    <mergeCell ref="F182:G182"/>
    <mergeCell ref="K182:L182"/>
    <mergeCell ref="M182:N182"/>
    <mergeCell ref="D183:E183"/>
    <mergeCell ref="F183:G183"/>
    <mergeCell ref="K183:L183"/>
    <mergeCell ref="M183:N183"/>
    <mergeCell ref="S176:T176"/>
    <mergeCell ref="D177:E177"/>
    <mergeCell ref="F177:G177"/>
    <mergeCell ref="K177:L177"/>
    <mergeCell ref="M177:N177"/>
    <mergeCell ref="D178:E178"/>
    <mergeCell ref="F178:G178"/>
    <mergeCell ref="K178:L178"/>
    <mergeCell ref="M178:N178"/>
    <mergeCell ref="S117:T117"/>
    <mergeCell ref="U117:V117"/>
    <mergeCell ref="Z117:AA117"/>
    <mergeCell ref="AB117:AC117"/>
    <mergeCell ref="F118:G118"/>
    <mergeCell ref="F119:G119"/>
    <mergeCell ref="D120:E120"/>
    <mergeCell ref="S118:T118"/>
    <mergeCell ref="S116:T116"/>
    <mergeCell ref="D176:E176"/>
    <mergeCell ref="F176:G176"/>
    <mergeCell ref="K176:L176"/>
    <mergeCell ref="M176:N176"/>
    <mergeCell ref="U176:V176"/>
    <mergeCell ref="Z176:AA176"/>
    <mergeCell ref="AB176:AC176"/>
    <mergeCell ref="F140:G140"/>
    <mergeCell ref="F134:G134"/>
    <mergeCell ref="F135:G135"/>
    <mergeCell ref="F139:G139"/>
    <mergeCell ref="F137:G137"/>
    <mergeCell ref="F144:G144"/>
    <mergeCell ref="F142:G142"/>
    <mergeCell ref="F141:G141"/>
    <mergeCell ref="F143:G143"/>
    <mergeCell ref="F136:G136"/>
    <mergeCell ref="F138:G138"/>
    <mergeCell ref="F133:G133"/>
    <mergeCell ref="F132:G132"/>
    <mergeCell ref="F130:G130"/>
    <mergeCell ref="S115:T115"/>
    <mergeCell ref="U115:V115"/>
    <mergeCell ref="Z115:AA115"/>
    <mergeCell ref="F120:G120"/>
    <mergeCell ref="AB119:AC119"/>
    <mergeCell ref="U99:V99"/>
    <mergeCell ref="S99:T99"/>
    <mergeCell ref="M99:N99"/>
    <mergeCell ref="K99:L99"/>
    <mergeCell ref="F99:G99"/>
    <mergeCell ref="D99:E99"/>
    <mergeCell ref="AB99:AC99"/>
    <mergeCell ref="Z99:AA99"/>
    <mergeCell ref="F100:G100"/>
    <mergeCell ref="K100:L100"/>
    <mergeCell ref="D118:E118"/>
    <mergeCell ref="K118:L118"/>
    <mergeCell ref="M118:N118"/>
    <mergeCell ref="D119:E119"/>
    <mergeCell ref="K119:L119"/>
    <mergeCell ref="M119:N119"/>
    <mergeCell ref="S119:T119"/>
    <mergeCell ref="S109:T109"/>
    <mergeCell ref="U109:V109"/>
    <mergeCell ref="Z109:AA109"/>
    <mergeCell ref="AB109:AC109"/>
    <mergeCell ref="U119:V119"/>
    <mergeCell ref="Z119:AA119"/>
    <mergeCell ref="AB115:AC115"/>
    <mergeCell ref="D116:E116"/>
    <mergeCell ref="K116:L116"/>
    <mergeCell ref="S111:T111"/>
    <mergeCell ref="U111:V111"/>
    <mergeCell ref="Z111:AA111"/>
    <mergeCell ref="AB111:AC111"/>
    <mergeCell ref="D112:E112"/>
    <mergeCell ref="K112:L112"/>
    <mergeCell ref="M112:N112"/>
    <mergeCell ref="D113:E113"/>
    <mergeCell ref="K113:L113"/>
    <mergeCell ref="M113:N113"/>
    <mergeCell ref="S113:T113"/>
    <mergeCell ref="U113:V113"/>
    <mergeCell ref="Z113:AA113"/>
    <mergeCell ref="AB113:AC113"/>
    <mergeCell ref="K101:L101"/>
    <mergeCell ref="M101:N101"/>
    <mergeCell ref="S101:T101"/>
    <mergeCell ref="U101:V101"/>
    <mergeCell ref="D102:E102"/>
    <mergeCell ref="K102:L102"/>
    <mergeCell ref="M102:N102"/>
    <mergeCell ref="D103:E103"/>
    <mergeCell ref="K103:L103"/>
    <mergeCell ref="M103:N103"/>
    <mergeCell ref="S103:T103"/>
    <mergeCell ref="U103:V103"/>
    <mergeCell ref="Z107:AA107"/>
    <mergeCell ref="AB107:AC107"/>
    <mergeCell ref="D108:E108"/>
    <mergeCell ref="K108:L108"/>
    <mergeCell ref="M108:N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D110:E110"/>
    <mergeCell ref="K110:L110"/>
    <mergeCell ref="M110:N110"/>
    <mergeCell ref="D111:E111"/>
    <mergeCell ref="K111:L111"/>
    <mergeCell ref="M111:N111"/>
    <mergeCell ref="D109:E109"/>
    <mergeCell ref="K109:L109"/>
    <mergeCell ref="M109:N109"/>
    <mergeCell ref="M116:N116"/>
    <mergeCell ref="D117:E117"/>
    <mergeCell ref="K117:L117"/>
    <mergeCell ref="M117:N117"/>
    <mergeCell ref="D114:E114"/>
    <mergeCell ref="K114:L114"/>
    <mergeCell ref="M114:N114"/>
    <mergeCell ref="D115:E115"/>
    <mergeCell ref="K115:L115"/>
    <mergeCell ref="M115:N115"/>
    <mergeCell ref="F107:G107"/>
    <mergeCell ref="F108:G108"/>
    <mergeCell ref="Z101:AA101"/>
    <mergeCell ref="AB101:AC101"/>
    <mergeCell ref="Z103:AA103"/>
    <mergeCell ref="AB103:AC103"/>
    <mergeCell ref="U105:V105"/>
    <mergeCell ref="Z105:AA105"/>
    <mergeCell ref="AB105:AC105"/>
    <mergeCell ref="D106:E106"/>
    <mergeCell ref="K106:L106"/>
    <mergeCell ref="M106:N106"/>
    <mergeCell ref="D107:E107"/>
    <mergeCell ref="K107:L107"/>
    <mergeCell ref="M107:N107"/>
    <mergeCell ref="S107:T107"/>
    <mergeCell ref="U107:V107"/>
    <mergeCell ref="D104:E104"/>
    <mergeCell ref="K104:L104"/>
    <mergeCell ref="M104:N104"/>
    <mergeCell ref="D105:E105"/>
    <mergeCell ref="K105:L105"/>
    <mergeCell ref="M105:N105"/>
    <mergeCell ref="S105:T105"/>
    <mergeCell ref="D101:E101"/>
    <mergeCell ref="AI83:AJ83"/>
    <mergeCell ref="AG84:AH84"/>
    <mergeCell ref="AI84:AJ84"/>
    <mergeCell ref="AG85:AH85"/>
    <mergeCell ref="AI85:AJ85"/>
    <mergeCell ref="AG86:AH86"/>
    <mergeCell ref="AI86:AJ86"/>
    <mergeCell ref="AG77:AH77"/>
    <mergeCell ref="AI77:AJ77"/>
    <mergeCell ref="AG78:AH78"/>
    <mergeCell ref="AI78:AJ78"/>
    <mergeCell ref="F101:G101"/>
    <mergeCell ref="F102:G102"/>
    <mergeCell ref="F103:G103"/>
    <mergeCell ref="F104:G104"/>
    <mergeCell ref="F105:G105"/>
    <mergeCell ref="F106:G106"/>
    <mergeCell ref="S94:T94"/>
    <mergeCell ref="U94:V94"/>
    <mergeCell ref="Z94:AA94"/>
    <mergeCell ref="AB94:AC94"/>
    <mergeCell ref="S91:T91"/>
    <mergeCell ref="U91:V91"/>
    <mergeCell ref="Z91:AA91"/>
    <mergeCell ref="AB91:AC91"/>
    <mergeCell ref="S92:T92"/>
    <mergeCell ref="U92:V92"/>
    <mergeCell ref="Z92:AA92"/>
    <mergeCell ref="AB92:AC92"/>
    <mergeCell ref="S93:T93"/>
    <mergeCell ref="U93:V93"/>
    <mergeCell ref="Z93:AA93"/>
    <mergeCell ref="AG95:AH95"/>
    <mergeCell ref="AI95:AJ95"/>
    <mergeCell ref="AG96:AH96"/>
    <mergeCell ref="AI96:AJ96"/>
    <mergeCell ref="AG87:AH87"/>
    <mergeCell ref="AI87:AJ87"/>
    <mergeCell ref="AG88:AH88"/>
    <mergeCell ref="AI88:AJ88"/>
    <mergeCell ref="AG89:AH89"/>
    <mergeCell ref="AI89:AJ89"/>
    <mergeCell ref="AG90:AH90"/>
    <mergeCell ref="AI90:AJ90"/>
    <mergeCell ref="AG91:AH91"/>
    <mergeCell ref="AI91:AJ91"/>
    <mergeCell ref="AG92:AH92"/>
    <mergeCell ref="AI92:AJ92"/>
    <mergeCell ref="AG93:AH93"/>
    <mergeCell ref="AI93:AJ93"/>
    <mergeCell ref="AG94:AH94"/>
    <mergeCell ref="AI94:AJ94"/>
    <mergeCell ref="AG58:AH58"/>
    <mergeCell ref="AI58:AJ58"/>
    <mergeCell ref="AG59:AH59"/>
    <mergeCell ref="AI59:AJ59"/>
    <mergeCell ref="AG60:AH60"/>
    <mergeCell ref="AI60:AJ60"/>
    <mergeCell ref="AG61:AH61"/>
    <mergeCell ref="AI61:AJ61"/>
    <mergeCell ref="AG62:AH62"/>
    <mergeCell ref="AI62:AJ62"/>
    <mergeCell ref="AG67:AH67"/>
    <mergeCell ref="AI67:AJ67"/>
    <mergeCell ref="AG68:AH68"/>
    <mergeCell ref="AI68:AJ68"/>
    <mergeCell ref="AG69:AH69"/>
    <mergeCell ref="AI69:AJ69"/>
    <mergeCell ref="AG70:AH70"/>
    <mergeCell ref="AI70:AJ70"/>
    <mergeCell ref="AG63:AH63"/>
    <mergeCell ref="AI63:AJ63"/>
    <mergeCell ref="AG64:AH64"/>
    <mergeCell ref="AI64:AJ64"/>
    <mergeCell ref="AG65:AH65"/>
    <mergeCell ref="AI65:AJ65"/>
    <mergeCell ref="AG66:AH66"/>
    <mergeCell ref="AI66:AJ66"/>
    <mergeCell ref="AG71:AH71"/>
    <mergeCell ref="U82:V82"/>
    <mergeCell ref="Z82:AA82"/>
    <mergeCell ref="AB82:AC82"/>
    <mergeCell ref="S83:T83"/>
    <mergeCell ref="U83:V83"/>
    <mergeCell ref="Z83:AA83"/>
    <mergeCell ref="AB83:AC83"/>
    <mergeCell ref="AG72:AH72"/>
    <mergeCell ref="AI71:AJ71"/>
    <mergeCell ref="AG79:AH79"/>
    <mergeCell ref="AI79:AJ79"/>
    <mergeCell ref="AG80:AH80"/>
    <mergeCell ref="AI80:AJ80"/>
    <mergeCell ref="AG81:AH81"/>
    <mergeCell ref="AI81:AJ81"/>
    <mergeCell ref="S89:T89"/>
    <mergeCell ref="U89:V89"/>
    <mergeCell ref="Z89:AA89"/>
    <mergeCell ref="AB89:AC89"/>
    <mergeCell ref="AI72:AJ72"/>
    <mergeCell ref="AG73:AH73"/>
    <mergeCell ref="AI73:AJ73"/>
    <mergeCell ref="AG74:AH74"/>
    <mergeCell ref="AI74:AJ74"/>
    <mergeCell ref="AG75:AH75"/>
    <mergeCell ref="AI75:AJ75"/>
    <mergeCell ref="AG76:AH76"/>
    <mergeCell ref="AI76:AJ76"/>
    <mergeCell ref="AG82:AH82"/>
    <mergeCell ref="AI82:AJ82"/>
    <mergeCell ref="AG83:AH83"/>
    <mergeCell ref="S95:T95"/>
    <mergeCell ref="U95:V95"/>
    <mergeCell ref="Z95:AA95"/>
    <mergeCell ref="AB95:AC95"/>
    <mergeCell ref="S79:T79"/>
    <mergeCell ref="U79:V79"/>
    <mergeCell ref="Z79:AA79"/>
    <mergeCell ref="AB79:AC79"/>
    <mergeCell ref="S80:T80"/>
    <mergeCell ref="U80:V80"/>
    <mergeCell ref="Z80:AA80"/>
    <mergeCell ref="AB80:AC80"/>
    <mergeCell ref="S81:T81"/>
    <mergeCell ref="U81:V81"/>
    <mergeCell ref="Z81:AA81"/>
    <mergeCell ref="AB81:AC81"/>
    <mergeCell ref="S82:T82"/>
    <mergeCell ref="AB93:AC93"/>
    <mergeCell ref="S90:T90"/>
    <mergeCell ref="U90:V90"/>
    <mergeCell ref="Z90:AA90"/>
    <mergeCell ref="AB90:AC90"/>
    <mergeCell ref="D96:E96"/>
    <mergeCell ref="F96:G96"/>
    <mergeCell ref="K96:L96"/>
    <mergeCell ref="M96:N96"/>
    <mergeCell ref="S96:T96"/>
    <mergeCell ref="U96:V96"/>
    <mergeCell ref="Z96:AA96"/>
    <mergeCell ref="AB96:AC96"/>
    <mergeCell ref="S84:T84"/>
    <mergeCell ref="U84:V84"/>
    <mergeCell ref="Z84:AA84"/>
    <mergeCell ref="AB84:AC84"/>
    <mergeCell ref="S85:T85"/>
    <mergeCell ref="U85:V85"/>
    <mergeCell ref="Z85:AA85"/>
    <mergeCell ref="AB85:AC85"/>
    <mergeCell ref="S86:T86"/>
    <mergeCell ref="U86:V86"/>
    <mergeCell ref="Z86:AA86"/>
    <mergeCell ref="AB86:AC86"/>
    <mergeCell ref="S87:T87"/>
    <mergeCell ref="U87:V87"/>
    <mergeCell ref="Z87:AA87"/>
    <mergeCell ref="AB87:AC87"/>
    <mergeCell ref="S88:T88"/>
    <mergeCell ref="U88:V88"/>
    <mergeCell ref="Z88:AA88"/>
    <mergeCell ref="AB88:AC88"/>
    <mergeCell ref="D89:E89"/>
    <mergeCell ref="F89:G89"/>
    <mergeCell ref="K89:L89"/>
    <mergeCell ref="M89:N89"/>
    <mergeCell ref="D90:E90"/>
    <mergeCell ref="F90:G90"/>
    <mergeCell ref="K90:L90"/>
    <mergeCell ref="M90:N90"/>
    <mergeCell ref="D94:E94"/>
    <mergeCell ref="F94:G94"/>
    <mergeCell ref="K94:L94"/>
    <mergeCell ref="M94:N94"/>
    <mergeCell ref="D95:E95"/>
    <mergeCell ref="F95:G95"/>
    <mergeCell ref="K95:L95"/>
    <mergeCell ref="M95:N95"/>
    <mergeCell ref="D91:E91"/>
    <mergeCell ref="F91:G91"/>
    <mergeCell ref="K91:L91"/>
    <mergeCell ref="M91:N91"/>
    <mergeCell ref="D92:E92"/>
    <mergeCell ref="F92:G92"/>
    <mergeCell ref="K92:L92"/>
    <mergeCell ref="M92:N92"/>
    <mergeCell ref="D93:E93"/>
    <mergeCell ref="F93:G93"/>
    <mergeCell ref="K93:L93"/>
    <mergeCell ref="M93:N93"/>
    <mergeCell ref="D84:E84"/>
    <mergeCell ref="F84:G84"/>
    <mergeCell ref="K84:L84"/>
    <mergeCell ref="M84:N84"/>
    <mergeCell ref="D85:E85"/>
    <mergeCell ref="F85:G85"/>
    <mergeCell ref="K85:L85"/>
    <mergeCell ref="M85:N85"/>
    <mergeCell ref="D86:E86"/>
    <mergeCell ref="F86:G86"/>
    <mergeCell ref="K86:L86"/>
    <mergeCell ref="M86:N86"/>
    <mergeCell ref="D87:E87"/>
    <mergeCell ref="F87:G87"/>
    <mergeCell ref="K87:L87"/>
    <mergeCell ref="M87:N87"/>
    <mergeCell ref="D88:E88"/>
    <mergeCell ref="F88:G88"/>
    <mergeCell ref="K88:L88"/>
    <mergeCell ref="M88:N88"/>
    <mergeCell ref="M79:N79"/>
    <mergeCell ref="D80:E80"/>
    <mergeCell ref="F80:G80"/>
    <mergeCell ref="K80:L80"/>
    <mergeCell ref="M80:N80"/>
    <mergeCell ref="D81:E81"/>
    <mergeCell ref="F81:G81"/>
    <mergeCell ref="K81:L81"/>
    <mergeCell ref="M81:N81"/>
    <mergeCell ref="D82:E82"/>
    <mergeCell ref="F82:G82"/>
    <mergeCell ref="K82:L82"/>
    <mergeCell ref="M82:N82"/>
    <mergeCell ref="D83:E83"/>
    <mergeCell ref="F83:G83"/>
    <mergeCell ref="K83:L83"/>
    <mergeCell ref="M83:N83"/>
    <mergeCell ref="AG48:AH48"/>
    <mergeCell ref="AI48:AJ48"/>
    <mergeCell ref="AG49:AH49"/>
    <mergeCell ref="AI49:AJ49"/>
    <mergeCell ref="AG50:AH50"/>
    <mergeCell ref="AI50:AJ50"/>
    <mergeCell ref="AG51:AH51"/>
    <mergeCell ref="AI51:AJ51"/>
    <mergeCell ref="AG52:AH52"/>
    <mergeCell ref="AI52:AJ52"/>
    <mergeCell ref="AG53:AH53"/>
    <mergeCell ref="AI53:AJ53"/>
    <mergeCell ref="D78:E78"/>
    <mergeCell ref="F78:G78"/>
    <mergeCell ref="K78:L78"/>
    <mergeCell ref="M78:N78"/>
    <mergeCell ref="S78:T78"/>
    <mergeCell ref="U78:V78"/>
    <mergeCell ref="Z78:AA78"/>
    <mergeCell ref="AB78:AC78"/>
    <mergeCell ref="K57:L57"/>
    <mergeCell ref="D77:E77"/>
    <mergeCell ref="F77:G77"/>
    <mergeCell ref="K77:L77"/>
    <mergeCell ref="M77:N77"/>
    <mergeCell ref="S74:T74"/>
    <mergeCell ref="U74:V74"/>
    <mergeCell ref="Z74:AA74"/>
    <mergeCell ref="AB74:AC74"/>
    <mergeCell ref="D71:E71"/>
    <mergeCell ref="F71:G71"/>
    <mergeCell ref="K71:L71"/>
    <mergeCell ref="AG39:AH39"/>
    <mergeCell ref="AI39:AJ39"/>
    <mergeCell ref="AG40:AH40"/>
    <mergeCell ref="AI40:AJ40"/>
    <mergeCell ref="AG41:AH41"/>
    <mergeCell ref="AI41:AJ41"/>
    <mergeCell ref="AG42:AH42"/>
    <mergeCell ref="AI42:AJ42"/>
    <mergeCell ref="AG43:AH43"/>
    <mergeCell ref="AI43:AJ43"/>
    <mergeCell ref="AG44:AH44"/>
    <mergeCell ref="AI44:AJ44"/>
    <mergeCell ref="AG45:AH45"/>
    <mergeCell ref="AI45:AJ45"/>
    <mergeCell ref="AG46:AH46"/>
    <mergeCell ref="AI46:AJ46"/>
    <mergeCell ref="AG47:AH47"/>
    <mergeCell ref="AI47:AJ47"/>
    <mergeCell ref="AI13:AJ13"/>
    <mergeCell ref="AG13:AH13"/>
    <mergeCell ref="AI11:AJ11"/>
    <mergeCell ref="AG11:AH11"/>
    <mergeCell ref="AG15:AH15"/>
    <mergeCell ref="AI15:AJ15"/>
    <mergeCell ref="AG16:AH16"/>
    <mergeCell ref="AI16:AJ16"/>
    <mergeCell ref="AI14:AJ14"/>
    <mergeCell ref="AG14:AH14"/>
    <mergeCell ref="AG24:AH24"/>
    <mergeCell ref="AI24:AJ24"/>
    <mergeCell ref="AG25:AH25"/>
    <mergeCell ref="AI25:AJ25"/>
    <mergeCell ref="AG26:AH26"/>
    <mergeCell ref="AI26:AJ26"/>
    <mergeCell ref="U76:V76"/>
    <mergeCell ref="Z76:AA76"/>
    <mergeCell ref="AB76:AC76"/>
    <mergeCell ref="U64:V64"/>
    <mergeCell ref="Z64:AA64"/>
    <mergeCell ref="AB64:AC64"/>
    <mergeCell ref="AB14:AC14"/>
    <mergeCell ref="Z15:AA15"/>
    <mergeCell ref="AB15:AC15"/>
    <mergeCell ref="Z21:AA21"/>
    <mergeCell ref="AB21:AC21"/>
    <mergeCell ref="Z25:AA25"/>
    <mergeCell ref="AB25:AC25"/>
    <mergeCell ref="Z29:AA29"/>
    <mergeCell ref="AB29:AC29"/>
    <mergeCell ref="Z37:AA37"/>
    <mergeCell ref="D73:E73"/>
    <mergeCell ref="F73:G73"/>
    <mergeCell ref="K73:L73"/>
    <mergeCell ref="M73:N73"/>
    <mergeCell ref="D74:E74"/>
    <mergeCell ref="F74:G74"/>
    <mergeCell ref="K74:L74"/>
    <mergeCell ref="M74:N74"/>
    <mergeCell ref="AG17:AH17"/>
    <mergeCell ref="AI17:AJ17"/>
    <mergeCell ref="AG18:AH18"/>
    <mergeCell ref="AI18:AJ18"/>
    <mergeCell ref="AG19:AH19"/>
    <mergeCell ref="AI19:AJ19"/>
    <mergeCell ref="AG20:AH20"/>
    <mergeCell ref="AI20:AJ20"/>
    <mergeCell ref="AG21:AH21"/>
    <mergeCell ref="AI21:AJ21"/>
    <mergeCell ref="AG27:AH27"/>
    <mergeCell ref="AI27:AJ27"/>
    <mergeCell ref="AG28:AH28"/>
    <mergeCell ref="AI28:AJ28"/>
    <mergeCell ref="AG29:AH29"/>
    <mergeCell ref="AI29:AJ29"/>
    <mergeCell ref="AG30:AH30"/>
    <mergeCell ref="AI30:AJ30"/>
    <mergeCell ref="AG31:AH31"/>
    <mergeCell ref="AI31:AJ31"/>
    <mergeCell ref="AG32:AH32"/>
    <mergeCell ref="U72:V72"/>
    <mergeCell ref="Z72:AA72"/>
    <mergeCell ref="AB72:AC72"/>
    <mergeCell ref="D69:E69"/>
    <mergeCell ref="F69:G69"/>
    <mergeCell ref="K69:L69"/>
    <mergeCell ref="M69:N69"/>
    <mergeCell ref="D70:E70"/>
    <mergeCell ref="F70:G70"/>
    <mergeCell ref="K70:L70"/>
    <mergeCell ref="M70:N70"/>
    <mergeCell ref="S70:T70"/>
    <mergeCell ref="U70:V70"/>
    <mergeCell ref="Z70:AA70"/>
    <mergeCell ref="AB70:AC70"/>
    <mergeCell ref="AG22:AH22"/>
    <mergeCell ref="AI22:AJ22"/>
    <mergeCell ref="AG23:AH23"/>
    <mergeCell ref="AI23:AJ23"/>
    <mergeCell ref="AI32:AJ32"/>
    <mergeCell ref="AG33:AH33"/>
    <mergeCell ref="AI33:AJ33"/>
    <mergeCell ref="AG34:AH34"/>
    <mergeCell ref="AI34:AJ34"/>
    <mergeCell ref="AG35:AH35"/>
    <mergeCell ref="AI35:AJ35"/>
    <mergeCell ref="AG36:AH36"/>
    <mergeCell ref="AI36:AJ36"/>
    <mergeCell ref="AG37:AH37"/>
    <mergeCell ref="AI37:AJ37"/>
    <mergeCell ref="AG38:AH38"/>
    <mergeCell ref="AI38:AJ38"/>
    <mergeCell ref="U68:V68"/>
    <mergeCell ref="Z68:AA68"/>
    <mergeCell ref="AB68:AC68"/>
    <mergeCell ref="D65:E65"/>
    <mergeCell ref="F65:G65"/>
    <mergeCell ref="K65:L65"/>
    <mergeCell ref="M65:N65"/>
    <mergeCell ref="D66:E66"/>
    <mergeCell ref="F66:G66"/>
    <mergeCell ref="K66:L66"/>
    <mergeCell ref="M66:N66"/>
    <mergeCell ref="S66:T66"/>
    <mergeCell ref="U66:V66"/>
    <mergeCell ref="Z66:AA66"/>
    <mergeCell ref="AB66:AC66"/>
    <mergeCell ref="D67:E67"/>
    <mergeCell ref="F67:G67"/>
    <mergeCell ref="K67:L67"/>
    <mergeCell ref="M67:N67"/>
    <mergeCell ref="D68:E68"/>
    <mergeCell ref="F68:G68"/>
    <mergeCell ref="K68:L68"/>
    <mergeCell ref="M68:N68"/>
    <mergeCell ref="S68:T68"/>
    <mergeCell ref="D61:E61"/>
    <mergeCell ref="F61:G61"/>
    <mergeCell ref="K61:L61"/>
    <mergeCell ref="M61:N61"/>
    <mergeCell ref="D62:E62"/>
    <mergeCell ref="F62:G62"/>
    <mergeCell ref="K62:L62"/>
    <mergeCell ref="M62:N62"/>
    <mergeCell ref="S62:T62"/>
    <mergeCell ref="U62:V62"/>
    <mergeCell ref="Z62:AA62"/>
    <mergeCell ref="AB62:AC62"/>
    <mergeCell ref="D63:E63"/>
    <mergeCell ref="F63:G63"/>
    <mergeCell ref="K63:L63"/>
    <mergeCell ref="M63:N63"/>
    <mergeCell ref="D64:E64"/>
    <mergeCell ref="F64:G64"/>
    <mergeCell ref="K64:L64"/>
    <mergeCell ref="M64:N64"/>
    <mergeCell ref="S64:T64"/>
    <mergeCell ref="S63:T63"/>
    <mergeCell ref="S61:T61"/>
    <mergeCell ref="F56:G56"/>
    <mergeCell ref="K56:L56"/>
    <mergeCell ref="D56:E56"/>
    <mergeCell ref="M56:N56"/>
    <mergeCell ref="D59:E59"/>
    <mergeCell ref="F59:G59"/>
    <mergeCell ref="K59:L59"/>
    <mergeCell ref="M59:N59"/>
    <mergeCell ref="D60:E60"/>
    <mergeCell ref="F60:G60"/>
    <mergeCell ref="K60:L60"/>
    <mergeCell ref="M60:N60"/>
    <mergeCell ref="U60:V60"/>
    <mergeCell ref="Z60:AA60"/>
    <mergeCell ref="AB60:AC60"/>
    <mergeCell ref="D58:E58"/>
    <mergeCell ref="F58:G58"/>
    <mergeCell ref="K58:L58"/>
    <mergeCell ref="M58:N58"/>
    <mergeCell ref="S58:T58"/>
    <mergeCell ref="U58:V58"/>
    <mergeCell ref="Z58:AA58"/>
    <mergeCell ref="AB58:AC58"/>
    <mergeCell ref="S60:T60"/>
    <mergeCell ref="S59:T59"/>
    <mergeCell ref="D51:E51"/>
    <mergeCell ref="F51:G51"/>
    <mergeCell ref="K51:L51"/>
    <mergeCell ref="M51:N51"/>
    <mergeCell ref="S51:T51"/>
    <mergeCell ref="U51:V51"/>
    <mergeCell ref="Z51:AA51"/>
    <mergeCell ref="AB51:AC51"/>
    <mergeCell ref="D52:E52"/>
    <mergeCell ref="F52:G52"/>
    <mergeCell ref="K52:L52"/>
    <mergeCell ref="M52:N52"/>
    <mergeCell ref="S52:T52"/>
    <mergeCell ref="U52:V52"/>
    <mergeCell ref="Z52:AA52"/>
    <mergeCell ref="AB52:AC52"/>
    <mergeCell ref="D53:E53"/>
    <mergeCell ref="F53:G53"/>
    <mergeCell ref="K53:L53"/>
    <mergeCell ref="M53:N53"/>
    <mergeCell ref="S53:T53"/>
    <mergeCell ref="U53:V53"/>
    <mergeCell ref="Z53:AA53"/>
    <mergeCell ref="AB53:AC53"/>
    <mergeCell ref="D48:E48"/>
    <mergeCell ref="F48:G48"/>
    <mergeCell ref="K48:L48"/>
    <mergeCell ref="M48:N48"/>
    <mergeCell ref="S48:T48"/>
    <mergeCell ref="U48:V48"/>
    <mergeCell ref="Z48:AA48"/>
    <mergeCell ref="AB48:AC48"/>
    <mergeCell ref="D49:E49"/>
    <mergeCell ref="F49:G49"/>
    <mergeCell ref="K49:L49"/>
    <mergeCell ref="M49:N49"/>
    <mergeCell ref="S49:T49"/>
    <mergeCell ref="U49:V49"/>
    <mergeCell ref="Z49:AA49"/>
    <mergeCell ref="AB49:AC49"/>
    <mergeCell ref="D50:E50"/>
    <mergeCell ref="F50:G50"/>
    <mergeCell ref="K50:L50"/>
    <mergeCell ref="M50:N50"/>
    <mergeCell ref="S50:T50"/>
    <mergeCell ref="U50:V50"/>
    <mergeCell ref="Z50:AA50"/>
    <mergeCell ref="AB50:AC50"/>
    <mergeCell ref="D45:E45"/>
    <mergeCell ref="F45:G45"/>
    <mergeCell ref="K45:L45"/>
    <mergeCell ref="M45:N45"/>
    <mergeCell ref="S45:T45"/>
    <mergeCell ref="U45:V45"/>
    <mergeCell ref="Z45:AA45"/>
    <mergeCell ref="AB45:AC45"/>
    <mergeCell ref="D46:E46"/>
    <mergeCell ref="F46:G46"/>
    <mergeCell ref="K46:L46"/>
    <mergeCell ref="M46:N46"/>
    <mergeCell ref="S46:T46"/>
    <mergeCell ref="U46:V46"/>
    <mergeCell ref="Z46:AA46"/>
    <mergeCell ref="AB46:AC46"/>
    <mergeCell ref="D47:E47"/>
    <mergeCell ref="F47:G47"/>
    <mergeCell ref="K47:L47"/>
    <mergeCell ref="M47:N47"/>
    <mergeCell ref="S47:T47"/>
    <mergeCell ref="U47:V47"/>
    <mergeCell ref="Z47:AA47"/>
    <mergeCell ref="AB47:AC47"/>
    <mergeCell ref="D42:E42"/>
    <mergeCell ref="F42:G42"/>
    <mergeCell ref="K42:L42"/>
    <mergeCell ref="M42:N42"/>
    <mergeCell ref="S42:T42"/>
    <mergeCell ref="U42:V42"/>
    <mergeCell ref="Z42:AA42"/>
    <mergeCell ref="AB42:AC42"/>
    <mergeCell ref="D43:E43"/>
    <mergeCell ref="F43:G43"/>
    <mergeCell ref="K43:L43"/>
    <mergeCell ref="M43:N43"/>
    <mergeCell ref="S43:T43"/>
    <mergeCell ref="U43:V43"/>
    <mergeCell ref="Z43:AA43"/>
    <mergeCell ref="AB43:AC43"/>
    <mergeCell ref="D44:E44"/>
    <mergeCell ref="F44:G44"/>
    <mergeCell ref="K44:L44"/>
    <mergeCell ref="M44:N44"/>
    <mergeCell ref="S44:T44"/>
    <mergeCell ref="U44:V44"/>
    <mergeCell ref="Z44:AA44"/>
    <mergeCell ref="AB44:AC44"/>
    <mergeCell ref="D39:E39"/>
    <mergeCell ref="F39:G39"/>
    <mergeCell ref="K39:L39"/>
    <mergeCell ref="M39:N39"/>
    <mergeCell ref="S39:T39"/>
    <mergeCell ref="U39:V39"/>
    <mergeCell ref="Z39:AA39"/>
    <mergeCell ref="AB39:AC39"/>
    <mergeCell ref="D40:E40"/>
    <mergeCell ref="F40:G40"/>
    <mergeCell ref="K40:L40"/>
    <mergeCell ref="M40:N40"/>
    <mergeCell ref="S40:T40"/>
    <mergeCell ref="U40:V40"/>
    <mergeCell ref="Z40:AA40"/>
    <mergeCell ref="AB40:AC40"/>
    <mergeCell ref="D41:E41"/>
    <mergeCell ref="F41:G41"/>
    <mergeCell ref="K41:L41"/>
    <mergeCell ref="M41:N41"/>
    <mergeCell ref="S41:T41"/>
    <mergeCell ref="U41:V41"/>
    <mergeCell ref="Z41:AA41"/>
    <mergeCell ref="AB41:AC41"/>
    <mergeCell ref="D6:E6"/>
    <mergeCell ref="S10:T10"/>
    <mergeCell ref="Z10:AA10"/>
    <mergeCell ref="U10:V10"/>
    <mergeCell ref="AB10:AC10"/>
    <mergeCell ref="D38:E38"/>
    <mergeCell ref="F38:G38"/>
    <mergeCell ref="K38:L38"/>
    <mergeCell ref="M38:N38"/>
    <mergeCell ref="S38:T38"/>
    <mergeCell ref="U38:V38"/>
    <mergeCell ref="Z38:AA38"/>
    <mergeCell ref="AB38:AC38"/>
    <mergeCell ref="D15:E15"/>
    <mergeCell ref="F15:G15"/>
    <mergeCell ref="K15:L15"/>
    <mergeCell ref="M15:N15"/>
    <mergeCell ref="S15:T15"/>
    <mergeCell ref="U15:V15"/>
    <mergeCell ref="D14:E14"/>
    <mergeCell ref="F14:G14"/>
    <mergeCell ref="K14:L14"/>
    <mergeCell ref="M14:N14"/>
    <mergeCell ref="S14:T14"/>
    <mergeCell ref="U14:V14"/>
    <mergeCell ref="Z14:AA14"/>
    <mergeCell ref="AB6:AC6"/>
    <mergeCell ref="Z6:AA6"/>
    <mergeCell ref="U6:V6"/>
    <mergeCell ref="S6:T6"/>
    <mergeCell ref="Z17:AA17"/>
    <mergeCell ref="AB17:AC17"/>
    <mergeCell ref="D18:E18"/>
    <mergeCell ref="F18:G18"/>
    <mergeCell ref="K18:L18"/>
    <mergeCell ref="M18:N18"/>
    <mergeCell ref="S18:T18"/>
    <mergeCell ref="U18:V18"/>
    <mergeCell ref="Z18:AA18"/>
    <mergeCell ref="AB18:AC18"/>
    <mergeCell ref="D17:E17"/>
    <mergeCell ref="F17:G17"/>
    <mergeCell ref="K17:L17"/>
    <mergeCell ref="M17:N17"/>
    <mergeCell ref="S17:T17"/>
    <mergeCell ref="U17:V17"/>
    <mergeCell ref="D16:E16"/>
    <mergeCell ref="F16:G16"/>
    <mergeCell ref="K16:L16"/>
    <mergeCell ref="M16:N16"/>
    <mergeCell ref="S16:T16"/>
    <mergeCell ref="U16:V16"/>
    <mergeCell ref="M10:N10"/>
    <mergeCell ref="Z16:AA16"/>
    <mergeCell ref="AB16:AC16"/>
    <mergeCell ref="K10:L10"/>
    <mergeCell ref="F10:G10"/>
    <mergeCell ref="D10:E10"/>
    <mergeCell ref="M6:N6"/>
    <mergeCell ref="K6:L6"/>
    <mergeCell ref="F6:G6"/>
    <mergeCell ref="D22:E22"/>
    <mergeCell ref="F22:G22"/>
    <mergeCell ref="K22:L22"/>
    <mergeCell ref="M22:N22"/>
    <mergeCell ref="S22:T22"/>
    <mergeCell ref="U22:V22"/>
    <mergeCell ref="Z22:AA22"/>
    <mergeCell ref="AB22:AC22"/>
    <mergeCell ref="D21:E21"/>
    <mergeCell ref="F21:G21"/>
    <mergeCell ref="K21:L21"/>
    <mergeCell ref="M21:N21"/>
    <mergeCell ref="S21:T21"/>
    <mergeCell ref="U21:V21"/>
    <mergeCell ref="Z19:AA19"/>
    <mergeCell ref="AB19:AC19"/>
    <mergeCell ref="D20:E20"/>
    <mergeCell ref="F20:G20"/>
    <mergeCell ref="K20:L20"/>
    <mergeCell ref="M20:N20"/>
    <mergeCell ref="S20:T20"/>
    <mergeCell ref="U20:V20"/>
    <mergeCell ref="Z20:AA20"/>
    <mergeCell ref="AB20:AC20"/>
    <mergeCell ref="D19:E19"/>
    <mergeCell ref="F19:G19"/>
    <mergeCell ref="K19:L19"/>
    <mergeCell ref="M19:N19"/>
    <mergeCell ref="S19:T19"/>
    <mergeCell ref="U19:V19"/>
    <mergeCell ref="D26:E26"/>
    <mergeCell ref="F26:G26"/>
    <mergeCell ref="K26:L26"/>
    <mergeCell ref="M26:N26"/>
    <mergeCell ref="S26:T26"/>
    <mergeCell ref="U26:V26"/>
    <mergeCell ref="Z26:AA26"/>
    <mergeCell ref="AB26:AC26"/>
    <mergeCell ref="D25:E25"/>
    <mergeCell ref="F25:G25"/>
    <mergeCell ref="K25:L25"/>
    <mergeCell ref="M25:N25"/>
    <mergeCell ref="S25:T25"/>
    <mergeCell ref="U25:V25"/>
    <mergeCell ref="Z23:AA23"/>
    <mergeCell ref="AB23:AC23"/>
    <mergeCell ref="D24:E24"/>
    <mergeCell ref="F24:G24"/>
    <mergeCell ref="K24:L24"/>
    <mergeCell ref="M24:N24"/>
    <mergeCell ref="S24:T24"/>
    <mergeCell ref="U24:V24"/>
    <mergeCell ref="Z24:AA24"/>
    <mergeCell ref="AB24:AC24"/>
    <mergeCell ref="D23:E23"/>
    <mergeCell ref="F23:G23"/>
    <mergeCell ref="K23:L23"/>
    <mergeCell ref="M23:N23"/>
    <mergeCell ref="S23:T23"/>
    <mergeCell ref="U23:V23"/>
    <mergeCell ref="D30:E30"/>
    <mergeCell ref="F30:G30"/>
    <mergeCell ref="K30:L30"/>
    <mergeCell ref="M30:N30"/>
    <mergeCell ref="S30:T30"/>
    <mergeCell ref="U30:V30"/>
    <mergeCell ref="Z30:AA30"/>
    <mergeCell ref="AB30:AC30"/>
    <mergeCell ref="D29:E29"/>
    <mergeCell ref="F29:G29"/>
    <mergeCell ref="K29:L29"/>
    <mergeCell ref="M29:N29"/>
    <mergeCell ref="S29:T29"/>
    <mergeCell ref="U29:V29"/>
    <mergeCell ref="Z27:AA27"/>
    <mergeCell ref="AB27:AC27"/>
    <mergeCell ref="D28:E28"/>
    <mergeCell ref="F28:G28"/>
    <mergeCell ref="K28:L28"/>
    <mergeCell ref="M28:N28"/>
    <mergeCell ref="S28:T28"/>
    <mergeCell ref="U28:V28"/>
    <mergeCell ref="Z28:AA28"/>
    <mergeCell ref="AB28:AC28"/>
    <mergeCell ref="D27:E27"/>
    <mergeCell ref="F27:G27"/>
    <mergeCell ref="K27:L27"/>
    <mergeCell ref="M27:N27"/>
    <mergeCell ref="F34:G34"/>
    <mergeCell ref="K34:L34"/>
    <mergeCell ref="M34:N34"/>
    <mergeCell ref="S34:T34"/>
    <mergeCell ref="U34:V34"/>
    <mergeCell ref="Z34:AA34"/>
    <mergeCell ref="AB34:AC34"/>
    <mergeCell ref="D33:E33"/>
    <mergeCell ref="F33:G33"/>
    <mergeCell ref="K33:L33"/>
    <mergeCell ref="M33:N33"/>
    <mergeCell ref="S33:T33"/>
    <mergeCell ref="U33:V33"/>
    <mergeCell ref="Z31:AA31"/>
    <mergeCell ref="AB31:AC31"/>
    <mergeCell ref="D32:E32"/>
    <mergeCell ref="F32:G32"/>
    <mergeCell ref="K32:L32"/>
    <mergeCell ref="M32:N32"/>
    <mergeCell ref="S32:T32"/>
    <mergeCell ref="U32:V32"/>
    <mergeCell ref="Z32:AA32"/>
    <mergeCell ref="AB32:AC32"/>
    <mergeCell ref="D31:E31"/>
    <mergeCell ref="F31:G31"/>
    <mergeCell ref="K31:L31"/>
    <mergeCell ref="M31:N31"/>
    <mergeCell ref="S31:T31"/>
    <mergeCell ref="U31:V31"/>
    <mergeCell ref="AB37:AC37"/>
    <mergeCell ref="AI6:AJ6"/>
    <mergeCell ref="AG6:AH6"/>
    <mergeCell ref="AI10:AJ10"/>
    <mergeCell ref="AG10:AH10"/>
    <mergeCell ref="D37:E37"/>
    <mergeCell ref="F37:G37"/>
    <mergeCell ref="K37:L37"/>
    <mergeCell ref="M37:N37"/>
    <mergeCell ref="S37:T37"/>
    <mergeCell ref="U37:V37"/>
    <mergeCell ref="Z35:AA35"/>
    <mergeCell ref="AB35:AC35"/>
    <mergeCell ref="D36:E36"/>
    <mergeCell ref="F36:G36"/>
    <mergeCell ref="K36:L36"/>
    <mergeCell ref="M36:N36"/>
    <mergeCell ref="S36:T36"/>
    <mergeCell ref="U36:V36"/>
    <mergeCell ref="Z36:AA36"/>
    <mergeCell ref="AB36:AC36"/>
    <mergeCell ref="D35:E35"/>
    <mergeCell ref="F35:G35"/>
    <mergeCell ref="K35:L35"/>
    <mergeCell ref="M35:N35"/>
    <mergeCell ref="S35:T35"/>
    <mergeCell ref="U35:V35"/>
    <mergeCell ref="Z33:AA33"/>
    <mergeCell ref="AB33:AC33"/>
    <mergeCell ref="S27:T27"/>
    <mergeCell ref="U27:V27"/>
    <mergeCell ref="D34:E34"/>
    <mergeCell ref="S114:T114"/>
    <mergeCell ref="S112:T112"/>
    <mergeCell ref="S110:T110"/>
    <mergeCell ref="S108:T108"/>
    <mergeCell ref="S106:T106"/>
    <mergeCell ref="S104:T104"/>
    <mergeCell ref="S120:T120"/>
    <mergeCell ref="S77:T77"/>
    <mergeCell ref="S75:T75"/>
    <mergeCell ref="S73:T73"/>
    <mergeCell ref="S71:T71"/>
    <mergeCell ref="S69:T69"/>
    <mergeCell ref="S67:T67"/>
    <mergeCell ref="S65:T65"/>
    <mergeCell ref="M72:N72"/>
    <mergeCell ref="S72:T72"/>
    <mergeCell ref="D75:E75"/>
    <mergeCell ref="F75:G75"/>
    <mergeCell ref="K75:L75"/>
    <mergeCell ref="M75:N75"/>
    <mergeCell ref="D76:E76"/>
    <mergeCell ref="F76:G76"/>
    <mergeCell ref="K76:L76"/>
    <mergeCell ref="M76:N76"/>
    <mergeCell ref="S76:T76"/>
    <mergeCell ref="M71:N71"/>
    <mergeCell ref="D72:E72"/>
    <mergeCell ref="F72:G72"/>
    <mergeCell ref="K72:L72"/>
    <mergeCell ref="D79:E79"/>
    <mergeCell ref="F79:G79"/>
    <mergeCell ref="K79:L79"/>
    <mergeCell ref="F131:G131"/>
    <mergeCell ref="K123:V126"/>
    <mergeCell ref="F128:G128"/>
    <mergeCell ref="J144:L144"/>
    <mergeCell ref="J143:L143"/>
    <mergeCell ref="J142:L142"/>
    <mergeCell ref="J141:L141"/>
    <mergeCell ref="J140:L140"/>
    <mergeCell ref="J139:L139"/>
    <mergeCell ref="J138:L138"/>
    <mergeCell ref="J137:L137"/>
    <mergeCell ref="J136:L136"/>
    <mergeCell ref="J135:L135"/>
    <mergeCell ref="J134:L134"/>
    <mergeCell ref="J133:L133"/>
    <mergeCell ref="J132:L132"/>
    <mergeCell ref="J131:L131"/>
    <mergeCell ref="J130:L130"/>
    <mergeCell ref="J129:L129"/>
    <mergeCell ref="J128:L128"/>
    <mergeCell ref="F129:G129"/>
    <mergeCell ref="AG105:AH105"/>
    <mergeCell ref="AI105:AJ105"/>
    <mergeCell ref="AG106:AH106"/>
    <mergeCell ref="AI106:AJ106"/>
    <mergeCell ref="AG107:AH107"/>
    <mergeCell ref="AI107:AJ107"/>
    <mergeCell ref="AG108:AH108"/>
    <mergeCell ref="AI108:AJ108"/>
    <mergeCell ref="AG109:AH109"/>
    <mergeCell ref="AI109:AJ109"/>
    <mergeCell ref="AG101:AH101"/>
    <mergeCell ref="AI101:AJ101"/>
    <mergeCell ref="AG102:AH102"/>
    <mergeCell ref="AI102:AJ102"/>
    <mergeCell ref="AG103:AH103"/>
    <mergeCell ref="AI103:AJ103"/>
    <mergeCell ref="AG104:AH104"/>
    <mergeCell ref="AI104:AJ104"/>
    <mergeCell ref="AG115:AH115"/>
    <mergeCell ref="AI115:AJ115"/>
    <mergeCell ref="AG116:AH116"/>
    <mergeCell ref="AI116:AJ116"/>
    <mergeCell ref="AG117:AH117"/>
    <mergeCell ref="AI117:AJ117"/>
    <mergeCell ref="AG118:AH118"/>
    <mergeCell ref="AI118:AJ118"/>
    <mergeCell ref="AG119:AH119"/>
    <mergeCell ref="AI119:AJ119"/>
    <mergeCell ref="AG110:AH110"/>
    <mergeCell ref="AI110:AJ110"/>
    <mergeCell ref="AG111:AH111"/>
    <mergeCell ref="AI111:AJ111"/>
    <mergeCell ref="AG112:AH112"/>
    <mergeCell ref="AI112:AJ112"/>
    <mergeCell ref="AG113:AH113"/>
    <mergeCell ref="AI113:AJ113"/>
    <mergeCell ref="AG114:AH114"/>
    <mergeCell ref="AI114:AJ114"/>
    <mergeCell ref="U155:V155"/>
    <mergeCell ref="S155:T155"/>
    <mergeCell ref="S154:T154"/>
    <mergeCell ref="S153:T153"/>
    <mergeCell ref="S152:T152"/>
    <mergeCell ref="S151:T151"/>
    <mergeCell ref="F145:G145"/>
    <mergeCell ref="AB155:AC155"/>
    <mergeCell ref="AB154:AC154"/>
    <mergeCell ref="AB153:AC153"/>
    <mergeCell ref="AB152:AC152"/>
    <mergeCell ref="AB151:AC151"/>
    <mergeCell ref="AB150:AC150"/>
    <mergeCell ref="AB149:AC149"/>
    <mergeCell ref="AB148:AC148"/>
    <mergeCell ref="Z148:AA148"/>
    <mergeCell ref="Z149:AA149"/>
    <mergeCell ref="Z150:AA150"/>
    <mergeCell ref="Z151:AA151"/>
    <mergeCell ref="Z152:AA152"/>
    <mergeCell ref="Z153:AA153"/>
    <mergeCell ref="Z154:AA154"/>
    <mergeCell ref="Z155:AA155"/>
    <mergeCell ref="U148:V148"/>
    <mergeCell ref="U149:V149"/>
    <mergeCell ref="U150:V150"/>
    <mergeCell ref="M154:N154"/>
    <mergeCell ref="M155:N155"/>
    <mergeCell ref="K154:L154"/>
    <mergeCell ref="K153:L153"/>
    <mergeCell ref="K152:L152"/>
    <mergeCell ref="K151:L151"/>
    <mergeCell ref="K150:L150"/>
    <mergeCell ref="K149:L149"/>
    <mergeCell ref="S150:T150"/>
    <mergeCell ref="S149:T149"/>
    <mergeCell ref="S148:T148"/>
    <mergeCell ref="M148:N148"/>
    <mergeCell ref="M149:N149"/>
    <mergeCell ref="M150:N150"/>
    <mergeCell ref="M151:N151"/>
    <mergeCell ref="M152:N152"/>
    <mergeCell ref="M153:N153"/>
    <mergeCell ref="D155:E155"/>
    <mergeCell ref="D154:E154"/>
    <mergeCell ref="D153:E153"/>
    <mergeCell ref="D152:E152"/>
    <mergeCell ref="D151:E151"/>
    <mergeCell ref="D150:E150"/>
    <mergeCell ref="D149:E149"/>
    <mergeCell ref="D148:E148"/>
    <mergeCell ref="K148:L148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K155:L155"/>
    <mergeCell ref="F190:G190"/>
    <mergeCell ref="F191:G191"/>
    <mergeCell ref="D194:E194"/>
    <mergeCell ref="F194:G194"/>
    <mergeCell ref="K194:L194"/>
    <mergeCell ref="M195:N195"/>
    <mergeCell ref="S194:T194"/>
    <mergeCell ref="U194:V194"/>
    <mergeCell ref="Z194:AA194"/>
    <mergeCell ref="AB195:AC195"/>
    <mergeCell ref="D196:E196"/>
    <mergeCell ref="F196:G196"/>
    <mergeCell ref="K196:L196"/>
    <mergeCell ref="M196:N196"/>
    <mergeCell ref="S196:T196"/>
    <mergeCell ref="U196:V196"/>
    <mergeCell ref="Z196:AA196"/>
    <mergeCell ref="AB196:AC196"/>
    <mergeCell ref="D179:E179"/>
    <mergeCell ref="D197:E197"/>
    <mergeCell ref="F197:G197"/>
    <mergeCell ref="K197:L197"/>
    <mergeCell ref="M197:N197"/>
    <mergeCell ref="S197:T197"/>
    <mergeCell ref="U197:V197"/>
    <mergeCell ref="Z197:AA197"/>
    <mergeCell ref="AB197:AC197"/>
    <mergeCell ref="D195:E195"/>
    <mergeCell ref="F195:G195"/>
    <mergeCell ref="K195:L195"/>
    <mergeCell ref="U195:V195"/>
    <mergeCell ref="Z195:AA195"/>
    <mergeCell ref="S195:T195"/>
    <mergeCell ref="AI177:AJ177"/>
    <mergeCell ref="AI178:AJ178"/>
    <mergeCell ref="AI179:AJ179"/>
    <mergeCell ref="AI180:AJ180"/>
    <mergeCell ref="AI181:AJ181"/>
    <mergeCell ref="AI182:AJ182"/>
    <mergeCell ref="AG183:AH183"/>
    <mergeCell ref="AI183:AJ183"/>
    <mergeCell ref="AG194:AH194"/>
    <mergeCell ref="AI194:AJ194"/>
    <mergeCell ref="AG195:AH195"/>
    <mergeCell ref="F179:G179"/>
    <mergeCell ref="K179:L179"/>
    <mergeCell ref="M179:N179"/>
    <mergeCell ref="B185:AC185"/>
    <mergeCell ref="F187:G187"/>
    <mergeCell ref="F188:G188"/>
    <mergeCell ref="AB217:AC217"/>
    <mergeCell ref="K220:V224"/>
    <mergeCell ref="F198:G198"/>
    <mergeCell ref="B199:AC199"/>
    <mergeCell ref="F201:G201"/>
    <mergeCell ref="F202:G202"/>
    <mergeCell ref="D206:E206"/>
    <mergeCell ref="F206:G206"/>
    <mergeCell ref="K206:L206"/>
    <mergeCell ref="M206:N206"/>
    <mergeCell ref="S206:T206"/>
    <mergeCell ref="U206:V206"/>
    <mergeCell ref="Z206:AA206"/>
    <mergeCell ref="AB206:AC206"/>
    <mergeCell ref="M205:N205"/>
    <mergeCell ref="K205:L205"/>
    <mergeCell ref="F205:G205"/>
    <mergeCell ref="D205:E205"/>
    <mergeCell ref="B1:AI4"/>
    <mergeCell ref="AI206:AJ206"/>
    <mergeCell ref="AG206:AH206"/>
    <mergeCell ref="AG216:AH216"/>
    <mergeCell ref="AI216:AJ216"/>
    <mergeCell ref="AG217:AH217"/>
    <mergeCell ref="AI217:AJ217"/>
    <mergeCell ref="S226:AA229"/>
    <mergeCell ref="F226:N229"/>
    <mergeCell ref="AI195:AJ195"/>
    <mergeCell ref="AG196:AH196"/>
    <mergeCell ref="AI196:AJ196"/>
    <mergeCell ref="AG197:AH197"/>
    <mergeCell ref="AI197:AJ197"/>
    <mergeCell ref="AG205:AH205"/>
    <mergeCell ref="AI205:AJ205"/>
    <mergeCell ref="F207:G207"/>
    <mergeCell ref="K210:V210"/>
    <mergeCell ref="F212:G212"/>
    <mergeCell ref="F213:G213"/>
    <mergeCell ref="U177:V177"/>
    <mergeCell ref="D216:E216"/>
    <mergeCell ref="F216:G216"/>
    <mergeCell ref="K216:L216"/>
    <mergeCell ref="M216:N216"/>
    <mergeCell ref="D217:E217"/>
    <mergeCell ref="F217:G217"/>
    <mergeCell ref="K217:L217"/>
    <mergeCell ref="M217:N217"/>
    <mergeCell ref="S217:T217"/>
    <mergeCell ref="U217:V217"/>
    <mergeCell ref="Z217:AA217"/>
  </mergeCells>
  <conditionalFormatting sqref="F10:G10 K10:L10 U10:V10 Z10:AA10 U176:U183 Z176:Z183 U194:U197 Z194:Z197 K194:K197 F194:F198 F14:G53 K14:L53 U14:V53 Z14:AA53 F58:G96 K58:L96 U58:V96 Z58:AA96 F101:G120 K101:L119 U101:V119 Z101:AA119 F148:G155 K148:L155 U148:V155 Z148:AA155 F177:G183 K177:L183 U177:V183 Z177:AA183 F195:G197 K195:L197 U195:V197 Z195:AA197 F206:G206 K206:L206 U206:V206 Z206:AA206 F217:G217 K217:L217 U217:V217 Z217:AA217">
    <cfRule type="containsText" dxfId="1" priority="34" operator="containsText" text="Penalidades">
      <formula>NOT(ISERROR(SEARCH("Penalidades",F10)))</formula>
    </cfRule>
  </conditionalFormatting>
  <conditionalFormatting sqref="W10:Y10 W14:Y53 W58 Y58 W70 Y70 W94 Y94">
    <cfRule type="beginsWith" dxfId="0" priority="7" operator="beginsWith" text="*">
      <formula>LEFT(W10,1)="*"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Inicio</vt:lpstr>
      <vt:lpstr>Copa Do Brasil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2014-04-12T23:53:51Z</dcterms:created>
  <dcterms:modified xsi:type="dcterms:W3CDTF">2014-05-19T04:07:29Z</dcterms:modified>
</cp:coreProperties>
</file>