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José\Desktop\Teletrabajo 2020\Hojas de Cálculo ESPAD 2019-2020\2º CUATRIMESTRE\Consulta de notas\TAREA 2\Consulta Web\"/>
    </mc:Choice>
  </mc:AlternateContent>
  <xr:revisionPtr revIDLastSave="0" documentId="13_ncr:1_{F43135AB-7C7D-4C3F-841A-F40D4798EBDB}" xr6:coauthVersionLast="45" xr6:coauthVersionMax="45" xr10:uidLastSave="{00000000-0000-0000-0000-000000000000}"/>
  <bookViews>
    <workbookView xWindow="0" yWindow="0" windowWidth="28800" windowHeight="15600" activeTab="1" xr2:uid="{00000000-000D-0000-FFFF-FFFF00000000}"/>
  </bookViews>
  <sheets>
    <sheet name="Materias de las que se ha matri" sheetId="1" r:id="rId1"/>
    <sheet name="Consulta de notas" sheetId="7" r:id="rId2"/>
  </sheets>
  <definedNames>
    <definedName name="_xlnm._FilterDatabase" localSheetId="0">'Materias de las que se ha matri'!$A$5:$BE$26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7" l="1"/>
  <c r="E3" i="7"/>
  <c r="E4" i="7"/>
  <c r="E5" i="7"/>
  <c r="E6" i="7"/>
  <c r="E7" i="7"/>
  <c r="E8" i="7"/>
  <c r="E9" i="7"/>
  <c r="E10" i="7"/>
  <c r="E12" i="7"/>
  <c r="E13" i="7"/>
  <c r="E14" i="7"/>
  <c r="E15" i="7"/>
  <c r="E16" i="7"/>
  <c r="E17" i="7"/>
  <c r="E18" i="7"/>
  <c r="E19" i="7"/>
  <c r="E20" i="7"/>
  <c r="E22" i="7"/>
  <c r="E23" i="7"/>
  <c r="E24" i="7"/>
  <c r="E25" i="7"/>
  <c r="E26" i="7"/>
  <c r="E27" i="7"/>
  <c r="E28" i="7"/>
  <c r="E29" i="7"/>
  <c r="E30" i="7"/>
  <c r="D2" i="7" l="1"/>
  <c r="D15" i="7" l="1"/>
  <c r="D14" i="7"/>
  <c r="D13" i="7"/>
  <c r="D4" i="7"/>
  <c r="D5" i="7"/>
  <c r="D30" i="7"/>
  <c r="D23" i="7"/>
  <c r="D24" i="7"/>
  <c r="D3" i="7"/>
  <c r="D25" i="7"/>
  <c r="D16" i="7"/>
  <c r="D17" i="7"/>
  <c r="D18" i="7"/>
  <c r="D26" i="7"/>
  <c r="D19" i="7"/>
  <c r="D27" i="7"/>
  <c r="D20" i="7"/>
  <c r="D28" i="7"/>
  <c r="D12" i="7"/>
  <c r="D29" i="7"/>
  <c r="D22" i="7"/>
  <c r="D10" i="7"/>
  <c r="D8" i="7"/>
  <c r="B13" i="7"/>
  <c r="AR7" i="1" l="1"/>
  <c r="AS7" i="1" s="1"/>
  <c r="AT7" i="1"/>
  <c r="AU7" i="1" s="1"/>
  <c r="AW7" i="1"/>
  <c r="AX7" i="1" s="1"/>
  <c r="AR8" i="1"/>
  <c r="AS8" i="1" s="1"/>
  <c r="AT8" i="1"/>
  <c r="AU8" i="1" s="1"/>
  <c r="AW8" i="1"/>
  <c r="AX8" i="1" s="1"/>
  <c r="AR9" i="1"/>
  <c r="AS9" i="1" s="1"/>
  <c r="AT9" i="1"/>
  <c r="AU9" i="1" s="1"/>
  <c r="AW9" i="1"/>
  <c r="AX9" i="1" s="1"/>
  <c r="AR10" i="1"/>
  <c r="AS10" i="1" s="1"/>
  <c r="AT10" i="1"/>
  <c r="AU10" i="1" s="1"/>
  <c r="AW10" i="1"/>
  <c r="AX10" i="1" s="1"/>
  <c r="AR11" i="1"/>
  <c r="AS11" i="1" s="1"/>
  <c r="AT11" i="1"/>
  <c r="AW11" i="1"/>
  <c r="AX11" i="1" s="1"/>
  <c r="AR12" i="1"/>
  <c r="AS12" i="1" s="1"/>
  <c r="AT12" i="1"/>
  <c r="AU12" i="1" s="1"/>
  <c r="AW12" i="1"/>
  <c r="AX12" i="1" s="1"/>
  <c r="AR13" i="1"/>
  <c r="AS13" i="1" s="1"/>
  <c r="AT13" i="1"/>
  <c r="AU13" i="1" s="1"/>
  <c r="AW13" i="1"/>
  <c r="AX13" i="1" s="1"/>
  <c r="AR14" i="1"/>
  <c r="AS14" i="1" s="1"/>
  <c r="AT14" i="1"/>
  <c r="AU14" i="1" s="1"/>
  <c r="AW14" i="1"/>
  <c r="AX14" i="1" s="1"/>
  <c r="AR15" i="1"/>
  <c r="AS15" i="1" s="1"/>
  <c r="AT15" i="1"/>
  <c r="AU15" i="1" s="1"/>
  <c r="AW15" i="1"/>
  <c r="AX15" i="1" s="1"/>
  <c r="AR16" i="1"/>
  <c r="AS16" i="1" s="1"/>
  <c r="AT16" i="1"/>
  <c r="AU16" i="1" s="1"/>
  <c r="AW16" i="1"/>
  <c r="AX16" i="1" s="1"/>
  <c r="AR17" i="1"/>
  <c r="AS17" i="1" s="1"/>
  <c r="AT17" i="1"/>
  <c r="AU17" i="1" s="1"/>
  <c r="AW17" i="1"/>
  <c r="AX17" i="1" s="1"/>
  <c r="AR18" i="1"/>
  <c r="AS18" i="1" s="1"/>
  <c r="AT18" i="1"/>
  <c r="AU18" i="1" s="1"/>
  <c r="AR19" i="1"/>
  <c r="AS19" i="1" s="1"/>
  <c r="AT19" i="1"/>
  <c r="AU19" i="1" s="1"/>
  <c r="AW19" i="1"/>
  <c r="AX19" i="1" s="1"/>
  <c r="AR20" i="1"/>
  <c r="AS20" i="1" s="1"/>
  <c r="AT20" i="1"/>
  <c r="AU20" i="1" s="1"/>
  <c r="AW20" i="1"/>
  <c r="AX20" i="1" s="1"/>
  <c r="AR21" i="1"/>
  <c r="AS21" i="1" s="1"/>
  <c r="AT21" i="1"/>
  <c r="AU21" i="1" s="1"/>
  <c r="AW21" i="1"/>
  <c r="AX21" i="1" s="1"/>
  <c r="AR22" i="1"/>
  <c r="AS22" i="1" s="1"/>
  <c r="AT22" i="1"/>
  <c r="AU22" i="1" s="1"/>
  <c r="AW22" i="1"/>
  <c r="AX22" i="1" s="1"/>
  <c r="AR23" i="1"/>
  <c r="AS23" i="1" s="1"/>
  <c r="AT23" i="1"/>
  <c r="AU23" i="1" s="1"/>
  <c r="AW23" i="1"/>
  <c r="AX23" i="1" s="1"/>
  <c r="AR24" i="1"/>
  <c r="AS24" i="1" s="1"/>
  <c r="AT24" i="1"/>
  <c r="AU24" i="1" s="1"/>
  <c r="AW24" i="1"/>
  <c r="AX24" i="1" s="1"/>
  <c r="AR25" i="1"/>
  <c r="AS25" i="1" s="1"/>
  <c r="AT25" i="1"/>
  <c r="AU25" i="1" s="1"/>
  <c r="AW25" i="1"/>
  <c r="AX25" i="1" s="1"/>
  <c r="AR26" i="1"/>
  <c r="AS26" i="1" s="1"/>
  <c r="AT26" i="1"/>
  <c r="AU26" i="1" s="1"/>
  <c r="AW26" i="1"/>
  <c r="AX26" i="1" s="1"/>
  <c r="Z7" i="1"/>
  <c r="AA7" i="1" s="1"/>
  <c r="AB7" i="1"/>
  <c r="AC7" i="1" s="1"/>
  <c r="AE7" i="1"/>
  <c r="AF7" i="1" s="1"/>
  <c r="Z8" i="1"/>
  <c r="AA8" i="1" s="1"/>
  <c r="AB8" i="1"/>
  <c r="AC8" i="1" s="1"/>
  <c r="AE8" i="1"/>
  <c r="AF8" i="1" s="1"/>
  <c r="Z9" i="1"/>
  <c r="AA9" i="1" s="1"/>
  <c r="AB9" i="1"/>
  <c r="AC9" i="1" s="1"/>
  <c r="AE9" i="1"/>
  <c r="AF9" i="1" s="1"/>
  <c r="Z10" i="1"/>
  <c r="AA10" i="1" s="1"/>
  <c r="AB10" i="1"/>
  <c r="AC10" i="1" s="1"/>
  <c r="AE10" i="1"/>
  <c r="AF10" i="1" s="1"/>
  <c r="Z11" i="1"/>
  <c r="AA11" i="1" s="1"/>
  <c r="AB11" i="1"/>
  <c r="AE11" i="1"/>
  <c r="AF11" i="1" s="1"/>
  <c r="Z12" i="1"/>
  <c r="AA12" i="1" s="1"/>
  <c r="AB12" i="1"/>
  <c r="AC12" i="1" s="1"/>
  <c r="AE12" i="1"/>
  <c r="AF12" i="1" s="1"/>
  <c r="Z13" i="1"/>
  <c r="AA13" i="1" s="1"/>
  <c r="AB13" i="1"/>
  <c r="AC13" i="1" s="1"/>
  <c r="AE13" i="1"/>
  <c r="AF13" i="1" s="1"/>
  <c r="Z14" i="1"/>
  <c r="AA14" i="1" s="1"/>
  <c r="AB14" i="1"/>
  <c r="AC14" i="1" s="1"/>
  <c r="AE14" i="1"/>
  <c r="AF14" i="1" s="1"/>
  <c r="Z15" i="1"/>
  <c r="AA15" i="1" s="1"/>
  <c r="AB15" i="1"/>
  <c r="AC15" i="1" s="1"/>
  <c r="AE15" i="1"/>
  <c r="AF15" i="1" s="1"/>
  <c r="Z16" i="1"/>
  <c r="AA16" i="1" s="1"/>
  <c r="AB16" i="1"/>
  <c r="AC16" i="1" s="1"/>
  <c r="AE16" i="1"/>
  <c r="AF16" i="1" s="1"/>
  <c r="Z17" i="1"/>
  <c r="AA17" i="1" s="1"/>
  <c r="AB17" i="1"/>
  <c r="AC17" i="1" s="1"/>
  <c r="AE17" i="1"/>
  <c r="AF17" i="1" s="1"/>
  <c r="Z18" i="1"/>
  <c r="AA18" i="1" s="1"/>
  <c r="AB18" i="1"/>
  <c r="AC18" i="1" s="1"/>
  <c r="AE18" i="1"/>
  <c r="AF18" i="1" s="1"/>
  <c r="Z19" i="1"/>
  <c r="AA19" i="1" s="1"/>
  <c r="AB19" i="1"/>
  <c r="AE19" i="1"/>
  <c r="AF19" i="1" s="1"/>
  <c r="Z20" i="1"/>
  <c r="AA20" i="1" s="1"/>
  <c r="AB20" i="1"/>
  <c r="AC20" i="1" s="1"/>
  <c r="AE20" i="1"/>
  <c r="AF20" i="1" s="1"/>
  <c r="Z21" i="1"/>
  <c r="AA21" i="1" s="1"/>
  <c r="AB21" i="1"/>
  <c r="AC21" i="1" s="1"/>
  <c r="AE21" i="1"/>
  <c r="AF21" i="1" s="1"/>
  <c r="Z22" i="1"/>
  <c r="AA22" i="1" s="1"/>
  <c r="AB22" i="1"/>
  <c r="AC22" i="1" s="1"/>
  <c r="AE22" i="1"/>
  <c r="AF22" i="1" s="1"/>
  <c r="Z23" i="1"/>
  <c r="AA23" i="1" s="1"/>
  <c r="AB23" i="1"/>
  <c r="AC23" i="1" s="1"/>
  <c r="AE23" i="1"/>
  <c r="AF23" i="1" s="1"/>
  <c r="Z24" i="1"/>
  <c r="AA24" i="1" s="1"/>
  <c r="AB24" i="1"/>
  <c r="AC24" i="1" s="1"/>
  <c r="AE24" i="1"/>
  <c r="AF24" i="1" s="1"/>
  <c r="Z25" i="1"/>
  <c r="AA25" i="1" s="1"/>
  <c r="AB25" i="1"/>
  <c r="AC25" i="1" s="1"/>
  <c r="AE25" i="1"/>
  <c r="AF25" i="1" s="1"/>
  <c r="Z26" i="1"/>
  <c r="AA26" i="1" s="1"/>
  <c r="AB26" i="1"/>
  <c r="AC26" i="1" s="1"/>
  <c r="AE26" i="1"/>
  <c r="AF26" i="1" s="1"/>
  <c r="H7" i="1"/>
  <c r="I7" i="1" s="1"/>
  <c r="J7" i="1"/>
  <c r="K7" i="1" s="1"/>
  <c r="M7" i="1"/>
  <c r="N7" i="1" s="1"/>
  <c r="H8" i="1"/>
  <c r="I8" i="1" s="1"/>
  <c r="J8" i="1"/>
  <c r="K8" i="1" s="1"/>
  <c r="M8" i="1"/>
  <c r="N8" i="1" s="1"/>
  <c r="H9" i="1"/>
  <c r="I9" i="1" s="1"/>
  <c r="J9" i="1"/>
  <c r="K9" i="1" s="1"/>
  <c r="M9" i="1"/>
  <c r="N9" i="1" s="1"/>
  <c r="H10" i="1"/>
  <c r="I10" i="1" s="1"/>
  <c r="J10" i="1"/>
  <c r="K10" i="1" s="1"/>
  <c r="M10" i="1"/>
  <c r="N10" i="1" s="1"/>
  <c r="H11" i="1"/>
  <c r="I11" i="1" s="1"/>
  <c r="J11" i="1"/>
  <c r="K11" i="1" s="1"/>
  <c r="M11" i="1"/>
  <c r="N11" i="1" s="1"/>
  <c r="H12" i="1"/>
  <c r="I12" i="1" s="1"/>
  <c r="J12" i="1"/>
  <c r="K12" i="1" s="1"/>
  <c r="H13" i="1"/>
  <c r="I13" i="1" s="1"/>
  <c r="J13" i="1"/>
  <c r="K13" i="1" s="1"/>
  <c r="M13" i="1"/>
  <c r="N13" i="1" s="1"/>
  <c r="H14" i="1"/>
  <c r="I14" i="1" s="1"/>
  <c r="J14" i="1"/>
  <c r="K14" i="1" s="1"/>
  <c r="M14" i="1"/>
  <c r="N14" i="1" s="1"/>
  <c r="H15" i="1"/>
  <c r="I15" i="1" s="1"/>
  <c r="J15" i="1"/>
  <c r="K15" i="1" s="1"/>
  <c r="M15" i="1"/>
  <c r="N15" i="1" s="1"/>
  <c r="H16" i="1"/>
  <c r="I16" i="1" s="1"/>
  <c r="J16" i="1"/>
  <c r="K16" i="1" s="1"/>
  <c r="M16" i="1"/>
  <c r="N16" i="1" s="1"/>
  <c r="H17" i="1"/>
  <c r="I17" i="1" s="1"/>
  <c r="J17" i="1"/>
  <c r="K17" i="1" s="1"/>
  <c r="M17" i="1"/>
  <c r="N17" i="1" s="1"/>
  <c r="H18" i="1"/>
  <c r="I18" i="1" s="1"/>
  <c r="J18" i="1"/>
  <c r="K18" i="1" s="1"/>
  <c r="M18" i="1"/>
  <c r="N18" i="1" s="1"/>
  <c r="H19" i="1"/>
  <c r="I19" i="1" s="1"/>
  <c r="J19" i="1"/>
  <c r="K19" i="1" s="1"/>
  <c r="M19" i="1"/>
  <c r="N19" i="1" s="1"/>
  <c r="H20" i="1"/>
  <c r="I20" i="1" s="1"/>
  <c r="J20" i="1"/>
  <c r="K20" i="1" s="1"/>
  <c r="M20" i="1"/>
  <c r="N20" i="1" s="1"/>
  <c r="H21" i="1"/>
  <c r="I21" i="1" s="1"/>
  <c r="J21" i="1"/>
  <c r="K21" i="1" s="1"/>
  <c r="M21" i="1"/>
  <c r="N21" i="1" s="1"/>
  <c r="H22" i="1"/>
  <c r="I22" i="1" s="1"/>
  <c r="J22" i="1"/>
  <c r="K22" i="1" s="1"/>
  <c r="M22" i="1"/>
  <c r="N22" i="1" s="1"/>
  <c r="H23" i="1"/>
  <c r="I23" i="1" s="1"/>
  <c r="J23" i="1"/>
  <c r="K23" i="1" s="1"/>
  <c r="M23" i="1"/>
  <c r="N23" i="1" s="1"/>
  <c r="H24" i="1"/>
  <c r="I24" i="1" s="1"/>
  <c r="J24" i="1"/>
  <c r="K24" i="1" s="1"/>
  <c r="M24" i="1"/>
  <c r="N24" i="1" s="1"/>
  <c r="H25" i="1"/>
  <c r="I25" i="1" s="1"/>
  <c r="J25" i="1"/>
  <c r="K25" i="1" s="1"/>
  <c r="M25" i="1"/>
  <c r="N25" i="1" s="1"/>
  <c r="H26" i="1"/>
  <c r="I26" i="1" s="1"/>
  <c r="J26" i="1"/>
  <c r="K26" i="1" s="1"/>
  <c r="M26" i="1"/>
  <c r="N26" i="1" s="1"/>
  <c r="AW6" i="1"/>
  <c r="AR6" i="1"/>
  <c r="AS6" i="1" s="1"/>
  <c r="AE6" i="1"/>
  <c r="Z6" i="1"/>
  <c r="AA6" i="1" s="1"/>
  <c r="M6" i="1"/>
  <c r="H6" i="1"/>
  <c r="I6" i="1" s="1"/>
  <c r="AG7" i="1" l="1"/>
  <c r="AW18" i="1"/>
  <c r="AX18" i="1" s="1"/>
  <c r="AY15" i="1"/>
  <c r="BA15" i="1" s="1"/>
  <c r="BB15" i="1" s="1"/>
  <c r="AG24" i="1"/>
  <c r="AI24" i="1" s="1"/>
  <c r="AJ24" i="1" s="1"/>
  <c r="AL24" i="1" s="1"/>
  <c r="AM24" i="1" s="1"/>
  <c r="AG23" i="1"/>
  <c r="AI23" i="1" s="1"/>
  <c r="O21" i="1"/>
  <c r="Q21" i="1" s="1"/>
  <c r="R21" i="1" s="1"/>
  <c r="T21" i="1" s="1"/>
  <c r="U21" i="1" s="1"/>
  <c r="AG18" i="1"/>
  <c r="AI18" i="1" s="1"/>
  <c r="AJ18" i="1" s="1"/>
  <c r="AL18" i="1" s="1"/>
  <c r="AM18" i="1" s="1"/>
  <c r="O10" i="1"/>
  <c r="Q10" i="1" s="1"/>
  <c r="R10" i="1" s="1"/>
  <c r="AY7" i="1"/>
  <c r="BA7" i="1" s="1"/>
  <c r="BB7" i="1" s="1"/>
  <c r="O11" i="1"/>
  <c r="Q11" i="1" s="1"/>
  <c r="R11" i="1" s="1"/>
  <c r="AY23" i="1"/>
  <c r="BA23" i="1" s="1"/>
  <c r="BB23" i="1" s="1"/>
  <c r="AG15" i="1"/>
  <c r="AI15" i="1" s="1"/>
  <c r="AJ15" i="1" s="1"/>
  <c r="AY16" i="1"/>
  <c r="BA16" i="1" s="1"/>
  <c r="BB16" i="1" s="1"/>
  <c r="BD16" i="1" s="1"/>
  <c r="BE16" i="1" s="1"/>
  <c r="O8" i="1"/>
  <c r="Q8" i="1" s="1"/>
  <c r="R8" i="1" s="1"/>
  <c r="T8" i="1" s="1"/>
  <c r="U8" i="1" s="1"/>
  <c r="AG16" i="1"/>
  <c r="AI16" i="1" s="1"/>
  <c r="AJ16" i="1" s="1"/>
  <c r="AL16" i="1" s="1"/>
  <c r="AM16" i="1" s="1"/>
  <c r="AG8" i="1"/>
  <c r="AI8" i="1" s="1"/>
  <c r="AJ8" i="1" s="1"/>
  <c r="AL8" i="1" s="1"/>
  <c r="AM8" i="1" s="1"/>
  <c r="AY24" i="1"/>
  <c r="BA24" i="1" s="1"/>
  <c r="BB24" i="1" s="1"/>
  <c r="BD24" i="1" s="1"/>
  <c r="BE24" i="1" s="1"/>
  <c r="O18" i="1"/>
  <c r="Q18" i="1" s="1"/>
  <c r="R18" i="1" s="1"/>
  <c r="AY8" i="1"/>
  <c r="BA8" i="1" s="1"/>
  <c r="BB8" i="1" s="1"/>
  <c r="BD8" i="1" s="1"/>
  <c r="BE8" i="1" s="1"/>
  <c r="AY19" i="1"/>
  <c r="BA19" i="1" s="1"/>
  <c r="BB19" i="1" s="1"/>
  <c r="O19" i="1"/>
  <c r="Q19" i="1" s="1"/>
  <c r="AY18" i="1"/>
  <c r="BA18" i="1" s="1"/>
  <c r="M12" i="1"/>
  <c r="N12" i="1" s="1"/>
  <c r="O13" i="1"/>
  <c r="Q13" i="1" s="1"/>
  <c r="R13" i="1" s="1"/>
  <c r="T13" i="1" s="1"/>
  <c r="U13" i="1" s="1"/>
  <c r="D6" i="7"/>
  <c r="AY14" i="1"/>
  <c r="BA14" i="1" s="1"/>
  <c r="AY21" i="1"/>
  <c r="BA21" i="1" s="1"/>
  <c r="BB21" i="1" s="1"/>
  <c r="AY9" i="1"/>
  <c r="BA9" i="1" s="1"/>
  <c r="AY25" i="1"/>
  <c r="BA25" i="1" s="1"/>
  <c r="AY22" i="1"/>
  <c r="BA22" i="1" s="1"/>
  <c r="AY10" i="1"/>
  <c r="BA10" i="1" s="1"/>
  <c r="BB10" i="1" s="1"/>
  <c r="AY26" i="1"/>
  <c r="BA26" i="1" s="1"/>
  <c r="BB26" i="1" s="1"/>
  <c r="AY13" i="1"/>
  <c r="BA13" i="1" s="1"/>
  <c r="BB13" i="1" s="1"/>
  <c r="AY17" i="1"/>
  <c r="BA17" i="1" s="1"/>
  <c r="BB17" i="1" s="1"/>
  <c r="AY11" i="1"/>
  <c r="BA11" i="1" s="1"/>
  <c r="AU11" i="1"/>
  <c r="AY20" i="1"/>
  <c r="BA20" i="1" s="1"/>
  <c r="AY12" i="1"/>
  <c r="BA12" i="1" s="1"/>
  <c r="AG26" i="1"/>
  <c r="AI26" i="1" s="1"/>
  <c r="AG22" i="1"/>
  <c r="AI22" i="1" s="1"/>
  <c r="AJ22" i="1" s="1"/>
  <c r="AG14" i="1"/>
  <c r="AI14" i="1" s="1"/>
  <c r="AJ14" i="1" s="1"/>
  <c r="AG9" i="1"/>
  <c r="AI9" i="1" s="1"/>
  <c r="AG25" i="1"/>
  <c r="AI25" i="1" s="1"/>
  <c r="AG21" i="1"/>
  <c r="AI21" i="1" s="1"/>
  <c r="AJ21" i="1" s="1"/>
  <c r="AG10" i="1"/>
  <c r="AI10" i="1" s="1"/>
  <c r="AG13" i="1"/>
  <c r="AI13" i="1" s="1"/>
  <c r="AG19" i="1"/>
  <c r="AI19" i="1" s="1"/>
  <c r="AC19" i="1"/>
  <c r="AG17" i="1"/>
  <c r="AI17" i="1" s="1"/>
  <c r="AG11" i="1"/>
  <c r="AI11" i="1" s="1"/>
  <c r="AC11" i="1"/>
  <c r="AI7" i="1"/>
  <c r="AG20" i="1"/>
  <c r="AI20" i="1" s="1"/>
  <c r="AG12" i="1"/>
  <c r="AI12" i="1" s="1"/>
  <c r="AJ12" i="1" s="1"/>
  <c r="O25" i="1"/>
  <c r="Q25" i="1" s="1"/>
  <c r="R25" i="1" s="1"/>
  <c r="O14" i="1"/>
  <c r="Q14" i="1" s="1"/>
  <c r="O17" i="1"/>
  <c r="Q17" i="1" s="1"/>
  <c r="O24" i="1"/>
  <c r="Q24" i="1" s="1"/>
  <c r="O12" i="1"/>
  <c r="Q12" i="1" s="1"/>
  <c r="O9" i="1"/>
  <c r="Q9" i="1" s="1"/>
  <c r="O26" i="1"/>
  <c r="Q26" i="1" s="1"/>
  <c r="O20" i="1"/>
  <c r="Q20" i="1" s="1"/>
  <c r="O22" i="1"/>
  <c r="Q22" i="1" s="1"/>
  <c r="O16" i="1"/>
  <c r="Q16" i="1" s="1"/>
  <c r="O23" i="1"/>
  <c r="Q23" i="1" s="1"/>
  <c r="R23" i="1" s="1"/>
  <c r="O15" i="1"/>
  <c r="Q15" i="1" s="1"/>
  <c r="O7" i="1"/>
  <c r="Q7" i="1" s="1"/>
  <c r="R7" i="1" s="1"/>
  <c r="BD19" i="1" l="1"/>
  <c r="BE19" i="1" s="1"/>
  <c r="BB18" i="1"/>
  <c r="BD18" i="1" s="1"/>
  <c r="BE18" i="1" s="1"/>
  <c r="T25" i="1"/>
  <c r="U25" i="1" s="1"/>
  <c r="R19" i="1"/>
  <c r="T19" i="1" s="1"/>
  <c r="U19" i="1" s="1"/>
  <c r="BB11" i="1"/>
  <c r="BD11" i="1" s="1"/>
  <c r="BE11" i="1" s="1"/>
  <c r="BB22" i="1"/>
  <c r="BD22" i="1" s="1"/>
  <c r="BE22" i="1" s="1"/>
  <c r="BB14" i="1"/>
  <c r="BD14" i="1" s="1"/>
  <c r="BE14" i="1" s="1"/>
  <c r="BB25" i="1"/>
  <c r="BD25" i="1" s="1"/>
  <c r="BE25" i="1" s="1"/>
  <c r="BB20" i="1"/>
  <c r="BD20" i="1" s="1"/>
  <c r="BE20" i="1" s="1"/>
  <c r="BD10" i="1"/>
  <c r="BE10" i="1" s="1"/>
  <c r="BD23" i="1"/>
  <c r="BE23" i="1" s="1"/>
  <c r="BD13" i="1"/>
  <c r="BE13" i="1" s="1"/>
  <c r="BB9" i="1"/>
  <c r="BD9" i="1" s="1"/>
  <c r="BE9" i="1" s="1"/>
  <c r="BD15" i="1"/>
  <c r="BE15" i="1" s="1"/>
  <c r="BD7" i="1"/>
  <c r="BE7" i="1" s="1"/>
  <c r="BB12" i="1"/>
  <c r="BD12" i="1" s="1"/>
  <c r="BE12" i="1" s="1"/>
  <c r="BD26" i="1"/>
  <c r="BE26" i="1" s="1"/>
  <c r="BD17" i="1"/>
  <c r="BE17" i="1" s="1"/>
  <c r="BD21" i="1"/>
  <c r="BE21" i="1" s="1"/>
  <c r="AJ11" i="1"/>
  <c r="AL11" i="1" s="1"/>
  <c r="AM11" i="1" s="1"/>
  <c r="AJ10" i="1"/>
  <c r="AL10" i="1" s="1"/>
  <c r="AM10" i="1" s="1"/>
  <c r="AJ19" i="1"/>
  <c r="AL19" i="1" s="1"/>
  <c r="AM19" i="1" s="1"/>
  <c r="AJ13" i="1"/>
  <c r="AL13" i="1" s="1"/>
  <c r="AM13" i="1" s="1"/>
  <c r="AJ25" i="1"/>
  <c r="AL25" i="1" s="1"/>
  <c r="AM25" i="1" s="1"/>
  <c r="AJ26" i="1"/>
  <c r="AL26" i="1" s="1"/>
  <c r="AM26" i="1" s="1"/>
  <c r="AJ7" i="1"/>
  <c r="AL7" i="1" s="1"/>
  <c r="AM7" i="1" s="1"/>
  <c r="AJ23" i="1"/>
  <c r="AL23" i="1" s="1"/>
  <c r="AM23" i="1" s="1"/>
  <c r="AL21" i="1"/>
  <c r="AM21" i="1" s="1"/>
  <c r="AJ9" i="1"/>
  <c r="AL9" i="1" s="1"/>
  <c r="AM9" i="1" s="1"/>
  <c r="AJ17" i="1"/>
  <c r="AL17" i="1" s="1"/>
  <c r="AM17" i="1" s="1"/>
  <c r="AL22" i="1"/>
  <c r="AM22" i="1" s="1"/>
  <c r="AL12" i="1"/>
  <c r="AM12" i="1" s="1"/>
  <c r="AL14" i="1"/>
  <c r="AM14" i="1" s="1"/>
  <c r="AJ20" i="1"/>
  <c r="AL20" i="1" s="1"/>
  <c r="AM20" i="1" s="1"/>
  <c r="AL15" i="1"/>
  <c r="AM15" i="1" s="1"/>
  <c r="R14" i="1"/>
  <c r="T14" i="1" s="1"/>
  <c r="U14" i="1" s="1"/>
  <c r="R9" i="1"/>
  <c r="T9" i="1" s="1"/>
  <c r="U9" i="1" s="1"/>
  <c r="R16" i="1"/>
  <c r="T16" i="1" s="1"/>
  <c r="U16" i="1" s="1"/>
  <c r="R17" i="1"/>
  <c r="T17" i="1" s="1"/>
  <c r="U17" i="1" s="1"/>
  <c r="R24" i="1"/>
  <c r="T24" i="1" s="1"/>
  <c r="U24" i="1" s="1"/>
  <c r="R12" i="1"/>
  <c r="T12" i="1" s="1"/>
  <c r="U12" i="1" s="1"/>
  <c r="T7" i="1"/>
  <c r="U7" i="1" s="1"/>
  <c r="T10" i="1"/>
  <c r="U10" i="1" s="1"/>
  <c r="R20" i="1"/>
  <c r="T20" i="1" s="1"/>
  <c r="U20" i="1" s="1"/>
  <c r="R15" i="1"/>
  <c r="T15" i="1" s="1"/>
  <c r="U15" i="1" s="1"/>
  <c r="T23" i="1"/>
  <c r="U23" i="1" s="1"/>
  <c r="T11" i="1"/>
  <c r="U11" i="1" s="1"/>
  <c r="T18" i="1"/>
  <c r="U18" i="1" s="1"/>
  <c r="R22" i="1"/>
  <c r="T22" i="1" s="1"/>
  <c r="U22" i="1" s="1"/>
  <c r="R26" i="1"/>
  <c r="T26" i="1" s="1"/>
  <c r="U26" i="1" s="1"/>
  <c r="C27" i="1"/>
  <c r="AT6" i="1"/>
  <c r="AU6" i="1" s="1"/>
  <c r="AF6" i="1"/>
  <c r="AB6" i="1"/>
  <c r="AC6" i="1" s="1"/>
  <c r="AX6" i="1"/>
  <c r="J6" i="1"/>
  <c r="K6" i="1" s="1"/>
  <c r="D7" i="7" s="1"/>
  <c r="N6" i="1"/>
  <c r="AY6" i="1" l="1"/>
  <c r="BA6" i="1" s="1"/>
  <c r="O6" i="1"/>
  <c r="Q6" i="1" s="1"/>
  <c r="D9" i="7" s="1"/>
  <c r="AG6" i="1"/>
  <c r="AI6" i="1" s="1"/>
  <c r="R6" i="1" l="1"/>
  <c r="T6" i="1" s="1"/>
  <c r="U6" i="1" s="1"/>
  <c r="BB6" i="1"/>
  <c r="AJ6" i="1"/>
  <c r="AL6" i="1" l="1"/>
  <c r="AM6" i="1" s="1"/>
  <c r="BD6" i="1"/>
  <c r="BE6" i="1" s="1"/>
</calcChain>
</file>

<file path=xl/sharedStrings.xml><?xml version="1.0" encoding="utf-8"?>
<sst xmlns="http://schemas.openxmlformats.org/spreadsheetml/2006/main" count="218" uniqueCount="89">
  <si>
    <t>Alumno</t>
  </si>
  <si>
    <t>Grupo</t>
  </si>
  <si>
    <t>C</t>
  </si>
  <si>
    <t>M</t>
  </si>
  <si>
    <t>C-T</t>
  </si>
  <si>
    <t>T1</t>
  </si>
  <si>
    <t>T2</t>
  </si>
  <si>
    <t>T3</t>
  </si>
  <si>
    <t>Nota ponderadaTareas ORD</t>
  </si>
  <si>
    <t>Media Ev. ORD</t>
  </si>
  <si>
    <t>RAYUELA ORD</t>
  </si>
  <si>
    <t>Media Ev. EXT</t>
  </si>
  <si>
    <t>RAYUELA EXT</t>
  </si>
  <si>
    <t>Nota ponderada Tareas ORD</t>
  </si>
  <si>
    <t>Rayuela ORD</t>
  </si>
  <si>
    <t>Nota Examen EXT</t>
  </si>
  <si>
    <t>Rayuela EXT</t>
  </si>
  <si>
    <t>SOC</t>
  </si>
  <si>
    <t>COM</t>
  </si>
  <si>
    <t>APTO Tareas EXT</t>
  </si>
  <si>
    <t>Nº tareas P</t>
  </si>
  <si>
    <t>¿APTO T?</t>
  </si>
  <si>
    <t>¿Ex ORD?</t>
  </si>
  <si>
    <t>Ex ORD</t>
  </si>
  <si>
    <t>Tareas EXT</t>
  </si>
  <si>
    <t>¿Puede Tareas EXT?</t>
  </si>
  <si>
    <t>¿Puede Examen EXT?</t>
  </si>
  <si>
    <t>DNI</t>
  </si>
  <si>
    <t>Nombre y apellidos</t>
  </si>
  <si>
    <t>CEPA ANTONIO MACHADO</t>
  </si>
  <si>
    <t>Ámbito Científico - Tecnológico</t>
  </si>
  <si>
    <t>Ámbito de Comunicación</t>
  </si>
  <si>
    <t>Ámbito Social</t>
  </si>
  <si>
    <t>Estado de matrícula</t>
  </si>
  <si>
    <t>Tarea 1</t>
  </si>
  <si>
    <t>Tarea 2</t>
  </si>
  <si>
    <t>Tarea 3</t>
  </si>
  <si>
    <t>¿APTO en Tareas Ordinarias?</t>
  </si>
  <si>
    <t>¿Derecho a Examen Ordinario?</t>
  </si>
  <si>
    <t>Nota Examen Ordinario</t>
  </si>
  <si>
    <t>¿APTO en Tareas Extraordinarias?</t>
  </si>
  <si>
    <t>Nota Examen Extraordinario?</t>
  </si>
  <si>
    <t>X1738069M</t>
  </si>
  <si>
    <t>Cherkaoui , Mohammed Fikri</t>
  </si>
  <si>
    <t>-</t>
  </si>
  <si>
    <t>Curso 2019-2020 - SEGUNDO CUATRIMESTRE. Consulta de notas</t>
  </si>
  <si>
    <t>45969724S</t>
  </si>
  <si>
    <t>Gómez Giraldo, Judith</t>
  </si>
  <si>
    <t>80107738A</t>
  </si>
  <si>
    <t>Jiménez González, Esmeralda</t>
  </si>
  <si>
    <t>80035618B</t>
  </si>
  <si>
    <t>Montalbán Herrero, Gabina</t>
  </si>
  <si>
    <t>Y3045300E</t>
  </si>
  <si>
    <t>Chavarría Mendoza, Reyna Lucrecia</t>
  </si>
  <si>
    <t>8894084F</t>
  </si>
  <si>
    <t>Fernández Palacios, Joaquín</t>
  </si>
  <si>
    <t>20965224B</t>
  </si>
  <si>
    <t>Salazar Vargas, Amparo</t>
  </si>
  <si>
    <t>8896527N</t>
  </si>
  <si>
    <t>Alaja Barrena, Eva</t>
  </si>
  <si>
    <t>80242851Z</t>
  </si>
  <si>
    <t>Abreu Martínez, Fernanda Altagracia</t>
  </si>
  <si>
    <t>C2 - 1º</t>
  </si>
  <si>
    <t>80105866V</t>
  </si>
  <si>
    <t>Álvarez Saavedra, Séfora</t>
  </si>
  <si>
    <t>47777366H</t>
  </si>
  <si>
    <t>Barragán Bermudo, Jessica</t>
  </si>
  <si>
    <t>45558875S</t>
  </si>
  <si>
    <t>Becerra Martínez, Álvaro</t>
  </si>
  <si>
    <t>46760102K</t>
  </si>
  <si>
    <t>Belmonte Gómez, Raúl</t>
  </si>
  <si>
    <t>20538853Z</t>
  </si>
  <si>
    <t>Concejero Ramírez, Tamara</t>
  </si>
  <si>
    <t>47164288M</t>
  </si>
  <si>
    <t>González Delgado, Ramón</t>
  </si>
  <si>
    <t>44782292G</t>
  </si>
  <si>
    <t>Guerrero Guerrero, Sandra</t>
  </si>
  <si>
    <t>47225226Q</t>
  </si>
  <si>
    <t>Nieto Lominchar, Piedad</t>
  </si>
  <si>
    <t>121220882003M</t>
  </si>
  <si>
    <t>Padilla Requenes, Merlyn Lineth</t>
  </si>
  <si>
    <t>8372432H</t>
  </si>
  <si>
    <t>Romero Vázquez, Josué</t>
  </si>
  <si>
    <t>8890693C</t>
  </si>
  <si>
    <t>Ruiz Morales, Lorena</t>
  </si>
  <si>
    <t>80067636J</t>
  </si>
  <si>
    <t>Santos Izquierdo, Manuela</t>
  </si>
  <si>
    <t>ESPAD NIVEL I - Grupo PRIMERO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</si>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</sst>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2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12"/>
      <color rgb="FFFF0000"/>
      <name val="Arial"/>
      <family val="2"/>
    </font>
    <font>
      <b/>
      <i/>
      <sz val="10"/>
      <color theme="8" tint="-0.499984740745262"/>
      <name val="Arial"/>
      <family val="2"/>
    </font>
    <font>
      <b/>
      <sz val="10"/>
      <color rgb="FF0000CC"/>
      <name val="Arial"/>
      <family val="2"/>
    </font>
    <font>
      <b/>
      <sz val="16"/>
      <color rgb="FFFF0000"/>
      <name val="Arial"/>
      <family val="2"/>
    </font>
    <font>
      <b/>
      <i/>
      <sz val="12"/>
      <name val="Arial"/>
      <family val="2"/>
    </font>
    <font>
      <b/>
      <sz val="9"/>
      <name val="Times New Roman"/>
      <family val="1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1" fontId="5" fillId="4" borderId="1" xfId="0" applyNumberFormat="1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" fontId="5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33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7"/>
  <sheetViews>
    <sheetView topLeftCell="BF1" zoomScale="130" zoomScaleNormal="130" workbookViewId="0">
      <selection sqref="A1:BE1048576"/>
    </sheetView>
  </sheetViews>
  <sheetFormatPr baseColWidth="10" defaultColWidth="11.42578125" defaultRowHeight="12.75" x14ac:dyDescent="0.2"/>
  <cols>
    <col min="1" max="1" width="11" hidden="1" customWidth="1"/>
    <col min="2" max="2" width="29.85546875" hidden="1" customWidth="1"/>
    <col min="3" max="3" width="6.42578125" hidden="1" customWidth="1"/>
    <col min="4" max="4" width="4.5703125" style="9" hidden="1" customWidth="1"/>
    <col min="5" max="5" width="5.42578125" style="17" hidden="1" customWidth="1"/>
    <col min="6" max="6" width="6.28515625" style="17" hidden="1" customWidth="1"/>
    <col min="7" max="7" width="6" style="17" hidden="1" customWidth="1"/>
    <col min="8" max="8" width="27.85546875" style="6" hidden="1" customWidth="1"/>
    <col min="9" max="9" width="9.5703125" style="6" hidden="1" customWidth="1"/>
    <col min="10" max="10" width="16" style="6" hidden="1" customWidth="1"/>
    <col min="11" max="11" width="11" style="6" hidden="1" customWidth="1"/>
    <col min="12" max="12" width="8.28515625" style="17" hidden="1" customWidth="1"/>
    <col min="13" max="13" width="18" style="6" hidden="1" customWidth="1"/>
    <col min="14" max="15" width="21.5703125" style="6" hidden="1" customWidth="1"/>
    <col min="16" max="16" width="12.85546875" style="17" hidden="1" customWidth="1"/>
    <col min="17" max="17" width="24" style="6" hidden="1" customWidth="1"/>
    <col min="18" max="18" width="25.42578125" style="6" hidden="1" customWidth="1"/>
    <col min="19" max="19" width="25.42578125" style="17" hidden="1" customWidth="1"/>
    <col min="20" max="21" width="21.5703125" style="6" hidden="1" customWidth="1"/>
    <col min="22" max="22" width="4.7109375" style="6" hidden="1" customWidth="1"/>
    <col min="23" max="25" width="5" style="17" hidden="1" customWidth="1"/>
    <col min="26" max="26" width="28.42578125" style="6" hidden="1" customWidth="1"/>
    <col min="27" max="27" width="9.5703125" style="6" hidden="1" customWidth="1"/>
    <col min="28" max="28" width="10.7109375" style="6" hidden="1" customWidth="1"/>
    <col min="29" max="29" width="11" style="6" hidden="1" customWidth="1"/>
    <col min="30" max="30" width="8.28515625" style="17" hidden="1" customWidth="1"/>
    <col min="31" max="31" width="20.7109375" style="6" hidden="1" customWidth="1"/>
    <col min="32" max="32" width="18.42578125" style="6" hidden="1" customWidth="1"/>
    <col min="33" max="33" width="25.7109375" style="6" hidden="1" customWidth="1"/>
    <col min="34" max="34" width="13.5703125" style="17" hidden="1" customWidth="1"/>
    <col min="35" max="35" width="24" style="6" hidden="1" customWidth="1"/>
    <col min="36" max="36" width="26.85546875" style="6" hidden="1" customWidth="1"/>
    <col min="37" max="37" width="23" style="17" hidden="1" customWidth="1"/>
    <col min="38" max="39" width="21.5703125" style="6" hidden="1" customWidth="1"/>
    <col min="40" max="40" width="4.5703125" style="6" hidden="1" customWidth="1"/>
    <col min="41" max="43" width="5" style="17" hidden="1" customWidth="1"/>
    <col min="44" max="44" width="28.42578125" style="6" hidden="1" customWidth="1"/>
    <col min="45" max="45" width="9.5703125" style="6" hidden="1" customWidth="1"/>
    <col min="46" max="46" width="10.5703125" style="6" hidden="1" customWidth="1"/>
    <col min="47" max="47" width="11" style="6" hidden="1" customWidth="1"/>
    <col min="48" max="48" width="8.28515625" style="17" hidden="1" customWidth="1"/>
    <col min="49" max="49" width="20.7109375" style="6" hidden="1" customWidth="1"/>
    <col min="50" max="50" width="18.42578125" style="6" hidden="1" customWidth="1"/>
    <col min="51" max="51" width="25.7109375" style="6" hidden="1" customWidth="1"/>
    <col min="52" max="52" width="13.28515625" style="17" hidden="1" customWidth="1"/>
    <col min="53" max="53" width="24" style="6" hidden="1" customWidth="1"/>
    <col min="54" max="54" width="26.85546875" style="6" hidden="1" customWidth="1"/>
    <col min="55" max="55" width="23" style="17" hidden="1" customWidth="1"/>
    <col min="56" max="57" width="21.5703125" style="6" hidden="1" customWidth="1"/>
    <col min="58" max="58" width="16.28515625" customWidth="1"/>
  </cols>
  <sheetData>
    <row r="1" spans="1:57" ht="20.25" x14ac:dyDescent="0.3">
      <c r="A1" s="24" t="s">
        <v>29</v>
      </c>
      <c r="B1" s="4"/>
    </row>
    <row r="2" spans="1:57" ht="20.25" x14ac:dyDescent="0.3">
      <c r="A2" s="24" t="s">
        <v>87</v>
      </c>
      <c r="B2" s="4"/>
    </row>
    <row r="3" spans="1:57" ht="15" x14ac:dyDescent="0.2">
      <c r="A3" s="25" t="s">
        <v>45</v>
      </c>
      <c r="B3" s="5"/>
    </row>
    <row r="4" spans="1:57" x14ac:dyDescent="0.2">
      <c r="B4" s="1"/>
    </row>
    <row r="5" spans="1:57" ht="14.25" x14ac:dyDescent="0.2">
      <c r="A5" s="3" t="s">
        <v>27</v>
      </c>
      <c r="B5" s="2" t="s">
        <v>0</v>
      </c>
      <c r="C5" s="2" t="s">
        <v>1</v>
      </c>
      <c r="D5" s="7" t="s">
        <v>4</v>
      </c>
      <c r="E5" s="18" t="s">
        <v>5</v>
      </c>
      <c r="F5" s="18" t="s">
        <v>6</v>
      </c>
      <c r="G5" s="18" t="s">
        <v>7</v>
      </c>
      <c r="H5" s="7" t="s">
        <v>8</v>
      </c>
      <c r="I5" s="7" t="s">
        <v>21</v>
      </c>
      <c r="J5" s="7" t="s">
        <v>20</v>
      </c>
      <c r="K5" s="7" t="s">
        <v>22</v>
      </c>
      <c r="L5" s="18" t="s">
        <v>23</v>
      </c>
      <c r="M5" s="7" t="s">
        <v>9</v>
      </c>
      <c r="N5" s="7" t="s">
        <v>10</v>
      </c>
      <c r="O5" s="7" t="s">
        <v>25</v>
      </c>
      <c r="P5" s="18" t="s">
        <v>24</v>
      </c>
      <c r="Q5" s="7" t="s">
        <v>19</v>
      </c>
      <c r="R5" s="7" t="s">
        <v>26</v>
      </c>
      <c r="S5" s="18" t="s">
        <v>15</v>
      </c>
      <c r="T5" s="7" t="s">
        <v>11</v>
      </c>
      <c r="U5" s="7" t="s">
        <v>12</v>
      </c>
      <c r="V5" s="12" t="s">
        <v>18</v>
      </c>
      <c r="W5" s="20" t="s">
        <v>5</v>
      </c>
      <c r="X5" s="20" t="s">
        <v>6</v>
      </c>
      <c r="Y5" s="20" t="s">
        <v>7</v>
      </c>
      <c r="Z5" s="12" t="s">
        <v>13</v>
      </c>
      <c r="AA5" s="12" t="s">
        <v>21</v>
      </c>
      <c r="AB5" s="12" t="s">
        <v>20</v>
      </c>
      <c r="AC5" s="12" t="s">
        <v>22</v>
      </c>
      <c r="AD5" s="20" t="s">
        <v>23</v>
      </c>
      <c r="AE5" s="12" t="s">
        <v>9</v>
      </c>
      <c r="AF5" s="12" t="s">
        <v>14</v>
      </c>
      <c r="AG5" s="12" t="s">
        <v>25</v>
      </c>
      <c r="AH5" s="20" t="s">
        <v>24</v>
      </c>
      <c r="AI5" s="7" t="s">
        <v>19</v>
      </c>
      <c r="AJ5" s="12" t="s">
        <v>26</v>
      </c>
      <c r="AK5" s="20" t="s">
        <v>15</v>
      </c>
      <c r="AL5" s="12" t="s">
        <v>11</v>
      </c>
      <c r="AM5" s="12" t="s">
        <v>16</v>
      </c>
      <c r="AN5" s="12" t="s">
        <v>17</v>
      </c>
      <c r="AO5" s="20" t="s">
        <v>5</v>
      </c>
      <c r="AP5" s="20" t="s">
        <v>6</v>
      </c>
      <c r="AQ5" s="20" t="s">
        <v>7</v>
      </c>
      <c r="AR5" s="12" t="s">
        <v>13</v>
      </c>
      <c r="AS5" s="12" t="s">
        <v>21</v>
      </c>
      <c r="AT5" s="12" t="s">
        <v>20</v>
      </c>
      <c r="AU5" s="12" t="s">
        <v>22</v>
      </c>
      <c r="AV5" s="20" t="s">
        <v>23</v>
      </c>
      <c r="AW5" s="12" t="s">
        <v>9</v>
      </c>
      <c r="AX5" s="12" t="s">
        <v>14</v>
      </c>
      <c r="AY5" s="12" t="s">
        <v>25</v>
      </c>
      <c r="AZ5" s="20" t="s">
        <v>24</v>
      </c>
      <c r="BA5" s="7" t="s">
        <v>19</v>
      </c>
      <c r="BB5" s="12" t="s">
        <v>26</v>
      </c>
      <c r="BC5" s="20" t="s">
        <v>15</v>
      </c>
      <c r="BD5" s="12" t="s">
        <v>11</v>
      </c>
      <c r="BE5" s="12" t="s">
        <v>16</v>
      </c>
    </row>
    <row r="6" spans="1:57" ht="12.75" customHeight="1" x14ac:dyDescent="0.2">
      <c r="A6" s="42" t="s">
        <v>60</v>
      </c>
      <c r="B6" s="43" t="s">
        <v>61</v>
      </c>
      <c r="C6" s="43" t="s">
        <v>62</v>
      </c>
      <c r="D6" s="44" t="s">
        <v>3</v>
      </c>
      <c r="E6" s="19"/>
      <c r="F6" s="19"/>
      <c r="G6" s="19"/>
      <c r="H6" s="8">
        <f>E6*(4/30) + F6*(4/30) + G6*(4/30)</f>
        <v>0</v>
      </c>
      <c r="I6" s="8" t="str">
        <f>IF(D6="C", "Convalidado", IF(H6&gt;=2,"SI","NO"))</f>
        <v>NO</v>
      </c>
      <c r="J6" s="8">
        <f t="shared" ref="J6" si="0">COUNTIF(E6:G6,"&gt;=0")</f>
        <v>0</v>
      </c>
      <c r="K6" s="8" t="str">
        <f>IF(D6="C", "Convalidado",IF(J6&gt;=2,"SI","NO"))</f>
        <v>NO</v>
      </c>
      <c r="L6" s="19"/>
      <c r="M6" s="10" t="str">
        <f>IF(D6="C", "Convalidado", IF(ISBLANK(L6), "NP", IF(L6&lt;5, "EXAMEN SUSPENSO", IF(H6&gt;=2,H6+0.6*L6, "NO APLIC"))))</f>
        <v>NP</v>
      </c>
      <c r="N6" s="11" t="str">
        <f>M6</f>
        <v>NP</v>
      </c>
      <c r="O6" s="11" t="str">
        <f>IF(I6="SI", "Aprobadas en ORD", IF(J6&gt;=1, "SI", "NO"))</f>
        <v>NO</v>
      </c>
      <c r="P6" s="19"/>
      <c r="Q6" s="8" t="str">
        <f>IF(D6="C", "Convalidado", IF(I6="SI", "Aprobadas en ORD", IF(O6="NO", "NO PUEDE PRESENTARLAS", IF(P6&gt;=5,"SI","NO"))))</f>
        <v>NO PUEDE PRESENTARLAS</v>
      </c>
      <c r="R6" s="8" t="str">
        <f>IF(AND(I6="NO",L6&gt;=5),"Sólo debe recuperar Tareas EXT",IF(Q6="NO PUEDE PRESENTARLAS","NO PUEDE PRESENTARSE",IF(D6="C","Convalidado",IF(L6&gt;=5,"Examen aprobado en ORD","SI"))))</f>
        <v>NO PUEDE PRESENTARSE</v>
      </c>
      <c r="S6" s="19"/>
      <c r="T6" s="8" t="str">
        <f>IF(D6="C","Convalidado",IF(AND(Q6="Aprobadas en ORD",R6="Examen aprobado en ORD"),"Ámbito aprobado en ORD",IF(AND(R6="Sólo debe recuperar Tareas EXT",ISBLANK(P6)),"Tareas EXT no presentadas",IF(AND(P6&lt;5,R6="Sólo debe recuperar Tareas EXT"),"Tareas EXT Suspensas",IF(AND(O6="Aprobadas en ORD",S6&gt;=5),0.6*S6+H6,IF(AND(O6="Aprobadas en ORD",ISBLANK(S6)),"NP",IF(AND(O6="Aprobadas en ORD",S6&lt;5),"EXAMEN SUSPENSO",IF(AND(O6="Aprobadas en ORD",ISBLANK(S6)),"NP",IF(AND(L6&gt;=5,P6&gt;=5),5*0.4+L6*0.6,IF(R6="NO PUEDE PRESENTARSE","NP",IF(ISBLANK(S6),"NP",IF(AND(H6&gt;=2,S6&gt;=5),H6+0.6*S6,IF(AND(R6="SI",ISBLANK(P6)),"Tareas EXT no presentadas",IF(AND(Q6="NO",S6&gt;=0),"Tareas EXT suspensas",IF(S6&lt;5,"EXAMEN SUSPENSO",IF(H6&gt;=2,H6+0.6*S6,IF(L6&gt;=5,0.6*L6+0.4*5,IF(AND(S6&gt;=5,P6&gt;=5),5*0.4+S6*0.6))))))))))))))))))</f>
        <v>NP</v>
      </c>
      <c r="U6" s="11" t="str">
        <f>T6</f>
        <v>NP</v>
      </c>
      <c r="V6" s="45" t="s">
        <v>3</v>
      </c>
      <c r="W6" s="21"/>
      <c r="X6" s="21"/>
      <c r="Y6" s="21"/>
      <c r="Z6" s="13">
        <f>W6*(4/30) + X6*(4/30) + Y6*(4/30)</f>
        <v>0</v>
      </c>
      <c r="AA6" s="13" t="str">
        <f>IF(V6="C", "Convalidado", IF(Z6&gt;=2,"SI","NO"))</f>
        <v>NO</v>
      </c>
      <c r="AB6" s="13">
        <f t="shared" ref="AB6" si="1">COUNTIF(W6:Y6,"&gt;=0")</f>
        <v>0</v>
      </c>
      <c r="AC6" s="13" t="str">
        <f>IF(V6="C", "Convalidado",IF(AB6&gt;=2,"SI","NO"))</f>
        <v>NO</v>
      </c>
      <c r="AD6" s="21"/>
      <c r="AE6" s="13" t="str">
        <f>IF(V6="C", "Convalidado", IF(ISBLANK(AD6), "NP", IF(AD6&lt;5, "EXAMEN SUSPENSO", IF(Z6&gt;=2,Z6+0.6*AD6, "NO APLIC"))))</f>
        <v>NP</v>
      </c>
      <c r="AF6" s="14" t="str">
        <f>AE6</f>
        <v>NP</v>
      </c>
      <c r="AG6" s="14" t="str">
        <f>IF(AA6="SI", "Aprobadas en ORD", IF(AB6&gt;=1, "SI", "NO"))</f>
        <v>NO</v>
      </c>
      <c r="AH6" s="21"/>
      <c r="AI6" s="13" t="str">
        <f>IF(V6="C", "Convalidado", IF(AA6="SI", "Aprobadas en ORD", IF(AG6="NO", "NO PUEDE PRESENTARLAS", IF(AH6&gt;=5,"SI","NO"))))</f>
        <v>NO PUEDE PRESENTARLAS</v>
      </c>
      <c r="AJ6" s="13" t="str">
        <f>IF(AND(AA6="NO",AD6&gt;=5),"Sólo debe recuperar Tareas EXT",IF(AI6="NO PUEDE PRESENTARLAS","NO PUEDE PRESENTARSE",IF(V6="C","Convalidado",IF(AD6&gt;=5,"Examen aprobado en ORD","SI"))))</f>
        <v>NO PUEDE PRESENTARSE</v>
      </c>
      <c r="AK6" s="21"/>
      <c r="AL6" s="13" t="str">
        <f>IF(V6="C","Convalidado",IF(AND(AI6="Aprobadas en ORD",AJ6="Examen aprobado en ORD"),"Ámbito aprobado en ORD",IF(AND(AJ6="Sólo debe recuperar Tareas EXT",ISBLANK(AH6)),"Tareas EXT no presentadas",IF(AND(AH6&lt;5,AJ6="Sólo debe recuperar Tareas EXT"),"Tareas EXT Suspensas",IF(AND(AG6="Aprobadas en ORD",AK6&gt;=5),0.6*AK6+Z6,IF(AND(AG6="Aprobadas en ORD",ISBLANK(AK6)),"NP",IF(AND(AG6="Aprobadas en ORD",AK6&lt;5),"EXAMEN SUSPENSO",IF(AND(AG6="Aprobadas en ORD",ISBLANK(AK6)),"NP",IF(AND(AD6&gt;=5,AH6&gt;=5),5*0.4+AD6*0.6,IF(AJ6="NO PUEDE PRESENTARSE","NP",IF(ISBLANK(AK6),"NP",IF(AND(Z6&gt;=2,AK6&gt;=5),Z6+0.6*AK6,IF(AND(AJ6="SI",ISBLANK(AH6)),"Tareas EXT no presentadas",IF(AND(AI6="NO",AK6&gt;=0),"Tareas EXT suspensas",IF(AK6&lt;5,"EXAMEN SUSPENSO",IF(Z6&gt;=2,Z6+0.6*AK6,IF(AD6&gt;=5,0.6*AD6+0.4*5,IF(AND(AK6&gt;=5,AH6&gt;=5),5*0.4+AK6*0.6))))))))))))))))))</f>
        <v>NP</v>
      </c>
      <c r="AM6" s="14" t="str">
        <f>AL6</f>
        <v>NP</v>
      </c>
      <c r="AN6" s="46" t="s">
        <v>3</v>
      </c>
      <c r="AO6" s="26"/>
      <c r="AP6" s="22"/>
      <c r="AQ6" s="22"/>
      <c r="AR6" s="15">
        <f>AO6*(4/30) + AP6*(4/30) + AQ6*(4/30)</f>
        <v>0</v>
      </c>
      <c r="AS6" s="15" t="str">
        <f>IF(AN6="C", "Convalidado", IF(AR6&gt;=2,"SI","NO"))</f>
        <v>NO</v>
      </c>
      <c r="AT6" s="15">
        <f t="shared" ref="AT6" si="2">COUNTIF(AO6:AQ6,"&gt;=0")</f>
        <v>0</v>
      </c>
      <c r="AU6" s="15" t="str">
        <f>IF(AN6="C", "Convalidado",IF(AT6&gt;=2,"SI","NO"))</f>
        <v>NO</v>
      </c>
      <c r="AV6" s="22"/>
      <c r="AW6" s="15" t="str">
        <f>IF(AN6="C", "Convalidado", IF(ISBLANK(AV6), "NP", IF(AV6&lt;5, "EXAMEN SUSPENSO", IF(AR6&gt;=2,AR6+0.6*AV6, "NO APLIC"))))</f>
        <v>NP</v>
      </c>
      <c r="AX6" s="16" t="str">
        <f>AW6</f>
        <v>NP</v>
      </c>
      <c r="AY6" s="16" t="str">
        <f>IF(AS6="SI", "Aprobadas en ORD", IF(AT6&gt;=1, "SI", "NO"))</f>
        <v>NO</v>
      </c>
      <c r="AZ6" s="22"/>
      <c r="BA6" s="15" t="str">
        <f>IF(AN6="C", "Convalidado", IF(AS6="SI", "Aprobadas en ORD", IF(AY6="NO", "NO PUEDE PRESENTARLAS", IF(AZ6&gt;=5,"SI","NO"))))</f>
        <v>NO PUEDE PRESENTARLAS</v>
      </c>
      <c r="BB6" s="15" t="str">
        <f>IF(AND(AS6="NO",AV6&gt;=5),"Sólo debe recuperar Tareas EXT",IF(BA6="NO PUEDE PRESENTARLAS","NO PUEDE PRESENTARSE",IF(AN6="C","Convalidado",IF(AV6&gt;=5,"Examen aprobado en ORD","SI"))))</f>
        <v>NO PUEDE PRESENTARSE</v>
      </c>
      <c r="BC6" s="22"/>
      <c r="BD6" s="15" t="str">
        <f>IF(AN6="C","Convalidado",IF(AND(BA6="Aprobadas en ORD",BB6="Examen aprobado en ORD"),"Ámbito aprobado en ORD",IF(AND(BB6="Sólo debe recuperar Tareas EXT",ISBLANK(AZ6)),"Tareas EXT no presentadas",IF(AND(AZ6&lt;5,BB6="Sólo debe recuperar Tareas EXT"),"Tareas EXT Suspensas",IF(AND(AY6="Aprobadas en ORD",BC6&gt;=5),0.6*BC6+AR6,IF(AND(AY6="Aprobadas en ORD",ISBLANK(BC6)),"NP",IF(AND(AY6="Aprobadas en ORD",BC6&lt;5),"EXAMEN SUSPENSO",IF(AND(AY6="Aprobadas en ORD",ISBLANK(BC6)),"NP",IF(AND(AV6&gt;=5,AZ6&gt;=5),5*0.4+AV6*0.6,IF(BB6="NO PUEDE PRESENTARSE","NP",IF(ISBLANK(BC6),"NP",IF(AND(AR6&gt;=2,BC6&gt;=5),AR6+0.6*BC6,IF(AND(BB6="SI",ISBLANK(AZ6)),"Tareas EXT no presentadas",IF(AND(BA6="NO",BC6&gt;=0),"Tareas EXT suspensas",IF(BC6&lt;5,"EXAMEN SUSPENSO",IF(AR6&gt;=2,AR6+0.6*BC6,IF(AV6&gt;=5,0*A6V6+0.4*5,IF(AND(BC6&gt;=5,AZ6&gt;=5),5*0.4+BC6*0.6))))))))))))))))))</f>
        <v>NP</v>
      </c>
      <c r="BE6" s="16" t="str">
        <f>BD6</f>
        <v>NP</v>
      </c>
    </row>
    <row r="7" spans="1:57" x14ac:dyDescent="0.2">
      <c r="A7" s="42" t="s">
        <v>58</v>
      </c>
      <c r="B7" s="43" t="s">
        <v>59</v>
      </c>
      <c r="C7" s="43" t="s">
        <v>62</v>
      </c>
      <c r="D7" s="44" t="s">
        <v>2</v>
      </c>
      <c r="E7" s="19"/>
      <c r="F7" s="19"/>
      <c r="G7" s="19"/>
      <c r="H7" s="8">
        <f t="shared" ref="H7:H26" si="3">E7*(4/30) + F7*(4/30) + G7*(4/30)</f>
        <v>0</v>
      </c>
      <c r="I7" s="8" t="str">
        <f t="shared" ref="I7:I26" si="4">IF(D7="C", "Convalidado", IF(H7&gt;=2,"SI","NO"))</f>
        <v>Convalidado</v>
      </c>
      <c r="J7" s="8">
        <f t="shared" ref="J7:J26" si="5">COUNTIF(E7:G7,"&gt;=0")</f>
        <v>0</v>
      </c>
      <c r="K7" s="8" t="str">
        <f t="shared" ref="K7:K26" si="6">IF(D7="C", "Convalidado",IF(J7&gt;=2,"SI","NO"))</f>
        <v>Convalidado</v>
      </c>
      <c r="L7" s="19"/>
      <c r="M7" s="10" t="str">
        <f t="shared" ref="M7:M26" si="7">IF(D7="C", "Convalidado", IF(ISBLANK(L7), "NP", IF(L7&lt;5, "EXAMEN SUSPENSO", IF(H7&gt;=2,H7+0.6*L7, "NO APLIC"))))</f>
        <v>Convalidado</v>
      </c>
      <c r="N7" s="11" t="str">
        <f t="shared" ref="N7:N26" si="8">M7</f>
        <v>Convalidado</v>
      </c>
      <c r="O7" s="11" t="str">
        <f t="shared" ref="O7:O26" si="9">IF(I7="SI", "Aprobadas en ORD", IF(J7&gt;=1, "SI", "NO"))</f>
        <v>NO</v>
      </c>
      <c r="P7" s="19"/>
      <c r="Q7" s="8" t="str">
        <f t="shared" ref="Q7:Q26" si="10">IF(D7="C", "Convalidado", IF(I7="SI", "Aprobadas en ORD", IF(O7="NO", "NO PUEDE PRESENTARLAS", IF(P7&gt;=5,"SI","NO"))))</f>
        <v>Convalidado</v>
      </c>
      <c r="R7" s="8" t="str">
        <f t="shared" ref="R7:R26" si="11">IF(AND(I7="NO",L7&gt;=5),"Sólo debe recuperar Tareas EXT",IF(Q7="NO PUEDE PRESENTARLAS","NO PUEDE PRESENTARSE",IF(D7="C","Convalidado",IF(L7&gt;=5,"Examen aprobado en ORD","SI"))))</f>
        <v>Convalidado</v>
      </c>
      <c r="S7" s="19"/>
      <c r="T7" s="8" t="str">
        <f t="shared" ref="T7:T26" si="12">IF(D7="C","Convalidado",IF(AND(Q7="Aprobadas en ORD",R7="Examen aprobado en ORD"),"Ámbito aprobado en ORD",IF(AND(R7="Sólo debe recuperar Tareas EXT",ISBLANK(P7)),"Tareas EXT no presentadas",IF(AND(P7&lt;5,R7="Sólo debe recuperar Tareas EXT"),"Tareas EXT Suspensas",IF(AND(O7="Aprobadas en ORD",S7&gt;=5),0.6*S7+H7,IF(AND(O7="Aprobadas en ORD",ISBLANK(S7)),"NP",IF(AND(O7="Aprobadas en ORD",S7&lt;5),"EXAMEN SUSPENSO",IF(AND(O7="Aprobadas en ORD",ISBLANK(S7)),"NP",IF(AND(L7&gt;=5,P7&gt;=5),5*0.4+L7*0.6,IF(R7="NO PUEDE PRESENTARSE","NP",IF(ISBLANK(S7),"NP",IF(AND(H7&gt;=2,S7&gt;=5),H7+0.6*S7,IF(AND(R7="SI",ISBLANK(P7)),"Tareas EXT no presentadas",IF(AND(Q7="NO",S7&gt;=0),"Tareas EXT suspensas",IF(S7&lt;5,"EXAMEN SUSPENSO",IF(H7&gt;=2,H7+0.6*S7,IF(L7&gt;=5,0.6*L7+0.4*5,IF(AND(S7&gt;=5,P7&gt;=5),5*0.4+S7*0.6))))))))))))))))))</f>
        <v>Convalidado</v>
      </c>
      <c r="U7" s="11" t="str">
        <f t="shared" ref="U7:U26" si="13">T7</f>
        <v>Convalidado</v>
      </c>
      <c r="V7" s="45" t="s">
        <v>2</v>
      </c>
      <c r="W7" s="21"/>
      <c r="X7" s="21"/>
      <c r="Y7" s="21"/>
      <c r="Z7" s="13">
        <f t="shared" ref="Z7:Z26" si="14">W7*(4/30) + X7*(4/30) + Y7*(4/30)</f>
        <v>0</v>
      </c>
      <c r="AA7" s="13" t="str">
        <f t="shared" ref="AA7:AA26" si="15">IF(V7="C", "Convalidado", IF(Z7&gt;=2,"SI","NO"))</f>
        <v>Convalidado</v>
      </c>
      <c r="AB7" s="13">
        <f t="shared" ref="AB7:AB26" si="16">COUNTIF(W7:Y7,"&gt;=0")</f>
        <v>0</v>
      </c>
      <c r="AC7" s="13" t="str">
        <f t="shared" ref="AC7:AC26" si="17">IF(V7="C", "Convalidado",IF(AB7&gt;=2,"SI","NO"))</f>
        <v>Convalidado</v>
      </c>
      <c r="AD7" s="21"/>
      <c r="AE7" s="13" t="str">
        <f t="shared" ref="AE7:AE26" si="18">IF(V7="C", "Convalidado", IF(ISBLANK(AD7), "NP", IF(AD7&lt;5, "EXAMEN SUSPENSO", IF(Z7&gt;=2,Z7+0.6*AD7, "NO APLIC"))))</f>
        <v>Convalidado</v>
      </c>
      <c r="AF7" s="14" t="str">
        <f t="shared" ref="AF7:AF26" si="19">AE7</f>
        <v>Convalidado</v>
      </c>
      <c r="AG7" s="14" t="str">
        <f t="shared" ref="AG7:AG26" si="20">IF(AA7="SI", "Aprobadas en ORD", IF(AB7&gt;=1, "SI", "NO"))</f>
        <v>NO</v>
      </c>
      <c r="AH7" s="21"/>
      <c r="AI7" s="13" t="str">
        <f t="shared" ref="AI7:AI26" si="21">IF(V7="C", "Convalidado", IF(AA7="SI", "Aprobadas en ORD", IF(AG7="NO", "NO PUEDE PRESENTARLAS", IF(AH7&gt;=5,"SI","NO"))))</f>
        <v>Convalidado</v>
      </c>
      <c r="AJ7" s="13" t="str">
        <f t="shared" ref="AJ7:AJ26" si="22">IF(AND(AA7="NO",AD7&gt;=5),"Sólo debe recuperar Tareas EXT",IF(AI7="NO PUEDE PRESENTARLAS","NO PUEDE PRESENTARSE",IF(V7="C","Convalidado",IF(AD7&gt;=5,"Examen aprobado en ORD","SI"))))</f>
        <v>Convalidado</v>
      </c>
      <c r="AK7" s="21"/>
      <c r="AL7" s="13" t="str">
        <f t="shared" ref="AL7:AL26" si="23">IF(V7="C","Convalidado",IF(AND(AI7="Aprobadas en ORD",AJ7="Examen aprobado en ORD"),"Ámbito aprobado en ORD",IF(AND(AJ7="Sólo debe recuperar Tareas EXT",ISBLANK(AH7)),"Tareas EXT no presentadas",IF(AND(AH7&lt;5,AJ7="Sólo debe recuperar Tareas EXT"),"Tareas EXT Suspensas",IF(AND(AG7="Aprobadas en ORD",AK7&gt;=5),0.6*AK7+Z7,IF(AND(AG7="Aprobadas en ORD",ISBLANK(AK7)),"NP",IF(AND(AG7="Aprobadas en ORD",AK7&lt;5),"EXAMEN SUSPENSO",IF(AND(AG7="Aprobadas en ORD",ISBLANK(AK7)),"NP",IF(AND(AD7&gt;=5,AH7&gt;=5),5*0.4+AD7*0.6,IF(AJ7="NO PUEDE PRESENTARSE","NP",IF(ISBLANK(AK7),"NP",IF(AND(Z7&gt;=2,AK7&gt;=5),Z7+0.6*AK7,IF(AND(AJ7="SI",ISBLANK(AH7)),"Tareas EXT no presentadas",IF(AND(AI7="NO",AK7&gt;=0),"Tareas EXT suspensas",IF(AK7&lt;5,"EXAMEN SUSPENSO",IF(Z7&gt;=2,Z7+0.6*AK7,IF(AD7&gt;=5,0.6*AD7+0.4*5,IF(AND(AK7&gt;=5,AH7&gt;=5),5*0.4+AK7*0.6))))))))))))))))))</f>
        <v>Convalidado</v>
      </c>
      <c r="AM7" s="14" t="str">
        <f t="shared" ref="AM7:AM26" si="24">AL7</f>
        <v>Convalidado</v>
      </c>
      <c r="AN7" s="46" t="s">
        <v>2</v>
      </c>
      <c r="AO7" s="26"/>
      <c r="AP7" s="22"/>
      <c r="AQ7" s="22"/>
      <c r="AR7" s="15">
        <f t="shared" ref="AR7:AR26" si="25">AO7*(4/30) + AP7*(4/30) + AQ7*(4/30)</f>
        <v>0</v>
      </c>
      <c r="AS7" s="15" t="str">
        <f t="shared" ref="AS7:AS26" si="26">IF(AN7="C", "Convalidado", IF(AR7&gt;=2,"SI","NO"))</f>
        <v>Convalidado</v>
      </c>
      <c r="AT7" s="15">
        <f t="shared" ref="AT7:AT26" si="27">COUNTIF(AO7:AQ7,"&gt;=0")</f>
        <v>0</v>
      </c>
      <c r="AU7" s="15" t="str">
        <f t="shared" ref="AU7:AU26" si="28">IF(AN7="C", "Convalidado",IF(AT7&gt;=2,"SI","NO"))</f>
        <v>Convalidado</v>
      </c>
      <c r="AV7" s="22"/>
      <c r="AW7" s="15" t="str">
        <f t="shared" ref="AW7:AW26" si="29">IF(AN7="C", "Convalidado", IF(ISBLANK(AV7), "NP", IF(AV7&lt;5, "EXAMEN SUSPENSO", IF(AR7&gt;=2,AR7+0.6*AV7, "NO APLIC"))))</f>
        <v>Convalidado</v>
      </c>
      <c r="AX7" s="16" t="str">
        <f t="shared" ref="AX7:AX26" si="30">AW7</f>
        <v>Convalidado</v>
      </c>
      <c r="AY7" s="16" t="str">
        <f t="shared" ref="AY7:AY26" si="31">IF(AS7="SI", "Aprobadas en ORD", IF(AT7&gt;=1, "SI", "NO"))</f>
        <v>NO</v>
      </c>
      <c r="AZ7" s="22"/>
      <c r="BA7" s="15" t="str">
        <f t="shared" ref="BA7:BA26" si="32">IF(AN7="C", "Convalidado", IF(AS7="SI", "Aprobadas en ORD", IF(AY7="NO", "NO PUEDE PRESENTARLAS", IF(AZ7&gt;=5,"SI","NO"))))</f>
        <v>Convalidado</v>
      </c>
      <c r="BB7" s="15" t="str">
        <f t="shared" ref="BB7:BB26" si="33">IF(AND(AS7="NO",AV7&gt;=5),"Sólo debe recuperar Tareas EXT",IF(BA7="NO PUEDE PRESENTARLAS","NO PUEDE PRESENTARSE",IF(AN7="C","Convalidado",IF(AV7&gt;=5,"Examen aprobado en ORD","SI"))))</f>
        <v>Convalidado</v>
      </c>
      <c r="BC7" s="22"/>
      <c r="BD7" s="15" t="str">
        <f>IF(AN7="C","Convalidado",IF(AND(BA7="Aprobadas en ORD",BB7="Examen aprobado en ORD"),"Ámbito aprobado en ORD",IF(AND(BB7="Sólo debe recuperar Tareas EXT",ISBLANK(AZ7)),"Tareas EXT no presentadas",IF(AND(AZ7&lt;5,BB7="Sólo debe recuperar Tareas EXT"),"Tareas EXT Suspensas",IF(AND(AY7="Aprobadas en ORD",BC7&gt;=5),0.6*BC7+AR7,IF(AND(AY7="Aprobadas en ORD",ISBLANK(BC7)),"NP",IF(AND(AY7="Aprobadas en ORD",BC7&lt;5),"EXAMEN SUSPENSO",IF(AND(AY7="Aprobadas en ORD",ISBLANK(BC7)),"NP",IF(AND(AV7&gt;=5,AZ7&gt;=5),5*0.4+AV7*0.6,IF(BB7="NO PUEDE PRESENTARSE","NP",IF(ISBLANK(BC7),"NP",IF(AND(AR7&gt;=2,BC7&gt;=5),AR7+0.6*BC7,IF(AND(BB7="SI",ISBLANK(AZ7)),"Tareas EXT no presentadas",IF(AND(BA7="NO",BC7&gt;=0),"Tareas EXT suspensas",IF(BC7&lt;5,"EXAMEN SUSPENSO",IF(AR7&gt;=2,AR7+0.6*BC7,IF(AV7&gt;=5,0*A6V6+0.4*5,IF(AND(BC7&gt;=5,AZ7&gt;=5),5*0.4+BC7*0.6))))))))))))))))))</f>
        <v>Convalidado</v>
      </c>
      <c r="BE7" s="16" t="str">
        <f t="shared" ref="BE7:BE26" si="34">BD7</f>
        <v>Convalidado</v>
      </c>
    </row>
    <row r="8" spans="1:57" x14ac:dyDescent="0.2">
      <c r="A8" s="42" t="s">
        <v>63</v>
      </c>
      <c r="B8" s="43" t="s">
        <v>64</v>
      </c>
      <c r="C8" s="43" t="s">
        <v>62</v>
      </c>
      <c r="D8" s="44" t="s">
        <v>3</v>
      </c>
      <c r="E8" s="19"/>
      <c r="F8" s="19"/>
      <c r="G8" s="19"/>
      <c r="H8" s="8">
        <f t="shared" si="3"/>
        <v>0</v>
      </c>
      <c r="I8" s="8" t="str">
        <f t="shared" si="4"/>
        <v>NO</v>
      </c>
      <c r="J8" s="8">
        <f t="shared" si="5"/>
        <v>0</v>
      </c>
      <c r="K8" s="8" t="str">
        <f t="shared" si="6"/>
        <v>NO</v>
      </c>
      <c r="L8" s="19"/>
      <c r="M8" s="10" t="str">
        <f t="shared" si="7"/>
        <v>NP</v>
      </c>
      <c r="N8" s="11" t="str">
        <f t="shared" si="8"/>
        <v>NP</v>
      </c>
      <c r="O8" s="11" t="str">
        <f t="shared" si="9"/>
        <v>NO</v>
      </c>
      <c r="P8" s="19"/>
      <c r="Q8" s="8" t="str">
        <f t="shared" si="10"/>
        <v>NO PUEDE PRESENTARLAS</v>
      </c>
      <c r="R8" s="8" t="str">
        <f t="shared" si="11"/>
        <v>NO PUEDE PRESENTARSE</v>
      </c>
      <c r="S8" s="19"/>
      <c r="T8" s="8" t="str">
        <f t="shared" si="12"/>
        <v>NP</v>
      </c>
      <c r="U8" s="11" t="str">
        <f t="shared" si="13"/>
        <v>NP</v>
      </c>
      <c r="V8" s="45" t="s">
        <v>3</v>
      </c>
      <c r="W8" s="21"/>
      <c r="X8" s="21"/>
      <c r="Y8" s="21"/>
      <c r="Z8" s="13">
        <f t="shared" si="14"/>
        <v>0</v>
      </c>
      <c r="AA8" s="13" t="str">
        <f t="shared" si="15"/>
        <v>NO</v>
      </c>
      <c r="AB8" s="13">
        <f t="shared" si="16"/>
        <v>0</v>
      </c>
      <c r="AC8" s="13" t="str">
        <f t="shared" si="17"/>
        <v>NO</v>
      </c>
      <c r="AD8" s="21"/>
      <c r="AE8" s="13" t="str">
        <f t="shared" si="18"/>
        <v>NP</v>
      </c>
      <c r="AF8" s="14" t="str">
        <f t="shared" si="19"/>
        <v>NP</v>
      </c>
      <c r="AG8" s="14" t="str">
        <f t="shared" si="20"/>
        <v>NO</v>
      </c>
      <c r="AH8" s="21"/>
      <c r="AI8" s="13" t="str">
        <f t="shared" si="21"/>
        <v>NO PUEDE PRESENTARLAS</v>
      </c>
      <c r="AJ8" s="13" t="str">
        <f t="shared" si="22"/>
        <v>NO PUEDE PRESENTARSE</v>
      </c>
      <c r="AK8" s="21"/>
      <c r="AL8" s="13" t="str">
        <f t="shared" si="23"/>
        <v>NP</v>
      </c>
      <c r="AM8" s="14" t="str">
        <f t="shared" si="24"/>
        <v>NP</v>
      </c>
      <c r="AN8" s="46" t="s">
        <v>3</v>
      </c>
      <c r="AO8" s="26"/>
      <c r="AP8" s="22"/>
      <c r="AQ8" s="22"/>
      <c r="AR8" s="15">
        <f t="shared" si="25"/>
        <v>0</v>
      </c>
      <c r="AS8" s="15" t="str">
        <f t="shared" si="26"/>
        <v>NO</v>
      </c>
      <c r="AT8" s="15">
        <f t="shared" si="27"/>
        <v>0</v>
      </c>
      <c r="AU8" s="15" t="str">
        <f t="shared" si="28"/>
        <v>NO</v>
      </c>
      <c r="AV8" s="22"/>
      <c r="AW8" s="15" t="str">
        <f t="shared" si="29"/>
        <v>NP</v>
      </c>
      <c r="AX8" s="16" t="str">
        <f t="shared" si="30"/>
        <v>NP</v>
      </c>
      <c r="AY8" s="16" t="str">
        <f t="shared" si="31"/>
        <v>NO</v>
      </c>
      <c r="AZ8" s="22"/>
      <c r="BA8" s="15" t="str">
        <f t="shared" si="32"/>
        <v>NO PUEDE PRESENTARLAS</v>
      </c>
      <c r="BB8" s="15" t="str">
        <f t="shared" si="33"/>
        <v>NO PUEDE PRESENTARSE</v>
      </c>
      <c r="BC8" s="22"/>
      <c r="BD8" s="15" t="str">
        <f>IF(AN8="C","Convalidado",IF(AND(BA8="Aprobadas en ORD",BB8="Examen aprobado en ORD"),"Ámbito aprobado en ORD",IF(AND(BB8="Sólo debe recuperar Tareas EXT",ISBLANK(AZ8)),"Tareas EXT no presentadas",IF(AND(AZ8&lt;5,BB8="Sólo debe recuperar Tareas EXT"),"Tareas EXT Suspensas",IF(AND(AY8="Aprobadas en ORD",BC8&gt;=5),0.6*BC8+AR8,IF(AND(AY8="Aprobadas en ORD",ISBLANK(BC8)),"NP",IF(AND(AY8="Aprobadas en ORD",BC8&lt;5),"EXAMEN SUSPENSO",IF(AND(AY8="Aprobadas en ORD",ISBLANK(BC8)),"NP",IF(AND(AV8&gt;=5,AZ8&gt;=5),5*0.4+AV8*0.6,IF(BB8="NO PUEDE PRESENTARSE","NP",IF(ISBLANK(BC8),"NP",IF(AND(AR8&gt;=2,BC8&gt;=5),AR8+0.6*BC8,IF(AND(BB8="SI",ISBLANK(AZ8)),"Tareas EXT no presentadas",IF(AND(BA8="NO",BC8&gt;=0),"Tareas EXT suspensas",IF(BC8&lt;5,"EXAMEN SUSPENSO",IF(AR8&gt;=2,AR8+0.6*BC8,IF(AV8&gt;=5,0*A6V6+0.4*5,IF(AND(BC8&gt;=5,AZ8&gt;=5),5*0.4+BC8*0.6))))))))))))))))))</f>
        <v>NP</v>
      </c>
      <c r="BE8" s="16" t="str">
        <f t="shared" si="34"/>
        <v>NP</v>
      </c>
    </row>
    <row r="9" spans="1:57" x14ac:dyDescent="0.2">
      <c r="A9" s="42" t="s">
        <v>65</v>
      </c>
      <c r="B9" s="43" t="s">
        <v>66</v>
      </c>
      <c r="C9" s="43" t="s">
        <v>62</v>
      </c>
      <c r="D9" s="44" t="s">
        <v>3</v>
      </c>
      <c r="E9" s="19">
        <v>9.5</v>
      </c>
      <c r="F9" s="19">
        <v>9.5</v>
      </c>
      <c r="G9" s="19"/>
      <c r="H9" s="8">
        <f t="shared" si="3"/>
        <v>2.5333333333333332</v>
      </c>
      <c r="I9" s="8" t="str">
        <f t="shared" si="4"/>
        <v>SI</v>
      </c>
      <c r="J9" s="8">
        <f t="shared" si="5"/>
        <v>2</v>
      </c>
      <c r="K9" s="8" t="str">
        <f t="shared" si="6"/>
        <v>SI</v>
      </c>
      <c r="L9" s="19"/>
      <c r="M9" s="10" t="str">
        <f t="shared" si="7"/>
        <v>NP</v>
      </c>
      <c r="N9" s="11" t="str">
        <f t="shared" si="8"/>
        <v>NP</v>
      </c>
      <c r="O9" s="11" t="str">
        <f t="shared" si="9"/>
        <v>Aprobadas en ORD</v>
      </c>
      <c r="P9" s="19"/>
      <c r="Q9" s="8" t="str">
        <f t="shared" si="10"/>
        <v>Aprobadas en ORD</v>
      </c>
      <c r="R9" s="8" t="str">
        <f t="shared" si="11"/>
        <v>SI</v>
      </c>
      <c r="S9" s="19"/>
      <c r="T9" s="8" t="str">
        <f t="shared" si="12"/>
        <v>NP</v>
      </c>
      <c r="U9" s="11" t="str">
        <f t="shared" si="13"/>
        <v>NP</v>
      </c>
      <c r="V9" s="45" t="s">
        <v>3</v>
      </c>
      <c r="W9" s="21">
        <v>7.4</v>
      </c>
      <c r="X9" s="21">
        <v>7.2</v>
      </c>
      <c r="Y9" s="21"/>
      <c r="Z9" s="13">
        <f t="shared" si="14"/>
        <v>1.9466666666666668</v>
      </c>
      <c r="AA9" s="13" t="str">
        <f t="shared" si="15"/>
        <v>NO</v>
      </c>
      <c r="AB9" s="13">
        <f t="shared" si="16"/>
        <v>2</v>
      </c>
      <c r="AC9" s="13" t="str">
        <f t="shared" si="17"/>
        <v>SI</v>
      </c>
      <c r="AD9" s="21"/>
      <c r="AE9" s="13" t="str">
        <f t="shared" si="18"/>
        <v>NP</v>
      </c>
      <c r="AF9" s="14" t="str">
        <f t="shared" si="19"/>
        <v>NP</v>
      </c>
      <c r="AG9" s="14" t="str">
        <f t="shared" si="20"/>
        <v>SI</v>
      </c>
      <c r="AH9" s="21"/>
      <c r="AI9" s="13" t="str">
        <f t="shared" si="21"/>
        <v>NO</v>
      </c>
      <c r="AJ9" s="13" t="str">
        <f t="shared" si="22"/>
        <v>SI</v>
      </c>
      <c r="AK9" s="21"/>
      <c r="AL9" s="13" t="str">
        <f t="shared" si="23"/>
        <v>NP</v>
      </c>
      <c r="AM9" s="14" t="str">
        <f t="shared" si="24"/>
        <v>NP</v>
      </c>
      <c r="AN9" s="46" t="s">
        <v>3</v>
      </c>
      <c r="AO9" s="26">
        <v>7.3</v>
      </c>
      <c r="AP9" s="22">
        <v>7</v>
      </c>
      <c r="AQ9" s="22"/>
      <c r="AR9" s="15">
        <f t="shared" si="25"/>
        <v>1.9066666666666667</v>
      </c>
      <c r="AS9" s="15" t="str">
        <f t="shared" si="26"/>
        <v>NO</v>
      </c>
      <c r="AT9" s="15">
        <f t="shared" si="27"/>
        <v>2</v>
      </c>
      <c r="AU9" s="15" t="str">
        <f t="shared" si="28"/>
        <v>SI</v>
      </c>
      <c r="AV9" s="22"/>
      <c r="AW9" s="15" t="str">
        <f t="shared" si="29"/>
        <v>NP</v>
      </c>
      <c r="AX9" s="16" t="str">
        <f t="shared" si="30"/>
        <v>NP</v>
      </c>
      <c r="AY9" s="16" t="str">
        <f t="shared" si="31"/>
        <v>SI</v>
      </c>
      <c r="AZ9" s="22"/>
      <c r="BA9" s="15" t="str">
        <f t="shared" si="32"/>
        <v>NO</v>
      </c>
      <c r="BB9" s="15" t="str">
        <f t="shared" si="33"/>
        <v>SI</v>
      </c>
      <c r="BC9" s="22"/>
      <c r="BD9" s="15" t="str">
        <f>IF(AN9="C","Convalidado",IF(AND(BA9="Aprobadas en ORD",BB9="Examen aprobado en ORD"),"Ámbito aprobado en ORD",IF(AND(BB9="Sólo debe recuperar Tareas EXT",ISBLANK(AZ9)),"Tareas EXT no presentadas",IF(AND(AZ9&lt;5,BB9="Sólo debe recuperar Tareas EXT"),"Tareas EXT Suspensas",IF(AND(AY9="Aprobadas en ORD",BC9&gt;=5),0.6*BC9+AR9,IF(AND(AY9="Aprobadas en ORD",ISBLANK(BC9)),"NP",IF(AND(AY9="Aprobadas en ORD",BC9&lt;5),"EXAMEN SUSPENSO",IF(AND(AY9="Aprobadas en ORD",ISBLANK(BC9)),"NP",IF(AND(AV9&gt;=5,AZ9&gt;=5),5*0.4+AV9*0.6,IF(BB9="NO PUEDE PRESENTARSE","NP",IF(ISBLANK(BC9),"NP",IF(AND(AR9&gt;=2,BC9&gt;=5),AR9+0.6*BC9,IF(AND(BB9="SI",ISBLANK(AZ9)),"Tareas EXT no presentadas",IF(AND(BA9="NO",BC9&gt;=0),"Tareas EXT suspensas",IF(BC9&lt;5,"EXAMEN SUSPENSO",IF(AR9&gt;=2,AR9+0.6*BC9,IF(AV9&gt;=5,0*A6V6+0.4*5,IF(AND(BC9&gt;=5,AZ9&gt;=5),5*0.4+BC9*0.6))))))))))))))))))</f>
        <v>NP</v>
      </c>
      <c r="BE9" s="16" t="str">
        <f t="shared" si="34"/>
        <v>NP</v>
      </c>
    </row>
    <row r="10" spans="1:57" x14ac:dyDescent="0.2">
      <c r="A10" s="42" t="s">
        <v>67</v>
      </c>
      <c r="B10" s="43" t="s">
        <v>68</v>
      </c>
      <c r="C10" s="43" t="s">
        <v>62</v>
      </c>
      <c r="D10" s="44" t="s">
        <v>44</v>
      </c>
      <c r="E10" s="19"/>
      <c r="F10" s="19"/>
      <c r="G10" s="19"/>
      <c r="H10" s="8">
        <f t="shared" si="3"/>
        <v>0</v>
      </c>
      <c r="I10" s="8" t="str">
        <f t="shared" si="4"/>
        <v>NO</v>
      </c>
      <c r="J10" s="8">
        <f t="shared" si="5"/>
        <v>0</v>
      </c>
      <c r="K10" s="8" t="str">
        <f t="shared" si="6"/>
        <v>NO</v>
      </c>
      <c r="L10" s="19"/>
      <c r="M10" s="10" t="str">
        <f t="shared" si="7"/>
        <v>NP</v>
      </c>
      <c r="N10" s="11" t="str">
        <f t="shared" si="8"/>
        <v>NP</v>
      </c>
      <c r="O10" s="11" t="str">
        <f t="shared" si="9"/>
        <v>NO</v>
      </c>
      <c r="P10" s="19"/>
      <c r="Q10" s="8" t="str">
        <f t="shared" si="10"/>
        <v>NO PUEDE PRESENTARLAS</v>
      </c>
      <c r="R10" s="8" t="str">
        <f t="shared" si="11"/>
        <v>NO PUEDE PRESENTARSE</v>
      </c>
      <c r="S10" s="19"/>
      <c r="T10" s="8" t="str">
        <f t="shared" si="12"/>
        <v>NP</v>
      </c>
      <c r="U10" s="11" t="str">
        <f t="shared" si="13"/>
        <v>NP</v>
      </c>
      <c r="V10" s="45" t="s">
        <v>3</v>
      </c>
      <c r="W10" s="21"/>
      <c r="X10" s="21"/>
      <c r="Y10" s="21"/>
      <c r="Z10" s="13">
        <f t="shared" si="14"/>
        <v>0</v>
      </c>
      <c r="AA10" s="13" t="str">
        <f t="shared" si="15"/>
        <v>NO</v>
      </c>
      <c r="AB10" s="13">
        <f t="shared" si="16"/>
        <v>0</v>
      </c>
      <c r="AC10" s="13" t="str">
        <f t="shared" si="17"/>
        <v>NO</v>
      </c>
      <c r="AD10" s="21"/>
      <c r="AE10" s="13" t="str">
        <f t="shared" si="18"/>
        <v>NP</v>
      </c>
      <c r="AF10" s="14" t="str">
        <f t="shared" si="19"/>
        <v>NP</v>
      </c>
      <c r="AG10" s="14" t="str">
        <f t="shared" si="20"/>
        <v>NO</v>
      </c>
      <c r="AH10" s="21"/>
      <c r="AI10" s="13" t="str">
        <f t="shared" si="21"/>
        <v>NO PUEDE PRESENTARLAS</v>
      </c>
      <c r="AJ10" s="13" t="str">
        <f t="shared" si="22"/>
        <v>NO PUEDE PRESENTARSE</v>
      </c>
      <c r="AK10" s="21"/>
      <c r="AL10" s="13" t="str">
        <f t="shared" si="23"/>
        <v>NP</v>
      </c>
      <c r="AM10" s="14" t="str">
        <f t="shared" si="24"/>
        <v>NP</v>
      </c>
      <c r="AN10" s="46" t="s">
        <v>3</v>
      </c>
      <c r="AO10" s="26"/>
      <c r="AP10" s="22"/>
      <c r="AQ10" s="22"/>
      <c r="AR10" s="15">
        <f t="shared" si="25"/>
        <v>0</v>
      </c>
      <c r="AS10" s="15" t="str">
        <f t="shared" si="26"/>
        <v>NO</v>
      </c>
      <c r="AT10" s="15">
        <f t="shared" si="27"/>
        <v>0</v>
      </c>
      <c r="AU10" s="15" t="str">
        <f t="shared" si="28"/>
        <v>NO</v>
      </c>
      <c r="AV10" s="22"/>
      <c r="AW10" s="15" t="str">
        <f t="shared" si="29"/>
        <v>NP</v>
      </c>
      <c r="AX10" s="16" t="str">
        <f t="shared" si="30"/>
        <v>NP</v>
      </c>
      <c r="AY10" s="16" t="str">
        <f t="shared" si="31"/>
        <v>NO</v>
      </c>
      <c r="AZ10" s="22"/>
      <c r="BA10" s="15" t="str">
        <f t="shared" si="32"/>
        <v>NO PUEDE PRESENTARLAS</v>
      </c>
      <c r="BB10" s="15" t="str">
        <f t="shared" si="33"/>
        <v>NO PUEDE PRESENTARSE</v>
      </c>
      <c r="BC10" s="22"/>
      <c r="BD10" s="15" t="str">
        <f>IF(AN10="C","Convalidado",IF(AND(BA10="Aprobadas en ORD",BB10="Examen aprobado en ORD"),"Ámbito aprobado en ORD",IF(AND(BB10="Sólo debe recuperar Tareas EXT",ISBLANK(AZ10)),"Tareas EXT no presentadas",IF(AND(AZ10&lt;5,BB10="Sólo debe recuperar Tareas EXT"),"Tareas EXT Suspensas",IF(AND(AY10="Aprobadas en ORD",BC10&gt;=5),0.6*BC10+AR10,IF(AND(AY10="Aprobadas en ORD",ISBLANK(BC10)),"NP",IF(AND(AY10="Aprobadas en ORD",BC10&lt;5),"EXAMEN SUSPENSO",IF(AND(AY10="Aprobadas en ORD",ISBLANK(BC10)),"NP",IF(AND(AV10&gt;=5,AZ10&gt;=5),5*0.4+AV10*0.6,IF(BB10="NO PUEDE PRESENTARSE","NP",IF(ISBLANK(BC10),"NP",IF(AND(AR10&gt;=2,BC10&gt;=5),AR10+0.6*BC10,IF(AND(BB10="SI",ISBLANK(AZ10)),"Tareas EXT no presentadas",IF(AND(BA10="NO",BC10&gt;=0),"Tareas EXT suspensas",IF(BC10&lt;5,"EXAMEN SUSPENSO",IF(AR10&gt;=2,AR10+0.6*BC10,IF(AV10&gt;=5,0*A6V6+0.4*5,IF(AND(BC10&gt;=5,AZ10&gt;=5),5*0.4+BC10*0.6))))))))))))))))))</f>
        <v>NP</v>
      </c>
      <c r="BE10" s="16" t="str">
        <f t="shared" si="34"/>
        <v>NP</v>
      </c>
    </row>
    <row r="11" spans="1:57" x14ac:dyDescent="0.2">
      <c r="A11" s="42" t="s">
        <v>69</v>
      </c>
      <c r="B11" s="43" t="s">
        <v>70</v>
      </c>
      <c r="C11" s="43" t="s">
        <v>62</v>
      </c>
      <c r="D11" s="44" t="s">
        <v>3</v>
      </c>
      <c r="E11" s="19">
        <v>6.75</v>
      </c>
      <c r="F11" s="19">
        <v>7.5</v>
      </c>
      <c r="G11" s="19"/>
      <c r="H11" s="8">
        <f t="shared" si="3"/>
        <v>1.9</v>
      </c>
      <c r="I11" s="8" t="str">
        <f t="shared" si="4"/>
        <v>NO</v>
      </c>
      <c r="J11" s="8">
        <f t="shared" si="5"/>
        <v>2</v>
      </c>
      <c r="K11" s="8" t="str">
        <f t="shared" si="6"/>
        <v>SI</v>
      </c>
      <c r="L11" s="19"/>
      <c r="M11" s="10" t="str">
        <f t="shared" si="7"/>
        <v>NP</v>
      </c>
      <c r="N11" s="11" t="str">
        <f t="shared" si="8"/>
        <v>NP</v>
      </c>
      <c r="O11" s="11" t="str">
        <f t="shared" si="9"/>
        <v>SI</v>
      </c>
      <c r="P11" s="19"/>
      <c r="Q11" s="8" t="str">
        <f t="shared" si="10"/>
        <v>NO</v>
      </c>
      <c r="R11" s="8" t="str">
        <f t="shared" si="11"/>
        <v>SI</v>
      </c>
      <c r="S11" s="19"/>
      <c r="T11" s="8" t="str">
        <f t="shared" si="12"/>
        <v>NP</v>
      </c>
      <c r="U11" s="11" t="str">
        <f t="shared" si="13"/>
        <v>NP</v>
      </c>
      <c r="V11" s="45" t="s">
        <v>3</v>
      </c>
      <c r="W11" s="21">
        <v>6.5</v>
      </c>
      <c r="X11" s="21">
        <v>6.5</v>
      </c>
      <c r="Y11" s="21"/>
      <c r="Z11" s="13">
        <f t="shared" si="14"/>
        <v>1.7333333333333334</v>
      </c>
      <c r="AA11" s="13" t="str">
        <f t="shared" si="15"/>
        <v>NO</v>
      </c>
      <c r="AB11" s="13">
        <f t="shared" si="16"/>
        <v>2</v>
      </c>
      <c r="AC11" s="13" t="str">
        <f t="shared" si="17"/>
        <v>SI</v>
      </c>
      <c r="AD11" s="21"/>
      <c r="AE11" s="13" t="str">
        <f t="shared" si="18"/>
        <v>NP</v>
      </c>
      <c r="AF11" s="14" t="str">
        <f t="shared" si="19"/>
        <v>NP</v>
      </c>
      <c r="AG11" s="14" t="str">
        <f t="shared" si="20"/>
        <v>SI</v>
      </c>
      <c r="AH11" s="21"/>
      <c r="AI11" s="13" t="str">
        <f t="shared" si="21"/>
        <v>NO</v>
      </c>
      <c r="AJ11" s="13" t="str">
        <f t="shared" si="22"/>
        <v>SI</v>
      </c>
      <c r="AK11" s="21"/>
      <c r="AL11" s="13" t="str">
        <f t="shared" si="23"/>
        <v>NP</v>
      </c>
      <c r="AM11" s="14" t="str">
        <f t="shared" si="24"/>
        <v>NP</v>
      </c>
      <c r="AN11" s="46" t="s">
        <v>3</v>
      </c>
      <c r="AO11" s="26">
        <v>9.1</v>
      </c>
      <c r="AP11" s="22">
        <v>8.1</v>
      </c>
      <c r="AQ11" s="22"/>
      <c r="AR11" s="15">
        <f t="shared" si="25"/>
        <v>2.293333333333333</v>
      </c>
      <c r="AS11" s="15" t="str">
        <f t="shared" si="26"/>
        <v>SI</v>
      </c>
      <c r="AT11" s="15">
        <f t="shared" si="27"/>
        <v>2</v>
      </c>
      <c r="AU11" s="15" t="str">
        <f t="shared" si="28"/>
        <v>SI</v>
      </c>
      <c r="AV11" s="22"/>
      <c r="AW11" s="15" t="str">
        <f t="shared" si="29"/>
        <v>NP</v>
      </c>
      <c r="AX11" s="16" t="str">
        <f t="shared" si="30"/>
        <v>NP</v>
      </c>
      <c r="AY11" s="16" t="str">
        <f t="shared" si="31"/>
        <v>Aprobadas en ORD</v>
      </c>
      <c r="AZ11" s="22"/>
      <c r="BA11" s="15" t="str">
        <f t="shared" si="32"/>
        <v>Aprobadas en ORD</v>
      </c>
      <c r="BB11" s="15" t="str">
        <f t="shared" si="33"/>
        <v>SI</v>
      </c>
      <c r="BC11" s="22"/>
      <c r="BD11" s="15" t="str">
        <f>IF(AN11="C","Convalidado",IF(AND(BA11="Aprobadas en ORD",BB11="Examen aprobado en ORD"),"Ámbito aprobado en ORD",IF(AND(BB11="Sólo debe recuperar Tareas EXT",ISBLANK(AZ11)),"Tareas EXT no presentadas",IF(AND(AZ11&lt;5,BB11="Sólo debe recuperar Tareas EXT"),"Tareas EXT Suspensas",IF(AND(AY11="Aprobadas en ORD",BC11&gt;=5),0.6*BC11+AR11,IF(AND(AY11="Aprobadas en ORD",ISBLANK(BC11)),"NP",IF(AND(AY11="Aprobadas en ORD",BC11&lt;5),"EXAMEN SUSPENSO",IF(AND(AY11="Aprobadas en ORD",ISBLANK(BC11)),"NP",IF(AND(AV11&gt;=5,AZ11&gt;=5),5*0.4+AV11*0.6,IF(BB11="NO PUEDE PRESENTARSE","NP",IF(ISBLANK(BC11),"NP",IF(AND(AR11&gt;=2,BC11&gt;=5),AR11+0.6*BC11,IF(AND(BB11="SI",ISBLANK(AZ11)),"Tareas EXT no presentadas",IF(AND(BA11="NO",BC11&gt;=0),"Tareas EXT suspensas",IF(BC11&lt;5,"EXAMEN SUSPENSO",IF(AR11&gt;=2,AR11+0.6*BC11,IF(AV11&gt;=5,0*A6V6+0.4*5,IF(AND(BC11&gt;=5,AZ11&gt;=5),5*0.4+BC11*0.6))))))))))))))))))</f>
        <v>NP</v>
      </c>
      <c r="BE11" s="16" t="str">
        <f t="shared" si="34"/>
        <v>NP</v>
      </c>
    </row>
    <row r="12" spans="1:57" x14ac:dyDescent="0.2">
      <c r="A12" s="42" t="s">
        <v>52</v>
      </c>
      <c r="B12" s="43" t="s">
        <v>53</v>
      </c>
      <c r="C12" s="43" t="s">
        <v>62</v>
      </c>
      <c r="D12" s="44" t="s">
        <v>3</v>
      </c>
      <c r="E12" s="19">
        <v>7.75</v>
      </c>
      <c r="F12" s="19">
        <v>10</v>
      </c>
      <c r="G12" s="19"/>
      <c r="H12" s="8">
        <f t="shared" si="3"/>
        <v>2.3666666666666663</v>
      </c>
      <c r="I12" s="8" t="str">
        <f t="shared" si="4"/>
        <v>SI</v>
      </c>
      <c r="J12" s="8">
        <f t="shared" si="5"/>
        <v>2</v>
      </c>
      <c r="K12" s="8" t="str">
        <f t="shared" si="6"/>
        <v>SI</v>
      </c>
      <c r="L12" s="19"/>
      <c r="M12" s="10" t="str">
        <f t="shared" si="7"/>
        <v>NP</v>
      </c>
      <c r="N12" s="11" t="str">
        <f t="shared" si="8"/>
        <v>NP</v>
      </c>
      <c r="O12" s="11" t="str">
        <f t="shared" si="9"/>
        <v>Aprobadas en ORD</v>
      </c>
      <c r="P12" s="19"/>
      <c r="Q12" s="8" t="str">
        <f t="shared" si="10"/>
        <v>Aprobadas en ORD</v>
      </c>
      <c r="R12" s="8" t="str">
        <f t="shared" si="11"/>
        <v>SI</v>
      </c>
      <c r="S12" s="19"/>
      <c r="T12" s="8" t="str">
        <f t="shared" si="12"/>
        <v>NP</v>
      </c>
      <c r="U12" s="11" t="str">
        <f t="shared" si="13"/>
        <v>NP</v>
      </c>
      <c r="V12" s="45" t="s">
        <v>44</v>
      </c>
      <c r="W12" s="21"/>
      <c r="X12" s="21"/>
      <c r="Y12" s="21"/>
      <c r="Z12" s="13">
        <f t="shared" si="14"/>
        <v>0</v>
      </c>
      <c r="AA12" s="13" t="str">
        <f t="shared" si="15"/>
        <v>NO</v>
      </c>
      <c r="AB12" s="13">
        <f t="shared" si="16"/>
        <v>0</v>
      </c>
      <c r="AC12" s="13" t="str">
        <f t="shared" si="17"/>
        <v>NO</v>
      </c>
      <c r="AD12" s="21"/>
      <c r="AE12" s="13" t="str">
        <f t="shared" si="18"/>
        <v>NP</v>
      </c>
      <c r="AF12" s="14" t="str">
        <f t="shared" si="19"/>
        <v>NP</v>
      </c>
      <c r="AG12" s="14" t="str">
        <f t="shared" si="20"/>
        <v>NO</v>
      </c>
      <c r="AH12" s="21"/>
      <c r="AI12" s="13" t="str">
        <f t="shared" si="21"/>
        <v>NO PUEDE PRESENTARLAS</v>
      </c>
      <c r="AJ12" s="13" t="str">
        <f t="shared" si="22"/>
        <v>NO PUEDE PRESENTARSE</v>
      </c>
      <c r="AK12" s="21"/>
      <c r="AL12" s="13" t="str">
        <f t="shared" si="23"/>
        <v>NP</v>
      </c>
      <c r="AM12" s="14" t="str">
        <f t="shared" si="24"/>
        <v>NP</v>
      </c>
      <c r="AN12" s="46" t="s">
        <v>44</v>
      </c>
      <c r="AO12" s="26"/>
      <c r="AP12" s="22"/>
      <c r="AQ12" s="22"/>
      <c r="AR12" s="15">
        <f t="shared" si="25"/>
        <v>0</v>
      </c>
      <c r="AS12" s="15" t="str">
        <f t="shared" si="26"/>
        <v>NO</v>
      </c>
      <c r="AT12" s="15">
        <f t="shared" si="27"/>
        <v>0</v>
      </c>
      <c r="AU12" s="15" t="str">
        <f t="shared" si="28"/>
        <v>NO</v>
      </c>
      <c r="AV12" s="22"/>
      <c r="AW12" s="15" t="str">
        <f t="shared" si="29"/>
        <v>NP</v>
      </c>
      <c r="AX12" s="16" t="str">
        <f t="shared" si="30"/>
        <v>NP</v>
      </c>
      <c r="AY12" s="16" t="str">
        <f t="shared" si="31"/>
        <v>NO</v>
      </c>
      <c r="AZ12" s="22"/>
      <c r="BA12" s="15" t="str">
        <f t="shared" si="32"/>
        <v>NO PUEDE PRESENTARLAS</v>
      </c>
      <c r="BB12" s="15" t="str">
        <f t="shared" si="33"/>
        <v>NO PUEDE PRESENTARSE</v>
      </c>
      <c r="BC12" s="22"/>
      <c r="BD12" s="15" t="str">
        <f>IF(AN12="C","Convalidado",IF(AND(BA12="Aprobadas en ORD",BB12="Examen aprobado en ORD"),"Ámbito aprobado en ORD",IF(AND(BB12="Sólo debe recuperar Tareas EXT",ISBLANK(AZ12)),"Tareas EXT no presentadas",IF(AND(AZ12&lt;5,BB12="Sólo debe recuperar Tareas EXT"),"Tareas EXT Suspensas",IF(AND(AY12="Aprobadas en ORD",BC12&gt;=5),0.6*BC12+AR12,IF(AND(AY12="Aprobadas en ORD",ISBLANK(BC12)),"NP",IF(AND(AY12="Aprobadas en ORD",BC12&lt;5),"EXAMEN SUSPENSO",IF(AND(AY12="Aprobadas en ORD",ISBLANK(BC12)),"NP",IF(AND(AV12&gt;=5,AZ12&gt;=5),5*0.4+AV12*0.6,IF(BB12="NO PUEDE PRESENTARSE","NP",IF(ISBLANK(BC12),"NP",IF(AND(AR12&gt;=2,BC12&gt;=5),AR12+0.6*BC12,IF(AND(BB12="SI",ISBLANK(AZ12)),"Tareas EXT no presentadas",IF(AND(BA12="NO",BC12&gt;=0),"Tareas EXT suspensas",IF(BC12&lt;5,"EXAMEN SUSPENSO",IF(AR12&gt;=2,AR12+0.6*BC12,IF(AV12&gt;=5,0*A6V6+0.4*5,IF(AND(BC12&gt;=5,AZ12&gt;=5),5*0.4+BC12*0.6))))))))))))))))))</f>
        <v>NP</v>
      </c>
      <c r="BE12" s="16" t="str">
        <f t="shared" si="34"/>
        <v>NP</v>
      </c>
    </row>
    <row r="13" spans="1:57" x14ac:dyDescent="0.2">
      <c r="A13" s="42" t="s">
        <v>42</v>
      </c>
      <c r="B13" s="43" t="s">
        <v>43</v>
      </c>
      <c r="C13" s="43" t="s">
        <v>62</v>
      </c>
      <c r="D13" s="44" t="s">
        <v>44</v>
      </c>
      <c r="E13" s="19"/>
      <c r="F13" s="19"/>
      <c r="G13" s="19"/>
      <c r="H13" s="8">
        <f t="shared" si="3"/>
        <v>0</v>
      </c>
      <c r="I13" s="8" t="str">
        <f t="shared" si="4"/>
        <v>NO</v>
      </c>
      <c r="J13" s="8">
        <f t="shared" si="5"/>
        <v>0</v>
      </c>
      <c r="K13" s="8" t="str">
        <f t="shared" si="6"/>
        <v>NO</v>
      </c>
      <c r="L13" s="19"/>
      <c r="M13" s="10" t="str">
        <f t="shared" si="7"/>
        <v>NP</v>
      </c>
      <c r="N13" s="11" t="str">
        <f t="shared" si="8"/>
        <v>NP</v>
      </c>
      <c r="O13" s="11" t="str">
        <f t="shared" si="9"/>
        <v>NO</v>
      </c>
      <c r="P13" s="19"/>
      <c r="Q13" s="8" t="str">
        <f t="shared" si="10"/>
        <v>NO PUEDE PRESENTARLAS</v>
      </c>
      <c r="R13" s="8" t="str">
        <f t="shared" si="11"/>
        <v>NO PUEDE PRESENTARSE</v>
      </c>
      <c r="S13" s="19"/>
      <c r="T13" s="8" t="str">
        <f t="shared" si="12"/>
        <v>NP</v>
      </c>
      <c r="U13" s="11" t="str">
        <f t="shared" si="13"/>
        <v>NP</v>
      </c>
      <c r="V13" s="45" t="s">
        <v>44</v>
      </c>
      <c r="W13" s="21"/>
      <c r="X13" s="21"/>
      <c r="Y13" s="21"/>
      <c r="Z13" s="13">
        <f t="shared" si="14"/>
        <v>0</v>
      </c>
      <c r="AA13" s="13" t="str">
        <f t="shared" si="15"/>
        <v>NO</v>
      </c>
      <c r="AB13" s="13">
        <f t="shared" si="16"/>
        <v>0</v>
      </c>
      <c r="AC13" s="13" t="str">
        <f t="shared" si="17"/>
        <v>NO</v>
      </c>
      <c r="AD13" s="21"/>
      <c r="AE13" s="13" t="str">
        <f t="shared" si="18"/>
        <v>NP</v>
      </c>
      <c r="AF13" s="14" t="str">
        <f t="shared" si="19"/>
        <v>NP</v>
      </c>
      <c r="AG13" s="14" t="str">
        <f t="shared" si="20"/>
        <v>NO</v>
      </c>
      <c r="AH13" s="21"/>
      <c r="AI13" s="13" t="str">
        <f t="shared" si="21"/>
        <v>NO PUEDE PRESENTARLAS</v>
      </c>
      <c r="AJ13" s="13" t="str">
        <f t="shared" si="22"/>
        <v>NO PUEDE PRESENTARSE</v>
      </c>
      <c r="AK13" s="21"/>
      <c r="AL13" s="13" t="str">
        <f t="shared" si="23"/>
        <v>NP</v>
      </c>
      <c r="AM13" s="14" t="str">
        <f t="shared" si="24"/>
        <v>NP</v>
      </c>
      <c r="AN13" s="46" t="s">
        <v>88</v>
      </c>
      <c r="AO13" s="26"/>
      <c r="AP13" s="22"/>
      <c r="AQ13" s="22"/>
      <c r="AR13" s="15">
        <f t="shared" si="25"/>
        <v>0</v>
      </c>
      <c r="AS13" s="15" t="str">
        <f t="shared" si="26"/>
        <v>NO</v>
      </c>
      <c r="AT13" s="15">
        <f t="shared" si="27"/>
        <v>0</v>
      </c>
      <c r="AU13" s="15" t="str">
        <f t="shared" si="28"/>
        <v>NO</v>
      </c>
      <c r="AV13" s="22"/>
      <c r="AW13" s="15" t="str">
        <f t="shared" si="29"/>
        <v>NP</v>
      </c>
      <c r="AX13" s="16" t="str">
        <f t="shared" si="30"/>
        <v>NP</v>
      </c>
      <c r="AY13" s="16" t="str">
        <f t="shared" si="31"/>
        <v>NO</v>
      </c>
      <c r="AZ13" s="22"/>
      <c r="BA13" s="15" t="str">
        <f t="shared" si="32"/>
        <v>NO PUEDE PRESENTARLAS</v>
      </c>
      <c r="BB13" s="15" t="str">
        <f t="shared" si="33"/>
        <v>NO PUEDE PRESENTARSE</v>
      </c>
      <c r="BC13" s="22"/>
      <c r="BD13" s="15" t="str">
        <f>IF(AN13="C","Convalidado",IF(AND(BA13="Aprobadas en ORD",BB13="Examen aprobado en ORD"),"Ámbito aprobado en ORD",IF(AND(BB13="Sólo debe recuperar Tareas EXT",ISBLANK(AZ13)),"Tareas EXT no presentadas",IF(AND(AZ13&lt;5,BB13="Sólo debe recuperar Tareas EXT"),"Tareas EXT Suspensas",IF(AND(AY13="Aprobadas en ORD",BC13&gt;=5),0.6*BC13+AR13,IF(AND(AY13="Aprobadas en ORD",ISBLANK(BC13)),"NP",IF(AND(AY13="Aprobadas en ORD",BC13&lt;5),"EXAMEN SUSPENSO",IF(AND(AY13="Aprobadas en ORD",ISBLANK(BC13)),"NP",IF(AND(AV13&gt;=5,AZ13&gt;=5),5*0.4+AV13*0.6,IF(BB13="NO PUEDE PRESENTARSE","NP",IF(ISBLANK(BC13),"NP",IF(AND(AR13&gt;=2,BC13&gt;=5),AR13+0.6*BC13,IF(AND(BB13="SI",ISBLANK(AZ13)),"Tareas EXT no presentadas",IF(AND(BA13="NO",BC13&gt;=0),"Tareas EXT suspensas",IF(BC13&lt;5,"EXAMEN SUSPENSO",IF(AR13&gt;=2,AR13+0.6*BC13,IF(AV13&gt;=5,0*A6V6+0.4*5,IF(AND(BC13&gt;=5,AZ13&gt;=5),5*0.4+BC13*0.6))))))))))))))))))</f>
        <v>NP</v>
      </c>
      <c r="BE13" s="16" t="str">
        <f t="shared" si="34"/>
        <v>NP</v>
      </c>
    </row>
    <row r="14" spans="1:57" x14ac:dyDescent="0.2">
      <c r="A14" s="42" t="s">
        <v>71</v>
      </c>
      <c r="B14" s="43" t="s">
        <v>72</v>
      </c>
      <c r="C14" s="43" t="s">
        <v>62</v>
      </c>
      <c r="D14" s="44" t="s">
        <v>3</v>
      </c>
      <c r="E14" s="19">
        <v>6.5</v>
      </c>
      <c r="F14" s="19">
        <v>9</v>
      </c>
      <c r="G14" s="19"/>
      <c r="H14" s="8">
        <f t="shared" si="3"/>
        <v>2.0666666666666664</v>
      </c>
      <c r="I14" s="8" t="str">
        <f t="shared" si="4"/>
        <v>SI</v>
      </c>
      <c r="J14" s="8">
        <f t="shared" si="5"/>
        <v>2</v>
      </c>
      <c r="K14" s="8" t="str">
        <f t="shared" si="6"/>
        <v>SI</v>
      </c>
      <c r="L14" s="19"/>
      <c r="M14" s="10" t="str">
        <f t="shared" si="7"/>
        <v>NP</v>
      </c>
      <c r="N14" s="11" t="str">
        <f t="shared" si="8"/>
        <v>NP</v>
      </c>
      <c r="O14" s="11" t="str">
        <f t="shared" si="9"/>
        <v>Aprobadas en ORD</v>
      </c>
      <c r="P14" s="19"/>
      <c r="Q14" s="8" t="str">
        <f t="shared" si="10"/>
        <v>Aprobadas en ORD</v>
      </c>
      <c r="R14" s="8" t="str">
        <f t="shared" si="11"/>
        <v>SI</v>
      </c>
      <c r="S14" s="19"/>
      <c r="T14" s="8" t="str">
        <f t="shared" si="12"/>
        <v>NP</v>
      </c>
      <c r="U14" s="11" t="str">
        <f t="shared" si="13"/>
        <v>NP</v>
      </c>
      <c r="V14" s="45" t="s">
        <v>3</v>
      </c>
      <c r="W14" s="21">
        <v>5</v>
      </c>
      <c r="X14" s="21">
        <v>4.5</v>
      </c>
      <c r="Y14" s="21"/>
      <c r="Z14" s="13">
        <f t="shared" si="14"/>
        <v>1.2666666666666666</v>
      </c>
      <c r="AA14" s="13" t="str">
        <f t="shared" si="15"/>
        <v>NO</v>
      </c>
      <c r="AB14" s="13">
        <f t="shared" si="16"/>
        <v>2</v>
      </c>
      <c r="AC14" s="13" t="str">
        <f t="shared" si="17"/>
        <v>SI</v>
      </c>
      <c r="AD14" s="21"/>
      <c r="AE14" s="13" t="str">
        <f t="shared" si="18"/>
        <v>NP</v>
      </c>
      <c r="AF14" s="14" t="str">
        <f t="shared" si="19"/>
        <v>NP</v>
      </c>
      <c r="AG14" s="14" t="str">
        <f t="shared" si="20"/>
        <v>SI</v>
      </c>
      <c r="AH14" s="21"/>
      <c r="AI14" s="13" t="str">
        <f t="shared" si="21"/>
        <v>NO</v>
      </c>
      <c r="AJ14" s="13" t="str">
        <f t="shared" si="22"/>
        <v>SI</v>
      </c>
      <c r="AK14" s="21"/>
      <c r="AL14" s="13" t="str">
        <f t="shared" si="23"/>
        <v>NP</v>
      </c>
      <c r="AM14" s="14" t="str">
        <f t="shared" si="24"/>
        <v>NP</v>
      </c>
      <c r="AN14" s="46" t="s">
        <v>3</v>
      </c>
      <c r="AO14" s="26">
        <v>7.6</v>
      </c>
      <c r="AP14" s="22">
        <v>6.7</v>
      </c>
      <c r="AQ14" s="22"/>
      <c r="AR14" s="15">
        <f t="shared" si="25"/>
        <v>1.9066666666666665</v>
      </c>
      <c r="AS14" s="15" t="str">
        <f t="shared" si="26"/>
        <v>NO</v>
      </c>
      <c r="AT14" s="15">
        <f t="shared" si="27"/>
        <v>2</v>
      </c>
      <c r="AU14" s="15" t="str">
        <f t="shared" si="28"/>
        <v>SI</v>
      </c>
      <c r="AV14" s="22"/>
      <c r="AW14" s="15" t="str">
        <f t="shared" si="29"/>
        <v>NP</v>
      </c>
      <c r="AX14" s="16" t="str">
        <f t="shared" si="30"/>
        <v>NP</v>
      </c>
      <c r="AY14" s="16" t="str">
        <f t="shared" si="31"/>
        <v>SI</v>
      </c>
      <c r="AZ14" s="22"/>
      <c r="BA14" s="15" t="str">
        <f t="shared" si="32"/>
        <v>NO</v>
      </c>
      <c r="BB14" s="15" t="str">
        <f t="shared" si="33"/>
        <v>SI</v>
      </c>
      <c r="BC14" s="22"/>
      <c r="BD14" s="15" t="str">
        <f>IF(AN14="C","Convalidado",IF(AND(BA14="Aprobadas en ORD",BB14="Examen aprobado en ORD"),"Ámbito aprobado en ORD",IF(AND(BB14="Sólo debe recuperar Tareas EXT",ISBLANK(AZ14)),"Tareas EXT no presentadas",IF(AND(AZ14&lt;5,BB14="Sólo debe recuperar Tareas EXT"),"Tareas EXT Suspensas",IF(AND(AY14="Aprobadas en ORD",BC14&gt;=5),0.6*BC14+AR14,IF(AND(AY14="Aprobadas en ORD",ISBLANK(BC14)),"NP",IF(AND(AY14="Aprobadas en ORD",BC14&lt;5),"EXAMEN SUSPENSO",IF(AND(AY14="Aprobadas en ORD",ISBLANK(BC14)),"NP",IF(AND(AV14&gt;=5,AZ14&gt;=5),5*0.4+AV14*0.6,IF(BB14="NO PUEDE PRESENTARSE","NP",IF(ISBLANK(BC14),"NP",IF(AND(AR14&gt;=2,BC14&gt;=5),AR14+0.6*BC14,IF(AND(BB14="SI",ISBLANK(AZ14)),"Tareas EXT no presentadas",IF(AND(BA14="NO",BC14&gt;=0),"Tareas EXT suspensas",IF(BC14&lt;5,"EXAMEN SUSPENSO",IF(AR14&gt;=2,AR14+0.6*BC14,IF(AV14&gt;=5,0*A6V6+0.4*5,IF(AND(BC14&gt;=5,AZ14&gt;=5),5*0.4+BC14*0.6))))))))))))))))))</f>
        <v>NP</v>
      </c>
      <c r="BE14" s="16" t="str">
        <f t="shared" si="34"/>
        <v>NP</v>
      </c>
    </row>
    <row r="15" spans="1:57" x14ac:dyDescent="0.2">
      <c r="A15" s="42" t="s">
        <v>54</v>
      </c>
      <c r="B15" s="43" t="s">
        <v>55</v>
      </c>
      <c r="C15" s="43" t="s">
        <v>62</v>
      </c>
      <c r="D15" s="44" t="s">
        <v>44</v>
      </c>
      <c r="E15" s="19"/>
      <c r="F15" s="19"/>
      <c r="G15" s="19"/>
      <c r="H15" s="8">
        <f t="shared" si="3"/>
        <v>0</v>
      </c>
      <c r="I15" s="8" t="str">
        <f t="shared" si="4"/>
        <v>NO</v>
      </c>
      <c r="J15" s="8">
        <f t="shared" si="5"/>
        <v>0</v>
      </c>
      <c r="K15" s="8" t="str">
        <f t="shared" si="6"/>
        <v>NO</v>
      </c>
      <c r="L15" s="19"/>
      <c r="M15" s="10" t="str">
        <f t="shared" si="7"/>
        <v>NP</v>
      </c>
      <c r="N15" s="11" t="str">
        <f t="shared" si="8"/>
        <v>NP</v>
      </c>
      <c r="O15" s="11" t="str">
        <f t="shared" si="9"/>
        <v>NO</v>
      </c>
      <c r="P15" s="19"/>
      <c r="Q15" s="8" t="str">
        <f t="shared" si="10"/>
        <v>NO PUEDE PRESENTARLAS</v>
      </c>
      <c r="R15" s="8" t="str">
        <f t="shared" si="11"/>
        <v>NO PUEDE PRESENTARSE</v>
      </c>
      <c r="S15" s="19"/>
      <c r="T15" s="8" t="str">
        <f t="shared" si="12"/>
        <v>NP</v>
      </c>
      <c r="U15" s="11" t="str">
        <f t="shared" si="13"/>
        <v>NP</v>
      </c>
      <c r="V15" s="45" t="s">
        <v>3</v>
      </c>
      <c r="W15" s="21">
        <v>6.9</v>
      </c>
      <c r="X15" s="21">
        <v>5.5</v>
      </c>
      <c r="Y15" s="21"/>
      <c r="Z15" s="13">
        <f t="shared" si="14"/>
        <v>1.6533333333333333</v>
      </c>
      <c r="AA15" s="13" t="str">
        <f t="shared" si="15"/>
        <v>NO</v>
      </c>
      <c r="AB15" s="13">
        <f t="shared" si="16"/>
        <v>2</v>
      </c>
      <c r="AC15" s="13" t="str">
        <f t="shared" si="17"/>
        <v>SI</v>
      </c>
      <c r="AD15" s="21"/>
      <c r="AE15" s="13" t="str">
        <f t="shared" si="18"/>
        <v>NP</v>
      </c>
      <c r="AF15" s="14" t="str">
        <f t="shared" si="19"/>
        <v>NP</v>
      </c>
      <c r="AG15" s="14" t="str">
        <f t="shared" si="20"/>
        <v>SI</v>
      </c>
      <c r="AH15" s="21"/>
      <c r="AI15" s="13" t="str">
        <f t="shared" si="21"/>
        <v>NO</v>
      </c>
      <c r="AJ15" s="13" t="str">
        <f t="shared" si="22"/>
        <v>SI</v>
      </c>
      <c r="AK15" s="21"/>
      <c r="AL15" s="13" t="str">
        <f t="shared" si="23"/>
        <v>NP</v>
      </c>
      <c r="AM15" s="14" t="str">
        <f t="shared" si="24"/>
        <v>NP</v>
      </c>
      <c r="AN15" s="46" t="s">
        <v>44</v>
      </c>
      <c r="AO15" s="26"/>
      <c r="AP15" s="22"/>
      <c r="AQ15" s="22"/>
      <c r="AR15" s="15">
        <f t="shared" si="25"/>
        <v>0</v>
      </c>
      <c r="AS15" s="15" t="str">
        <f t="shared" si="26"/>
        <v>NO</v>
      </c>
      <c r="AT15" s="15">
        <f t="shared" si="27"/>
        <v>0</v>
      </c>
      <c r="AU15" s="15" t="str">
        <f t="shared" si="28"/>
        <v>NO</v>
      </c>
      <c r="AV15" s="22"/>
      <c r="AW15" s="15" t="str">
        <f t="shared" si="29"/>
        <v>NP</v>
      </c>
      <c r="AX15" s="16" t="str">
        <f t="shared" si="30"/>
        <v>NP</v>
      </c>
      <c r="AY15" s="16" t="str">
        <f t="shared" si="31"/>
        <v>NO</v>
      </c>
      <c r="AZ15" s="22"/>
      <c r="BA15" s="15" t="str">
        <f t="shared" si="32"/>
        <v>NO PUEDE PRESENTARLAS</v>
      </c>
      <c r="BB15" s="15" t="str">
        <f t="shared" si="33"/>
        <v>NO PUEDE PRESENTARSE</v>
      </c>
      <c r="BC15" s="22"/>
      <c r="BD15" s="15" t="str">
        <f>IF(AN15="C","Convalidado",IF(AND(BA15="Aprobadas en ORD",BB15="Examen aprobado en ORD"),"Ámbito aprobado en ORD",IF(AND(BB15="Sólo debe recuperar Tareas EXT",ISBLANK(AZ15)),"Tareas EXT no presentadas",IF(AND(AZ15&lt;5,BB15="Sólo debe recuperar Tareas EXT"),"Tareas EXT Suspensas",IF(AND(AY15="Aprobadas en ORD",BC15&gt;=5),0.6*BC15+AR15,IF(AND(AY15="Aprobadas en ORD",ISBLANK(BC15)),"NP",IF(AND(AY15="Aprobadas en ORD",BC15&lt;5),"EXAMEN SUSPENSO",IF(AND(AY15="Aprobadas en ORD",ISBLANK(BC15)),"NP",IF(AND(AV15&gt;=5,AZ15&gt;=5),5*0.4+AV15*0.6,IF(BB15="NO PUEDE PRESENTARSE","NP",IF(ISBLANK(BC15),"NP",IF(AND(AR15&gt;=2,BC15&gt;=5),AR15+0.6*BC15,IF(AND(BB15="SI",ISBLANK(AZ15)),"Tareas EXT no presentadas",IF(AND(BA15="NO",BC15&gt;=0),"Tareas EXT suspensas",IF(BC15&lt;5,"EXAMEN SUSPENSO",IF(AR15&gt;=2,AR15+0.6*BC15,IF(AV15&gt;=5,0*A6V6+0.4*5,IF(AND(BC15&gt;=5,AZ15&gt;=5),5*0.4+BC15*0.6))))))))))))))))))</f>
        <v>NP</v>
      </c>
      <c r="BE15" s="16" t="str">
        <f t="shared" si="34"/>
        <v>NP</v>
      </c>
    </row>
    <row r="16" spans="1:57" x14ac:dyDescent="0.2">
      <c r="A16" s="42" t="s">
        <v>46</v>
      </c>
      <c r="B16" s="43" t="s">
        <v>47</v>
      </c>
      <c r="C16" s="43" t="s">
        <v>62</v>
      </c>
      <c r="D16" s="44" t="s">
        <v>2</v>
      </c>
      <c r="E16" s="19"/>
      <c r="F16" s="19"/>
      <c r="G16" s="19"/>
      <c r="H16" s="8">
        <f t="shared" si="3"/>
        <v>0</v>
      </c>
      <c r="I16" s="8" t="str">
        <f t="shared" si="4"/>
        <v>Convalidado</v>
      </c>
      <c r="J16" s="8">
        <f t="shared" si="5"/>
        <v>0</v>
      </c>
      <c r="K16" s="8" t="str">
        <f t="shared" si="6"/>
        <v>Convalidado</v>
      </c>
      <c r="L16" s="19"/>
      <c r="M16" s="10" t="str">
        <f t="shared" si="7"/>
        <v>Convalidado</v>
      </c>
      <c r="N16" s="11" t="str">
        <f t="shared" si="8"/>
        <v>Convalidado</v>
      </c>
      <c r="O16" s="11" t="str">
        <f t="shared" si="9"/>
        <v>NO</v>
      </c>
      <c r="P16" s="19"/>
      <c r="Q16" s="8" t="str">
        <f t="shared" si="10"/>
        <v>Convalidado</v>
      </c>
      <c r="R16" s="8" t="str">
        <f t="shared" si="11"/>
        <v>Convalidado</v>
      </c>
      <c r="S16" s="19"/>
      <c r="T16" s="8" t="str">
        <f t="shared" si="12"/>
        <v>Convalidado</v>
      </c>
      <c r="U16" s="11" t="str">
        <f t="shared" si="13"/>
        <v>Convalidado</v>
      </c>
      <c r="V16" s="45" t="s">
        <v>2</v>
      </c>
      <c r="W16" s="21"/>
      <c r="X16" s="21"/>
      <c r="Y16" s="21"/>
      <c r="Z16" s="13">
        <f t="shared" si="14"/>
        <v>0</v>
      </c>
      <c r="AA16" s="13" t="str">
        <f t="shared" si="15"/>
        <v>Convalidado</v>
      </c>
      <c r="AB16" s="13">
        <f t="shared" si="16"/>
        <v>0</v>
      </c>
      <c r="AC16" s="13" t="str">
        <f t="shared" si="17"/>
        <v>Convalidado</v>
      </c>
      <c r="AD16" s="21"/>
      <c r="AE16" s="13" t="str">
        <f t="shared" si="18"/>
        <v>Convalidado</v>
      </c>
      <c r="AF16" s="14" t="str">
        <f t="shared" si="19"/>
        <v>Convalidado</v>
      </c>
      <c r="AG16" s="14" t="str">
        <f t="shared" si="20"/>
        <v>NO</v>
      </c>
      <c r="AH16" s="21"/>
      <c r="AI16" s="13" t="str">
        <f t="shared" si="21"/>
        <v>Convalidado</v>
      </c>
      <c r="AJ16" s="13" t="str">
        <f t="shared" si="22"/>
        <v>Convalidado</v>
      </c>
      <c r="AK16" s="21"/>
      <c r="AL16" s="13" t="str">
        <f t="shared" si="23"/>
        <v>Convalidado</v>
      </c>
      <c r="AM16" s="14" t="str">
        <f t="shared" si="24"/>
        <v>Convalidado</v>
      </c>
      <c r="AN16" s="46" t="s">
        <v>2</v>
      </c>
      <c r="AO16" s="26"/>
      <c r="AP16" s="22"/>
      <c r="AQ16" s="22"/>
      <c r="AR16" s="15">
        <f t="shared" si="25"/>
        <v>0</v>
      </c>
      <c r="AS16" s="15" t="str">
        <f t="shared" si="26"/>
        <v>Convalidado</v>
      </c>
      <c r="AT16" s="15">
        <f t="shared" si="27"/>
        <v>0</v>
      </c>
      <c r="AU16" s="15" t="str">
        <f t="shared" si="28"/>
        <v>Convalidado</v>
      </c>
      <c r="AV16" s="22"/>
      <c r="AW16" s="15" t="str">
        <f t="shared" si="29"/>
        <v>Convalidado</v>
      </c>
      <c r="AX16" s="16" t="str">
        <f t="shared" si="30"/>
        <v>Convalidado</v>
      </c>
      <c r="AY16" s="16" t="str">
        <f t="shared" si="31"/>
        <v>NO</v>
      </c>
      <c r="AZ16" s="22"/>
      <c r="BA16" s="15" t="str">
        <f t="shared" si="32"/>
        <v>Convalidado</v>
      </c>
      <c r="BB16" s="15" t="str">
        <f t="shared" si="33"/>
        <v>Convalidado</v>
      </c>
      <c r="BC16" s="22"/>
      <c r="BD16" s="15" t="str">
        <f>IF(AN16="C","Convalidado",IF(AND(BA16="Aprobadas en ORD",BB16="Examen aprobado en ORD"),"Ámbito aprobado en ORD",IF(AND(BB16="Sólo debe recuperar Tareas EXT",ISBLANK(AZ16)),"Tareas EXT no presentadas",IF(AND(AZ16&lt;5,BB16="Sólo debe recuperar Tareas EXT"),"Tareas EXT Suspensas",IF(AND(AY16="Aprobadas en ORD",BC16&gt;=5),0.6*BC16+AR16,IF(AND(AY16="Aprobadas en ORD",ISBLANK(BC16)),"NP",IF(AND(AY16="Aprobadas en ORD",BC16&lt;5),"EXAMEN SUSPENSO",IF(AND(AY16="Aprobadas en ORD",ISBLANK(BC16)),"NP",IF(AND(AV16&gt;=5,AZ16&gt;=5),5*0.4+AV16*0.6,IF(BB16="NO PUEDE PRESENTARSE","NP",IF(ISBLANK(BC16),"NP",IF(AND(AR16&gt;=2,BC16&gt;=5),AR16+0.6*BC16,IF(AND(BB16="SI",ISBLANK(AZ16)),"Tareas EXT no presentadas",IF(AND(BA16="NO",BC16&gt;=0),"Tareas EXT suspensas",IF(BC16&lt;5,"EXAMEN SUSPENSO",IF(AR16&gt;=2,AR16+0.6*BC16,IF(AV16&gt;=5,0*A6V6+0.4*5,IF(AND(BC16&gt;=5,AZ16&gt;=5),5*0.4+BC16*0.6))))))))))))))))))</f>
        <v>Convalidado</v>
      </c>
      <c r="BE16" s="16" t="str">
        <f t="shared" si="34"/>
        <v>Convalidado</v>
      </c>
    </row>
    <row r="17" spans="1:57" x14ac:dyDescent="0.2">
      <c r="A17" s="42" t="s">
        <v>73</v>
      </c>
      <c r="B17" s="43" t="s">
        <v>74</v>
      </c>
      <c r="C17" s="43" t="s">
        <v>62</v>
      </c>
      <c r="D17" s="44" t="s">
        <v>3</v>
      </c>
      <c r="E17" s="19">
        <v>8.75</v>
      </c>
      <c r="F17" s="19">
        <v>10</v>
      </c>
      <c r="G17" s="19"/>
      <c r="H17" s="8">
        <f t="shared" si="3"/>
        <v>2.5</v>
      </c>
      <c r="I17" s="8" t="str">
        <f t="shared" si="4"/>
        <v>SI</v>
      </c>
      <c r="J17" s="8">
        <f t="shared" si="5"/>
        <v>2</v>
      </c>
      <c r="K17" s="8" t="str">
        <f t="shared" si="6"/>
        <v>SI</v>
      </c>
      <c r="L17" s="19"/>
      <c r="M17" s="10" t="str">
        <f t="shared" si="7"/>
        <v>NP</v>
      </c>
      <c r="N17" s="11" t="str">
        <f t="shared" si="8"/>
        <v>NP</v>
      </c>
      <c r="O17" s="11" t="str">
        <f t="shared" si="9"/>
        <v>Aprobadas en ORD</v>
      </c>
      <c r="P17" s="19"/>
      <c r="Q17" s="8" t="str">
        <f t="shared" si="10"/>
        <v>Aprobadas en ORD</v>
      </c>
      <c r="R17" s="8" t="str">
        <f t="shared" si="11"/>
        <v>SI</v>
      </c>
      <c r="S17" s="19"/>
      <c r="T17" s="8" t="str">
        <f t="shared" si="12"/>
        <v>NP</v>
      </c>
      <c r="U17" s="11" t="str">
        <f t="shared" si="13"/>
        <v>NP</v>
      </c>
      <c r="V17" s="45" t="s">
        <v>44</v>
      </c>
      <c r="W17" s="21"/>
      <c r="X17" s="21"/>
      <c r="Y17" s="21"/>
      <c r="Z17" s="13">
        <f t="shared" si="14"/>
        <v>0</v>
      </c>
      <c r="AA17" s="13" t="str">
        <f t="shared" si="15"/>
        <v>NO</v>
      </c>
      <c r="AB17" s="13">
        <f t="shared" si="16"/>
        <v>0</v>
      </c>
      <c r="AC17" s="13" t="str">
        <f t="shared" si="17"/>
        <v>NO</v>
      </c>
      <c r="AD17" s="21"/>
      <c r="AE17" s="13" t="str">
        <f t="shared" si="18"/>
        <v>NP</v>
      </c>
      <c r="AF17" s="14" t="str">
        <f t="shared" si="19"/>
        <v>NP</v>
      </c>
      <c r="AG17" s="14" t="str">
        <f t="shared" si="20"/>
        <v>NO</v>
      </c>
      <c r="AH17" s="21"/>
      <c r="AI17" s="13" t="str">
        <f t="shared" si="21"/>
        <v>NO PUEDE PRESENTARLAS</v>
      </c>
      <c r="AJ17" s="13" t="str">
        <f t="shared" si="22"/>
        <v>NO PUEDE PRESENTARSE</v>
      </c>
      <c r="AK17" s="21"/>
      <c r="AL17" s="13" t="str">
        <f t="shared" si="23"/>
        <v>NP</v>
      </c>
      <c r="AM17" s="14" t="str">
        <f t="shared" si="24"/>
        <v>NP</v>
      </c>
      <c r="AN17" s="46" t="s">
        <v>44</v>
      </c>
      <c r="AO17" s="26"/>
      <c r="AP17" s="22"/>
      <c r="AQ17" s="22"/>
      <c r="AR17" s="15">
        <f t="shared" si="25"/>
        <v>0</v>
      </c>
      <c r="AS17" s="15" t="str">
        <f t="shared" si="26"/>
        <v>NO</v>
      </c>
      <c r="AT17" s="15">
        <f t="shared" si="27"/>
        <v>0</v>
      </c>
      <c r="AU17" s="15" t="str">
        <f t="shared" si="28"/>
        <v>NO</v>
      </c>
      <c r="AV17" s="22"/>
      <c r="AW17" s="15" t="str">
        <f t="shared" si="29"/>
        <v>NP</v>
      </c>
      <c r="AX17" s="16" t="str">
        <f t="shared" si="30"/>
        <v>NP</v>
      </c>
      <c r="AY17" s="16" t="str">
        <f t="shared" si="31"/>
        <v>NO</v>
      </c>
      <c r="AZ17" s="22"/>
      <c r="BA17" s="15" t="str">
        <f t="shared" si="32"/>
        <v>NO PUEDE PRESENTARLAS</v>
      </c>
      <c r="BB17" s="15" t="str">
        <f t="shared" si="33"/>
        <v>NO PUEDE PRESENTARSE</v>
      </c>
      <c r="BC17" s="22"/>
      <c r="BD17" s="15" t="str">
        <f>IF(AN17="C","Convalidado",IF(AND(BA17="Aprobadas en ORD",BB17="Examen aprobado en ORD"),"Ámbito aprobado en ORD",IF(AND(BB17="Sólo debe recuperar Tareas EXT",ISBLANK(AZ17)),"Tareas EXT no presentadas",IF(AND(AZ17&lt;5,BB17="Sólo debe recuperar Tareas EXT"),"Tareas EXT Suspensas",IF(AND(AY17="Aprobadas en ORD",BC17&gt;=5),0.6*BC17+AR17,IF(AND(AY17="Aprobadas en ORD",ISBLANK(BC17)),"NP",IF(AND(AY17="Aprobadas en ORD",BC17&lt;5),"EXAMEN SUSPENSO",IF(AND(AY17="Aprobadas en ORD",ISBLANK(BC17)),"NP",IF(AND(AV17&gt;=5,AZ17&gt;=5),5*0.4+AV17*0.6,IF(BB17="NO PUEDE PRESENTARSE","NP",IF(ISBLANK(BC17),"NP",IF(AND(AR17&gt;=2,BC17&gt;=5),AR17+0.6*BC17,IF(AND(BB17="SI",ISBLANK(AZ17)),"Tareas EXT no presentadas",IF(AND(BA17="NO",BC17&gt;=0),"Tareas EXT suspensas",IF(BC17&lt;5,"EXAMEN SUSPENSO",IF(AR17&gt;=2,AR17+0.6*BC17,IF(AV17&gt;=5,0*A6V6+0.4*5,IF(AND(BC17&gt;=5,AZ17&gt;=5),5*0.4+BC17*0.6))))))))))))))))))</f>
        <v>NP</v>
      </c>
      <c r="BE17" s="16" t="str">
        <f t="shared" si="34"/>
        <v>NP</v>
      </c>
    </row>
    <row r="18" spans="1:57" x14ac:dyDescent="0.2">
      <c r="A18" s="42" t="s">
        <v>75</v>
      </c>
      <c r="B18" s="43" t="s">
        <v>76</v>
      </c>
      <c r="C18" s="43" t="s">
        <v>62</v>
      </c>
      <c r="D18" s="44" t="s">
        <v>3</v>
      </c>
      <c r="E18" s="19">
        <v>6</v>
      </c>
      <c r="F18" s="19">
        <v>9</v>
      </c>
      <c r="G18" s="19"/>
      <c r="H18" s="8">
        <f t="shared" si="3"/>
        <v>2</v>
      </c>
      <c r="I18" s="8" t="str">
        <f t="shared" si="4"/>
        <v>SI</v>
      </c>
      <c r="J18" s="8">
        <f t="shared" si="5"/>
        <v>2</v>
      </c>
      <c r="K18" s="8" t="str">
        <f t="shared" si="6"/>
        <v>SI</v>
      </c>
      <c r="L18" s="19"/>
      <c r="M18" s="10" t="str">
        <f t="shared" si="7"/>
        <v>NP</v>
      </c>
      <c r="N18" s="11" t="str">
        <f t="shared" si="8"/>
        <v>NP</v>
      </c>
      <c r="O18" s="11" t="str">
        <f t="shared" si="9"/>
        <v>Aprobadas en ORD</v>
      </c>
      <c r="P18" s="19"/>
      <c r="Q18" s="8" t="str">
        <f t="shared" si="10"/>
        <v>Aprobadas en ORD</v>
      </c>
      <c r="R18" s="8" t="str">
        <f t="shared" si="11"/>
        <v>SI</v>
      </c>
      <c r="S18" s="19"/>
      <c r="T18" s="8" t="str">
        <f t="shared" si="12"/>
        <v>NP</v>
      </c>
      <c r="U18" s="11" t="str">
        <f t="shared" si="13"/>
        <v>NP</v>
      </c>
      <c r="V18" s="45" t="s">
        <v>44</v>
      </c>
      <c r="W18" s="21"/>
      <c r="X18" s="21"/>
      <c r="Y18" s="21"/>
      <c r="Z18" s="13">
        <f t="shared" si="14"/>
        <v>0</v>
      </c>
      <c r="AA18" s="13" t="str">
        <f t="shared" si="15"/>
        <v>NO</v>
      </c>
      <c r="AB18" s="13">
        <f t="shared" si="16"/>
        <v>0</v>
      </c>
      <c r="AC18" s="13" t="str">
        <f t="shared" si="17"/>
        <v>NO</v>
      </c>
      <c r="AD18" s="21"/>
      <c r="AE18" s="13" t="str">
        <f t="shared" si="18"/>
        <v>NP</v>
      </c>
      <c r="AF18" s="14" t="str">
        <f t="shared" si="19"/>
        <v>NP</v>
      </c>
      <c r="AG18" s="14" t="str">
        <f t="shared" si="20"/>
        <v>NO</v>
      </c>
      <c r="AH18" s="21"/>
      <c r="AI18" s="13" t="str">
        <f t="shared" si="21"/>
        <v>NO PUEDE PRESENTARLAS</v>
      </c>
      <c r="AJ18" s="13" t="str">
        <f t="shared" si="22"/>
        <v>NO PUEDE PRESENTARSE</v>
      </c>
      <c r="AK18" s="21"/>
      <c r="AL18" s="13" t="str">
        <f t="shared" si="23"/>
        <v>NP</v>
      </c>
      <c r="AM18" s="14" t="str">
        <f t="shared" si="24"/>
        <v>NP</v>
      </c>
      <c r="AN18" s="46" t="s">
        <v>3</v>
      </c>
      <c r="AO18" s="26">
        <v>7.75</v>
      </c>
      <c r="AP18" s="22">
        <v>7.2</v>
      </c>
      <c r="AQ18" s="22"/>
      <c r="AR18" s="15">
        <f t="shared" si="25"/>
        <v>1.9933333333333332</v>
      </c>
      <c r="AS18" s="15" t="str">
        <f t="shared" si="26"/>
        <v>NO</v>
      </c>
      <c r="AT18" s="15">
        <f t="shared" si="27"/>
        <v>2</v>
      </c>
      <c r="AU18" s="15" t="str">
        <f t="shared" si="28"/>
        <v>SI</v>
      </c>
      <c r="AV18" s="22"/>
      <c r="AW18" s="15" t="str">
        <f t="shared" si="29"/>
        <v>NP</v>
      </c>
      <c r="AX18" s="16" t="str">
        <f t="shared" si="30"/>
        <v>NP</v>
      </c>
      <c r="AY18" s="16" t="str">
        <f t="shared" si="31"/>
        <v>SI</v>
      </c>
      <c r="AZ18" s="22"/>
      <c r="BA18" s="15" t="str">
        <f t="shared" si="32"/>
        <v>NO</v>
      </c>
      <c r="BB18" s="15" t="str">
        <f t="shared" si="33"/>
        <v>SI</v>
      </c>
      <c r="BC18" s="22"/>
      <c r="BD18" s="15" t="str">
        <f>IF(AN18="C","Convalidado",IF(AND(BA18="Aprobadas en ORD",BB18="Examen aprobado en ORD"),"Ámbito aprobado en ORD",IF(AND(BB18="Sólo debe recuperar Tareas EXT",ISBLANK(AZ18)),"Tareas EXT no presentadas",IF(AND(AZ18&lt;5,BB18="Sólo debe recuperar Tareas EXT"),"Tareas EXT Suspensas",IF(AND(AY18="Aprobadas en ORD",BC18&gt;=5),0.6*BC18+AR18,IF(AND(AY18="Aprobadas en ORD",ISBLANK(BC18)),"NP",IF(AND(AY18="Aprobadas en ORD",BC18&lt;5),"EXAMEN SUSPENSO",IF(AND(AY18="Aprobadas en ORD",ISBLANK(BC18)),"NP",IF(AND(AV18&gt;=5,AZ18&gt;=5),5*0.4+AV18*0.6,IF(BB18="NO PUEDE PRESENTARSE","NP",IF(ISBLANK(BC18),"NP",IF(AND(AR18&gt;=2,BC18&gt;=5),AR18+0.6*BC18,IF(AND(BB18="SI",ISBLANK(AZ18)),"Tareas EXT no presentadas",IF(AND(BA18="NO",BC18&gt;=0),"Tareas EXT suspensas",IF(BC18&lt;5,"EXAMEN SUSPENSO",IF(AR18&gt;=2,AR18+0.6*BC18,IF(AV18&gt;=5,0*A6V6+0.4*5,IF(AND(BC18&gt;=5,AZ18&gt;=5),5*0.4+BC18*0.6))))))))))))))))))</f>
        <v>NP</v>
      </c>
      <c r="BE18" s="16" t="str">
        <f t="shared" si="34"/>
        <v>NP</v>
      </c>
    </row>
    <row r="19" spans="1:57" x14ac:dyDescent="0.2">
      <c r="A19" s="42" t="s">
        <v>48</v>
      </c>
      <c r="B19" s="43" t="s">
        <v>49</v>
      </c>
      <c r="C19" s="43" t="s">
        <v>62</v>
      </c>
      <c r="D19" s="44" t="s">
        <v>3</v>
      </c>
      <c r="E19" s="19"/>
      <c r="F19" s="19"/>
      <c r="G19" s="19"/>
      <c r="H19" s="8">
        <f t="shared" si="3"/>
        <v>0</v>
      </c>
      <c r="I19" s="8" t="str">
        <f t="shared" si="4"/>
        <v>NO</v>
      </c>
      <c r="J19" s="8">
        <f t="shared" si="5"/>
        <v>0</v>
      </c>
      <c r="K19" s="8" t="str">
        <f t="shared" si="6"/>
        <v>NO</v>
      </c>
      <c r="L19" s="19"/>
      <c r="M19" s="10" t="str">
        <f t="shared" si="7"/>
        <v>NP</v>
      </c>
      <c r="N19" s="11" t="str">
        <f t="shared" si="8"/>
        <v>NP</v>
      </c>
      <c r="O19" s="11" t="str">
        <f t="shared" si="9"/>
        <v>NO</v>
      </c>
      <c r="P19" s="19"/>
      <c r="Q19" s="8" t="str">
        <f t="shared" si="10"/>
        <v>NO PUEDE PRESENTARLAS</v>
      </c>
      <c r="R19" s="8" t="str">
        <f t="shared" si="11"/>
        <v>NO PUEDE PRESENTARSE</v>
      </c>
      <c r="S19" s="19"/>
      <c r="T19" s="8" t="str">
        <f t="shared" si="12"/>
        <v>NP</v>
      </c>
      <c r="U19" s="11" t="str">
        <f t="shared" si="13"/>
        <v>NP</v>
      </c>
      <c r="V19" s="45" t="s">
        <v>44</v>
      </c>
      <c r="W19" s="21"/>
      <c r="X19" s="21"/>
      <c r="Y19" s="21"/>
      <c r="Z19" s="13">
        <f t="shared" si="14"/>
        <v>0</v>
      </c>
      <c r="AA19" s="13" t="str">
        <f t="shared" si="15"/>
        <v>NO</v>
      </c>
      <c r="AB19" s="13">
        <f t="shared" si="16"/>
        <v>0</v>
      </c>
      <c r="AC19" s="13" t="str">
        <f t="shared" si="17"/>
        <v>NO</v>
      </c>
      <c r="AD19" s="21"/>
      <c r="AE19" s="13" t="str">
        <f t="shared" si="18"/>
        <v>NP</v>
      </c>
      <c r="AF19" s="14" t="str">
        <f t="shared" si="19"/>
        <v>NP</v>
      </c>
      <c r="AG19" s="14" t="str">
        <f t="shared" si="20"/>
        <v>NO</v>
      </c>
      <c r="AH19" s="21"/>
      <c r="AI19" s="13" t="str">
        <f t="shared" si="21"/>
        <v>NO PUEDE PRESENTARLAS</v>
      </c>
      <c r="AJ19" s="13" t="str">
        <f t="shared" si="22"/>
        <v>NO PUEDE PRESENTARSE</v>
      </c>
      <c r="AK19" s="21"/>
      <c r="AL19" s="13" t="str">
        <f t="shared" si="23"/>
        <v>NP</v>
      </c>
      <c r="AM19" s="14" t="str">
        <f t="shared" si="24"/>
        <v>NP</v>
      </c>
      <c r="AN19" s="46" t="s">
        <v>44</v>
      </c>
      <c r="AO19" s="26"/>
      <c r="AP19" s="22"/>
      <c r="AQ19" s="22"/>
      <c r="AR19" s="15">
        <f t="shared" si="25"/>
        <v>0</v>
      </c>
      <c r="AS19" s="15" t="str">
        <f t="shared" si="26"/>
        <v>NO</v>
      </c>
      <c r="AT19" s="15">
        <f t="shared" si="27"/>
        <v>0</v>
      </c>
      <c r="AU19" s="15" t="str">
        <f t="shared" si="28"/>
        <v>NO</v>
      </c>
      <c r="AV19" s="22"/>
      <c r="AW19" s="15" t="str">
        <f t="shared" si="29"/>
        <v>NP</v>
      </c>
      <c r="AX19" s="16" t="str">
        <f t="shared" si="30"/>
        <v>NP</v>
      </c>
      <c r="AY19" s="16" t="str">
        <f t="shared" si="31"/>
        <v>NO</v>
      </c>
      <c r="AZ19" s="22"/>
      <c r="BA19" s="15" t="str">
        <f t="shared" si="32"/>
        <v>NO PUEDE PRESENTARLAS</v>
      </c>
      <c r="BB19" s="15" t="str">
        <f t="shared" si="33"/>
        <v>NO PUEDE PRESENTARSE</v>
      </c>
      <c r="BC19" s="22"/>
      <c r="BD19" s="15" t="str">
        <f>IF(AN19="C","Convalidado",IF(AND(BA19="Aprobadas en ORD",BB19="Examen aprobado en ORD"),"Ámbito aprobado en ORD",IF(AND(BB19="Sólo debe recuperar Tareas EXT",ISBLANK(AZ19)),"Tareas EXT no presentadas",IF(AND(AZ19&lt;5,BB19="Sólo debe recuperar Tareas EXT"),"Tareas EXT Suspensas",IF(AND(AY19="Aprobadas en ORD",BC19&gt;=5),0.6*BC19+AR19,IF(AND(AY19="Aprobadas en ORD",ISBLANK(BC19)),"NP",IF(AND(AY19="Aprobadas en ORD",BC19&lt;5),"EXAMEN SUSPENSO",IF(AND(AY19="Aprobadas en ORD",ISBLANK(BC19)),"NP",IF(AND(AV19&gt;=5,AZ19&gt;=5),5*0.4+AV19*0.6,IF(BB19="NO PUEDE PRESENTARSE","NP",IF(ISBLANK(BC19),"NP",IF(AND(AR19&gt;=2,BC19&gt;=5),AR19+0.6*BC19,IF(AND(BB19="SI",ISBLANK(AZ19)),"Tareas EXT no presentadas",IF(AND(BA19="NO",BC19&gt;=0),"Tareas EXT suspensas",IF(BC19&lt;5,"EXAMEN SUSPENSO",IF(AR19&gt;=2,AR19+0.6*BC19,IF(AV19&gt;=5,0*A6V6+0.4*5,IF(AND(BC19&gt;=5,AZ19&gt;=5),5*0.4+BC19*0.6))))))))))))))))))</f>
        <v>NP</v>
      </c>
      <c r="BE19" s="16" t="str">
        <f t="shared" si="34"/>
        <v>NP</v>
      </c>
    </row>
    <row r="20" spans="1:57" x14ac:dyDescent="0.2">
      <c r="A20" s="42" t="s">
        <v>50</v>
      </c>
      <c r="B20" s="43" t="s">
        <v>51</v>
      </c>
      <c r="C20" s="43" t="s">
        <v>62</v>
      </c>
      <c r="D20" s="44" t="s">
        <v>3</v>
      </c>
      <c r="E20" s="19">
        <v>9</v>
      </c>
      <c r="F20" s="19">
        <v>8.25</v>
      </c>
      <c r="G20" s="19"/>
      <c r="H20" s="8">
        <f t="shared" si="3"/>
        <v>2.2999999999999998</v>
      </c>
      <c r="I20" s="8" t="str">
        <f t="shared" si="4"/>
        <v>SI</v>
      </c>
      <c r="J20" s="8">
        <f t="shared" si="5"/>
        <v>2</v>
      </c>
      <c r="K20" s="8" t="str">
        <f t="shared" si="6"/>
        <v>SI</v>
      </c>
      <c r="L20" s="19"/>
      <c r="M20" s="10" t="str">
        <f t="shared" si="7"/>
        <v>NP</v>
      </c>
      <c r="N20" s="11" t="str">
        <f t="shared" si="8"/>
        <v>NP</v>
      </c>
      <c r="O20" s="11" t="str">
        <f t="shared" si="9"/>
        <v>Aprobadas en ORD</v>
      </c>
      <c r="P20" s="19"/>
      <c r="Q20" s="8" t="str">
        <f t="shared" si="10"/>
        <v>Aprobadas en ORD</v>
      </c>
      <c r="R20" s="8" t="str">
        <f t="shared" si="11"/>
        <v>SI</v>
      </c>
      <c r="S20" s="19"/>
      <c r="T20" s="8" t="str">
        <f t="shared" si="12"/>
        <v>NP</v>
      </c>
      <c r="U20" s="11" t="str">
        <f t="shared" si="13"/>
        <v>NP</v>
      </c>
      <c r="V20" s="45" t="s">
        <v>3</v>
      </c>
      <c r="W20" s="21">
        <v>7</v>
      </c>
      <c r="X20" s="21">
        <v>5.5</v>
      </c>
      <c r="Y20" s="21"/>
      <c r="Z20" s="13">
        <f t="shared" si="14"/>
        <v>1.6666666666666665</v>
      </c>
      <c r="AA20" s="13" t="str">
        <f t="shared" si="15"/>
        <v>NO</v>
      </c>
      <c r="AB20" s="13">
        <f t="shared" si="16"/>
        <v>2</v>
      </c>
      <c r="AC20" s="13" t="str">
        <f t="shared" si="17"/>
        <v>SI</v>
      </c>
      <c r="AD20" s="21"/>
      <c r="AE20" s="13" t="str">
        <f t="shared" si="18"/>
        <v>NP</v>
      </c>
      <c r="AF20" s="14" t="str">
        <f t="shared" si="19"/>
        <v>NP</v>
      </c>
      <c r="AG20" s="14" t="str">
        <f t="shared" si="20"/>
        <v>SI</v>
      </c>
      <c r="AH20" s="21"/>
      <c r="AI20" s="13" t="str">
        <f t="shared" si="21"/>
        <v>NO</v>
      </c>
      <c r="AJ20" s="13" t="str">
        <f t="shared" si="22"/>
        <v>SI</v>
      </c>
      <c r="AK20" s="21"/>
      <c r="AL20" s="13" t="str">
        <f t="shared" si="23"/>
        <v>NP</v>
      </c>
      <c r="AM20" s="14" t="str">
        <f t="shared" si="24"/>
        <v>NP</v>
      </c>
      <c r="AN20" s="46" t="s">
        <v>44</v>
      </c>
      <c r="AO20" s="26"/>
      <c r="AP20" s="22"/>
      <c r="AQ20" s="22"/>
      <c r="AR20" s="15">
        <f t="shared" si="25"/>
        <v>0</v>
      </c>
      <c r="AS20" s="15" t="str">
        <f t="shared" si="26"/>
        <v>NO</v>
      </c>
      <c r="AT20" s="15">
        <f t="shared" si="27"/>
        <v>0</v>
      </c>
      <c r="AU20" s="15" t="str">
        <f t="shared" si="28"/>
        <v>NO</v>
      </c>
      <c r="AV20" s="22"/>
      <c r="AW20" s="15" t="str">
        <f t="shared" si="29"/>
        <v>NP</v>
      </c>
      <c r="AX20" s="16" t="str">
        <f t="shared" si="30"/>
        <v>NP</v>
      </c>
      <c r="AY20" s="16" t="str">
        <f t="shared" si="31"/>
        <v>NO</v>
      </c>
      <c r="AZ20" s="22"/>
      <c r="BA20" s="15" t="str">
        <f t="shared" si="32"/>
        <v>NO PUEDE PRESENTARLAS</v>
      </c>
      <c r="BB20" s="15" t="str">
        <f t="shared" si="33"/>
        <v>NO PUEDE PRESENTARSE</v>
      </c>
      <c r="BC20" s="22"/>
      <c r="BD20" s="15" t="str">
        <f>IF(AN20="C","Convalidado",IF(AND(BA20="Aprobadas en ORD",BB20="Examen aprobado en ORD"),"Ámbito aprobado en ORD",IF(AND(BB20="Sólo debe recuperar Tareas EXT",ISBLANK(AZ20)),"Tareas EXT no presentadas",IF(AND(AZ20&lt;5,BB20="Sólo debe recuperar Tareas EXT"),"Tareas EXT Suspensas",IF(AND(AY20="Aprobadas en ORD",BC20&gt;=5),0.6*BC20+AR20,IF(AND(AY20="Aprobadas en ORD",ISBLANK(BC20)),"NP",IF(AND(AY20="Aprobadas en ORD",BC20&lt;5),"EXAMEN SUSPENSO",IF(AND(AY20="Aprobadas en ORD",ISBLANK(BC20)),"NP",IF(AND(AV20&gt;=5,AZ20&gt;=5),5*0.4+AV20*0.6,IF(BB20="NO PUEDE PRESENTARSE","NP",IF(ISBLANK(BC20),"NP",IF(AND(AR20&gt;=2,BC20&gt;=5),AR20+0.6*BC20,IF(AND(BB20="SI",ISBLANK(AZ20)),"Tareas EXT no presentadas",IF(AND(BA20="NO",BC20&gt;=0),"Tareas EXT suspensas",IF(BC20&lt;5,"EXAMEN SUSPENSO",IF(AR20&gt;=2,AR20+0.6*BC20,IF(AV20&gt;=5,0*A6V6+0.4*5,IF(AND(BC20&gt;=5,AZ20&gt;=5),5*0.4+BC20*0.6))))))))))))))))))</f>
        <v>NP</v>
      </c>
      <c r="BE20" s="16" t="str">
        <f t="shared" si="34"/>
        <v>NP</v>
      </c>
    </row>
    <row r="21" spans="1:57" x14ac:dyDescent="0.2">
      <c r="A21" s="42" t="s">
        <v>77</v>
      </c>
      <c r="B21" s="43" t="s">
        <v>78</v>
      </c>
      <c r="C21" s="43" t="s">
        <v>62</v>
      </c>
      <c r="D21" s="44" t="s">
        <v>3</v>
      </c>
      <c r="E21" s="19">
        <v>8.5</v>
      </c>
      <c r="F21" s="19">
        <v>8</v>
      </c>
      <c r="G21" s="19"/>
      <c r="H21" s="8">
        <f t="shared" si="3"/>
        <v>2.2000000000000002</v>
      </c>
      <c r="I21" s="8" t="str">
        <f t="shared" si="4"/>
        <v>SI</v>
      </c>
      <c r="J21" s="8">
        <f t="shared" si="5"/>
        <v>2</v>
      </c>
      <c r="K21" s="8" t="str">
        <f t="shared" si="6"/>
        <v>SI</v>
      </c>
      <c r="L21" s="19"/>
      <c r="M21" s="10" t="str">
        <f t="shared" si="7"/>
        <v>NP</v>
      </c>
      <c r="N21" s="11" t="str">
        <f t="shared" si="8"/>
        <v>NP</v>
      </c>
      <c r="O21" s="11" t="str">
        <f t="shared" si="9"/>
        <v>Aprobadas en ORD</v>
      </c>
      <c r="P21" s="19"/>
      <c r="Q21" s="8" t="str">
        <f t="shared" si="10"/>
        <v>Aprobadas en ORD</v>
      </c>
      <c r="R21" s="8" t="str">
        <f t="shared" si="11"/>
        <v>SI</v>
      </c>
      <c r="S21" s="19"/>
      <c r="T21" s="8" t="str">
        <f t="shared" si="12"/>
        <v>NP</v>
      </c>
      <c r="U21" s="11" t="str">
        <f t="shared" si="13"/>
        <v>NP</v>
      </c>
      <c r="V21" s="45" t="s">
        <v>3</v>
      </c>
      <c r="W21" s="21">
        <v>9.3000000000000007</v>
      </c>
      <c r="X21" s="21">
        <v>7.2</v>
      </c>
      <c r="Y21" s="21"/>
      <c r="Z21" s="13">
        <f t="shared" si="14"/>
        <v>2.2000000000000002</v>
      </c>
      <c r="AA21" s="13" t="str">
        <f t="shared" si="15"/>
        <v>SI</v>
      </c>
      <c r="AB21" s="13">
        <f t="shared" si="16"/>
        <v>2</v>
      </c>
      <c r="AC21" s="13" t="str">
        <f t="shared" si="17"/>
        <v>SI</v>
      </c>
      <c r="AD21" s="21"/>
      <c r="AE21" s="13" t="str">
        <f t="shared" si="18"/>
        <v>NP</v>
      </c>
      <c r="AF21" s="14" t="str">
        <f t="shared" si="19"/>
        <v>NP</v>
      </c>
      <c r="AG21" s="14" t="str">
        <f t="shared" si="20"/>
        <v>Aprobadas en ORD</v>
      </c>
      <c r="AH21" s="21"/>
      <c r="AI21" s="13" t="str">
        <f t="shared" si="21"/>
        <v>Aprobadas en ORD</v>
      </c>
      <c r="AJ21" s="13" t="str">
        <f t="shared" si="22"/>
        <v>SI</v>
      </c>
      <c r="AK21" s="21"/>
      <c r="AL21" s="13" t="str">
        <f t="shared" si="23"/>
        <v>NP</v>
      </c>
      <c r="AM21" s="14" t="str">
        <f t="shared" si="24"/>
        <v>NP</v>
      </c>
      <c r="AN21" s="46" t="s">
        <v>3</v>
      </c>
      <c r="AO21" s="26">
        <v>9</v>
      </c>
      <c r="AP21" s="22">
        <v>7.5</v>
      </c>
      <c r="AQ21" s="22"/>
      <c r="AR21" s="15">
        <f t="shared" si="25"/>
        <v>2.2000000000000002</v>
      </c>
      <c r="AS21" s="15" t="str">
        <f t="shared" si="26"/>
        <v>SI</v>
      </c>
      <c r="AT21" s="15">
        <f t="shared" si="27"/>
        <v>2</v>
      </c>
      <c r="AU21" s="15" t="str">
        <f t="shared" si="28"/>
        <v>SI</v>
      </c>
      <c r="AV21" s="22"/>
      <c r="AW21" s="15" t="str">
        <f t="shared" si="29"/>
        <v>NP</v>
      </c>
      <c r="AX21" s="16" t="str">
        <f t="shared" si="30"/>
        <v>NP</v>
      </c>
      <c r="AY21" s="16" t="str">
        <f t="shared" si="31"/>
        <v>Aprobadas en ORD</v>
      </c>
      <c r="AZ21" s="22"/>
      <c r="BA21" s="15" t="str">
        <f t="shared" si="32"/>
        <v>Aprobadas en ORD</v>
      </c>
      <c r="BB21" s="15" t="str">
        <f t="shared" si="33"/>
        <v>SI</v>
      </c>
      <c r="BC21" s="22"/>
      <c r="BD21" s="15" t="str">
        <f>IF(AN21="C","Convalidado",IF(AND(BA21="Aprobadas en ORD",BB21="Examen aprobado en ORD"),"Ámbito aprobado en ORD",IF(AND(BB21="Sólo debe recuperar Tareas EXT",ISBLANK(AZ21)),"Tareas EXT no presentadas",IF(AND(AZ21&lt;5,BB21="Sólo debe recuperar Tareas EXT"),"Tareas EXT Suspensas",IF(AND(AY21="Aprobadas en ORD",BC21&gt;=5),0.6*BC21+AR21,IF(AND(AY21="Aprobadas en ORD",ISBLANK(BC21)),"NP",IF(AND(AY21="Aprobadas en ORD",BC21&lt;5),"EXAMEN SUSPENSO",IF(AND(AY21="Aprobadas en ORD",ISBLANK(BC21)),"NP",IF(AND(AV21&gt;=5,AZ21&gt;=5),5*0.4+AV21*0.6,IF(BB21="NO PUEDE PRESENTARSE","NP",IF(ISBLANK(BC21),"NP",IF(AND(AR21&gt;=2,BC21&gt;=5),AR21+0.6*BC21,IF(AND(BB21="SI",ISBLANK(AZ21)),"Tareas EXT no presentadas",IF(AND(BA21="NO",BC21&gt;=0),"Tareas EXT suspensas",IF(BC21&lt;5,"EXAMEN SUSPENSO",IF(AR21&gt;=2,AR21+0.6*BC21,IF(AV21&gt;=5,0*A6V6+0.4*5,IF(AND(BC21&gt;=5,AZ21&gt;=5),5*0.4+BC21*0.6))))))))))))))))))</f>
        <v>NP</v>
      </c>
      <c r="BE21" s="16" t="str">
        <f t="shared" si="34"/>
        <v>NP</v>
      </c>
    </row>
    <row r="22" spans="1:57" x14ac:dyDescent="0.2">
      <c r="A22" s="42" t="s">
        <v>79</v>
      </c>
      <c r="B22" s="43" t="s">
        <v>80</v>
      </c>
      <c r="C22" s="43" t="s">
        <v>62</v>
      </c>
      <c r="D22" s="44" t="s">
        <v>3</v>
      </c>
      <c r="E22" s="19"/>
      <c r="F22" s="19"/>
      <c r="G22" s="19"/>
      <c r="H22" s="8">
        <f t="shared" si="3"/>
        <v>0</v>
      </c>
      <c r="I22" s="8" t="str">
        <f t="shared" si="4"/>
        <v>NO</v>
      </c>
      <c r="J22" s="8">
        <f t="shared" si="5"/>
        <v>0</v>
      </c>
      <c r="K22" s="8" t="str">
        <f t="shared" si="6"/>
        <v>NO</v>
      </c>
      <c r="L22" s="19"/>
      <c r="M22" s="10" t="str">
        <f t="shared" si="7"/>
        <v>NP</v>
      </c>
      <c r="N22" s="11" t="str">
        <f t="shared" si="8"/>
        <v>NP</v>
      </c>
      <c r="O22" s="11" t="str">
        <f t="shared" si="9"/>
        <v>NO</v>
      </c>
      <c r="P22" s="19"/>
      <c r="Q22" s="8" t="str">
        <f t="shared" si="10"/>
        <v>NO PUEDE PRESENTARLAS</v>
      </c>
      <c r="R22" s="8" t="str">
        <f t="shared" si="11"/>
        <v>NO PUEDE PRESENTARSE</v>
      </c>
      <c r="S22" s="19"/>
      <c r="T22" s="8" t="str">
        <f t="shared" si="12"/>
        <v>NP</v>
      </c>
      <c r="U22" s="11" t="str">
        <f t="shared" si="13"/>
        <v>NP</v>
      </c>
      <c r="V22" s="45" t="s">
        <v>3</v>
      </c>
      <c r="W22" s="21"/>
      <c r="X22" s="21"/>
      <c r="Y22" s="21"/>
      <c r="Z22" s="13">
        <f t="shared" si="14"/>
        <v>0</v>
      </c>
      <c r="AA22" s="13" t="str">
        <f t="shared" si="15"/>
        <v>NO</v>
      </c>
      <c r="AB22" s="13">
        <f t="shared" si="16"/>
        <v>0</v>
      </c>
      <c r="AC22" s="13" t="str">
        <f t="shared" si="17"/>
        <v>NO</v>
      </c>
      <c r="AD22" s="21"/>
      <c r="AE22" s="13" t="str">
        <f t="shared" si="18"/>
        <v>NP</v>
      </c>
      <c r="AF22" s="14" t="str">
        <f t="shared" si="19"/>
        <v>NP</v>
      </c>
      <c r="AG22" s="14" t="str">
        <f t="shared" si="20"/>
        <v>NO</v>
      </c>
      <c r="AH22" s="21"/>
      <c r="AI22" s="13" t="str">
        <f t="shared" si="21"/>
        <v>NO PUEDE PRESENTARLAS</v>
      </c>
      <c r="AJ22" s="13" t="str">
        <f t="shared" si="22"/>
        <v>NO PUEDE PRESENTARSE</v>
      </c>
      <c r="AK22" s="21"/>
      <c r="AL22" s="13" t="str">
        <f t="shared" si="23"/>
        <v>NP</v>
      </c>
      <c r="AM22" s="14" t="str">
        <f t="shared" si="24"/>
        <v>NP</v>
      </c>
      <c r="AN22" s="46" t="s">
        <v>3</v>
      </c>
      <c r="AO22" s="26"/>
      <c r="AP22" s="22"/>
      <c r="AQ22" s="22"/>
      <c r="AR22" s="15">
        <f t="shared" si="25"/>
        <v>0</v>
      </c>
      <c r="AS22" s="15" t="str">
        <f t="shared" si="26"/>
        <v>NO</v>
      </c>
      <c r="AT22" s="15">
        <f t="shared" si="27"/>
        <v>0</v>
      </c>
      <c r="AU22" s="15" t="str">
        <f t="shared" si="28"/>
        <v>NO</v>
      </c>
      <c r="AV22" s="22"/>
      <c r="AW22" s="15" t="str">
        <f t="shared" si="29"/>
        <v>NP</v>
      </c>
      <c r="AX22" s="16" t="str">
        <f t="shared" si="30"/>
        <v>NP</v>
      </c>
      <c r="AY22" s="16" t="str">
        <f t="shared" si="31"/>
        <v>NO</v>
      </c>
      <c r="AZ22" s="22"/>
      <c r="BA22" s="15" t="str">
        <f t="shared" si="32"/>
        <v>NO PUEDE PRESENTARLAS</v>
      </c>
      <c r="BB22" s="15" t="str">
        <f t="shared" si="33"/>
        <v>NO PUEDE PRESENTARSE</v>
      </c>
      <c r="BC22" s="22"/>
      <c r="BD22" s="15" t="str">
        <f>IF(AN22="C","Convalidado",IF(AND(BA22="Aprobadas en ORD",BB22="Examen aprobado en ORD"),"Ámbito aprobado en ORD",IF(AND(BB22="Sólo debe recuperar Tareas EXT",ISBLANK(AZ22)),"Tareas EXT no presentadas",IF(AND(AZ22&lt;5,BB22="Sólo debe recuperar Tareas EXT"),"Tareas EXT Suspensas",IF(AND(AY22="Aprobadas en ORD",BC22&gt;=5),0.6*BC22+AR22,IF(AND(AY22="Aprobadas en ORD",ISBLANK(BC22)),"NP",IF(AND(AY22="Aprobadas en ORD",BC22&lt;5),"EXAMEN SUSPENSO",IF(AND(AY22="Aprobadas en ORD",ISBLANK(BC22)),"NP",IF(AND(AV22&gt;=5,AZ22&gt;=5),5*0.4+AV22*0.6,IF(BB22="NO PUEDE PRESENTARSE","NP",IF(ISBLANK(BC22),"NP",IF(AND(AR22&gt;=2,BC22&gt;=5),AR22+0.6*BC22,IF(AND(BB22="SI",ISBLANK(AZ22)),"Tareas EXT no presentadas",IF(AND(BA22="NO",BC22&gt;=0),"Tareas EXT suspensas",IF(BC22&lt;5,"EXAMEN SUSPENSO",IF(AR22&gt;=2,AR22+0.6*BC22,IF(AV22&gt;=5,0*A6V6+0.4*5,IF(AND(BC22&gt;=5,AZ22&gt;=5),5*0.4+BC22*0.6))))))))))))))))))</f>
        <v>NP</v>
      </c>
      <c r="BE22" s="16" t="str">
        <f t="shared" si="34"/>
        <v>NP</v>
      </c>
    </row>
    <row r="23" spans="1:57" x14ac:dyDescent="0.2">
      <c r="A23" s="42" t="s">
        <v>81</v>
      </c>
      <c r="B23" s="43" t="s">
        <v>82</v>
      </c>
      <c r="C23" s="43" t="s">
        <v>62</v>
      </c>
      <c r="D23" s="44" t="s">
        <v>3</v>
      </c>
      <c r="E23" s="19"/>
      <c r="F23" s="19"/>
      <c r="G23" s="19"/>
      <c r="H23" s="8">
        <f t="shared" si="3"/>
        <v>0</v>
      </c>
      <c r="I23" s="8" t="str">
        <f t="shared" si="4"/>
        <v>NO</v>
      </c>
      <c r="J23" s="8">
        <f t="shared" si="5"/>
        <v>0</v>
      </c>
      <c r="K23" s="8" t="str">
        <f t="shared" si="6"/>
        <v>NO</v>
      </c>
      <c r="L23" s="19"/>
      <c r="M23" s="10" t="str">
        <f t="shared" si="7"/>
        <v>NP</v>
      </c>
      <c r="N23" s="11" t="str">
        <f t="shared" si="8"/>
        <v>NP</v>
      </c>
      <c r="O23" s="11" t="str">
        <f t="shared" si="9"/>
        <v>NO</v>
      </c>
      <c r="P23" s="19"/>
      <c r="Q23" s="8" t="str">
        <f t="shared" si="10"/>
        <v>NO PUEDE PRESENTARLAS</v>
      </c>
      <c r="R23" s="8" t="str">
        <f t="shared" si="11"/>
        <v>NO PUEDE PRESENTARSE</v>
      </c>
      <c r="S23" s="19"/>
      <c r="T23" s="8" t="str">
        <f t="shared" si="12"/>
        <v>NP</v>
      </c>
      <c r="U23" s="11" t="str">
        <f t="shared" si="13"/>
        <v>NP</v>
      </c>
      <c r="V23" s="45" t="s">
        <v>3</v>
      </c>
      <c r="W23" s="21"/>
      <c r="X23" s="21"/>
      <c r="Y23" s="21"/>
      <c r="Z23" s="13">
        <f t="shared" si="14"/>
        <v>0</v>
      </c>
      <c r="AA23" s="13" t="str">
        <f t="shared" si="15"/>
        <v>NO</v>
      </c>
      <c r="AB23" s="13">
        <f t="shared" si="16"/>
        <v>0</v>
      </c>
      <c r="AC23" s="13" t="str">
        <f t="shared" si="17"/>
        <v>NO</v>
      </c>
      <c r="AD23" s="21"/>
      <c r="AE23" s="13" t="str">
        <f t="shared" si="18"/>
        <v>NP</v>
      </c>
      <c r="AF23" s="14" t="str">
        <f t="shared" si="19"/>
        <v>NP</v>
      </c>
      <c r="AG23" s="14" t="str">
        <f t="shared" si="20"/>
        <v>NO</v>
      </c>
      <c r="AH23" s="21"/>
      <c r="AI23" s="13" t="str">
        <f t="shared" si="21"/>
        <v>NO PUEDE PRESENTARLAS</v>
      </c>
      <c r="AJ23" s="13" t="str">
        <f t="shared" si="22"/>
        <v>NO PUEDE PRESENTARSE</v>
      </c>
      <c r="AK23" s="21"/>
      <c r="AL23" s="13" t="str">
        <f t="shared" si="23"/>
        <v>NP</v>
      </c>
      <c r="AM23" s="14" t="str">
        <f t="shared" si="24"/>
        <v>NP</v>
      </c>
      <c r="AN23" s="46" t="s">
        <v>44</v>
      </c>
      <c r="AO23" s="26"/>
      <c r="AP23" s="22"/>
      <c r="AQ23" s="22"/>
      <c r="AR23" s="15">
        <f t="shared" si="25"/>
        <v>0</v>
      </c>
      <c r="AS23" s="15" t="str">
        <f t="shared" si="26"/>
        <v>NO</v>
      </c>
      <c r="AT23" s="15">
        <f t="shared" si="27"/>
        <v>0</v>
      </c>
      <c r="AU23" s="15" t="str">
        <f t="shared" si="28"/>
        <v>NO</v>
      </c>
      <c r="AV23" s="22"/>
      <c r="AW23" s="15" t="str">
        <f t="shared" si="29"/>
        <v>NP</v>
      </c>
      <c r="AX23" s="16" t="str">
        <f t="shared" si="30"/>
        <v>NP</v>
      </c>
      <c r="AY23" s="16" t="str">
        <f t="shared" si="31"/>
        <v>NO</v>
      </c>
      <c r="AZ23" s="22"/>
      <c r="BA23" s="15" t="str">
        <f t="shared" si="32"/>
        <v>NO PUEDE PRESENTARLAS</v>
      </c>
      <c r="BB23" s="15" t="str">
        <f t="shared" si="33"/>
        <v>NO PUEDE PRESENTARSE</v>
      </c>
      <c r="BC23" s="22"/>
      <c r="BD23" s="15" t="str">
        <f>IF(AN23="C","Convalidado",IF(AND(BA23="Aprobadas en ORD",BB23="Examen aprobado en ORD"),"Ámbito aprobado en ORD",IF(AND(BB23="Sólo debe recuperar Tareas EXT",ISBLANK(AZ23)),"Tareas EXT no presentadas",IF(AND(AZ23&lt;5,BB23="Sólo debe recuperar Tareas EXT"),"Tareas EXT Suspensas",IF(AND(AY23="Aprobadas en ORD",BC23&gt;=5),0.6*BC23+AR23,IF(AND(AY23="Aprobadas en ORD",ISBLANK(BC23)),"NP",IF(AND(AY23="Aprobadas en ORD",BC23&lt;5),"EXAMEN SUSPENSO",IF(AND(AY23="Aprobadas en ORD",ISBLANK(BC23)),"NP",IF(AND(AV23&gt;=5,AZ23&gt;=5),5*0.4+AV23*0.6,IF(BB23="NO PUEDE PRESENTARSE","NP",IF(ISBLANK(BC23),"NP",IF(AND(AR23&gt;=2,BC23&gt;=5),AR23+0.6*BC23,IF(AND(BB23="SI",ISBLANK(AZ23)),"Tareas EXT no presentadas",IF(AND(BA23="NO",BC23&gt;=0),"Tareas EXT suspensas",IF(BC23&lt;5,"EXAMEN SUSPENSO",IF(AR23&gt;=2,AR23+0.6*BC23,IF(AV23&gt;=5,0*A6V6+0.4*5,IF(AND(BC23&gt;=5,AZ23&gt;=5),5*0.4+BC23*0.6))))))))))))))))))</f>
        <v>NP</v>
      </c>
      <c r="BE23" s="16" t="str">
        <f t="shared" si="34"/>
        <v>NP</v>
      </c>
    </row>
    <row r="24" spans="1:57" x14ac:dyDescent="0.2">
      <c r="A24" s="42" t="s">
        <v>83</v>
      </c>
      <c r="B24" s="43" t="s">
        <v>84</v>
      </c>
      <c r="C24" s="43" t="s">
        <v>62</v>
      </c>
      <c r="D24" s="44" t="s">
        <v>3</v>
      </c>
      <c r="E24" s="19">
        <v>8</v>
      </c>
      <c r="F24" s="19">
        <v>7.5</v>
      </c>
      <c r="G24" s="19"/>
      <c r="H24" s="8">
        <f t="shared" si="3"/>
        <v>2.0666666666666664</v>
      </c>
      <c r="I24" s="8" t="str">
        <f t="shared" si="4"/>
        <v>SI</v>
      </c>
      <c r="J24" s="8">
        <f t="shared" si="5"/>
        <v>2</v>
      </c>
      <c r="K24" s="8" t="str">
        <f t="shared" si="6"/>
        <v>SI</v>
      </c>
      <c r="L24" s="19"/>
      <c r="M24" s="10" t="str">
        <f t="shared" si="7"/>
        <v>NP</v>
      </c>
      <c r="N24" s="11" t="str">
        <f t="shared" si="8"/>
        <v>NP</v>
      </c>
      <c r="O24" s="11" t="str">
        <f t="shared" si="9"/>
        <v>Aprobadas en ORD</v>
      </c>
      <c r="P24" s="19"/>
      <c r="Q24" s="8" t="str">
        <f t="shared" si="10"/>
        <v>Aprobadas en ORD</v>
      </c>
      <c r="R24" s="8" t="str">
        <f t="shared" si="11"/>
        <v>SI</v>
      </c>
      <c r="S24" s="19"/>
      <c r="T24" s="8" t="str">
        <f t="shared" si="12"/>
        <v>NP</v>
      </c>
      <c r="U24" s="11" t="str">
        <f t="shared" si="13"/>
        <v>NP</v>
      </c>
      <c r="V24" s="45" t="s">
        <v>3</v>
      </c>
      <c r="W24" s="21">
        <v>5</v>
      </c>
      <c r="X24" s="21">
        <v>5.2</v>
      </c>
      <c r="Y24" s="21"/>
      <c r="Z24" s="13">
        <f t="shared" si="14"/>
        <v>1.3599999999999999</v>
      </c>
      <c r="AA24" s="13" t="str">
        <f t="shared" si="15"/>
        <v>NO</v>
      </c>
      <c r="AB24" s="13">
        <f t="shared" si="16"/>
        <v>2</v>
      </c>
      <c r="AC24" s="13" t="str">
        <f t="shared" si="17"/>
        <v>SI</v>
      </c>
      <c r="AD24" s="21"/>
      <c r="AE24" s="13" t="str">
        <f t="shared" si="18"/>
        <v>NP</v>
      </c>
      <c r="AF24" s="14" t="str">
        <f t="shared" si="19"/>
        <v>NP</v>
      </c>
      <c r="AG24" s="14" t="str">
        <f t="shared" si="20"/>
        <v>SI</v>
      </c>
      <c r="AH24" s="21"/>
      <c r="AI24" s="13" t="str">
        <f t="shared" si="21"/>
        <v>NO</v>
      </c>
      <c r="AJ24" s="13" t="str">
        <f t="shared" si="22"/>
        <v>SI</v>
      </c>
      <c r="AK24" s="21"/>
      <c r="AL24" s="13" t="str">
        <f t="shared" si="23"/>
        <v>NP</v>
      </c>
      <c r="AM24" s="14" t="str">
        <f t="shared" si="24"/>
        <v>NP</v>
      </c>
      <c r="AN24" s="46" t="s">
        <v>44</v>
      </c>
      <c r="AO24" s="26"/>
      <c r="AP24" s="22"/>
      <c r="AQ24" s="22"/>
      <c r="AR24" s="15">
        <f t="shared" si="25"/>
        <v>0</v>
      </c>
      <c r="AS24" s="15" t="str">
        <f t="shared" si="26"/>
        <v>NO</v>
      </c>
      <c r="AT24" s="15">
        <f t="shared" si="27"/>
        <v>0</v>
      </c>
      <c r="AU24" s="15" t="str">
        <f t="shared" si="28"/>
        <v>NO</v>
      </c>
      <c r="AV24" s="22"/>
      <c r="AW24" s="15" t="str">
        <f t="shared" si="29"/>
        <v>NP</v>
      </c>
      <c r="AX24" s="16" t="str">
        <f t="shared" si="30"/>
        <v>NP</v>
      </c>
      <c r="AY24" s="16" t="str">
        <f t="shared" si="31"/>
        <v>NO</v>
      </c>
      <c r="AZ24" s="22"/>
      <c r="BA24" s="15" t="str">
        <f t="shared" si="32"/>
        <v>NO PUEDE PRESENTARLAS</v>
      </c>
      <c r="BB24" s="15" t="str">
        <f t="shared" si="33"/>
        <v>NO PUEDE PRESENTARSE</v>
      </c>
      <c r="BC24" s="22"/>
      <c r="BD24" s="15" t="str">
        <f>IF(AN24="C","Convalidado",IF(AND(BA24="Aprobadas en ORD",BB24="Examen aprobado en ORD"),"Ámbito aprobado en ORD",IF(AND(BB24="Sólo debe recuperar Tareas EXT",ISBLANK(AZ24)),"Tareas EXT no presentadas",IF(AND(AZ24&lt;5,BB24="Sólo debe recuperar Tareas EXT"),"Tareas EXT Suspensas",IF(AND(AY24="Aprobadas en ORD",BC24&gt;=5),0.6*BC24+AR24,IF(AND(AY24="Aprobadas en ORD",ISBLANK(BC24)),"NP",IF(AND(AY24="Aprobadas en ORD",BC24&lt;5),"EXAMEN SUSPENSO",IF(AND(AY24="Aprobadas en ORD",ISBLANK(BC24)),"NP",IF(AND(AV24&gt;=5,AZ24&gt;=5),5*0.4+AV24*0.6,IF(BB24="NO PUEDE PRESENTARSE","NP",IF(ISBLANK(BC24),"NP",IF(AND(AR24&gt;=2,BC24&gt;=5),AR24+0.6*BC24,IF(AND(BB24="SI",ISBLANK(AZ24)),"Tareas EXT no presentadas",IF(AND(BA24="NO",BC24&gt;=0),"Tareas EXT suspensas",IF(BC24&lt;5,"EXAMEN SUSPENSO",IF(AR24&gt;=2,AR24+0.6*BC24,IF(AV24&gt;=5,0*A6V6+0.4*5,IF(AND(BC24&gt;=5,AZ24&gt;=5),5*0.4+BC24*0.6))))))))))))))))))</f>
        <v>NP</v>
      </c>
      <c r="BE24" s="16" t="str">
        <f t="shared" si="34"/>
        <v>NP</v>
      </c>
    </row>
    <row r="25" spans="1:57" x14ac:dyDescent="0.2">
      <c r="A25" s="42" t="s">
        <v>56</v>
      </c>
      <c r="B25" s="43" t="s">
        <v>57</v>
      </c>
      <c r="C25" s="43" t="s">
        <v>62</v>
      </c>
      <c r="D25" s="44" t="s">
        <v>3</v>
      </c>
      <c r="E25" s="19"/>
      <c r="F25" s="19"/>
      <c r="G25" s="19"/>
      <c r="H25" s="8">
        <f t="shared" si="3"/>
        <v>0</v>
      </c>
      <c r="I25" s="8" t="str">
        <f t="shared" si="4"/>
        <v>NO</v>
      </c>
      <c r="J25" s="8">
        <f t="shared" si="5"/>
        <v>0</v>
      </c>
      <c r="K25" s="8" t="str">
        <f t="shared" si="6"/>
        <v>NO</v>
      </c>
      <c r="L25" s="19"/>
      <c r="M25" s="10" t="str">
        <f t="shared" si="7"/>
        <v>NP</v>
      </c>
      <c r="N25" s="11" t="str">
        <f t="shared" si="8"/>
        <v>NP</v>
      </c>
      <c r="O25" s="11" t="str">
        <f t="shared" si="9"/>
        <v>NO</v>
      </c>
      <c r="P25" s="19"/>
      <c r="Q25" s="8" t="str">
        <f t="shared" si="10"/>
        <v>NO PUEDE PRESENTARLAS</v>
      </c>
      <c r="R25" s="8" t="str">
        <f t="shared" si="11"/>
        <v>NO PUEDE PRESENTARSE</v>
      </c>
      <c r="S25" s="19"/>
      <c r="T25" s="8" t="str">
        <f t="shared" si="12"/>
        <v>NP</v>
      </c>
      <c r="U25" s="11" t="str">
        <f t="shared" si="13"/>
        <v>NP</v>
      </c>
      <c r="V25" s="45" t="s">
        <v>3</v>
      </c>
      <c r="W25" s="21"/>
      <c r="X25" s="21"/>
      <c r="Y25" s="21"/>
      <c r="Z25" s="13">
        <f t="shared" si="14"/>
        <v>0</v>
      </c>
      <c r="AA25" s="13" t="str">
        <f t="shared" si="15"/>
        <v>NO</v>
      </c>
      <c r="AB25" s="13">
        <f t="shared" si="16"/>
        <v>0</v>
      </c>
      <c r="AC25" s="13" t="str">
        <f t="shared" si="17"/>
        <v>NO</v>
      </c>
      <c r="AD25" s="21"/>
      <c r="AE25" s="13" t="str">
        <f t="shared" si="18"/>
        <v>NP</v>
      </c>
      <c r="AF25" s="14" t="str">
        <f t="shared" si="19"/>
        <v>NP</v>
      </c>
      <c r="AG25" s="14" t="str">
        <f t="shared" si="20"/>
        <v>NO</v>
      </c>
      <c r="AH25" s="21"/>
      <c r="AI25" s="13" t="str">
        <f t="shared" si="21"/>
        <v>NO PUEDE PRESENTARLAS</v>
      </c>
      <c r="AJ25" s="13" t="str">
        <f t="shared" si="22"/>
        <v>NO PUEDE PRESENTARSE</v>
      </c>
      <c r="AK25" s="21"/>
      <c r="AL25" s="13" t="str">
        <f t="shared" si="23"/>
        <v>NP</v>
      </c>
      <c r="AM25" s="14" t="str">
        <f t="shared" si="24"/>
        <v>NP</v>
      </c>
      <c r="AN25" s="46" t="s">
        <v>3</v>
      </c>
      <c r="AO25" s="26"/>
      <c r="AP25" s="22"/>
      <c r="AQ25" s="22"/>
      <c r="AR25" s="15">
        <f t="shared" si="25"/>
        <v>0</v>
      </c>
      <c r="AS25" s="15" t="str">
        <f t="shared" si="26"/>
        <v>NO</v>
      </c>
      <c r="AT25" s="15">
        <f t="shared" si="27"/>
        <v>0</v>
      </c>
      <c r="AU25" s="15" t="str">
        <f t="shared" si="28"/>
        <v>NO</v>
      </c>
      <c r="AV25" s="22"/>
      <c r="AW25" s="15" t="str">
        <f t="shared" si="29"/>
        <v>NP</v>
      </c>
      <c r="AX25" s="16" t="str">
        <f t="shared" si="30"/>
        <v>NP</v>
      </c>
      <c r="AY25" s="16" t="str">
        <f t="shared" si="31"/>
        <v>NO</v>
      </c>
      <c r="AZ25" s="22"/>
      <c r="BA25" s="15" t="str">
        <f t="shared" si="32"/>
        <v>NO PUEDE PRESENTARLAS</v>
      </c>
      <c r="BB25" s="15" t="str">
        <f t="shared" si="33"/>
        <v>NO PUEDE PRESENTARSE</v>
      </c>
      <c r="BC25" s="22"/>
      <c r="BD25" s="15" t="str">
        <f>IF(AN25="C","Convalidado",IF(AND(BA25="Aprobadas en ORD",BB25="Examen aprobado en ORD"),"Ámbito aprobado en ORD",IF(AND(BB25="Sólo debe recuperar Tareas EXT",ISBLANK(AZ25)),"Tareas EXT no presentadas",IF(AND(AZ25&lt;5,BB25="Sólo debe recuperar Tareas EXT"),"Tareas EXT Suspensas",IF(AND(AY25="Aprobadas en ORD",BC25&gt;=5),0.6*BC25+AR25,IF(AND(AY25="Aprobadas en ORD",ISBLANK(BC25)),"NP",IF(AND(AY25="Aprobadas en ORD",BC25&lt;5),"EXAMEN SUSPENSO",IF(AND(AY25="Aprobadas en ORD",ISBLANK(BC25)),"NP",IF(AND(AV25&gt;=5,AZ25&gt;=5),5*0.4+AV25*0.6,IF(BB25="NO PUEDE PRESENTARSE","NP",IF(ISBLANK(BC25),"NP",IF(AND(AR25&gt;=2,BC25&gt;=5),AR25+0.6*BC25,IF(AND(BB25="SI",ISBLANK(AZ25)),"Tareas EXT no presentadas",IF(AND(BA25="NO",BC25&gt;=0),"Tareas EXT suspensas",IF(BC25&lt;5,"EXAMEN SUSPENSO",IF(AR25&gt;=2,AR25+0.6*BC25,IF(AV25&gt;=5,0*A6V6+0.4*5,IF(AND(BC25&gt;=5,AZ25&gt;=5),5*0.4+BC25*0.6))))))))))))))))))</f>
        <v>NP</v>
      </c>
      <c r="BE25" s="16" t="str">
        <f t="shared" si="34"/>
        <v>NP</v>
      </c>
    </row>
    <row r="26" spans="1:57" x14ac:dyDescent="0.2">
      <c r="A26" s="42" t="s">
        <v>85</v>
      </c>
      <c r="B26" s="43" t="s">
        <v>86</v>
      </c>
      <c r="C26" s="43" t="s">
        <v>62</v>
      </c>
      <c r="D26" s="44" t="s">
        <v>3</v>
      </c>
      <c r="E26" s="19">
        <v>7.75</v>
      </c>
      <c r="F26" s="19">
        <v>9.5</v>
      </c>
      <c r="G26" s="19"/>
      <c r="H26" s="8">
        <f t="shared" si="3"/>
        <v>2.2999999999999998</v>
      </c>
      <c r="I26" s="8" t="str">
        <f t="shared" si="4"/>
        <v>SI</v>
      </c>
      <c r="J26" s="8">
        <f t="shared" si="5"/>
        <v>2</v>
      </c>
      <c r="K26" s="8" t="str">
        <f t="shared" si="6"/>
        <v>SI</v>
      </c>
      <c r="L26" s="19"/>
      <c r="M26" s="10" t="str">
        <f t="shared" si="7"/>
        <v>NP</v>
      </c>
      <c r="N26" s="11" t="str">
        <f t="shared" si="8"/>
        <v>NP</v>
      </c>
      <c r="O26" s="11" t="str">
        <f t="shared" si="9"/>
        <v>Aprobadas en ORD</v>
      </c>
      <c r="P26" s="19"/>
      <c r="Q26" s="8" t="str">
        <f t="shared" si="10"/>
        <v>Aprobadas en ORD</v>
      </c>
      <c r="R26" s="8" t="str">
        <f t="shared" si="11"/>
        <v>SI</v>
      </c>
      <c r="S26" s="19"/>
      <c r="T26" s="8" t="str">
        <f t="shared" si="12"/>
        <v>NP</v>
      </c>
      <c r="U26" s="11" t="str">
        <f t="shared" si="13"/>
        <v>NP</v>
      </c>
      <c r="V26" s="45" t="s">
        <v>3</v>
      </c>
      <c r="W26" s="21">
        <v>9</v>
      </c>
      <c r="X26" s="21">
        <v>6.5</v>
      </c>
      <c r="Y26" s="21"/>
      <c r="Z26" s="13">
        <f t="shared" si="14"/>
        <v>2.0666666666666664</v>
      </c>
      <c r="AA26" s="13" t="str">
        <f t="shared" si="15"/>
        <v>SI</v>
      </c>
      <c r="AB26" s="13">
        <f t="shared" si="16"/>
        <v>2</v>
      </c>
      <c r="AC26" s="13" t="str">
        <f t="shared" si="17"/>
        <v>SI</v>
      </c>
      <c r="AD26" s="21"/>
      <c r="AE26" s="13" t="str">
        <f t="shared" si="18"/>
        <v>NP</v>
      </c>
      <c r="AF26" s="14" t="str">
        <f t="shared" si="19"/>
        <v>NP</v>
      </c>
      <c r="AG26" s="14" t="str">
        <f t="shared" si="20"/>
        <v>Aprobadas en ORD</v>
      </c>
      <c r="AH26" s="21"/>
      <c r="AI26" s="13" t="str">
        <f t="shared" si="21"/>
        <v>Aprobadas en ORD</v>
      </c>
      <c r="AJ26" s="13" t="str">
        <f t="shared" si="22"/>
        <v>SI</v>
      </c>
      <c r="AK26" s="21"/>
      <c r="AL26" s="13" t="str">
        <f t="shared" si="23"/>
        <v>NP</v>
      </c>
      <c r="AM26" s="14" t="str">
        <f t="shared" si="24"/>
        <v>NP</v>
      </c>
      <c r="AN26" s="46" t="s">
        <v>3</v>
      </c>
      <c r="AO26" s="26">
        <v>9</v>
      </c>
      <c r="AP26" s="22">
        <v>8.6</v>
      </c>
      <c r="AQ26" s="22"/>
      <c r="AR26" s="15">
        <f t="shared" si="25"/>
        <v>2.3466666666666667</v>
      </c>
      <c r="AS26" s="15" t="str">
        <f t="shared" si="26"/>
        <v>SI</v>
      </c>
      <c r="AT26" s="15">
        <f t="shared" si="27"/>
        <v>2</v>
      </c>
      <c r="AU26" s="15" t="str">
        <f t="shared" si="28"/>
        <v>SI</v>
      </c>
      <c r="AV26" s="22"/>
      <c r="AW26" s="15" t="str">
        <f t="shared" si="29"/>
        <v>NP</v>
      </c>
      <c r="AX26" s="16" t="str">
        <f t="shared" si="30"/>
        <v>NP</v>
      </c>
      <c r="AY26" s="16" t="str">
        <f t="shared" si="31"/>
        <v>Aprobadas en ORD</v>
      </c>
      <c r="AZ26" s="22"/>
      <c r="BA26" s="15" t="str">
        <f t="shared" si="32"/>
        <v>Aprobadas en ORD</v>
      </c>
      <c r="BB26" s="15" t="str">
        <f t="shared" si="33"/>
        <v>SI</v>
      </c>
      <c r="BC26" s="22"/>
      <c r="BD26" s="15" t="str">
        <f>IF(AN26="C","Convalidado",IF(AND(BA26="Aprobadas en ORD",BB26="Examen aprobado en ORD"),"Ámbito aprobado en ORD",IF(AND(BB26="Sólo debe recuperar Tareas EXT",ISBLANK(AZ26)),"Tareas EXT no presentadas",IF(AND(AZ26&lt;5,BB26="Sólo debe recuperar Tareas EXT"),"Tareas EXT Suspensas",IF(AND(AY26="Aprobadas en ORD",BC26&gt;=5),0.6*BC26+AR26,IF(AND(AY26="Aprobadas en ORD",ISBLANK(BC26)),"NP",IF(AND(AY26="Aprobadas en ORD",BC26&lt;5),"EXAMEN SUSPENSO",IF(AND(AY26="Aprobadas en ORD",ISBLANK(BC26)),"NP",IF(AND(AV26&gt;=5,AZ26&gt;=5),5*0.4+AV26*0.6,IF(BB26="NO PUEDE PRESENTARSE","NP",IF(ISBLANK(BC26),"NP",IF(AND(AR26&gt;=2,BC26&gt;=5),AR26+0.6*BC26,IF(AND(BB26="SI",ISBLANK(AZ26)),"Tareas EXT no presentadas",IF(AND(BA26="NO",BC26&gt;=0),"Tareas EXT suspensas",IF(BC26&lt;5,"EXAMEN SUSPENSO",IF(AR26&gt;=2,AR26+0.6*BC26,IF(AV26&gt;=5,0*A6V6+0.4*5,IF(AND(BC26&gt;=5,AZ26&gt;=5),5*0.4+BC26*0.6))))))))))))))))))</f>
        <v>NP</v>
      </c>
      <c r="BE26" s="16" t="str">
        <f t="shared" si="34"/>
        <v>NP</v>
      </c>
    </row>
    <row r="27" spans="1:57" x14ac:dyDescent="0.2">
      <c r="C27">
        <f>SUBTOTAL(3,A6:A112)</f>
        <v>21</v>
      </c>
    </row>
  </sheetData>
  <sheetProtection algorithmName="SHA-512" hashValue="H8+GltkGdzJtgJLHi6SocoR51/PU4qqVjbG2mRwoo2Hy1hP6FvEScUjTRTKOzCKHOOH3HJoR3IrKZVOhmzEJ1w==" saltValue="xK9b2gBIjHPm9VDKgTLWpA==" spinCount="100000" sheet="1" selectLockedCells="1"/>
  <autoFilter ref="A5:BE26" xr:uid="{00000000-0009-0000-0000-000000000000}"/>
  <conditionalFormatting sqref="M6:M26 AE6:AE26 AW6:AW26">
    <cfRule type="expression" dxfId="32" priority="472">
      <formula>$M6="NO APLIC"</formula>
    </cfRule>
  </conditionalFormatting>
  <conditionalFormatting sqref="AE6:AE26 AW6:AW26">
    <cfRule type="expression" dxfId="31" priority="471">
      <formula>$AD6="NO APLIC"</formula>
    </cfRule>
  </conditionalFormatting>
  <conditionalFormatting sqref="AW6:AW26">
    <cfRule type="expression" dxfId="30" priority="470">
      <formula>$AW6="NO APLIC"</formula>
    </cfRule>
  </conditionalFormatting>
  <conditionalFormatting sqref="AE6:AE26 AW6:AW26">
    <cfRule type="expression" dxfId="29" priority="469">
      <formula>$M6="NO APLIC"</formula>
    </cfRule>
  </conditionalFormatting>
  <conditionalFormatting sqref="M6:M26 AE6:AE26 AW6:AW26">
    <cfRule type="cellIs" dxfId="28" priority="461" operator="equal">
      <formula>"NO APLIC"</formula>
    </cfRule>
  </conditionalFormatting>
  <conditionalFormatting sqref="I6:I26 AA6:AA26 AS6:AS26">
    <cfRule type="cellIs" dxfId="27" priority="458" operator="equal">
      <formula>"NO"</formula>
    </cfRule>
    <cfRule type="cellIs" dxfId="26" priority="459" operator="equal">
      <formula>"SI"</formula>
    </cfRule>
    <cfRule type="cellIs" dxfId="25" priority="460" operator="equal">
      <formula>"SI"</formula>
    </cfRule>
  </conditionalFormatting>
  <conditionalFormatting sqref="K6:K26 O6:O26 AC6:AC26 AG6:AG26 AU6:AU26 AY6:AY26">
    <cfRule type="cellIs" dxfId="24" priority="456" operator="equal">
      <formula>"NO"</formula>
    </cfRule>
    <cfRule type="cellIs" dxfId="23" priority="457" operator="equal">
      <formula>"SI"</formula>
    </cfRule>
  </conditionalFormatting>
  <conditionalFormatting sqref="M6:M26 AE6:AE26 AW6:AW26">
    <cfRule type="cellIs" dxfId="22" priority="455" operator="equal">
      <formula>"NO APLIC"</formula>
    </cfRule>
  </conditionalFormatting>
  <conditionalFormatting sqref="Q6:Q26 AI6:AI26 BA6:BA26">
    <cfRule type="cellIs" dxfId="21" priority="450" operator="equal">
      <formula>"NO PUEDE PRESENTARLAS"</formula>
    </cfRule>
    <cfRule type="cellIs" dxfId="20" priority="451" operator="equal">
      <formula>"NO"</formula>
    </cfRule>
    <cfRule type="cellIs" dxfId="19" priority="452" operator="equal">
      <formula>"SI"</formula>
    </cfRule>
  </conditionalFormatting>
  <conditionalFormatting sqref="Q6:Q26 O6:O26 AI6:AI26 AG6:AG26 BA6:BA26 AY6:AY26">
    <cfRule type="cellIs" dxfId="18" priority="449" operator="equal">
      <formula>"Aprobadas en ORD"</formula>
    </cfRule>
  </conditionalFormatting>
  <conditionalFormatting sqref="R6:R26 AJ6:AJ26 BB6:BB26">
    <cfRule type="cellIs" dxfId="17" priority="445" operator="equal">
      <formula>"Examen aprobado en ORD"</formula>
    </cfRule>
    <cfRule type="cellIs" dxfId="16" priority="446" operator="equal">
      <formula>"Sólo debe recuperar Tareas EXT"</formula>
    </cfRule>
    <cfRule type="cellIs" dxfId="15" priority="447" operator="equal">
      <formula>"NO PUEDE PRESENTARSE"</formula>
    </cfRule>
  </conditionalFormatting>
  <conditionalFormatting sqref="T6:T26 AL6:AL26 BD6:BD26">
    <cfRule type="cellIs" dxfId="14" priority="444" operator="equal">
      <formula>"Examen aprobado en ORD"</formula>
    </cfRule>
  </conditionalFormatting>
  <conditionalFormatting sqref="T6:T26 AL6:AL26 BD6:BD26">
    <cfRule type="cellIs" dxfId="13" priority="442" operator="equal">
      <formula>"Tareas EXT suspensas"</formula>
    </cfRule>
    <cfRule type="cellIs" dxfId="12" priority="443" operator="equal">
      <formula>"EXAMEN SUSPENSO"</formula>
    </cfRule>
  </conditionalFormatting>
  <conditionalFormatting sqref="AE6:AE26 AW6:AW26">
    <cfRule type="cellIs" dxfId="11" priority="440" operator="equal">
      <formula>"NO APLIC"</formula>
    </cfRule>
  </conditionalFormatting>
  <conditionalFormatting sqref="T6:T26 AL6:AL26 BD6:BD26">
    <cfRule type="cellIs" dxfId="10" priority="399" operator="equal">
      <formula>"Tareas EXT no presentadas"</formula>
    </cfRule>
  </conditionalFormatting>
  <conditionalFormatting sqref="T6:T26 AL6:AL26 BD6:BD26">
    <cfRule type="cellIs" dxfId="9" priority="134" operator="equal">
      <formula>"Ámbito aprobado en ORD"</formula>
    </cfRule>
  </conditionalFormatting>
  <conditionalFormatting sqref="AK6:AK26">
    <cfRule type="cellIs" dxfId="8" priority="7" operator="equal">
      <formula>"Examen aprobado en ORD"</formula>
    </cfRule>
    <cfRule type="cellIs" dxfId="7" priority="8" operator="equal">
      <formula>"Sólo debe recuperar Tareas EXT"</formula>
    </cfRule>
    <cfRule type="cellIs" dxfId="6" priority="9" operator="equal">
      <formula>"NO PUEDE PRESENTARSE"</formula>
    </cfRule>
  </conditionalFormatting>
  <conditionalFormatting sqref="BC15:BC26">
    <cfRule type="cellIs" dxfId="5" priority="4" operator="equal">
      <formula>"Examen aprobado en ORD"</formula>
    </cfRule>
    <cfRule type="cellIs" dxfId="4" priority="5" operator="equal">
      <formula>"Sólo debe recuperar Tareas EXT"</formula>
    </cfRule>
    <cfRule type="cellIs" dxfId="3" priority="6" operator="equal">
      <formula>"NO PUEDE PRESENTARSE"</formula>
    </cfRule>
  </conditionalFormatting>
  <conditionalFormatting sqref="BC6:BC14">
    <cfRule type="cellIs" dxfId="2" priority="1" operator="equal">
      <formula>"Examen aprobado en ORD"</formula>
    </cfRule>
    <cfRule type="cellIs" dxfId="1" priority="2" operator="equal">
      <formula>"Sólo debe recuperar Tareas EXT"</formula>
    </cfRule>
    <cfRule type="cellIs" dxfId="0" priority="3" operator="equal">
      <formula>"NO PUEDE PRESENTARSE"</formula>
    </cfRule>
  </conditionalFormatting>
  <pageMargins left="0.74803149606299213" right="0.74803149606299213" top="0.98425196850393704" bottom="0.98425196850393704" header="0.51181102362204722" footer="0.51181102362204722"/>
  <pageSetup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1168-A4C9-48CF-8002-4454E18C7652}">
  <sheetPr>
    <pageSetUpPr fitToPage="1"/>
  </sheetPr>
  <dimension ref="A1:E30"/>
  <sheetViews>
    <sheetView tabSelected="1" zoomScale="115" zoomScaleNormal="115" workbookViewId="0">
      <selection activeCell="A13" sqref="A13"/>
    </sheetView>
  </sheetViews>
  <sheetFormatPr baseColWidth="10" defaultRowHeight="12.75" x14ac:dyDescent="0.2"/>
  <cols>
    <col min="1" max="1" width="10.28515625" bestFit="1" customWidth="1"/>
    <col min="2" max="2" width="30" customWidth="1"/>
    <col min="3" max="3" width="28.42578125" bestFit="1" customWidth="1"/>
    <col min="4" max="4" width="26.140625" bestFit="1" customWidth="1"/>
    <col min="5" max="5" width="26.140625" hidden="1" customWidth="1"/>
  </cols>
  <sheetData>
    <row r="1" spans="1:5" ht="13.5" thickBot="1" x14ac:dyDescent="0.25">
      <c r="C1" s="51" t="s">
        <v>30</v>
      </c>
      <c r="D1" s="52"/>
      <c r="E1" s="41"/>
    </row>
    <row r="2" spans="1:5" x14ac:dyDescent="0.2">
      <c r="C2" s="27" t="s">
        <v>33</v>
      </c>
      <c r="D2" s="39" t="e">
        <f>IF(ISBLANK(E2),"-",E2)</f>
        <v>#N/A</v>
      </c>
      <c r="E2" s="41" t="e">
        <f>VLOOKUP(A13,'Materias de las que se ha matri'!A3:BE26,4,FALSE)</f>
        <v>#N/A</v>
      </c>
    </row>
    <row r="3" spans="1:5" x14ac:dyDescent="0.2">
      <c r="C3" s="27" t="s">
        <v>34</v>
      </c>
      <c r="D3" s="39" t="e">
        <f>IF(E2="-","-",IF(E2="C", "Convalidado", IF(E3=0,"NP/FUERA DE PLAZO",E3)))</f>
        <v>#N/A</v>
      </c>
      <c r="E3" s="41" t="e">
        <f>VLOOKUP(A13,'Materias de las que se ha matri'!A3:BE26,5,FALSE)</f>
        <v>#N/A</v>
      </c>
    </row>
    <row r="4" spans="1:5" ht="13.5" thickBot="1" x14ac:dyDescent="0.25">
      <c r="C4" s="27" t="s">
        <v>35</v>
      </c>
      <c r="D4" s="39" t="e">
        <f>IF(E2="-","-",IF(E2="C", "Convalidado", IF(E4=0,"NP/FUERA DE PLAZO",E4)))</f>
        <v>#N/A</v>
      </c>
      <c r="E4" s="41" t="e">
        <f>VLOOKUP(A13,'Materias de las que se ha matri'!A3:BE26,6,FALSE)</f>
        <v>#N/A</v>
      </c>
    </row>
    <row r="5" spans="1:5" hidden="1" x14ac:dyDescent="0.2">
      <c r="C5" s="27" t="s">
        <v>36</v>
      </c>
      <c r="D5" s="39" t="e">
        <f>IF(E2="-","-",IF(E2="C", "Convalidado", IF(E5=0,"NP/FUERA DE PLAZO",E5)))</f>
        <v>#N/A</v>
      </c>
      <c r="E5" s="41" t="e">
        <f>VLOOKUP(A13,'Materias de las que se ha matri'!A3:BE26,7,FALSE)</f>
        <v>#N/A</v>
      </c>
    </row>
    <row r="6" spans="1:5" hidden="1" x14ac:dyDescent="0.2">
      <c r="C6" s="27" t="s">
        <v>37</v>
      </c>
      <c r="D6" s="39" t="e">
        <f>IF(E2="-","-",IF(E2="C","Convalidado",E6))</f>
        <v>#N/A</v>
      </c>
      <c r="E6" s="41" t="e">
        <f>VLOOKUP(A13,'Materias de las que se ha matri'!A3:BE26,9,FALSE)</f>
        <v>#N/A</v>
      </c>
    </row>
    <row r="7" spans="1:5" hidden="1" x14ac:dyDescent="0.2">
      <c r="C7" s="27" t="s">
        <v>38</v>
      </c>
      <c r="D7" s="39" t="e">
        <f>IF(E2="-","-",IF(E2="C","Convalidado",E7))</f>
        <v>#N/A</v>
      </c>
      <c r="E7" s="41" t="e">
        <f>VLOOKUP(A13,'Materias de las que se ha matri'!A3:BE26,11,FALSE)</f>
        <v>#N/A</v>
      </c>
    </row>
    <row r="8" spans="1:5" hidden="1" x14ac:dyDescent="0.2">
      <c r="C8" s="27" t="s">
        <v>39</v>
      </c>
      <c r="D8" s="39" t="e">
        <f>IF(E2="-","-",IF(E2="C","Convalidado",IF(E8=0,"NP",E8)))</f>
        <v>#N/A</v>
      </c>
      <c r="E8" s="41" t="e">
        <f>VLOOKUP(A13,'Materias de las que se ha matri'!A3:BE26,12,FALSE)</f>
        <v>#N/A</v>
      </c>
    </row>
    <row r="9" spans="1:5" hidden="1" x14ac:dyDescent="0.2">
      <c r="C9" s="27" t="s">
        <v>40</v>
      </c>
      <c r="D9" s="39" t="e">
        <f>IF(E2="-","-",IF(E2="C","Convalidado",E9))</f>
        <v>#N/A</v>
      </c>
      <c r="E9" s="41" t="e">
        <f>VLOOKUP(A13,'Materias de las que se ha matri'!A3:BE26,17,FALSE)</f>
        <v>#N/A</v>
      </c>
    </row>
    <row r="10" spans="1:5" ht="13.5" hidden="1" thickBot="1" x14ac:dyDescent="0.25">
      <c r="C10" s="32" t="s">
        <v>41</v>
      </c>
      <c r="D10" s="40" t="e">
        <f>IF(E2="-","-",IF(E2="C","Convalidado",IF(E8&gt;=5,"Examen ORD aprobado",IF(E10=0,"NP",E10))))</f>
        <v>#N/A</v>
      </c>
      <c r="E10" s="41" t="e">
        <f>VLOOKUP(A13,'Materias de las que se ha matri'!A3:BE26,19,FALSE)</f>
        <v>#N/A</v>
      </c>
    </row>
    <row r="11" spans="1:5" ht="13.5" thickBot="1" x14ac:dyDescent="0.25">
      <c r="C11" s="49" t="s">
        <v>31</v>
      </c>
      <c r="D11" s="50"/>
      <c r="E11" s="41"/>
    </row>
    <row r="12" spans="1:5" x14ac:dyDescent="0.2">
      <c r="A12" s="23" t="s">
        <v>27</v>
      </c>
      <c r="B12" s="23" t="s">
        <v>28</v>
      </c>
      <c r="C12" s="28" t="s">
        <v>33</v>
      </c>
      <c r="D12" s="37" t="e">
        <f>IF(ISBLANK(E12),"-",E12)</f>
        <v>#N/A</v>
      </c>
      <c r="E12" s="41" t="e">
        <f>VLOOKUP(A13,'Materias de las que se ha matri'!A3:BE26,22,FALSE)</f>
        <v>#N/A</v>
      </c>
    </row>
    <row r="13" spans="1:5" x14ac:dyDescent="0.2">
      <c r="A13" s="53"/>
      <c r="B13" s="41" t="e">
        <f>VLOOKUP(A13,'Materias de las que se ha matri'!A6:BF26,2,FALSE)</f>
        <v>#N/A</v>
      </c>
      <c r="C13" s="30" t="s">
        <v>34</v>
      </c>
      <c r="D13" s="37" t="e">
        <f>IF(E12="-","-",IF(E12="C", "Convalidado", IF(E13=0,"NP/FUERA DE PLAZO",E13)))</f>
        <v>#N/A</v>
      </c>
      <c r="E13" s="41" t="e">
        <f>VLOOKUP(A13,'Materias de las que se ha matri'!A3:BE26,23,FALSE)</f>
        <v>#N/A</v>
      </c>
    </row>
    <row r="14" spans="1:5" ht="13.5" thickBot="1" x14ac:dyDescent="0.25">
      <c r="C14" s="30" t="s">
        <v>35</v>
      </c>
      <c r="D14" s="37" t="e">
        <f>IF(E12="-","-",IF(E12="C", "Convalidado", IF(E14=0,"NP/FUERA DE PLAZO",E14)))</f>
        <v>#N/A</v>
      </c>
      <c r="E14" s="41" t="e">
        <f>VLOOKUP(A13,'Materias de las que se ha matri'!A3:BE26,24,FALSE)</f>
        <v>#N/A</v>
      </c>
    </row>
    <row r="15" spans="1:5" hidden="1" x14ac:dyDescent="0.2">
      <c r="C15" s="30" t="s">
        <v>36</v>
      </c>
      <c r="D15" s="37" t="e">
        <f>IF(E12="-","-",IF(E12="C", "Convalidado", IF(E15=0,"NP/FUERA DE PLAZO",E15)))</f>
        <v>#N/A</v>
      </c>
      <c r="E15" s="41" t="e">
        <f>VLOOKUP(A13,'Materias de las que se ha matri'!A3:BE26,25,FALSE)</f>
        <v>#N/A</v>
      </c>
    </row>
    <row r="16" spans="1:5" hidden="1" x14ac:dyDescent="0.2">
      <c r="C16" s="30" t="s">
        <v>37</v>
      </c>
      <c r="D16" s="37" t="e">
        <f>IF(E12="-","-",IF(E12="C","Convalidado",E16))</f>
        <v>#N/A</v>
      </c>
      <c r="E16" s="41" t="e">
        <f>VLOOKUP(A13,'Materias de las que se ha matri'!A3:BE26,27,FALSE)</f>
        <v>#N/A</v>
      </c>
    </row>
    <row r="17" spans="3:5" hidden="1" x14ac:dyDescent="0.2">
      <c r="C17" s="30" t="s">
        <v>38</v>
      </c>
      <c r="D17" s="37" t="e">
        <f>IF(E12="-","-",IF(E12="C","Convalidado",E17))</f>
        <v>#N/A</v>
      </c>
      <c r="E17" s="41" t="e">
        <f>VLOOKUP(A13,'Materias de las que se ha matri'!A3:BE26,29,FALSE)</f>
        <v>#N/A</v>
      </c>
    </row>
    <row r="18" spans="3:5" hidden="1" x14ac:dyDescent="0.2">
      <c r="C18" s="30" t="s">
        <v>39</v>
      </c>
      <c r="D18" s="37" t="e">
        <f>IF(E12="-","-",IF(E12="C","Convalidado",IF(E18=0,"NP",E18)))</f>
        <v>#N/A</v>
      </c>
      <c r="E18" s="41" t="e">
        <f>VLOOKUP(A13,'Materias de las que se ha matri'!A3:BE26,30,FALSE)</f>
        <v>#N/A</v>
      </c>
    </row>
    <row r="19" spans="3:5" hidden="1" x14ac:dyDescent="0.2">
      <c r="C19" s="30" t="s">
        <v>40</v>
      </c>
      <c r="D19" s="37" t="e">
        <f>IF(E12="-","-",IF(E12="C","Convalidado",E19))</f>
        <v>#N/A</v>
      </c>
      <c r="E19" s="41" t="e">
        <f>VLOOKUP(A13,'Materias de las que se ha matri'!A3:BE26,35,FALSE)</f>
        <v>#N/A</v>
      </c>
    </row>
    <row r="20" spans="3:5" ht="13.5" hidden="1" thickBot="1" x14ac:dyDescent="0.25">
      <c r="C20" s="33" t="s">
        <v>41</v>
      </c>
      <c r="D20" s="38" t="e">
        <f>IF(E12="-","-",IF(E12="C","Convalidado",IF(E18&gt;=5,"Examen ORD aprobado",IF(E20=0,"NP",E20))))</f>
        <v>#N/A</v>
      </c>
      <c r="E20" s="41" t="e">
        <f>VLOOKUP(A13,'Materias de las que se ha matri'!A3:BE26,37,FALSE)</f>
        <v>#N/A</v>
      </c>
    </row>
    <row r="21" spans="3:5" ht="13.5" thickBot="1" x14ac:dyDescent="0.25">
      <c r="C21" s="47" t="s">
        <v>32</v>
      </c>
      <c r="D21" s="48"/>
      <c r="E21" s="41"/>
    </row>
    <row r="22" spans="3:5" x14ac:dyDescent="0.2">
      <c r="C22" s="29" t="s">
        <v>33</v>
      </c>
      <c r="D22" s="35" t="e">
        <f>IF(ISBLANK(E22),"-",E22)</f>
        <v>#N/A</v>
      </c>
      <c r="E22" s="41" t="e">
        <f>VLOOKUP(A13,'Materias de las que se ha matri'!A3:BE26,40,FALSE)</f>
        <v>#N/A</v>
      </c>
    </row>
    <row r="23" spans="3:5" x14ac:dyDescent="0.2">
      <c r="C23" s="31" t="s">
        <v>34</v>
      </c>
      <c r="D23" s="35" t="e">
        <f>IF(E22="-","-",IF(E22="C", "Convalidado", IF(E23=0,"NP/FUERA DE PLAZO",E23)))</f>
        <v>#N/A</v>
      </c>
      <c r="E23" s="41" t="e">
        <f>VLOOKUP(A13,'Materias de las que se ha matri'!A3:BE26,41,FALSE)</f>
        <v>#N/A</v>
      </c>
    </row>
    <row r="24" spans="3:5" x14ac:dyDescent="0.2">
      <c r="C24" s="31" t="s">
        <v>35</v>
      </c>
      <c r="D24" s="35" t="e">
        <f>IF(E22="-","-",IF(E22="C", "Convalidado", IF(E24=0,"NP/FUERA DE PLAZO",E24)))</f>
        <v>#N/A</v>
      </c>
      <c r="E24" s="41" t="e">
        <f>VLOOKUP(A13,'Materias de las que se ha matri'!A3:BE26,42,FALSE)</f>
        <v>#N/A</v>
      </c>
    </row>
    <row r="25" spans="3:5" hidden="1" x14ac:dyDescent="0.2">
      <c r="C25" s="31" t="s">
        <v>36</v>
      </c>
      <c r="D25" s="35" t="e">
        <f>IF(E22="-","-",IF(E22="C", "Convalidado", IF(E25=0,"NP/FUERA DE PLAZO",E25)))</f>
        <v>#N/A</v>
      </c>
      <c r="E25" s="41" t="e">
        <f>VLOOKUP(A13,'Materias de las que se ha matri'!A3:BE26,43,FALSE)</f>
        <v>#N/A</v>
      </c>
    </row>
    <row r="26" spans="3:5" hidden="1" x14ac:dyDescent="0.2">
      <c r="C26" s="31" t="s">
        <v>37</v>
      </c>
      <c r="D26" s="35" t="e">
        <f>IF(E22="-","-",IF(E22="C","Convalidado",E26))</f>
        <v>#N/A</v>
      </c>
      <c r="E26" s="41" t="e">
        <f>VLOOKUP(A13,'Materias de las que se ha matri'!A3:BE26,45,FALSE)</f>
        <v>#N/A</v>
      </c>
    </row>
    <row r="27" spans="3:5" hidden="1" x14ac:dyDescent="0.2">
      <c r="C27" s="31" t="s">
        <v>38</v>
      </c>
      <c r="D27" s="35" t="e">
        <f>IF(E22="-","-",IF(E22="C","Convalidado",E27))</f>
        <v>#N/A</v>
      </c>
      <c r="E27" s="41" t="e">
        <f>VLOOKUP(A13,'Materias de las que se ha matri'!A3:BE26,47,FALSE)</f>
        <v>#N/A</v>
      </c>
    </row>
    <row r="28" spans="3:5" hidden="1" x14ac:dyDescent="0.2">
      <c r="C28" s="31" t="s">
        <v>39</v>
      </c>
      <c r="D28" s="35" t="e">
        <f>IF(E22="-","-",IF(E22="C","Convalidado",IF(E28=0,"NP",E28)))</f>
        <v>#N/A</v>
      </c>
      <c r="E28" s="41" t="e">
        <f>VLOOKUP(A13,'Materias de las que se ha matri'!A3:BE26,48,FALSE)</f>
        <v>#N/A</v>
      </c>
    </row>
    <row r="29" spans="3:5" hidden="1" x14ac:dyDescent="0.2">
      <c r="C29" s="31" t="s">
        <v>40</v>
      </c>
      <c r="D29" s="35" t="e">
        <f>IF(E22="-","-",IF(E22="C","Convalidado",E29))</f>
        <v>#N/A</v>
      </c>
      <c r="E29" s="41" t="e">
        <f>VLOOKUP(A13,'Materias de las que se ha matri'!A3:BE26,53,FALSE)</f>
        <v>#N/A</v>
      </c>
    </row>
    <row r="30" spans="3:5" ht="13.5" hidden="1" thickBot="1" x14ac:dyDescent="0.25">
      <c r="C30" s="34" t="s">
        <v>41</v>
      </c>
      <c r="D30" s="36" t="e">
        <f>IF(E22="-","-",IF(E22="C","Convalidado",IF(E28&gt;=5,"Examen ORD aprobado",IF(E30=0,"NP",E30))))</f>
        <v>#N/A</v>
      </c>
      <c r="E30" s="41" t="e">
        <f>VLOOKUP(A13,'Materias de las que se ha matri'!A3:BE26,55,FALSE)</f>
        <v>#N/A</v>
      </c>
    </row>
  </sheetData>
  <sheetProtection algorithmName="SHA-512" hashValue="/KaikjD2exCUZ8Ttfhc+LzlKp34dnBDgMjMqwPIHJK/ri52OUmRZKFQjJApdPReNvm1wXwdgoaWXUc9GHEw3GA==" saltValue="3ljD8sXFW0X/YYY90HZ4Ww==" spinCount="100000" sheet="1" objects="1" scenarios="1" selectLockedCells="1"/>
  <mergeCells count="3">
    <mergeCell ref="C21:D21"/>
    <mergeCell ref="C11:D11"/>
    <mergeCell ref="C1:D1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Materias de las que se ha matri</vt:lpstr>
      <vt:lpstr>Consulta de notas</vt:lpstr>
      <vt:lpstr>'Materias de las que se ha matri'!_FilterDatabase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Juan José</cp:lastModifiedBy>
  <cp:lastPrinted>2019-10-22T11:30:27Z</cp:lastPrinted>
  <dcterms:created xsi:type="dcterms:W3CDTF">2012-10-29T11:23:27Z</dcterms:created>
  <dcterms:modified xsi:type="dcterms:W3CDTF">2020-05-05T15:54:19Z</dcterms:modified>
</cp:coreProperties>
</file>