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codeName="ThisWorkbook" defaultThemeVersion="124226"/>
  <bookViews>
    <workbookView showSheetTabs="0" xWindow="240" yWindow="120" windowWidth="15600" windowHeight="9780" tabRatio="893"/>
  </bookViews>
  <sheets>
    <sheet name="Daftar Isi" sheetId="19" r:id="rId1"/>
    <sheet name="Petunjuk" sheetId="1" r:id="rId2"/>
    <sheet name="Data Sekolah" sheetId="4" r:id="rId3"/>
    <sheet name="Sampul" sheetId="2" r:id="rId4"/>
    <sheet name="BOS-K1" sheetId="11" r:id="rId5"/>
    <sheet name="BOS-K2" sheetId="12" r:id="rId6"/>
    <sheet name="BOS-K3" sheetId="13" r:id="rId7"/>
    <sheet name="BOS-K4" sheetId="14" r:id="rId8"/>
    <sheet name="BOS-K5" sheetId="15" r:id="rId9"/>
    <sheet name="BOS-K6" sheetId="17" r:id="rId10"/>
    <sheet name="BOS-K7" sheetId="5" r:id="rId11"/>
    <sheet name="BOS-K7a" sheetId="16" r:id="rId12"/>
    <sheet name="Surat Pengantar" sheetId="6" r:id="rId13"/>
    <sheet name="Lampiran Bos-K7" sheetId="7" r:id="rId14"/>
    <sheet name="Data A2" sheetId="8" r:id="rId15"/>
    <sheet name="Kuitansi A2" sheetId="9" r:id="rId16"/>
    <sheet name="BOS-03" sheetId="18" r:id="rId17"/>
    <sheet name="BOS-04" sheetId="20" r:id="rId18"/>
  </sheets>
  <externalReferences>
    <externalReference r:id="rId19"/>
    <externalReference r:id="rId20"/>
  </externalReferences>
  <definedNames>
    <definedName name="_xlnm._FilterDatabase" localSheetId="17" hidden="1">'BOS-04'!$C$8:$G$80</definedName>
    <definedName name="_xlnm._FilterDatabase" localSheetId="5" hidden="1">'BOS-K2'!$B$15:$K$278</definedName>
    <definedName name="_xlnm._FilterDatabase" localSheetId="6" hidden="1">'BOS-K3'!$B$12:$H$99</definedName>
    <definedName name="_xlnm._FilterDatabase" localSheetId="7" hidden="1">'BOS-K4'!$B$12:$H$99</definedName>
    <definedName name="_xlnm._FilterDatabase" localSheetId="8" hidden="1">'BOS-K5'!$B$12:$H$99</definedName>
    <definedName name="_xlnm._FilterDatabase" localSheetId="9" hidden="1">'BOS-K6'!$B$13:$K$44</definedName>
    <definedName name="_xlnm._FilterDatabase" localSheetId="10" hidden="1">'BOS-K7'!$B$14:$K$266</definedName>
    <definedName name="alamat_sek">'Data Sekolah'!$D$5</definedName>
    <definedName name="besar_dana">'Data Sekolah'!$D$28</definedName>
    <definedName name="bujur">'Data Sekolah'!$D$15</definedName>
    <definedName name="data_a2">'Data A2'!$A:$AV</definedName>
    <definedName name="desa_kel">'Data Sekolah'!$D$9</definedName>
    <definedName name="dusun">'Data Sekolah'!$D$8</definedName>
    <definedName name="email_sek">'Data Sekolah'!$D$20</definedName>
    <definedName name="form_a2">[1]data!$A$1:$BC$65536</definedName>
    <definedName name="hp_bend">'Data Sekolah'!$D$34</definedName>
    <definedName name="hp_ks">'Data Sekolah'!$D$31</definedName>
    <definedName name="jml_siswa">'Data Sekolah'!$D$27</definedName>
    <definedName name="kab_kota">'Data Sekolah'!$D$11</definedName>
    <definedName name="kec">'Data Sekolah'!$D$10</definedName>
    <definedName name="kode_pos">'Data Sekolah'!$D$13</definedName>
    <definedName name="lintang">'Data Sekolah'!$D$14</definedName>
    <definedName name="nama_bank">'Data Sekolah'!$D$18</definedName>
    <definedName name="nama_bend">'Data Sekolah'!$D$32</definedName>
    <definedName name="nama_ket_komite">'Data Sekolah'!$D$35</definedName>
    <definedName name="nama_ks">'Data Sekolah'!$D$29</definedName>
    <definedName name="nama_rek">'Data Sekolah'!$D$17</definedName>
    <definedName name="nama_sekolah">'Data Sekolah'!$D$2</definedName>
    <definedName name="nip_bend">'Data Sekolah'!$D$33</definedName>
    <definedName name="nip_ks">'Data Sekolah'!$D$30</definedName>
    <definedName name="no_a2">'Kuitansi A2'!$N$2</definedName>
    <definedName name="no_rek">'Data Sekolah'!$D$16</definedName>
    <definedName name="npsn">'Data Sekolah'!$D$3</definedName>
    <definedName name="npwp">'Data Sekolah'!$D$19</definedName>
    <definedName name="nss">'Data Sekolah'!$D$4</definedName>
    <definedName name="periode_dari">'Data Sekolah'!$D$23</definedName>
    <definedName name="periode_sampai">'Data Sekolah'!$D$24</definedName>
    <definedName name="_xlnm.Print_Titles" localSheetId="17">'BOS-04'!$83:$83</definedName>
    <definedName name="_xlnm.Print_Titles" localSheetId="5">'BOS-K2'!$13:$15</definedName>
    <definedName name="_xlnm.Print_Titles" localSheetId="6">'BOS-K3'!$11:$12</definedName>
    <definedName name="_xlnm.Print_Titles" localSheetId="7">'BOS-K4'!$11:$12</definedName>
    <definedName name="_xlnm.Print_Titles" localSheetId="8">'BOS-K5'!$11:$12</definedName>
    <definedName name="_xlnm.Print_Titles" localSheetId="9">'BOS-K6'!$11:$12</definedName>
    <definedName name="_xlnm.Print_Titles" localSheetId="10">'BOS-K7'!$11:$14</definedName>
    <definedName name="program_sekolah">'BOS-K1'!$H$14:$H$21</definedName>
    <definedName name="provinsi">'Data Sekolah'!$D$12</definedName>
    <definedName name="rt">'Data Sekolah'!$D$6</definedName>
    <definedName name="rw">'Data Sekolah'!$D$7</definedName>
    <definedName name="tahun_ajaran">'Data Sekolah'!$D$26</definedName>
    <definedName name="tahun_anggaran">'Data Sekolah'!$D$25</definedName>
    <definedName name="triwulan">'Data Sekolah'!$D$22</definedName>
    <definedName name="website">'Data Sekolah'!$D$21</definedName>
  </definedNames>
  <calcPr calcId="125725"/>
</workbook>
</file>

<file path=xl/calcChain.xml><?xml version="1.0" encoding="utf-8"?>
<calcChain xmlns="http://schemas.openxmlformats.org/spreadsheetml/2006/main">
  <c r="C205" i="20"/>
  <c r="F206"/>
  <c r="F205"/>
  <c r="E205"/>
  <c r="E206"/>
  <c r="B5"/>
  <c r="B3" i="17"/>
  <c r="D5"/>
  <c r="G16" i="12"/>
  <c r="F16" s="1"/>
  <c r="C45" i="11"/>
  <c r="E23"/>
  <c r="B6" i="18"/>
  <c r="C32"/>
  <c r="E33"/>
  <c r="D33"/>
  <c r="D32"/>
  <c r="E32"/>
  <c r="B4"/>
  <c r="B5"/>
  <c r="E24"/>
  <c r="J13" i="7"/>
  <c r="D9" i="17"/>
  <c r="D8"/>
  <c r="D7"/>
  <c r="D6"/>
  <c r="J55"/>
  <c r="J54"/>
  <c r="J46"/>
  <c r="C55"/>
  <c r="C54"/>
  <c r="J15" i="7"/>
  <c r="J11"/>
  <c r="V30"/>
  <c r="M30"/>
  <c r="R50"/>
  <c r="R49"/>
  <c r="R42"/>
  <c r="R40"/>
  <c r="B5" i="6"/>
  <c r="B4"/>
  <c r="B6"/>
  <c r="F9"/>
  <c r="G45"/>
  <c r="F45"/>
  <c r="E45"/>
  <c r="F71" i="5"/>
  <c r="F93" i="12"/>
  <c r="G111" i="13"/>
  <c r="D111"/>
  <c r="G110"/>
  <c r="D110"/>
  <c r="G102"/>
  <c r="G100"/>
  <c r="F100"/>
  <c r="H100" s="1"/>
  <c r="H13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D9"/>
  <c r="D8"/>
  <c r="D7"/>
  <c r="D6"/>
  <c r="D5"/>
  <c r="B3"/>
  <c r="G111" i="15"/>
  <c r="D111"/>
  <c r="G110"/>
  <c r="D110"/>
  <c r="G102"/>
  <c r="G100"/>
  <c r="F100"/>
  <c r="H100" s="1"/>
  <c r="H14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13"/>
  <c r="D9"/>
  <c r="D8"/>
  <c r="D7"/>
  <c r="D6"/>
  <c r="D5"/>
  <c r="B3"/>
  <c r="B3" i="14"/>
  <c r="F100"/>
  <c r="G102"/>
  <c r="I19" i="11"/>
  <c r="G111" i="14"/>
  <c r="G110"/>
  <c r="D111"/>
  <c r="D110"/>
  <c r="G178" i="12"/>
  <c r="H178"/>
  <c r="I178"/>
  <c r="J178"/>
  <c r="G161"/>
  <c r="H161"/>
  <c r="I161"/>
  <c r="J161"/>
  <c r="G149"/>
  <c r="H149"/>
  <c r="I149"/>
  <c r="J149"/>
  <c r="G146"/>
  <c r="H146"/>
  <c r="I146"/>
  <c r="J146"/>
  <c r="G140"/>
  <c r="H140"/>
  <c r="I140"/>
  <c r="J140"/>
  <c r="G137"/>
  <c r="H137"/>
  <c r="I137"/>
  <c r="J137"/>
  <c r="G128"/>
  <c r="H128"/>
  <c r="I128"/>
  <c r="J128"/>
  <c r="G125"/>
  <c r="H125"/>
  <c r="I125"/>
  <c r="J125"/>
  <c r="G122"/>
  <c r="G121" s="1"/>
  <c r="H122"/>
  <c r="H121" s="1"/>
  <c r="I122"/>
  <c r="I121" s="1"/>
  <c r="J122"/>
  <c r="J121" s="1"/>
  <c r="G106"/>
  <c r="H106"/>
  <c r="I106"/>
  <c r="J106"/>
  <c r="F105" s="1"/>
  <c r="G103"/>
  <c r="H103"/>
  <c r="I103"/>
  <c r="J103"/>
  <c r="D9" i="14"/>
  <c r="D8"/>
  <c r="D7"/>
  <c r="D6"/>
  <c r="D5"/>
  <c r="G100"/>
  <c r="H13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G153" i="12"/>
  <c r="H153"/>
  <c r="I153"/>
  <c r="J153"/>
  <c r="I62"/>
  <c r="F73"/>
  <c r="F74"/>
  <c r="F75"/>
  <c r="F76"/>
  <c r="F77"/>
  <c r="F78"/>
  <c r="F79"/>
  <c r="F80"/>
  <c r="F72"/>
  <c r="G71"/>
  <c r="H71"/>
  <c r="I71"/>
  <c r="J71"/>
  <c r="G63"/>
  <c r="G62" s="1"/>
  <c r="H63"/>
  <c r="H62" s="1"/>
  <c r="I63"/>
  <c r="J63"/>
  <c r="J62" s="1"/>
  <c r="G159"/>
  <c r="G157"/>
  <c r="G156"/>
  <c r="G154"/>
  <c r="G132"/>
  <c r="G130"/>
  <c r="F156"/>
  <c r="F155"/>
  <c r="F154"/>
  <c r="F152"/>
  <c r="F151"/>
  <c r="F150"/>
  <c r="F148"/>
  <c r="F147"/>
  <c r="F145"/>
  <c r="F143" s="1"/>
  <c r="F144"/>
  <c r="F142"/>
  <c r="F141"/>
  <c r="F139"/>
  <c r="F138"/>
  <c r="F136"/>
  <c r="F135"/>
  <c r="G185"/>
  <c r="G183" s="1"/>
  <c r="H185"/>
  <c r="H183" s="1"/>
  <c r="I185"/>
  <c r="I183" s="1"/>
  <c r="J185"/>
  <c r="J183" s="1"/>
  <c r="F187"/>
  <c r="F188"/>
  <c r="F189"/>
  <c r="F190"/>
  <c r="F191"/>
  <c r="F192"/>
  <c r="F193"/>
  <c r="F194"/>
  <c r="F195"/>
  <c r="F196"/>
  <c r="F197"/>
  <c r="F198"/>
  <c r="F199"/>
  <c r="F200"/>
  <c r="F201"/>
  <c r="F186"/>
  <c r="G114"/>
  <c r="H114"/>
  <c r="I114"/>
  <c r="J114"/>
  <c r="AS3" i="9"/>
  <c r="M13"/>
  <c r="M12"/>
  <c r="AJ59"/>
  <c r="AJ58"/>
  <c r="B59"/>
  <c r="B58"/>
  <c r="AH3" i="8"/>
  <c r="AH4"/>
  <c r="AJ4" s="1"/>
  <c r="AL4" s="1"/>
  <c r="AH5"/>
  <c r="AJ5" s="1"/>
  <c r="AL5" s="1"/>
  <c r="AH6"/>
  <c r="AJ6" s="1"/>
  <c r="AL6" s="1"/>
  <c r="AH7"/>
  <c r="AJ7" s="1"/>
  <c r="AL7" s="1"/>
  <c r="AH8"/>
  <c r="AJ8" s="1"/>
  <c r="AL8" s="1"/>
  <c r="AH9"/>
  <c r="AJ9" s="1"/>
  <c r="AL9" s="1"/>
  <c r="AH10"/>
  <c r="AJ10" s="1"/>
  <c r="AL10" s="1"/>
  <c r="AH11"/>
  <c r="AJ11" s="1"/>
  <c r="AL11" s="1"/>
  <c r="AH12"/>
  <c r="AJ12" s="1"/>
  <c r="AL12" s="1"/>
  <c r="AH13"/>
  <c r="AJ13" s="1"/>
  <c r="AL13" s="1"/>
  <c r="AH14"/>
  <c r="AJ14" s="1"/>
  <c r="AL14" s="1"/>
  <c r="AH15"/>
  <c r="AJ15" s="1"/>
  <c r="AL15" s="1"/>
  <c r="AH16"/>
  <c r="AJ16" s="1"/>
  <c r="AL16" s="1"/>
  <c r="AH17"/>
  <c r="AJ17" s="1"/>
  <c r="AL17" s="1"/>
  <c r="AH18"/>
  <c r="AJ18" s="1"/>
  <c r="AL18" s="1"/>
  <c r="AH19"/>
  <c r="AJ19" s="1"/>
  <c r="AL19" s="1"/>
  <c r="AH20"/>
  <c r="AJ20" s="1"/>
  <c r="AL20" s="1"/>
  <c r="AH21"/>
  <c r="AJ21" s="1"/>
  <c r="AL21" s="1"/>
  <c r="AH22"/>
  <c r="AJ22" s="1"/>
  <c r="AL22" s="1"/>
  <c r="AH23"/>
  <c r="AJ23" s="1"/>
  <c r="AL23" s="1"/>
  <c r="AH24"/>
  <c r="AJ24" s="1"/>
  <c r="AL24" s="1"/>
  <c r="AH25"/>
  <c r="AJ25" s="1"/>
  <c r="AL25" s="1"/>
  <c r="AH26"/>
  <c r="AJ26" s="1"/>
  <c r="AL26" s="1"/>
  <c r="G3"/>
  <c r="E3"/>
  <c r="H41" i="16"/>
  <c r="H40"/>
  <c r="C41"/>
  <c r="C40"/>
  <c r="H32"/>
  <c r="L32"/>
  <c r="P32"/>
  <c r="Q28"/>
  <c r="Q29"/>
  <c r="Q27"/>
  <c r="E30"/>
  <c r="F30"/>
  <c r="G30"/>
  <c r="H30"/>
  <c r="I30"/>
  <c r="J30"/>
  <c r="K30"/>
  <c r="L30"/>
  <c r="M30"/>
  <c r="N30"/>
  <c r="O30"/>
  <c r="P30"/>
  <c r="D30"/>
  <c r="Q16"/>
  <c r="Q17"/>
  <c r="Q18"/>
  <c r="Q19"/>
  <c r="Q20"/>
  <c r="Q21"/>
  <c r="Q22"/>
  <c r="Q23"/>
  <c r="Q15"/>
  <c r="E24"/>
  <c r="E32" s="1"/>
  <c r="F24"/>
  <c r="F32" s="1"/>
  <c r="G24"/>
  <c r="G32" s="1"/>
  <c r="H24"/>
  <c r="I24"/>
  <c r="I32" s="1"/>
  <c r="J24"/>
  <c r="J32" s="1"/>
  <c r="K24"/>
  <c r="K32" s="1"/>
  <c r="L24"/>
  <c r="M24"/>
  <c r="M32" s="1"/>
  <c r="N24"/>
  <c r="N32" s="1"/>
  <c r="O24"/>
  <c r="O32" s="1"/>
  <c r="P24"/>
  <c r="D24"/>
  <c r="D32" s="1"/>
  <c r="B4"/>
  <c r="B3"/>
  <c r="D7"/>
  <c r="D10"/>
  <c r="D9"/>
  <c r="D8"/>
  <c r="D6"/>
  <c r="B3" i="11"/>
  <c r="G246" i="12"/>
  <c r="F246" s="1"/>
  <c r="G265"/>
  <c r="H265"/>
  <c r="I265"/>
  <c r="J265"/>
  <c r="F267"/>
  <c r="F268"/>
  <c r="F269"/>
  <c r="F266"/>
  <c r="F262"/>
  <c r="F263"/>
  <c r="F264"/>
  <c r="F261"/>
  <c r="G260"/>
  <c r="H260"/>
  <c r="I260"/>
  <c r="J260"/>
  <c r="F256"/>
  <c r="F257"/>
  <c r="F258"/>
  <c r="F259"/>
  <c r="F255"/>
  <c r="G254"/>
  <c r="H254"/>
  <c r="I254"/>
  <c r="J254"/>
  <c r="F251"/>
  <c r="F252"/>
  <c r="F253"/>
  <c r="G249"/>
  <c r="H249"/>
  <c r="I249"/>
  <c r="J249"/>
  <c r="F250"/>
  <c r="F247"/>
  <c r="F248"/>
  <c r="F245"/>
  <c r="H244"/>
  <c r="I244"/>
  <c r="J244"/>
  <c r="F236"/>
  <c r="F217"/>
  <c r="F218"/>
  <c r="F219"/>
  <c r="F220"/>
  <c r="F221"/>
  <c r="F216"/>
  <c r="G215"/>
  <c r="G214" s="1"/>
  <c r="H215"/>
  <c r="H214" s="1"/>
  <c r="I215"/>
  <c r="J215"/>
  <c r="J214" s="1"/>
  <c r="I214"/>
  <c r="F209"/>
  <c r="F210"/>
  <c r="F211"/>
  <c r="F212"/>
  <c r="F213"/>
  <c r="F208"/>
  <c r="G207"/>
  <c r="H207"/>
  <c r="I207"/>
  <c r="J207"/>
  <c r="F204"/>
  <c r="F205"/>
  <c r="F206"/>
  <c r="F203"/>
  <c r="G202"/>
  <c r="H202"/>
  <c r="I202"/>
  <c r="J202"/>
  <c r="F180"/>
  <c r="F181"/>
  <c r="F182"/>
  <c r="F179"/>
  <c r="F171"/>
  <c r="F172"/>
  <c r="F173"/>
  <c r="F174"/>
  <c r="F175"/>
  <c r="F176"/>
  <c r="F170"/>
  <c r="G169"/>
  <c r="H169"/>
  <c r="I169"/>
  <c r="J169"/>
  <c r="F163"/>
  <c r="F164"/>
  <c r="F165"/>
  <c r="F166"/>
  <c r="F167"/>
  <c r="F168"/>
  <c r="F162"/>
  <c r="F157"/>
  <c r="F158"/>
  <c r="F159"/>
  <c r="F160"/>
  <c r="G143"/>
  <c r="H143"/>
  <c r="I143"/>
  <c r="J143"/>
  <c r="G134"/>
  <c r="H134"/>
  <c r="I134"/>
  <c r="J134"/>
  <c r="F132"/>
  <c r="F131"/>
  <c r="F130"/>
  <c r="F129"/>
  <c r="F127"/>
  <c r="F126"/>
  <c r="F125" s="1"/>
  <c r="F124"/>
  <c r="F122" s="1"/>
  <c r="F123"/>
  <c r="F116"/>
  <c r="F117"/>
  <c r="F118"/>
  <c r="F119"/>
  <c r="F120"/>
  <c r="F115"/>
  <c r="F114" s="1"/>
  <c r="F111"/>
  <c r="F112"/>
  <c r="F113"/>
  <c r="F110"/>
  <c r="G109"/>
  <c r="H109"/>
  <c r="I109"/>
  <c r="J109"/>
  <c r="F108"/>
  <c r="F107"/>
  <c r="F104"/>
  <c r="F102"/>
  <c r="F101" s="1"/>
  <c r="G101"/>
  <c r="H101"/>
  <c r="H100" s="1"/>
  <c r="I101"/>
  <c r="I100" s="1"/>
  <c r="J101"/>
  <c r="F95"/>
  <c r="F96"/>
  <c r="F97"/>
  <c r="F98"/>
  <c r="F94"/>
  <c r="G93"/>
  <c r="H93"/>
  <c r="I93"/>
  <c r="J93"/>
  <c r="G229"/>
  <c r="H229"/>
  <c r="I229"/>
  <c r="J229"/>
  <c r="F224"/>
  <c r="G223"/>
  <c r="H223"/>
  <c r="I223"/>
  <c r="J223"/>
  <c r="F237"/>
  <c r="F238"/>
  <c r="F239"/>
  <c r="F240"/>
  <c r="F241"/>
  <c r="F242"/>
  <c r="F243"/>
  <c r="F231"/>
  <c r="F232"/>
  <c r="F233"/>
  <c r="F234"/>
  <c r="F230"/>
  <c r="F225"/>
  <c r="F226"/>
  <c r="F227"/>
  <c r="F228"/>
  <c r="G277"/>
  <c r="H277"/>
  <c r="I277"/>
  <c r="J277"/>
  <c r="F273"/>
  <c r="F274"/>
  <c r="F275"/>
  <c r="F276"/>
  <c r="F272"/>
  <c r="G88"/>
  <c r="H88"/>
  <c r="I88"/>
  <c r="J88"/>
  <c r="G83"/>
  <c r="H83"/>
  <c r="I83"/>
  <c r="J83"/>
  <c r="F65"/>
  <c r="F66"/>
  <c r="F67"/>
  <c r="F68"/>
  <c r="F69"/>
  <c r="F64"/>
  <c r="J287"/>
  <c r="J286"/>
  <c r="F287"/>
  <c r="F286"/>
  <c r="C286"/>
  <c r="F50"/>
  <c r="F49"/>
  <c r="F42"/>
  <c r="F30"/>
  <c r="F21"/>
  <c r="F59"/>
  <c r="F60"/>
  <c r="F61"/>
  <c r="F58"/>
  <c r="F57" s="1"/>
  <c r="G55"/>
  <c r="H55"/>
  <c r="H54" s="1"/>
  <c r="I55"/>
  <c r="J55"/>
  <c r="J54" s="1"/>
  <c r="I54"/>
  <c r="F56"/>
  <c r="F55" s="1"/>
  <c r="F51"/>
  <c r="F52"/>
  <c r="F53"/>
  <c r="F43"/>
  <c r="F44"/>
  <c r="F45"/>
  <c r="F46"/>
  <c r="F47"/>
  <c r="F31"/>
  <c r="F32"/>
  <c r="F33"/>
  <c r="F34"/>
  <c r="F35"/>
  <c r="F36"/>
  <c r="F37"/>
  <c r="F38"/>
  <c r="G29"/>
  <c r="H29"/>
  <c r="I29"/>
  <c r="J29"/>
  <c r="G20"/>
  <c r="H20"/>
  <c r="I20"/>
  <c r="J20"/>
  <c r="F22"/>
  <c r="F23"/>
  <c r="F24"/>
  <c r="F25"/>
  <c r="F26"/>
  <c r="F27"/>
  <c r="F28"/>
  <c r="G272"/>
  <c r="G245"/>
  <c r="G236"/>
  <c r="G235"/>
  <c r="G230"/>
  <c r="G220"/>
  <c r="G219"/>
  <c r="G218"/>
  <c r="G217"/>
  <c r="G216"/>
  <c r="G205"/>
  <c r="G204"/>
  <c r="G203"/>
  <c r="G192"/>
  <c r="G191"/>
  <c r="G187"/>
  <c r="G118"/>
  <c r="G111"/>
  <c r="G110"/>
  <c r="G89"/>
  <c r="G86"/>
  <c r="G85"/>
  <c r="G84"/>
  <c r="G69"/>
  <c r="G68"/>
  <c r="G67"/>
  <c r="G66"/>
  <c r="G65"/>
  <c r="G64"/>
  <c r="G57"/>
  <c r="G52"/>
  <c r="G51"/>
  <c r="G50"/>
  <c r="G49"/>
  <c r="G48" s="1"/>
  <c r="G46"/>
  <c r="G45"/>
  <c r="G44"/>
  <c r="G43"/>
  <c r="G42"/>
  <c r="G41"/>
  <c r="G34"/>
  <c r="G33"/>
  <c r="G32"/>
  <c r="G31"/>
  <c r="G30"/>
  <c r="B3"/>
  <c r="J268" i="5"/>
  <c r="F76"/>
  <c r="G76"/>
  <c r="H76"/>
  <c r="I76"/>
  <c r="J76"/>
  <c r="K76"/>
  <c r="G71"/>
  <c r="H71"/>
  <c r="I71"/>
  <c r="J71"/>
  <c r="K71"/>
  <c r="H70"/>
  <c r="F55"/>
  <c r="G55"/>
  <c r="H55"/>
  <c r="I55"/>
  <c r="J55"/>
  <c r="K55"/>
  <c r="F53"/>
  <c r="G53"/>
  <c r="H53"/>
  <c r="H52" s="1"/>
  <c r="I53"/>
  <c r="J53"/>
  <c r="K53"/>
  <c r="F61"/>
  <c r="F60" s="1"/>
  <c r="G61"/>
  <c r="G60" s="1"/>
  <c r="H61"/>
  <c r="H60" s="1"/>
  <c r="I61"/>
  <c r="I60" s="1"/>
  <c r="J61"/>
  <c r="J60" s="1"/>
  <c r="K61"/>
  <c r="K60" s="1"/>
  <c r="K81"/>
  <c r="J81" s="1"/>
  <c r="I81" s="1"/>
  <c r="H81" s="1"/>
  <c r="G81" s="1"/>
  <c r="F81" s="1"/>
  <c r="F88"/>
  <c r="G88"/>
  <c r="H88"/>
  <c r="I88"/>
  <c r="J88"/>
  <c r="K88"/>
  <c r="F109"/>
  <c r="G109"/>
  <c r="H109"/>
  <c r="I109"/>
  <c r="J109"/>
  <c r="K109"/>
  <c r="K87" s="1"/>
  <c r="F121"/>
  <c r="G121"/>
  <c r="H121"/>
  <c r="I121"/>
  <c r="J121"/>
  <c r="K121"/>
  <c r="K165"/>
  <c r="J165" s="1"/>
  <c r="I165" s="1"/>
  <c r="H165" s="1"/>
  <c r="G165" s="1"/>
  <c r="F165" s="1"/>
  <c r="E165" s="1"/>
  <c r="K166"/>
  <c r="J166" s="1"/>
  <c r="I166" s="1"/>
  <c r="H166" s="1"/>
  <c r="G166" s="1"/>
  <c r="F166" s="1"/>
  <c r="E166" s="1"/>
  <c r="F171"/>
  <c r="G171"/>
  <c r="H171"/>
  <c r="I171"/>
  <c r="J171"/>
  <c r="K171"/>
  <c r="F190"/>
  <c r="G190"/>
  <c r="H190"/>
  <c r="I190"/>
  <c r="J190"/>
  <c r="K190"/>
  <c r="F195"/>
  <c r="G195"/>
  <c r="H195"/>
  <c r="I195"/>
  <c r="J195"/>
  <c r="K195"/>
  <c r="F203"/>
  <c r="F202" s="1"/>
  <c r="G203"/>
  <c r="G202" s="1"/>
  <c r="H203"/>
  <c r="I203"/>
  <c r="I202" s="1"/>
  <c r="J203"/>
  <c r="J202" s="1"/>
  <c r="K203"/>
  <c r="K202" s="1"/>
  <c r="H202"/>
  <c r="F211"/>
  <c r="G211"/>
  <c r="H211"/>
  <c r="I211"/>
  <c r="J211"/>
  <c r="K211"/>
  <c r="F217"/>
  <c r="G217"/>
  <c r="H217"/>
  <c r="I217"/>
  <c r="J217"/>
  <c r="K217"/>
  <c r="F223"/>
  <c r="G223"/>
  <c r="H223"/>
  <c r="I223"/>
  <c r="J223"/>
  <c r="K223"/>
  <c r="F232"/>
  <c r="G232"/>
  <c r="H232"/>
  <c r="I232"/>
  <c r="J232"/>
  <c r="K232"/>
  <c r="F237"/>
  <c r="G237"/>
  <c r="H237"/>
  <c r="I237"/>
  <c r="J237"/>
  <c r="K237"/>
  <c r="F242"/>
  <c r="G242"/>
  <c r="H242"/>
  <c r="I242"/>
  <c r="J242"/>
  <c r="K242"/>
  <c r="F248"/>
  <c r="G248"/>
  <c r="H248"/>
  <c r="I248"/>
  <c r="J248"/>
  <c r="K248"/>
  <c r="F253"/>
  <c r="G253"/>
  <c r="H253"/>
  <c r="I253"/>
  <c r="J253"/>
  <c r="K253"/>
  <c r="J276"/>
  <c r="E276"/>
  <c r="J275"/>
  <c r="E275"/>
  <c r="B275"/>
  <c r="G260"/>
  <c r="B54" i="2"/>
  <c r="G204" i="5"/>
  <c r="E204" s="1"/>
  <c r="G180"/>
  <c r="E180" s="1"/>
  <c r="G179"/>
  <c r="E179" s="1"/>
  <c r="G175"/>
  <c r="E175" s="1"/>
  <c r="G224"/>
  <c r="E224" s="1"/>
  <c r="G233"/>
  <c r="G218"/>
  <c r="E262"/>
  <c r="E243"/>
  <c r="E244"/>
  <c r="E245"/>
  <c r="E246"/>
  <c r="E247"/>
  <c r="E249"/>
  <c r="E250"/>
  <c r="E251"/>
  <c r="E252"/>
  <c r="E254"/>
  <c r="E255"/>
  <c r="E256"/>
  <c r="E257"/>
  <c r="E238"/>
  <c r="E239"/>
  <c r="E240"/>
  <c r="E241"/>
  <c r="E229"/>
  <c r="E230"/>
  <c r="E231"/>
  <c r="E233"/>
  <c r="E232" s="1"/>
  <c r="E234"/>
  <c r="E215"/>
  <c r="E216"/>
  <c r="E218"/>
  <c r="E219"/>
  <c r="E220"/>
  <c r="E221"/>
  <c r="E222"/>
  <c r="E225"/>
  <c r="E226"/>
  <c r="E227"/>
  <c r="E228"/>
  <c r="E235"/>
  <c r="E236"/>
  <c r="G106"/>
  <c r="E106" s="1"/>
  <c r="G99"/>
  <c r="G98"/>
  <c r="E98" s="1"/>
  <c r="G193"/>
  <c r="G192"/>
  <c r="E192" s="1"/>
  <c r="G191"/>
  <c r="E191" s="1"/>
  <c r="E25"/>
  <c r="E213"/>
  <c r="E214"/>
  <c r="G208"/>
  <c r="E208" s="1"/>
  <c r="G207"/>
  <c r="G206"/>
  <c r="E206" s="1"/>
  <c r="G205"/>
  <c r="E205" s="1"/>
  <c r="E193"/>
  <c r="E194"/>
  <c r="E196"/>
  <c r="E197"/>
  <c r="E198"/>
  <c r="E195" s="1"/>
  <c r="E199"/>
  <c r="E200"/>
  <c r="E201"/>
  <c r="E207"/>
  <c r="E209"/>
  <c r="E212"/>
  <c r="E181"/>
  <c r="E182"/>
  <c r="E183"/>
  <c r="E184"/>
  <c r="E185"/>
  <c r="E186"/>
  <c r="E187"/>
  <c r="E188"/>
  <c r="E189"/>
  <c r="E149"/>
  <c r="E150"/>
  <c r="E151"/>
  <c r="E152"/>
  <c r="E153"/>
  <c r="E154"/>
  <c r="E155"/>
  <c r="E156"/>
  <c r="E157"/>
  <c r="E158"/>
  <c r="E159"/>
  <c r="E160"/>
  <c r="E161"/>
  <c r="E162"/>
  <c r="E163"/>
  <c r="E164"/>
  <c r="E167"/>
  <c r="E168"/>
  <c r="E169"/>
  <c r="E170"/>
  <c r="E172"/>
  <c r="E171" s="1"/>
  <c r="E173"/>
  <c r="E174"/>
  <c r="E176"/>
  <c r="E177"/>
  <c r="E178"/>
  <c r="E119"/>
  <c r="E120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86"/>
  <c r="E89"/>
  <c r="E90"/>
  <c r="E91"/>
  <c r="E92"/>
  <c r="E93"/>
  <c r="E94"/>
  <c r="E95"/>
  <c r="E96"/>
  <c r="E97"/>
  <c r="E99"/>
  <c r="E100"/>
  <c r="E101"/>
  <c r="E102"/>
  <c r="E103"/>
  <c r="E104"/>
  <c r="E105"/>
  <c r="G15"/>
  <c r="G77"/>
  <c r="G74"/>
  <c r="G73"/>
  <c r="G72"/>
  <c r="G67"/>
  <c r="E67" s="1"/>
  <c r="G66"/>
  <c r="E66" s="1"/>
  <c r="G65"/>
  <c r="E65" s="1"/>
  <c r="G64"/>
  <c r="E64" s="1"/>
  <c r="G63"/>
  <c r="E63" s="1"/>
  <c r="G62"/>
  <c r="E62" s="1"/>
  <c r="E83"/>
  <c r="E85"/>
  <c r="E107"/>
  <c r="E108"/>
  <c r="E110"/>
  <c r="E111"/>
  <c r="E112"/>
  <c r="E113"/>
  <c r="E114"/>
  <c r="E115"/>
  <c r="E116"/>
  <c r="E117"/>
  <c r="E118"/>
  <c r="E75"/>
  <c r="E24"/>
  <c r="E54"/>
  <c r="E53" s="1"/>
  <c r="B53" i="9"/>
  <c r="B4"/>
  <c r="U5"/>
  <c r="AP49"/>
  <c r="AP46"/>
  <c r="AO44"/>
  <c r="AP48"/>
  <c r="AC32"/>
  <c r="B32"/>
  <c r="AC31"/>
  <c r="B31"/>
  <c r="AC30"/>
  <c r="B30"/>
  <c r="AC29"/>
  <c r="B29"/>
  <c r="AC28"/>
  <c r="B28"/>
  <c r="AC27"/>
  <c r="B27"/>
  <c r="AC26"/>
  <c r="B26"/>
  <c r="AC25"/>
  <c r="B25"/>
  <c r="AC24"/>
  <c r="B24"/>
  <c r="AC23"/>
  <c r="B23"/>
  <c r="AC22"/>
  <c r="B22"/>
  <c r="AC21"/>
  <c r="B21"/>
  <c r="AC20"/>
  <c r="B20"/>
  <c r="AC19"/>
  <c r="B19"/>
  <c r="AC18"/>
  <c r="B18"/>
  <c r="AQ24"/>
  <c r="AQ23"/>
  <c r="AQ22"/>
  <c r="AQ21"/>
  <c r="BA17"/>
  <c r="BA16"/>
  <c r="B41"/>
  <c r="U6"/>
  <c r="BC12"/>
  <c r="F46" i="5"/>
  <c r="H46"/>
  <c r="I46"/>
  <c r="J46"/>
  <c r="K46"/>
  <c r="G50"/>
  <c r="E50" s="1"/>
  <c r="G49"/>
  <c r="F39"/>
  <c r="H39"/>
  <c r="H38" s="1"/>
  <c r="I39"/>
  <c r="J39"/>
  <c r="K39"/>
  <c r="E44"/>
  <c r="G44"/>
  <c r="G43"/>
  <c r="E43" s="1"/>
  <c r="G32"/>
  <c r="G31"/>
  <c r="E31" s="1"/>
  <c r="G30"/>
  <c r="E30" s="1"/>
  <c r="G29"/>
  <c r="G28"/>
  <c r="E28" s="1"/>
  <c r="G48"/>
  <c r="E48" s="1"/>
  <c r="G47"/>
  <c r="G42"/>
  <c r="E42" s="1"/>
  <c r="G41"/>
  <c r="E41" s="1"/>
  <c r="E45"/>
  <c r="G40"/>
  <c r="E40" s="1"/>
  <c r="F27"/>
  <c r="H27"/>
  <c r="I27"/>
  <c r="J27"/>
  <c r="K27"/>
  <c r="F18"/>
  <c r="G18"/>
  <c r="H18"/>
  <c r="I18"/>
  <c r="J18"/>
  <c r="K18"/>
  <c r="E19"/>
  <c r="E20"/>
  <c r="E21"/>
  <c r="E22"/>
  <c r="E23"/>
  <c r="E26"/>
  <c r="E32"/>
  <c r="E33"/>
  <c r="E34"/>
  <c r="E35"/>
  <c r="E36"/>
  <c r="E47"/>
  <c r="E46" s="1"/>
  <c r="E49"/>
  <c r="E51"/>
  <c r="E56"/>
  <c r="E55" s="1"/>
  <c r="E57"/>
  <c r="E58"/>
  <c r="E59"/>
  <c r="E68"/>
  <c r="B19" i="2"/>
  <c r="F48" i="6"/>
  <c r="F54"/>
  <c r="F53"/>
  <c r="D9" i="12"/>
  <c r="D8"/>
  <c r="D7"/>
  <c r="AJ15" i="9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AM5"/>
  <c r="AL5"/>
  <c r="AK5"/>
  <c r="AJ5"/>
  <c r="AI5"/>
  <c r="AH5"/>
  <c r="AG5"/>
  <c r="AF5"/>
  <c r="AE5"/>
  <c r="AD5"/>
  <c r="AC5"/>
  <c r="AB5"/>
  <c r="AA5"/>
  <c r="Z5"/>
  <c r="Y5"/>
  <c r="X5"/>
  <c r="W5"/>
  <c r="V5"/>
  <c r="AH2" i="8"/>
  <c r="AJ2" s="1"/>
  <c r="AL2" s="1"/>
  <c r="M14" i="9" l="1"/>
  <c r="AJ3" i="8"/>
  <c r="E61" i="5"/>
  <c r="E60" s="1"/>
  <c r="E121"/>
  <c r="E217"/>
  <c r="E253"/>
  <c r="I70"/>
  <c r="I69" s="1"/>
  <c r="E223"/>
  <c r="E203"/>
  <c r="E202" s="1"/>
  <c r="J87"/>
  <c r="E109"/>
  <c r="E87" s="1"/>
  <c r="E88"/>
  <c r="E190"/>
  <c r="E242"/>
  <c r="H210"/>
  <c r="E237"/>
  <c r="E248"/>
  <c r="K210"/>
  <c r="G210"/>
  <c r="F87"/>
  <c r="E39"/>
  <c r="E38" s="1"/>
  <c r="I38"/>
  <c r="E211"/>
  <c r="E210" s="1"/>
  <c r="G87"/>
  <c r="I52"/>
  <c r="F103" i="12"/>
  <c r="H100" i="14"/>
  <c r="H37" i="5"/>
  <c r="J210"/>
  <c r="G52"/>
  <c r="I87"/>
  <c r="F210"/>
  <c r="H87"/>
  <c r="K52"/>
  <c r="I210"/>
  <c r="J52"/>
  <c r="F52"/>
  <c r="H69"/>
  <c r="Q24" i="16"/>
  <c r="Q32" s="1"/>
  <c r="Q30"/>
  <c r="F223" i="12"/>
  <c r="F229"/>
  <c r="J177"/>
  <c r="I99"/>
  <c r="J100"/>
  <c r="J99" s="1"/>
  <c r="I133"/>
  <c r="F137"/>
  <c r="F149"/>
  <c r="G100"/>
  <c r="F128"/>
  <c r="F235"/>
  <c r="F153"/>
  <c r="F121"/>
  <c r="I82"/>
  <c r="I81" s="1"/>
  <c r="J82"/>
  <c r="J81" s="1"/>
  <c r="I222"/>
  <c r="F185"/>
  <c r="F183" s="1"/>
  <c r="F140"/>
  <c r="F146"/>
  <c r="F277"/>
  <c r="I177"/>
  <c r="F134"/>
  <c r="F254"/>
  <c r="H133"/>
  <c r="H99" s="1"/>
  <c r="H82" i="14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F71" i="12"/>
  <c r="F63"/>
  <c r="I18" i="11"/>
  <c r="I16"/>
  <c r="I20"/>
  <c r="I21"/>
  <c r="I17"/>
  <c r="I15"/>
  <c r="G244" i="12"/>
  <c r="G222" s="1"/>
  <c r="F265"/>
  <c r="F260"/>
  <c r="F249"/>
  <c r="H222"/>
  <c r="F244"/>
  <c r="J222"/>
  <c r="F215"/>
  <c r="F214" s="1"/>
  <c r="F207"/>
  <c r="F202"/>
  <c r="G177"/>
  <c r="H177"/>
  <c r="F178"/>
  <c r="F169"/>
  <c r="G133"/>
  <c r="F161"/>
  <c r="J133"/>
  <c r="F109"/>
  <c r="F106"/>
  <c r="H82"/>
  <c r="H81" s="1"/>
  <c r="G82"/>
  <c r="G81" s="1"/>
  <c r="F20"/>
  <c r="F29"/>
  <c r="F41"/>
  <c r="G54"/>
  <c r="F48"/>
  <c r="F54"/>
  <c r="G40"/>
  <c r="J70" i="5"/>
  <c r="J69" s="1"/>
  <c r="F70"/>
  <c r="F69" s="1"/>
  <c r="K70"/>
  <c r="K69" s="1"/>
  <c r="G70"/>
  <c r="G69" s="1"/>
  <c r="E52"/>
  <c r="E37" s="1"/>
  <c r="J38"/>
  <c r="J37" s="1"/>
  <c r="K38"/>
  <c r="F38"/>
  <c r="F37" s="1"/>
  <c r="F258" s="1"/>
  <c r="G39"/>
  <c r="G46"/>
  <c r="G27"/>
  <c r="E29"/>
  <c r="E27" s="1"/>
  <c r="E18"/>
  <c r="E46" i="11"/>
  <c r="E45"/>
  <c r="H46"/>
  <c r="H45"/>
  <c r="F84" i="12"/>
  <c r="F85"/>
  <c r="F86"/>
  <c r="F87"/>
  <c r="F89"/>
  <c r="F90"/>
  <c r="F91"/>
  <c r="F92"/>
  <c r="F18"/>
  <c r="D6"/>
  <c r="D5"/>
  <c r="D40" i="2"/>
  <c r="D39"/>
  <c r="D38"/>
  <c r="D37"/>
  <c r="D36"/>
  <c r="D24"/>
  <c r="D23"/>
  <c r="I28" i="11"/>
  <c r="E22"/>
  <c r="E33"/>
  <c r="E27"/>
  <c r="E15"/>
  <c r="D8"/>
  <c r="D7"/>
  <c r="D6"/>
  <c r="D5"/>
  <c r="E15" i="5"/>
  <c r="F264"/>
  <c r="G264"/>
  <c r="H264"/>
  <c r="I264"/>
  <c r="J264"/>
  <c r="K264"/>
  <c r="E261"/>
  <c r="E263"/>
  <c r="E260"/>
  <c r="E72"/>
  <c r="E73"/>
  <c r="E74"/>
  <c r="E77"/>
  <c r="E78"/>
  <c r="E79"/>
  <c r="E80"/>
  <c r="E81"/>
  <c r="E82"/>
  <c r="E84"/>
  <c r="B2" i="6"/>
  <c r="B4" i="5"/>
  <c r="D9"/>
  <c r="D8"/>
  <c r="D7"/>
  <c r="D6"/>
  <c r="B3"/>
  <c r="B15" i="9"/>
  <c r="BA15" l="1"/>
  <c r="AJ55" s="1"/>
  <c r="AL3" i="8"/>
  <c r="F265" i="5"/>
  <c r="F266" s="1"/>
  <c r="J258"/>
  <c r="J265" s="1"/>
  <c r="H258"/>
  <c r="I37"/>
  <c r="I258" s="1"/>
  <c r="I265" s="1"/>
  <c r="I266" s="1"/>
  <c r="K266"/>
  <c r="K37"/>
  <c r="K258" s="1"/>
  <c r="K265" s="1"/>
  <c r="E76"/>
  <c r="E71"/>
  <c r="H265"/>
  <c r="H266" s="1"/>
  <c r="I13" i="11"/>
  <c r="I39" s="1"/>
  <c r="J270" i="12"/>
  <c r="J278" s="1"/>
  <c r="H270"/>
  <c r="H278" s="1"/>
  <c r="G99"/>
  <c r="I270"/>
  <c r="I278" s="1"/>
  <c r="F88"/>
  <c r="F83"/>
  <c r="F133"/>
  <c r="F177"/>
  <c r="F62"/>
  <c r="F222"/>
  <c r="F100"/>
  <c r="G39"/>
  <c r="F40"/>
  <c r="F39" s="1"/>
  <c r="J266" i="5"/>
  <c r="G38"/>
  <c r="E264"/>
  <c r="E39" i="11"/>
  <c r="G270" i="12" l="1"/>
  <c r="G278" s="1"/>
  <c r="G266" i="5"/>
  <c r="G37"/>
  <c r="G258" s="1"/>
  <c r="G265" s="1"/>
  <c r="E70"/>
  <c r="E69" s="1"/>
  <c r="E258" s="1"/>
  <c r="E265" s="1"/>
  <c r="E266" s="1"/>
  <c r="F82" i="12"/>
  <c r="F81" s="1"/>
  <c r="F99"/>
  <c r="F270" l="1"/>
  <c r="F278" s="1"/>
  <c r="D29" i="2" l="1"/>
  <c r="D41"/>
  <c r="D35"/>
  <c r="D34"/>
  <c r="D28"/>
  <c r="D27"/>
  <c r="D26"/>
  <c r="D32"/>
  <c r="D31"/>
  <c r="D30"/>
  <c r="D33"/>
  <c r="D22"/>
  <c r="D25"/>
  <c r="B18"/>
</calcChain>
</file>

<file path=xl/sharedStrings.xml><?xml version="1.0" encoding="utf-8"?>
<sst xmlns="http://schemas.openxmlformats.org/spreadsheetml/2006/main" count="1574" uniqueCount="845">
  <si>
    <t>Nama Sekolah</t>
  </si>
  <si>
    <t>NPSN</t>
  </si>
  <si>
    <t>NSS</t>
  </si>
  <si>
    <t>Alamat</t>
  </si>
  <si>
    <t>RT</t>
  </si>
  <si>
    <t>RW</t>
  </si>
  <si>
    <t>Dusun</t>
  </si>
  <si>
    <t>Desa/Kelurahan</t>
  </si>
  <si>
    <t>Kecamatan</t>
  </si>
  <si>
    <t>Kab/Kota</t>
  </si>
  <si>
    <t>Provinsi</t>
  </si>
  <si>
    <t>Lintang</t>
  </si>
  <si>
    <t>Bujur</t>
  </si>
  <si>
    <t>:</t>
  </si>
  <si>
    <t>No. Rekening</t>
  </si>
  <si>
    <t>Nam Rekening</t>
  </si>
  <si>
    <t>NPWP</t>
  </si>
  <si>
    <t xml:space="preserve">BANTUAN OPERASIONAL SEKOLAH (BOS) </t>
  </si>
  <si>
    <t>E-mail Sekolah</t>
  </si>
  <si>
    <t>Website/Blog</t>
  </si>
  <si>
    <t xml:space="preserve">LAPORAN PERTANGGUNGJAWABAN (LPJ) </t>
  </si>
  <si>
    <t xml:space="preserve">PENGGUNAAN DANA </t>
  </si>
  <si>
    <t>Triwulan</t>
  </si>
  <si>
    <t>Tahun Anggaran</t>
  </si>
  <si>
    <t>Nama Rekening</t>
  </si>
  <si>
    <t>Kode Pos</t>
  </si>
  <si>
    <t>Nama Bank</t>
  </si>
  <si>
    <t>Jumlah Siswa</t>
  </si>
  <si>
    <t>Nama Kepala Sekolah</t>
  </si>
  <si>
    <t>NIP Kepala Sekolah</t>
  </si>
  <si>
    <t>Nama Bendahara</t>
  </si>
  <si>
    <t>NIP Bendahara</t>
  </si>
  <si>
    <t>1.</t>
  </si>
  <si>
    <t>2.</t>
  </si>
  <si>
    <t xml:space="preserve">Mulailah dengan mengisi form Data Sekolah pada sheet Data Sekolah. </t>
  </si>
  <si>
    <t>JUMLAH</t>
  </si>
  <si>
    <t>(1)</t>
  </si>
  <si>
    <t>(2)</t>
  </si>
  <si>
    <t>(3)</t>
  </si>
  <si>
    <t>(4)</t>
  </si>
  <si>
    <t>(5)</t>
  </si>
  <si>
    <t>(6)</t>
  </si>
  <si>
    <t>5.</t>
  </si>
  <si>
    <t>5.2.</t>
  </si>
  <si>
    <t>5.2.1.</t>
  </si>
  <si>
    <t>Belanja Pegawai</t>
  </si>
  <si>
    <t>5.2.2.</t>
  </si>
  <si>
    <t>kegiatan</t>
  </si>
  <si>
    <t>5.2.3.</t>
  </si>
  <si>
    <t>Formulis BOS - K7</t>
  </si>
  <si>
    <t xml:space="preserve">Diisi oleh Sekolah </t>
  </si>
  <si>
    <t>Dikirim ke Tim Manajemen BOS Kab/Kota</t>
  </si>
  <si>
    <t xml:space="preserve">REALISASI PENGGUNAAN DANA TIAP JENIS ANGGARAN </t>
  </si>
  <si>
    <t xml:space="preserve">Nama Sekolah </t>
  </si>
  <si>
    <t>No urut</t>
  </si>
  <si>
    <t>No Kode</t>
  </si>
  <si>
    <t>Uraian Kegiatan</t>
  </si>
  <si>
    <t>Jumlah</t>
  </si>
  <si>
    <t xml:space="preserve">Penggunaan dana per sumber dana </t>
  </si>
  <si>
    <t>Rutin</t>
  </si>
  <si>
    <t>Bantuan Operasional Sekolah (BOS)</t>
  </si>
  <si>
    <t>Bantuan lain</t>
  </si>
  <si>
    <t>Pendapatan Asli 
Sekolah</t>
  </si>
  <si>
    <t>Pusat</t>
  </si>
  <si>
    <t>1</t>
  </si>
  <si>
    <t>2</t>
  </si>
  <si>
    <t>3</t>
  </si>
  <si>
    <t>4</t>
  </si>
  <si>
    <t>5</t>
  </si>
  <si>
    <t>I</t>
  </si>
  <si>
    <t>Penerimaan</t>
  </si>
  <si>
    <t>II</t>
  </si>
  <si>
    <t xml:space="preserve">Penggunaan dana: </t>
  </si>
  <si>
    <t>Program Sekolah</t>
  </si>
  <si>
    <t>Sub Total Penggunaan Dana (1)</t>
  </si>
  <si>
    <t>Penggunaan dana lainnya</t>
  </si>
  <si>
    <t>2.1.</t>
  </si>
  <si>
    <t>2.2.</t>
  </si>
  <si>
    <t>Belanja Modal</t>
  </si>
  <si>
    <t>2.3.</t>
  </si>
  <si>
    <t>Sub total Penggunaan Dana Lainnya (2)</t>
  </si>
  <si>
    <t>Total Penggunaan Dana (II = 1+2)</t>
  </si>
  <si>
    <t>III</t>
  </si>
  <si>
    <t>SISA DANA = I-II</t>
  </si>
  <si>
    <t>Mengetahui</t>
  </si>
  <si>
    <t xml:space="preserve">Komite Sekolah </t>
  </si>
  <si>
    <t>Kepala Sekolah</t>
  </si>
  <si>
    <t xml:space="preserve">Bendahara </t>
  </si>
  <si>
    <t>Nama Ketua Komite</t>
  </si>
  <si>
    <t>Dari tanggal</t>
  </si>
  <si>
    <t>Sampai tanggal</t>
  </si>
  <si>
    <t xml:space="preserve">Kepada </t>
  </si>
  <si>
    <t>Yth.</t>
  </si>
  <si>
    <t>Bupati Banjarnegara</t>
  </si>
  <si>
    <t>c.q.</t>
  </si>
  <si>
    <t xml:space="preserve">Kepala DPPKAD </t>
  </si>
  <si>
    <t xml:space="preserve">Kabupaten Banjarnegara </t>
  </si>
  <si>
    <t>di BANJARNEGARA</t>
  </si>
  <si>
    <t xml:space="preserve">SURAT PENGANTAR </t>
  </si>
  <si>
    <t>NO</t>
  </si>
  <si>
    <t>Nama Kegiatan/Belanja</t>
  </si>
  <si>
    <t>Sisa</t>
  </si>
  <si>
    <t>A.</t>
  </si>
  <si>
    <t>Honor PNS</t>
  </si>
  <si>
    <t>Honor Non PNS</t>
  </si>
  <si>
    <t>B.</t>
  </si>
  <si>
    <t>Belanja Barang dan Jasa</t>
  </si>
  <si>
    <t>Alat Tulis Kantor</t>
  </si>
  <si>
    <t>Belanja Keg. KKKS/KKG Kelas/KKG PAI</t>
  </si>
  <si>
    <t>3.</t>
  </si>
  <si>
    <t>Belanja Dokumen/Administrasi tender</t>
  </si>
  <si>
    <t>4.</t>
  </si>
  <si>
    <t>Belanja alat-alat listrik dan elektronik</t>
  </si>
  <si>
    <t>Belanja perangko, meterai, benda pos</t>
  </si>
  <si>
    <t>6.</t>
  </si>
  <si>
    <t xml:space="preserve">Belanja peralatan kebersihan </t>
  </si>
  <si>
    <t>7.</t>
  </si>
  <si>
    <t>Belanja bahan dan perlengkapan</t>
  </si>
  <si>
    <t>8.</t>
  </si>
  <si>
    <t>Belanja jasa kantor</t>
  </si>
  <si>
    <t>9.</t>
  </si>
  <si>
    <t>Belanja surat kabar dan majalah</t>
  </si>
  <si>
    <t>10.</t>
  </si>
  <si>
    <t>Belanja cetak dan penggandaan</t>
  </si>
  <si>
    <t>11.</t>
  </si>
  <si>
    <t>Belanja makanan dan minuman</t>
  </si>
  <si>
    <t>C.</t>
  </si>
  <si>
    <t>Belanja Kursi dan Meja Guru 2 stel</t>
  </si>
  <si>
    <t xml:space="preserve">Demikian untuk menjadikan periksa. </t>
  </si>
  <si>
    <t xml:space="preserve">Selaku PBPP </t>
  </si>
  <si>
    <t xml:space="preserve">DINAS PENDIDIKAN PEMUDA DAN OLAHRAGA </t>
  </si>
  <si>
    <t>Pengeluaran</t>
  </si>
  <si>
    <t xml:space="preserve">Desa </t>
  </si>
  <si>
    <t>Format BOS-K3</t>
  </si>
  <si>
    <t xml:space="preserve">Kabupaten </t>
  </si>
  <si>
    <t>Diisi oleh Bendahara/Guru</t>
  </si>
  <si>
    <t xml:space="preserve">Provinsi </t>
  </si>
  <si>
    <t>Disimpan di sekolah</t>
  </si>
  <si>
    <t>Tanggal</t>
  </si>
  <si>
    <t>No. Bukti</t>
  </si>
  <si>
    <t>Uraian</t>
  </si>
  <si>
    <t>Penerimaan 
(Debet)</t>
  </si>
  <si>
    <t xml:space="preserve">Pengeluaran 
(Kredit) </t>
  </si>
  <si>
    <t xml:space="preserve">Mengetahui </t>
  </si>
  <si>
    <t xml:space="preserve">Kepala Sekolah </t>
  </si>
  <si>
    <t>Bendahara</t>
  </si>
  <si>
    <t xml:space="preserve">Sampul dan form akan terisi otomatis setelah mengisi Data Sekolah. </t>
  </si>
  <si>
    <t>1.01.</t>
  </si>
  <si>
    <t>1.02.</t>
  </si>
  <si>
    <t>1.03.</t>
  </si>
  <si>
    <t>1.04.</t>
  </si>
  <si>
    <t>1.05.</t>
  </si>
  <si>
    <t>1.06.</t>
  </si>
  <si>
    <t>1.07.</t>
  </si>
  <si>
    <t>1.08.</t>
  </si>
  <si>
    <t xml:space="preserve">RENCANA KEGIATAN DAN ANGGARAN SEKOLAH (RKAS) </t>
  </si>
  <si>
    <t>Desa/Kecamatan</t>
  </si>
  <si>
    <t>Kabupaten/Kota</t>
  </si>
  <si>
    <t>PENERIMAAN</t>
  </si>
  <si>
    <t>PENGELUARAN/BELANJA</t>
  </si>
  <si>
    <t>6</t>
  </si>
  <si>
    <t>7</t>
  </si>
  <si>
    <t>8</t>
  </si>
  <si>
    <t>No. 
Kode</t>
  </si>
  <si>
    <t xml:space="preserve">PROGRAM SEKOLAH </t>
  </si>
  <si>
    <t>PENDAPATAN RUTIN</t>
  </si>
  <si>
    <t>Gaji PNS</t>
  </si>
  <si>
    <t>2.4.</t>
  </si>
  <si>
    <t>2.5.</t>
  </si>
  <si>
    <t>Gaji Pegawai Tidak Tetap</t>
  </si>
  <si>
    <t>Belanja Pemeliharaan</t>
  </si>
  <si>
    <t>Belanja lain-lain</t>
  </si>
  <si>
    <t>BOS</t>
  </si>
  <si>
    <t>3.1.</t>
  </si>
  <si>
    <t>3.2.</t>
  </si>
  <si>
    <t>3.3.</t>
  </si>
  <si>
    <t>BOS Pusat</t>
  </si>
  <si>
    <t>BOS Provinsi</t>
  </si>
  <si>
    <t>BOS Kabupaten</t>
  </si>
  <si>
    <t>IV</t>
  </si>
  <si>
    <t>BANTUAN</t>
  </si>
  <si>
    <t>4.1.</t>
  </si>
  <si>
    <t>4.2.</t>
  </si>
  <si>
    <t>4.3.</t>
  </si>
  <si>
    <t>4.4.</t>
  </si>
  <si>
    <t>Dana Dekonsentrasi</t>
  </si>
  <si>
    <t xml:space="preserve">Dana Tugas Pembantuan </t>
  </si>
  <si>
    <t>Dana Alokasi Khusus</t>
  </si>
  <si>
    <t>Bantuan Hibah</t>
  </si>
  <si>
    <t>V</t>
  </si>
  <si>
    <t>SUMBER PENDAPATAN LAIN</t>
  </si>
  <si>
    <t>5.1.</t>
  </si>
  <si>
    <t>5.3.</t>
  </si>
  <si>
    <t>Sumbangan Komite Sekolah</t>
  </si>
  <si>
    <t xml:space="preserve">Sumbangan Sponsor </t>
  </si>
  <si>
    <t xml:space="preserve">Jumlah Penerimaan </t>
  </si>
  <si>
    <t xml:space="preserve">BELANJA LAINNYA </t>
  </si>
  <si>
    <t>Formulir BOS-K1</t>
  </si>
  <si>
    <t>Diisi oleh Sekolah</t>
  </si>
  <si>
    <t>Jumlah Pengeluaran</t>
  </si>
  <si>
    <t xml:space="preserve">Ketua Komite Sekolah </t>
  </si>
  <si>
    <t xml:space="preserve">Menyetujui </t>
  </si>
  <si>
    <t xml:space="preserve">Bendahara/ </t>
  </si>
  <si>
    <t xml:space="preserve">Penanggungjawab Kegiatan </t>
  </si>
  <si>
    <t>Tahun Ajaran</t>
  </si>
  <si>
    <t>BUKU KAS UMUM</t>
  </si>
  <si>
    <t>Saldo</t>
  </si>
  <si>
    <t xml:space="preserve">RENCANA KEGIATAN DAN ANGGARAN SEKOLAH (RAKS) </t>
  </si>
  <si>
    <t xml:space="preserve">Desa/Kelurahan </t>
  </si>
  <si>
    <t>Sumber Dana</t>
  </si>
  <si>
    <t>No. Urut</t>
  </si>
  <si>
    <t>No. Kode</t>
  </si>
  <si>
    <t>Kode Rekening</t>
  </si>
  <si>
    <t>Keterangan</t>
  </si>
  <si>
    <t>9</t>
  </si>
  <si>
    <t>10</t>
  </si>
  <si>
    <t xml:space="preserve">Pengembangan Kompetensi Lulusan </t>
  </si>
  <si>
    <t>1.1.</t>
  </si>
  <si>
    <t xml:space="preserve">Penyusunan Kompetensi Ketuntasan Minimal (KKM) </t>
  </si>
  <si>
    <t xml:space="preserve">Aplikasi ini disusun berdasarkan Buku Petunjuk Teknis BOS Tahun 2013. </t>
  </si>
  <si>
    <t xml:space="preserve">Petunjuk Penggunaan Aplikasi BOS 2013  </t>
  </si>
  <si>
    <t xml:space="preserve">Setiap lembar pada aplikasi ini dapat dicetak menggunakan semua printer, baik Dot Matrix, Tinta, maupun Laser. </t>
  </si>
  <si>
    <t xml:space="preserve">Dicetak menggunakan ukuran kertas Folio (F4), ukuran kertas 21,5 cm x 33,4 cm. </t>
  </si>
  <si>
    <t>I.</t>
  </si>
  <si>
    <t xml:space="preserve">Penjelasan Umum: </t>
  </si>
  <si>
    <t>II.</t>
  </si>
  <si>
    <t xml:space="preserve">Petunjuk Pengisian: </t>
  </si>
  <si>
    <t>IV.</t>
  </si>
  <si>
    <t xml:space="preserve">Keterangan lain-lain: </t>
  </si>
  <si>
    <t xml:space="preserve">Aplikasi ini akan terus dikembangkan untuk memudahkan Pengelola BOS dalam mengerjakan Laporan. </t>
  </si>
  <si>
    <t xml:space="preserve">Selamat bekerja. </t>
  </si>
  <si>
    <t xml:space="preserve">Salam hormat kami, </t>
  </si>
  <si>
    <t xml:space="preserve">Eko Wahyono </t>
  </si>
  <si>
    <t xml:space="preserve">ewahyono580@gmail.com </t>
  </si>
  <si>
    <t xml:space="preserve">eko_wahyono58@yahoo.com </t>
  </si>
  <si>
    <t xml:space="preserve">eko_wahyono58@windowslive.com </t>
  </si>
  <si>
    <t xml:space="preserve">(Penyusun Aplikasi) </t>
  </si>
  <si>
    <t xml:space="preserve">Jika ada kesulitan, silakan kontak kami di: </t>
  </si>
  <si>
    <t>Dilanjutkan mengisi form BOS-K4 (Buku Kas Pembantu/BKP)</t>
  </si>
  <si>
    <t xml:space="preserve">Dilanjutkan mengisi form BOS-K3 (Buku Kas Umum/BKU) </t>
  </si>
  <si>
    <t xml:space="preserve">Dilanjutkan mengisi form BOS-K6 (Buku Pembantu Pajak/BPP) </t>
  </si>
  <si>
    <t xml:space="preserve">Dilanjutkan mengisi form BOS-K1 (Rencana Kegiatan dan Anggaran Sekolah/RKAS). </t>
  </si>
  <si>
    <t xml:space="preserve">Dilanjutkan mengisi form BOS-K2 (Rencana Kegiatan dan Anggaran Sekolah/RKAS) Rincian per triwulan. </t>
  </si>
  <si>
    <t xml:space="preserve">Kopi file ini untuk mengisi setiap triwulan. </t>
  </si>
  <si>
    <t xml:space="preserve">Dilanjutkan mengisi form BOS-K7 (Realisasi penggunaan tiap jenis anggaran) </t>
  </si>
  <si>
    <t xml:space="preserve">Dilanjutkan mengisi form BOS-K7a (Rekap realisasi penggunaan dana BOS) </t>
  </si>
  <si>
    <t>III.</t>
  </si>
  <si>
    <t xml:space="preserve">Terlebih dahulu isi format data A2 pada sheet Data A2 semua barang yang akan dibeli atau di-A2-kan. </t>
  </si>
  <si>
    <t>kode_rek</t>
  </si>
  <si>
    <t>uang_sejml</t>
  </si>
  <si>
    <t>brg_msk_tgl</t>
  </si>
  <si>
    <t>jml_kotor</t>
  </si>
  <si>
    <t>potongan</t>
  </si>
  <si>
    <t>dibayar</t>
  </si>
  <si>
    <t>rincian_pot_1</t>
  </si>
  <si>
    <t>rincian_pot_2</t>
  </si>
  <si>
    <t>rincian_pot_3</t>
  </si>
  <si>
    <t>rincian_pot_4</t>
  </si>
  <si>
    <t>nama_penerima</t>
  </si>
  <si>
    <t>alamat1_penerima</t>
  </si>
  <si>
    <t>alamat2_penerima</t>
  </si>
  <si>
    <t>untuk_pekerjaan</t>
  </si>
  <si>
    <t>jml</t>
  </si>
  <si>
    <t>Honor Pelaksana Keg. Ekstrakurikuler Pramuka</t>
  </si>
  <si>
    <t>-</t>
  </si>
  <si>
    <t>Nama terlampir</t>
  </si>
  <si>
    <t>no_kuitansi</t>
  </si>
  <si>
    <t>Lembar ke :</t>
  </si>
  <si>
    <t>TAHUN ANGGARAN</t>
  </si>
  <si>
    <t>KODE REKENING</t>
  </si>
  <si>
    <t>TANDA BUKTI PENGELUARAN UANG</t>
  </si>
  <si>
    <t xml:space="preserve">Barang-barang termaksud telah </t>
  </si>
  <si>
    <t>dibukukan ke buku persediaan /</t>
  </si>
  <si>
    <t>inventaris pada tanggal :</t>
  </si>
  <si>
    <t>Jumlah kotor</t>
  </si>
  <si>
    <t>Rp</t>
  </si>
  <si>
    <t>Potongan</t>
  </si>
  <si>
    <t>Yaitu untuk pembayaran :</t>
  </si>
  <si>
    <t>Dibayar</t>
  </si>
  <si>
    <t>Perincian potongan</t>
  </si>
  <si>
    <t>Untuk pekerjaan/kegiatan :</t>
  </si>
  <si>
    <t>Banjarnegara,</t>
  </si>
  <si>
    <t>Yang menerima uang</t>
  </si>
  <si>
    <t>N a m a</t>
  </si>
  <si>
    <t>Tanda tangan</t>
  </si>
  <si>
    <t>A l a m a t</t>
  </si>
  <si>
    <t xml:space="preserve">Bendahara Kegiatan </t>
  </si>
  <si>
    <t xml:space="preserve">: BOS PUSAT </t>
  </si>
  <si>
    <t xml:space="preserve">Petunjuk Pengisian format A2: </t>
  </si>
  <si>
    <t xml:space="preserve">Buka form A2 dan isikan nomor urut pada A2 lalu tekan Enter dan lakukan pencetakan. </t>
  </si>
  <si>
    <t xml:space="preserve">Kritik dan saran bersifat membangun silakan kirim ke email kami di bawah. </t>
  </si>
  <si>
    <t xml:space="preserve">Bantuan Operasional Sekolah (BOS) </t>
  </si>
  <si>
    <t xml:space="preserve">Kegiatan: </t>
  </si>
  <si>
    <t>tgl_kuitansi</t>
  </si>
  <si>
    <t>belanja_1_rp</t>
  </si>
  <si>
    <t>belanja_2_rp</t>
  </si>
  <si>
    <t xml:space="preserve">Sudah terima dari </t>
  </si>
  <si>
    <t xml:space="preserve">Nama Bendahara </t>
  </si>
  <si>
    <t xml:space="preserve">Uang sejumlah </t>
  </si>
  <si>
    <t xml:space="preserve">Setiap lembar A2 hanya diisi untuk 15 macam barang. </t>
  </si>
  <si>
    <t>SISA BULAN LALU</t>
  </si>
  <si>
    <t>Infaq Jumat</t>
  </si>
  <si>
    <t>5.4.</t>
  </si>
  <si>
    <t>Lazis</t>
  </si>
  <si>
    <t>1.2.</t>
  </si>
  <si>
    <t xml:space="preserve">Penyusunan Kriteria Kenaikan Kelas </t>
  </si>
  <si>
    <t>1.3.</t>
  </si>
  <si>
    <t>1.4.</t>
  </si>
  <si>
    <t>1.5.</t>
  </si>
  <si>
    <t xml:space="preserve">Pengembangan Standar Isi </t>
  </si>
  <si>
    <t xml:space="preserve">Penyusunan Pembagian Tugas Guru dan Jadwal Pelajaran </t>
  </si>
  <si>
    <t xml:space="preserve">Penyusunan Program Tahunan </t>
  </si>
  <si>
    <t xml:space="preserve">Penyusunan Program Semesteran </t>
  </si>
  <si>
    <t xml:space="preserve">Penyusunan Silabus </t>
  </si>
  <si>
    <t xml:space="preserve">Penyusunan Rencana Pelaksanaan Pembelajaran </t>
  </si>
  <si>
    <t>2.6.</t>
  </si>
  <si>
    <t xml:space="preserve">Penyusunan Rencana Ulangan Akhir Semester </t>
  </si>
  <si>
    <t>2.7.</t>
  </si>
  <si>
    <t xml:space="preserve">Penyusunan Rencana Ulangan Kenaikan Kelas </t>
  </si>
  <si>
    <t>2.8.</t>
  </si>
  <si>
    <t>Try-out Ujian Nasional tingkat Kecamatan</t>
  </si>
  <si>
    <t>Try-out Ujian Nasional tingkat Kabupaten</t>
  </si>
  <si>
    <t xml:space="preserve">Try-out Ujian Nasional tingkat Sekolah </t>
  </si>
  <si>
    <t xml:space="preserve">Pengembangan Standar Proses </t>
  </si>
  <si>
    <t xml:space="preserve">Kegiatan Pengelolaan Kegiatan Belajar Mengajar </t>
  </si>
  <si>
    <t>3.1.1.</t>
  </si>
  <si>
    <t>Pengadaan Saarana Penunjang KBM</t>
  </si>
  <si>
    <t>3.1.2.</t>
  </si>
  <si>
    <t>- Pembelian kapur tulis, 72 dus x Rp 3.000</t>
  </si>
  <si>
    <t>- Pembelian penghapus papan tulis, 12 x Rp 2.500</t>
  </si>
  <si>
    <t>- Pembelian kapur warna, 10 dus x Rp 3.500</t>
  </si>
  <si>
    <t>- Pembelian penggaris kayu 1 meter, 5 x Rp 10.000</t>
  </si>
  <si>
    <t>- Pembelian Penggaris segi tiga, 3 x Rp 10.000</t>
  </si>
  <si>
    <t>Pengadaan Alat Pembelajaran</t>
  </si>
  <si>
    <t>- Pembelian Spidol untuk White Board, 6 x Rp 10.000</t>
  </si>
  <si>
    <t>- Pembelian tinta White Board, 6 botol x Rp 10.000</t>
  </si>
  <si>
    <t>- Pembelian kertas manila, 20 x Rp 2.000</t>
  </si>
  <si>
    <t>- Pembelian spidol kecil, 6 x Rp 10.000</t>
  </si>
  <si>
    <t xml:space="preserve">Program Kesiswaan </t>
  </si>
  <si>
    <t>3.2.1.</t>
  </si>
  <si>
    <t xml:space="preserve">Penyusunan Program Kesiswaan </t>
  </si>
  <si>
    <t xml:space="preserve">Hapus data sekolah pada Sheet Data sekolah jika data yang ada bukan data sekolah Anda. </t>
  </si>
  <si>
    <t xml:space="preserve">Dilanjutkan mengisi form BOS-K5 (Buku Pembantu Bank/BPB) </t>
  </si>
  <si>
    <t xml:space="preserve">BKU, BKP, BPB, BPP dibuat untuk setiap triwulan, bukan bulanan. </t>
  </si>
  <si>
    <t>Nomor Kuitansi A2:</t>
  </si>
  <si>
    <t>No. HP Kepala Sekolah</t>
  </si>
  <si>
    <t>No. HP Bendahara</t>
  </si>
  <si>
    <t>Pengembangan Kompetensi Lulusan</t>
  </si>
  <si>
    <t>Pengembangan Standar Isi</t>
  </si>
  <si>
    <t>Pengembangan Standar Proses</t>
  </si>
  <si>
    <t>Pengembangan Standar Pengelolaan</t>
  </si>
  <si>
    <t>Pengembangan Standar Pembiayaan</t>
  </si>
  <si>
    <t>Pengembangan dan Implementasi Sistem Penilaian</t>
  </si>
  <si>
    <t>Pengembangan Pendidik dan Tenaga Kependidikan</t>
  </si>
  <si>
    <t>Pengembangan Sarana dan Prasarana Sekolah</t>
  </si>
  <si>
    <t>Belanja ....</t>
  </si>
  <si>
    <t xml:space="preserve">Belanja .... </t>
  </si>
  <si>
    <t>Belanja Pegawai/Gaji PNS</t>
  </si>
  <si>
    <t>3.2.2.</t>
  </si>
  <si>
    <t xml:space="preserve">Pelaksanaan Pendaftaran Peserta Didik Baru </t>
  </si>
  <si>
    <t xml:space="preserve">- Penggandaan Formulir Pendaftaran </t>
  </si>
  <si>
    <t xml:space="preserve">- Rapat Persiapan Penerimaan Peserta Didik Baru </t>
  </si>
  <si>
    <t>- Pelaporan Penerimaan Peserta Didik Baru</t>
  </si>
  <si>
    <t xml:space="preserve">- Pengisian Data Peserta Didik Baru </t>
  </si>
  <si>
    <t xml:space="preserve">Program Ekstrakurikuler </t>
  </si>
  <si>
    <t>3.3.1.</t>
  </si>
  <si>
    <t xml:space="preserve">Penyusunan Program Ekstrakurikuler </t>
  </si>
  <si>
    <t xml:space="preserve">- Rapat Penyusunan Jadwal Program Ekstrakurikuler </t>
  </si>
  <si>
    <t xml:space="preserve">- Pembuatan SK Pembagian Tugas Ekstrakurikuler </t>
  </si>
  <si>
    <t xml:space="preserve">- Pelaksanaan Ekstrakurikuler Kepramukaan </t>
  </si>
  <si>
    <t xml:space="preserve">- Pelaksanaan Ekstrakurikuler Olahraga  </t>
  </si>
  <si>
    <t>1.6.</t>
  </si>
  <si>
    <t xml:space="preserve">Pelaksanaan Les Mata Pelajaran Kelas VI </t>
  </si>
  <si>
    <t xml:space="preserve">- Pelaksanaan Ekstrakurikuler Kesenian dan Keterampilan </t>
  </si>
  <si>
    <t>- Pelaksanaan Ekstrakurikuler Keagamaan dan BTQ</t>
  </si>
  <si>
    <t xml:space="preserve">Pengembangan Pendidik dan Tenaga Kependidikan </t>
  </si>
  <si>
    <t xml:space="preserve">Pembinaan Guru di Gugus </t>
  </si>
  <si>
    <t>4.1.1.</t>
  </si>
  <si>
    <t xml:space="preserve">Peningkaan Kualitas Guru </t>
  </si>
  <si>
    <t>4.1.2.</t>
  </si>
  <si>
    <t xml:space="preserve">Peningkatan Kompetensi Kepala Sekolah </t>
  </si>
  <si>
    <t xml:space="preserve">- Diklat Teknis Kepala Sekolah </t>
  </si>
  <si>
    <t xml:space="preserve">- Diklat Fungsional Kepala Sekolah </t>
  </si>
  <si>
    <t xml:space="preserve">Pembinaan Tenaga Kependidikan </t>
  </si>
  <si>
    <t>4.2.1.</t>
  </si>
  <si>
    <t xml:space="preserve">Pembinaan Penjaga Sekolah </t>
  </si>
  <si>
    <t>4.2.2.</t>
  </si>
  <si>
    <t xml:space="preserve">Pembinaan Tenaga Perpustakaan </t>
  </si>
  <si>
    <t xml:space="preserve">- Rapat Pembinaan Penjaga Sekolah </t>
  </si>
  <si>
    <t xml:space="preserve">- Rapat Pembinaan Tenaga Perpustakaan </t>
  </si>
  <si>
    <t>Buku Perpus Kelas I s.d. Kelas V</t>
  </si>
  <si>
    <t>No. 900/001/III/2013</t>
  </si>
  <si>
    <t xml:space="preserve">Pengembangan Sarana dan Prasarana Sekolah </t>
  </si>
  <si>
    <t xml:space="preserve">Pengadaan, Pemeliharaan, Perawatan Alat Kantor Sekolah </t>
  </si>
  <si>
    <t>5.1.1.</t>
  </si>
  <si>
    <t xml:space="preserve">Mesin Ketik </t>
  </si>
  <si>
    <t xml:space="preserve">- Pembelian Pita </t>
  </si>
  <si>
    <t>5.1.2.</t>
  </si>
  <si>
    <t xml:space="preserve">Mesin Stensil/Mesin Pengganda </t>
  </si>
  <si>
    <t xml:space="preserve">- Tinta Stensil </t>
  </si>
  <si>
    <t xml:space="preserve">- Kertas Stensil </t>
  </si>
  <si>
    <t>5.1.3.</t>
  </si>
  <si>
    <t xml:space="preserve">Mesin Fotokopi </t>
  </si>
  <si>
    <t xml:space="preserve">- Tonner </t>
  </si>
  <si>
    <t xml:space="preserve">- Biaya Service </t>
  </si>
  <si>
    <t>5.1.4.</t>
  </si>
  <si>
    <t xml:space="preserve">Printer </t>
  </si>
  <si>
    <t>- Tinta Printer Warna</t>
  </si>
  <si>
    <t xml:space="preserve">- Tinta Printer Hitam </t>
  </si>
  <si>
    <t xml:space="preserve">- Catridge printer </t>
  </si>
  <si>
    <t>5.1.5.</t>
  </si>
  <si>
    <t xml:space="preserve">Computer </t>
  </si>
  <si>
    <t xml:space="preserve">- Penggantian Hardisk </t>
  </si>
  <si>
    <t xml:space="preserve">- Penggantian CD/DVD Drive </t>
  </si>
  <si>
    <t>- Pengadaan Flashdish</t>
  </si>
  <si>
    <t xml:space="preserve">- Pengadaan CD Blank </t>
  </si>
  <si>
    <t xml:space="preserve">Pemeliharaan dan Perbaikan Gedung </t>
  </si>
  <si>
    <t xml:space="preserve">Pengecatan </t>
  </si>
  <si>
    <t xml:space="preserve">- Cat tembok </t>
  </si>
  <si>
    <t xml:space="preserve">- Cat kayu </t>
  </si>
  <si>
    <t xml:space="preserve">Perbaikan atap rusak </t>
  </si>
  <si>
    <t xml:space="preserve">- Penggantian genting pecah/bocor </t>
  </si>
  <si>
    <t xml:space="preserve">- Biaya perbaikan </t>
  </si>
  <si>
    <t>Pengamanan gedung</t>
  </si>
  <si>
    <t xml:space="preserve">- Pemasangan jeruji besi </t>
  </si>
  <si>
    <t xml:space="preserve">- Perbaikan kunci/seloot pintu </t>
  </si>
  <si>
    <t xml:space="preserve">- Perbaikan kunci/seloot jendela </t>
  </si>
  <si>
    <t xml:space="preserve">- Perbaikan Kunci Pagar </t>
  </si>
  <si>
    <t xml:space="preserve">Pengadaan dan Perawatan Mebeler </t>
  </si>
  <si>
    <t>5.3.1.</t>
  </si>
  <si>
    <t xml:space="preserve">Kursis Siswa </t>
  </si>
  <si>
    <t xml:space="preserve">- Penambahan Kursi Siswa </t>
  </si>
  <si>
    <t xml:space="preserve">- Perbaikan Kursi Siswa </t>
  </si>
  <si>
    <t>5.3.2.</t>
  </si>
  <si>
    <t xml:space="preserve">Meja Siswa </t>
  </si>
  <si>
    <t xml:space="preserve">- Pengadaan Meja Siswa </t>
  </si>
  <si>
    <t xml:space="preserve">- Perbaikan Meja Siswa </t>
  </si>
  <si>
    <t>5.3.3.</t>
  </si>
  <si>
    <t xml:space="preserve">Kursi Guru </t>
  </si>
  <si>
    <t xml:space="preserve">- Pengadaan Kursi Guru </t>
  </si>
  <si>
    <t xml:space="preserve">- Perbaikan Kursi Guru </t>
  </si>
  <si>
    <t>5.3.4.</t>
  </si>
  <si>
    <t xml:space="preserve">Meja Guru </t>
  </si>
  <si>
    <t xml:space="preserve">- Pengadaan Meja Guru </t>
  </si>
  <si>
    <t xml:space="preserve">- Perbaikan Meja Guru </t>
  </si>
  <si>
    <t>5.3.5.</t>
  </si>
  <si>
    <t xml:space="preserve">Meja Kursi Tamu </t>
  </si>
  <si>
    <t xml:space="preserve">- Pengadaan Meja Kursi Tamu </t>
  </si>
  <si>
    <t xml:space="preserve">- Perbaikan Meja Kursi Tamu </t>
  </si>
  <si>
    <t>5.3.6.</t>
  </si>
  <si>
    <t xml:space="preserve">Papan Tulis </t>
  </si>
  <si>
    <t xml:space="preserve">- Pengadaan Papan Tulis </t>
  </si>
  <si>
    <t xml:space="preserve">- Perbaikan Papan Tulis </t>
  </si>
  <si>
    <t xml:space="preserve">- Pembelian Cat Papan Tulis </t>
  </si>
  <si>
    <t>5.3.7.</t>
  </si>
  <si>
    <t>Alat-alat Kebersihan sekolah</t>
  </si>
  <si>
    <t xml:space="preserve">- Pembelian sapu lantai </t>
  </si>
  <si>
    <t xml:space="preserve">- Pembelian sapu langit-langit </t>
  </si>
  <si>
    <t xml:space="preserve">- Pembelian sulat/kemoceng </t>
  </si>
  <si>
    <t xml:space="preserve">- Pembelian lap meja </t>
  </si>
  <si>
    <t xml:space="preserve">- Pembelian taplak meja </t>
  </si>
  <si>
    <t xml:space="preserve">- Pembelian tempat sampah </t>
  </si>
  <si>
    <t xml:space="preserve">- Perbaikan tempat sampah </t>
  </si>
  <si>
    <t>1.7.</t>
  </si>
  <si>
    <t>5.3.8.</t>
  </si>
  <si>
    <t xml:space="preserve">Alat-alat Dapur </t>
  </si>
  <si>
    <t xml:space="preserve">- Pembelian Kompor </t>
  </si>
  <si>
    <t xml:space="preserve">- Pembelian tabung gas </t>
  </si>
  <si>
    <t xml:space="preserve">- Perbaikan Kompor </t>
  </si>
  <si>
    <t xml:space="preserve">- Pengadaan Ceret </t>
  </si>
  <si>
    <t xml:space="preserve">- Pengadaan Gelas </t>
  </si>
  <si>
    <t xml:space="preserve">- Pengadaan Piring </t>
  </si>
  <si>
    <t xml:space="preserve">- Pengadaan wajan </t>
  </si>
  <si>
    <t>5.3.9.</t>
  </si>
  <si>
    <t xml:space="preserve">Alat-alat perbaikan/pertukangan/bengkel </t>
  </si>
  <si>
    <t xml:space="preserve">- Pembelian pisau </t>
  </si>
  <si>
    <t xml:space="preserve">- Pembelian gergaji/gorok </t>
  </si>
  <si>
    <t xml:space="preserve">- Pembelian parang </t>
  </si>
  <si>
    <t xml:space="preserve">- Pembelian martil </t>
  </si>
  <si>
    <t xml:space="preserve">- Pembelian obeng </t>
  </si>
  <si>
    <t xml:space="preserve">- Pembelian Tespen </t>
  </si>
  <si>
    <t xml:space="preserve">Pengembangan Standar Pengelolaan </t>
  </si>
  <si>
    <t>6.1.</t>
  </si>
  <si>
    <t xml:space="preserve">Kegiatan Pengembangan Manajemen Sekolah </t>
  </si>
  <si>
    <t>6.1.1.</t>
  </si>
  <si>
    <t xml:space="preserve">Penyusunan Visi, Misi, dan Tujuan Sekolah  </t>
  </si>
  <si>
    <t>6.1.2.</t>
  </si>
  <si>
    <t xml:space="preserve">Penyusunan Profil Sekolah </t>
  </si>
  <si>
    <t>6.1.3.</t>
  </si>
  <si>
    <t xml:space="preserve">Penyusunan RKJM, RKT, RKS, RKAS </t>
  </si>
  <si>
    <t>6.2.</t>
  </si>
  <si>
    <t xml:space="preserve">Kegiatan Pengelolaan Perkantoran </t>
  </si>
  <si>
    <t>6.2.1.</t>
  </si>
  <si>
    <t xml:space="preserve">Penyusunan Program Ketatausahaan </t>
  </si>
  <si>
    <t xml:space="preserve">Pengadaan Sarana Pendukung Perkantoran </t>
  </si>
  <si>
    <t xml:space="preserve">- Pengadaan Buku Induk </t>
  </si>
  <si>
    <t xml:space="preserve">- Pengadaan Buku Klaper </t>
  </si>
  <si>
    <t xml:space="preserve">- Pengadaan Buku Agenda Surat </t>
  </si>
  <si>
    <t xml:space="preserve">- Pengadaan Buku Ekspedisi </t>
  </si>
  <si>
    <t>- Pengadaan Buku ....</t>
  </si>
  <si>
    <t xml:space="preserve">- Pengadaan Papan Absensi Kelas </t>
  </si>
  <si>
    <t>- Pengadaan Papan Rekap Absensi Murid</t>
  </si>
  <si>
    <t xml:space="preserve">- Pengadaan Papan Data Pegawai </t>
  </si>
  <si>
    <t xml:space="preserve">- Pengadaan Papan .... </t>
  </si>
  <si>
    <t xml:space="preserve">- Pengadaan Papan Pengumuman </t>
  </si>
  <si>
    <t>6.3.</t>
  </si>
  <si>
    <t xml:space="preserve">Kegiatan Supervisi, Monitoring, dan Evaluasi </t>
  </si>
  <si>
    <t>6.3.1.</t>
  </si>
  <si>
    <t>6.3.2.</t>
  </si>
  <si>
    <t>Supervisi Klinis</t>
  </si>
  <si>
    <t xml:space="preserve">Supervisi Akadmis </t>
  </si>
  <si>
    <t>6.3.3.</t>
  </si>
  <si>
    <t xml:space="preserve">Pemeriksaan Administrasi Guru </t>
  </si>
  <si>
    <t>6.4.</t>
  </si>
  <si>
    <t xml:space="preserve">Kegiatan Hubungan Masyarakat </t>
  </si>
  <si>
    <t>6.4.1.</t>
  </si>
  <si>
    <t>Pengembangan Sistem Informasi Manajemen (SIM)</t>
  </si>
  <si>
    <t>6.4.2.</t>
  </si>
  <si>
    <t xml:space="preserve">Pengelolaan/Pengerjaan Data Pokok Pendidikan </t>
  </si>
  <si>
    <t>6.4.3.</t>
  </si>
  <si>
    <t xml:space="preserve">Pembuatan Baliho, Leaflet, Selebaran, Spanduk </t>
  </si>
  <si>
    <t>6.4.4.</t>
  </si>
  <si>
    <t xml:space="preserve">Rapat Pleno bersama Wali Murid </t>
  </si>
  <si>
    <t>6.4.5.</t>
  </si>
  <si>
    <t xml:space="preserve">Rapat Pleno bersama Komite Sekolah </t>
  </si>
  <si>
    <t xml:space="preserve">Pengembangan Standar Pembiayaan </t>
  </si>
  <si>
    <t>7.1.</t>
  </si>
  <si>
    <t xml:space="preserve">Kegiatan Rumah Tangga Sekolah, Langganan, Jasa, Daya </t>
  </si>
  <si>
    <t>7.1.1.</t>
  </si>
  <si>
    <t xml:space="preserve">Konsumsi Harian Guru/Pegawai </t>
  </si>
  <si>
    <t>7.1.2.</t>
  </si>
  <si>
    <t xml:space="preserve">Konsumsi Tamu </t>
  </si>
  <si>
    <t>7.1.3.</t>
  </si>
  <si>
    <t xml:space="preserve">Langganan LPJ/Gas </t>
  </si>
  <si>
    <t>7.1.4.</t>
  </si>
  <si>
    <t>Langganan Listrik</t>
  </si>
  <si>
    <t>7.1.5.</t>
  </si>
  <si>
    <t xml:space="preserve">Langganan Internet </t>
  </si>
  <si>
    <t xml:space="preserve">Pengembangan dan Implementasi Sistem Penilaian </t>
  </si>
  <si>
    <t>8.1.</t>
  </si>
  <si>
    <t xml:space="preserve">Penyusunan Kisi-kisi: </t>
  </si>
  <si>
    <t>8.1.1.</t>
  </si>
  <si>
    <t xml:space="preserve">Kisi-kisi Ulangan Harian </t>
  </si>
  <si>
    <t xml:space="preserve">Kisi-kisi Ulangan Akhir Semester </t>
  </si>
  <si>
    <t>Kisi-kisi Ulangan Kenaikan Kelas</t>
  </si>
  <si>
    <t>8.1.2.</t>
  </si>
  <si>
    <t>8.1.3.</t>
  </si>
  <si>
    <t>8.2.</t>
  </si>
  <si>
    <t xml:space="preserve">Penyusunan Soal: </t>
  </si>
  <si>
    <t>8.2.1.</t>
  </si>
  <si>
    <t xml:space="preserve">Soal Ulangan Harian </t>
  </si>
  <si>
    <t xml:space="preserve">Soal Ulangan Akhir Semester </t>
  </si>
  <si>
    <t xml:space="preserve">Soal Ulangan Kenaikan Kelas </t>
  </si>
  <si>
    <t xml:space="preserve">Soal Ujian Sekolah </t>
  </si>
  <si>
    <t>8.1.4.</t>
  </si>
  <si>
    <t xml:space="preserve">Kisi-kisi Ujian Sekolah </t>
  </si>
  <si>
    <t>8.2.2.</t>
  </si>
  <si>
    <t>8.2.3.</t>
  </si>
  <si>
    <t>8.2.4.</t>
  </si>
  <si>
    <t>8.3.</t>
  </si>
  <si>
    <t xml:space="preserve">Pelaksanaan Ulangan/Ujian </t>
  </si>
  <si>
    <t>8.3.1.</t>
  </si>
  <si>
    <t>8.3.2.</t>
  </si>
  <si>
    <t>8.3.3.</t>
  </si>
  <si>
    <t>8.3.4.</t>
  </si>
  <si>
    <t xml:space="preserve">Pelaksanaan Ulangan Harian </t>
  </si>
  <si>
    <t xml:space="preserve">Pelaksanaan Ulangan Akhir Semester </t>
  </si>
  <si>
    <t xml:space="preserve">Pelaksanaan Ulangan Kenaikan Kelas </t>
  </si>
  <si>
    <t xml:space="preserve">Pelaksanaan Ujian Sekolah </t>
  </si>
  <si>
    <t>8.3.5.</t>
  </si>
  <si>
    <t>8.3.6.</t>
  </si>
  <si>
    <t>8.3.7.</t>
  </si>
  <si>
    <t xml:space="preserve">Pemeriksaan Hasil Ulangan Akhir Semester </t>
  </si>
  <si>
    <t xml:space="preserve">Pemeriksaan Hasil Ulangan Kenaikan Kelas </t>
  </si>
  <si>
    <t xml:space="preserve">Pemeriksaan Hasil Ujian Sekolah </t>
  </si>
  <si>
    <t>8.4.</t>
  </si>
  <si>
    <t xml:space="preserve">Tindak Lanjut Seletelah Pelaksanaan Ulangan </t>
  </si>
  <si>
    <t>8.4.1.</t>
  </si>
  <si>
    <t>8.4.2.</t>
  </si>
  <si>
    <t xml:space="preserve">Analisis Hasil Ulangan </t>
  </si>
  <si>
    <t xml:space="preserve">Pelaksanaan Remedial </t>
  </si>
  <si>
    <t xml:space="preserve">Pelaksanaan Pengayaan </t>
  </si>
  <si>
    <t>8.5.</t>
  </si>
  <si>
    <t xml:space="preserve">Penilaian Lannya: </t>
  </si>
  <si>
    <t>8.5.1.</t>
  </si>
  <si>
    <t xml:space="preserve">Penilaian Portofolio </t>
  </si>
  <si>
    <t xml:space="preserve">- Penyusunan Format Portofolio </t>
  </si>
  <si>
    <t>8.5.2.</t>
  </si>
  <si>
    <t xml:space="preserve">Penilaian Proyek </t>
  </si>
  <si>
    <t>8.6.</t>
  </si>
  <si>
    <t xml:space="preserve">Inovasi Model Penilaian </t>
  </si>
  <si>
    <t>8.6.1.</t>
  </si>
  <si>
    <t>8.6.2.</t>
  </si>
  <si>
    <t>8.6.3.</t>
  </si>
  <si>
    <t xml:space="preserve">Workshop </t>
  </si>
  <si>
    <t xml:space="preserve">IHT </t>
  </si>
  <si>
    <t xml:space="preserve">Pelatihan </t>
  </si>
  <si>
    <t>8.6.4.</t>
  </si>
  <si>
    <t xml:space="preserve">Studi Banding </t>
  </si>
  <si>
    <t>8.7.</t>
  </si>
  <si>
    <t xml:space="preserve">Penilaian Pendidik dan Tenaga Kependidikan </t>
  </si>
  <si>
    <t>8.7.1.</t>
  </si>
  <si>
    <t xml:space="preserve">Penilaian Kinerja Guru </t>
  </si>
  <si>
    <t>8.7.2.</t>
  </si>
  <si>
    <t xml:space="preserve">Penilaian Kinerja Kepala Sekolah </t>
  </si>
  <si>
    <t>8.7.3.</t>
  </si>
  <si>
    <t xml:space="preserve">Penilaian Kinerja Tenaga Kependidikan </t>
  </si>
  <si>
    <t>8.8.</t>
  </si>
  <si>
    <t xml:space="preserve">Penilaian Sekolah </t>
  </si>
  <si>
    <t>8.8.1.</t>
  </si>
  <si>
    <t xml:space="preserve">Evaluasi Diri Sekolah (EDS) </t>
  </si>
  <si>
    <t>8.8.2.</t>
  </si>
  <si>
    <t xml:space="preserve">Akreditasi Sekolah </t>
  </si>
  <si>
    <t>8.8.3.</t>
  </si>
  <si>
    <t xml:space="preserve">Lomba Sekolah Sehat </t>
  </si>
  <si>
    <t>8.8.4.</t>
  </si>
  <si>
    <t>Lomba .............</t>
  </si>
  <si>
    <t>Belanja ...................</t>
  </si>
  <si>
    <t>8.7.4.</t>
  </si>
  <si>
    <t>1.8.</t>
  </si>
  <si>
    <t xml:space="preserve">Pelaksanaan .... </t>
  </si>
  <si>
    <t>2.9.</t>
  </si>
  <si>
    <t>Penyusunan ....</t>
  </si>
  <si>
    <t xml:space="preserve">- </t>
  </si>
  <si>
    <t>8.6.5.</t>
  </si>
  <si>
    <t>8.5.3.</t>
  </si>
  <si>
    <t>8.3.8.</t>
  </si>
  <si>
    <t>8.2.5.</t>
  </si>
  <si>
    <t>8.1.5.</t>
  </si>
  <si>
    <t>7.1.6.</t>
  </si>
  <si>
    <t>6.4.6.</t>
  </si>
  <si>
    <t>6.3.4.</t>
  </si>
  <si>
    <t>6.1.4.</t>
  </si>
  <si>
    <t>No Rek</t>
  </si>
  <si>
    <t>- KKG Guru Kelas (5 orang x 6 pertemuan x Rp 10.000)</t>
  </si>
  <si>
    <t>- KKG Guru PAI (1 orang x 6 pertemuan x Rp 10.000)</t>
  </si>
  <si>
    <t>- KKG Guru Penjas (1 orang x 6 pertemuan x Rp 10.000)</t>
  </si>
  <si>
    <t>- Pelaksanaan KKKS (1 orang x 6 pertemuan x Rp 10.000)</t>
  </si>
  <si>
    <t>- Pengadaan Buku Rapor (4 anak x Rp 10.000)</t>
  </si>
  <si>
    <t>- Pengadaan Buku Daftar Kelas (7 buku x Rp 10.000)</t>
  </si>
  <si>
    <t>- Pengadaan Buku Daftar Nilai (7 buku x Rp 10.000)</t>
  </si>
  <si>
    <t>Gaji Guru Honorer (4 orang x 3 bulan x Rp 100.000)</t>
  </si>
  <si>
    <t>belanja_3_rp</t>
  </si>
  <si>
    <t>belanja_4_rp</t>
  </si>
  <si>
    <t>belanja_5_rp</t>
  </si>
  <si>
    <t>belanja_1_nama-barang</t>
  </si>
  <si>
    <t>belanja_2_nama-barang</t>
  </si>
  <si>
    <t>belanja_3_nama-barang</t>
  </si>
  <si>
    <t>belanja_4_nama-barang</t>
  </si>
  <si>
    <t>belanja_5_nama-barang</t>
  </si>
  <si>
    <t>belanja_6_nama-barang</t>
  </si>
  <si>
    <t>belanja_6_rp</t>
  </si>
  <si>
    <t>belanja_7_nama-barang</t>
  </si>
  <si>
    <t>belanja_7_rp</t>
  </si>
  <si>
    <t>belanja_8_nama-barang</t>
  </si>
  <si>
    <t>belanja_8_rp</t>
  </si>
  <si>
    <t>belanja_9_nama-barang</t>
  </si>
  <si>
    <t>belanja_9_rp</t>
  </si>
  <si>
    <t>belanja_10_nama-barang</t>
  </si>
  <si>
    <t>belanja_10_rp</t>
  </si>
  <si>
    <t>belanja_11_nama-barang</t>
  </si>
  <si>
    <t>belanja_11_rp</t>
  </si>
  <si>
    <t>belanja_12_nama-barang</t>
  </si>
  <si>
    <t>belanja_12_rp</t>
  </si>
  <si>
    <t>belanja_13_nama-barang</t>
  </si>
  <si>
    <t>belanja_13_rp</t>
  </si>
  <si>
    <t>belanja_14_nama-barang</t>
  </si>
  <si>
    <t>belanja_14_rp</t>
  </si>
  <si>
    <t>belanja_15_nama-barang</t>
  </si>
  <si>
    <t>belanja_15_rp</t>
  </si>
  <si>
    <t xml:space="preserve">Mengetahui, </t>
  </si>
  <si>
    <t xml:space="preserve">Mengyetujui, </t>
  </si>
  <si>
    <t xml:space="preserve">Bendahara Sekolah </t>
  </si>
  <si>
    <t>Sub Total Penggunaan Dana Lainnya</t>
  </si>
  <si>
    <t>A</t>
  </si>
  <si>
    <t>B</t>
  </si>
  <si>
    <t>Penggunaan/Belanja</t>
  </si>
  <si>
    <t xml:space="preserve">REKAPITULASI REALISASI PENGGUNAAN DANA BOS </t>
  </si>
  <si>
    <t>Kabupaten</t>
  </si>
  <si>
    <t>Program Kegiatan</t>
  </si>
  <si>
    <t xml:space="preserve">Penggunaan Dana BOS </t>
  </si>
  <si>
    <t>Pengembangan 
Perpustakaan</t>
  </si>
  <si>
    <t>Kegiatan 
Penerimaan 
Siswa Baru</t>
  </si>
  <si>
    <t>Kegiatan 
Pembelajaran 
dan Eskul Siswa</t>
  </si>
  <si>
    <t>Kegiatan 
Ulangan 
dan Ujian</t>
  </si>
  <si>
    <t>Pembelian 
Bahan 
Habis Pakai</t>
  </si>
  <si>
    <t>Langganan 
dan Daya</t>
  </si>
  <si>
    <t>Perawatan 
Sekolah</t>
  </si>
  <si>
    <t>Pengembangan 
Profesi Guru</t>
  </si>
  <si>
    <t>Membantu 
Siswa Miskin</t>
  </si>
  <si>
    <t>Pembelian 
Perangkat 
Komputer</t>
  </si>
  <si>
    <t>Pembiayaan 
Pengelolaan 
BOS</t>
  </si>
  <si>
    <t>Biaya 
lainnya</t>
  </si>
  <si>
    <t>Honor 
Guru 
Non PNS</t>
  </si>
  <si>
    <t>11</t>
  </si>
  <si>
    <t>12</t>
  </si>
  <si>
    <t>13</t>
  </si>
  <si>
    <t>14</t>
  </si>
  <si>
    <t>15</t>
  </si>
  <si>
    <t>16</t>
  </si>
  <si>
    <t xml:space="preserve">Program Sekolah </t>
  </si>
  <si>
    <t xml:space="preserve">Jumlah Program Sekolah </t>
  </si>
  <si>
    <t xml:space="preserve">Penggunaan Lainnya </t>
  </si>
  <si>
    <t xml:space="preserve">Jumlah Penggunaan Lainnya </t>
  </si>
  <si>
    <t xml:space="preserve">Bila memerlukan pelatihan cara pengisian Aplikasi BOS 2013 ini, kami siap membantu. </t>
  </si>
  <si>
    <t>Pengembangan dan Implement. Penilaian</t>
  </si>
  <si>
    <t>Pengembangan Sarana dan Prasarana</t>
  </si>
  <si>
    <t>1. Tempat sampah, 5 buah x Rp 10.000</t>
  </si>
  <si>
    <t>2. Sapu lantai, 6 buah x Rp 7.500</t>
  </si>
  <si>
    <t>Belanja Keg. BOS Triwulan I Tahun 2013</t>
  </si>
  <si>
    <t>Kode 
Rekening</t>
  </si>
  <si>
    <t xml:space="preserve">- Perbaikan kunci/selot pintu </t>
  </si>
  <si>
    <t xml:space="preserve">- Perbaikan kunci/selot jendela </t>
  </si>
  <si>
    <t xml:space="preserve">- Pengadaan Kursi Siswa </t>
  </si>
  <si>
    <t xml:space="preserve">- Pembelian tespen </t>
  </si>
  <si>
    <t xml:space="preserve">- Pembelian Komputer </t>
  </si>
  <si>
    <t>Penyusunan ...............</t>
  </si>
  <si>
    <t>- Pengadaan ...........</t>
  </si>
  <si>
    <t>3.3.2.</t>
  </si>
  <si>
    <t xml:space="preserve">Mengikuti Lomba Kesiswaan </t>
  </si>
  <si>
    <t xml:space="preserve">- Lomba Siswa Berprestasi </t>
  </si>
  <si>
    <t xml:space="preserve">- Lomba Siswa Teladan </t>
  </si>
  <si>
    <t xml:space="preserve">- Lomba Dokter Kecil </t>
  </si>
  <si>
    <t xml:space="preserve">- Lomba Popda/Pekan Seni </t>
  </si>
  <si>
    <t xml:space="preserve">- Lomba Mapsi/Seni Rebana </t>
  </si>
  <si>
    <t>- Lomba .............</t>
  </si>
  <si>
    <t xml:space="preserve">- Lomba Jumbara PMR </t>
  </si>
  <si>
    <t xml:space="preserve">- Jambore Penggalang </t>
  </si>
  <si>
    <t xml:space="preserve">- Lomba /Pesta Siaga </t>
  </si>
  <si>
    <t>Format BOS-K4</t>
  </si>
  <si>
    <t xml:space="preserve">BUKU PEMBANTU KAS </t>
  </si>
  <si>
    <t xml:space="preserve">BUKU PEMBANTU BANK </t>
  </si>
  <si>
    <t>Format BOS-K5</t>
  </si>
  <si>
    <t>4.2.3.</t>
  </si>
  <si>
    <t>4.2.4.</t>
  </si>
  <si>
    <t>4.2.5.</t>
  </si>
  <si>
    <t xml:space="preserve">- Pembinaan Tenaga Perpustakaan </t>
  </si>
  <si>
    <t>Belanja angsuran komputer</t>
  </si>
  <si>
    <t xml:space="preserve">Lampiran Formulir BOS-K7 </t>
  </si>
  <si>
    <t xml:space="preserve">Dibuat oleh Sekolah </t>
  </si>
  <si>
    <t xml:space="preserve">PERNYATAAN TANGGUNG JAWAB </t>
  </si>
  <si>
    <t xml:space="preserve">Yang bertanda tangan di bawah ini: </t>
  </si>
  <si>
    <t>Nama</t>
  </si>
  <si>
    <t>Jabatan</t>
  </si>
  <si>
    <t xml:space="preserve">dengan ini menyatakan bahwa: </t>
  </si>
  <si>
    <t>Belanja Bantuan Operasional Sekolah (BOS) telah digunakan dalam rangka mendukung operasional sekolah dan tidak untuk keperluan pribadi.</t>
  </si>
  <si>
    <t xml:space="preserve">Penggunaan Belanja Bantuan Operasional Sekolah (BOS) adalah sebagai berikut: </t>
  </si>
  <si>
    <t>No</t>
  </si>
  <si>
    <t>Waktu</t>
  </si>
  <si>
    <t>Penggunaan</t>
  </si>
  <si>
    <t>Apabila di kemudian hari pernyataan ini tidak sesuai dengan keadaan yang sebenarnya, saya bersedia dikenakan sanksi administrasi dan/atau dituntut ganti rugi dan/atau tuntutan lainnya sesuai dengan ketentuan peraturan perundang-undangan yang berlaku.</t>
  </si>
  <si>
    <t xml:space="preserve">Demikian surat pernyataan ini dibuat dengan sebenarnya dan bermeterai cukup untuk dipergunakan sebagaimana mestinya. </t>
  </si>
  <si>
    <t>Meterai Rp 6.000</t>
  </si>
  <si>
    <t>Triwulan I</t>
  </si>
  <si>
    <t>Triwulan II</t>
  </si>
  <si>
    <t>Triwulan III</t>
  </si>
  <si>
    <t>Triwulan IV</t>
  </si>
  <si>
    <t xml:space="preserve">BUKU PEMBANTU PAJAK </t>
  </si>
  <si>
    <t>Penerimaan (Debed)</t>
  </si>
  <si>
    <t>PPN</t>
  </si>
  <si>
    <t>PPh 21</t>
  </si>
  <si>
    <t>PPh 22</t>
  </si>
  <si>
    <t>PPh 23</t>
  </si>
  <si>
    <t>Formulir BOS-K6</t>
  </si>
  <si>
    <t>Diisi oleh Bendahara</t>
  </si>
  <si>
    <t>Disimpan di Sekolah</t>
  </si>
  <si>
    <t>sebut nama dan alamat sekolahnya...</t>
  </si>
  <si>
    <t xml:space="preserve">Rencana penggunaan dana BOS di sekolah: </t>
  </si>
  <si>
    <t>Komponen</t>
  </si>
  <si>
    <t>Jumlah Dana (Rp)</t>
  </si>
  <si>
    <t>Total</t>
  </si>
  <si>
    <t>Formulir BOS-03</t>
  </si>
  <si>
    <t>01. Pengembangan Perpustakaan</t>
  </si>
  <si>
    <t>02. Kegiatan Penerimaan Siswa Baru</t>
  </si>
  <si>
    <t>03. Kegiatan Pembelajaran dan Eskul Siswa</t>
  </si>
  <si>
    <t>04. Kegiatan Ulangan dan Ujian</t>
  </si>
  <si>
    <t>05. Pembelian Bahan Habis Pakai</t>
  </si>
  <si>
    <t>06. Langganan, Jasa, dan Daya</t>
  </si>
  <si>
    <t>07. Perawatan Sekolah</t>
  </si>
  <si>
    <t>08. Honor guru / tenaga kependidikan Non PNS</t>
  </si>
  <si>
    <t>09. Pengembangan Profesi Guru</t>
  </si>
  <si>
    <t>10. Membantu Siswa Miskin</t>
  </si>
  <si>
    <t>11. Pembiayaan Pengelolaan BOS</t>
  </si>
  <si>
    <t>12. Pembelian Perangkat Komputer</t>
  </si>
  <si>
    <t>13. Biaya lainnya</t>
  </si>
  <si>
    <t>Ketua Komte Sekolah</t>
  </si>
  <si>
    <t>Dana BOS/siswa/triwulan</t>
  </si>
  <si>
    <t xml:space="preserve">DAFTAR ISI APLIKASI BOS 2013 </t>
  </si>
  <si>
    <t xml:space="preserve">01. Daftar Isi  </t>
  </si>
  <si>
    <t xml:space="preserve">02. Petunjuk Penggunaan Aplikasi </t>
  </si>
  <si>
    <t xml:space="preserve">03. Data Sekolah </t>
  </si>
  <si>
    <t xml:space="preserve">04. Sampul Laporan </t>
  </si>
  <si>
    <t xml:space="preserve">05. Format BOS-K1: RKAS </t>
  </si>
  <si>
    <t xml:space="preserve">06. Format BOS-K2: RKAS 1 tahun </t>
  </si>
  <si>
    <t xml:space="preserve">07. Format BOS-K3: Buku Kas Umum (BKU) </t>
  </si>
  <si>
    <t xml:space="preserve">08. Format BOS-K4: Buku Pembantu Kas (BPK) </t>
  </si>
  <si>
    <t xml:space="preserve">09. Format BOS-K5: Buku Pembantu Bank (BPB) </t>
  </si>
  <si>
    <t xml:space="preserve">10. Format BOS-K6: Buku Pembantu Pajak (BPP) </t>
  </si>
  <si>
    <t xml:space="preserve">11. Format BOS-K7: Realisasi Penggunaan Tiap Jenis Anggaran </t>
  </si>
  <si>
    <t xml:space="preserve">12. Format BOS-K7a: Rekap Penggunaan Dana BOS </t>
  </si>
  <si>
    <t xml:space="preserve">13. Format Lampian BOS-K7: Pernyataan Tanggung Jawab </t>
  </si>
  <si>
    <t xml:space="preserve">14. Format BOS-03: Rencana Penggunaan Dana BOS </t>
  </si>
  <si>
    <t xml:space="preserve">15. Format BOS-04: Laporan Penggunaan Dana BOS </t>
  </si>
  <si>
    <t xml:space="preserve">16. Surat Pengantar Laporan ke Bupati </t>
  </si>
  <si>
    <t xml:space="preserve">17. Data Kuitansi A2 </t>
  </si>
  <si>
    <t xml:space="preserve">18. Lihat Kuitansi A2 dan Pencetakan A2 </t>
  </si>
  <si>
    <t>Sumaryo</t>
  </si>
  <si>
    <t xml:space="preserve">081391017666 (sms only) </t>
  </si>
  <si>
    <t>I (satu)</t>
  </si>
  <si>
    <t xml:space="preserve">LAPORAN PENGGUNAAN DANA BOS </t>
  </si>
  <si>
    <t xml:space="preserve">Pengeluaran </t>
  </si>
  <si>
    <t xml:space="preserve">Pembelian Barang dan Jasa </t>
  </si>
  <si>
    <t>Jenis Pengeluaran</t>
  </si>
  <si>
    <t>Jumlah (Rp)</t>
  </si>
  <si>
    <t>Formulir BOS-04</t>
  </si>
  <si>
    <t xml:space="preserve">Barang/Jasa 
yang dibeli </t>
  </si>
  <si>
    <t>Nama Toko/
Penyedia Jasa</t>
  </si>
  <si>
    <t>Tanggal/
Bulan</t>
  </si>
  <si>
    <t>Ketua Komite Sekolah</t>
  </si>
  <si>
    <t>SD Negeri 3 Slatri</t>
  </si>
  <si>
    <t>20304090</t>
  </si>
  <si>
    <t>101030413025</t>
  </si>
  <si>
    <t>Jl. Raya Slatri - Pagerpelah</t>
  </si>
  <si>
    <t>01</t>
  </si>
  <si>
    <t>02</t>
  </si>
  <si>
    <t>Slatri</t>
  </si>
  <si>
    <t>Karangkobar</t>
  </si>
  <si>
    <t>Kab. Banjarnegara</t>
  </si>
  <si>
    <t>Jawa Tengah</t>
  </si>
  <si>
    <t>53453</t>
  </si>
  <si>
    <t>-7,286308</t>
  </si>
  <si>
    <t>109,70615</t>
  </si>
  <si>
    <t>3-141-03635-1</t>
  </si>
  <si>
    <t>Bank Jateng</t>
  </si>
  <si>
    <t>20.013.616.6.529.000</t>
  </si>
  <si>
    <t>sdn3slatri.krkb@gmail.com</t>
  </si>
  <si>
    <t>01 Januari 2013</t>
  </si>
  <si>
    <t>31 Maret 2013</t>
  </si>
  <si>
    <t>2013</t>
  </si>
  <si>
    <t>2012/2013</t>
  </si>
  <si>
    <t>Eko Wahyono, S.Pd., M.M.</t>
  </si>
  <si>
    <t>19650321 198608 1 001</t>
  </si>
  <si>
    <t>http://k3sdewantarakarangkobar.wordpress.com</t>
  </si>
  <si>
    <t>Mismun, S.Pd.I.</t>
  </si>
  <si>
    <t>19540212 198304 1 001</t>
  </si>
</sst>
</file>

<file path=xl/styles.xml><?xml version="1.0" encoding="utf-8"?>
<styleSheet xmlns="http://schemas.openxmlformats.org/spreadsheetml/2006/main">
  <numFmts count="9">
    <numFmt numFmtId="42" formatCode="_(&quot;Rp&quot;* #,##0_);_(&quot;Rp&quot;* \(#,##0\);_(&quot;Rp&quot;* &quot;-&quot;_);_(@_)"/>
    <numFmt numFmtId="41" formatCode="_(* #,##0_);_(* \(#,##0\);_(* &quot;-&quot;_);_(@_)"/>
    <numFmt numFmtId="164" formatCode="_ &quot;Rp&quot;\ * #,##0.00_ ;_ &quot;Rp&quot;\ * \-#,##0.00_ ;_ &quot;Rp&quot;\ * &quot;-&quot;??_ ;_ @_ "/>
    <numFmt numFmtId="165" formatCode="[$-421]dd\ mmmm\ yyyy;@"/>
    <numFmt numFmtId="166" formatCode="dd/mm/yyyy;@"/>
    <numFmt numFmtId="167" formatCode="_ &quot;Rp&quot;\ * #,##0.\-\ ;_ &quot;Rp&quot;\ * \-#,##0.\-_ ;_ &quot;Rp&quot;\ * &quot;-&quot;??_ ;_ @_ "/>
    <numFmt numFmtId="168" formatCode="#,##0.\-"/>
    <numFmt numFmtId="169" formatCode="[$-F800]dddd\,\ mmmm\ dd\,\ yyyy"/>
    <numFmt numFmtId="170" formatCode="&quot;Rp&quot;#,##0"/>
  </numFmts>
  <fonts count="37">
    <font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u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"/>
      <color theme="1"/>
      <name val="Bookman Old Style"/>
      <family val="1"/>
    </font>
    <font>
      <u/>
      <sz val="10"/>
      <color theme="1"/>
      <name val="Bookman Old Style"/>
      <family val="1"/>
    </font>
    <font>
      <u/>
      <sz val="10"/>
      <color theme="1"/>
      <name val="Tahoma"/>
      <family val="2"/>
    </font>
    <font>
      <b/>
      <sz val="12"/>
      <color theme="1"/>
      <name val="Tahoma"/>
      <family val="2"/>
    </font>
    <font>
      <u/>
      <sz val="10"/>
      <color theme="10"/>
      <name val="Tahoma"/>
      <family val="2"/>
    </font>
    <font>
      <sz val="8"/>
      <name val="Tahom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4"/>
      <name val="Bernard MT Condensed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1"/>
      <color rgb="FF0070C0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u/>
      <sz val="12"/>
      <color theme="1"/>
      <name val="Arial"/>
      <family val="2"/>
    </font>
    <font>
      <b/>
      <u/>
      <sz val="10"/>
      <color theme="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b/>
      <u/>
      <sz val="8"/>
      <color theme="1"/>
      <name val="Tahoma"/>
      <family val="2"/>
    </font>
    <font>
      <b/>
      <sz val="9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 style="dotted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0" fontId="6" fillId="0" borderId="0"/>
  </cellStyleXfs>
  <cellXfs count="4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Protection="1"/>
    <xf numFmtId="0" fontId="9" fillId="0" borderId="0" xfId="0" applyFont="1" applyProtection="1"/>
    <xf numFmtId="0" fontId="5" fillId="3" borderId="10" xfId="3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top"/>
      <protection locked="0"/>
    </xf>
    <xf numFmtId="0" fontId="11" fillId="0" borderId="16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vertical="top"/>
      <protection locked="0"/>
    </xf>
    <xf numFmtId="0" fontId="11" fillId="0" borderId="17" xfId="0" applyFont="1" applyBorder="1" applyAlignment="1" applyProtection="1">
      <alignment horizontal="center" vertical="top"/>
      <protection locked="0"/>
    </xf>
    <xf numFmtId="0" fontId="11" fillId="0" borderId="18" xfId="0" applyFont="1" applyBorder="1" applyAlignment="1" applyProtection="1">
      <alignment horizontal="center" vertical="top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2" fillId="2" borderId="14" xfId="0" applyFont="1" applyFill="1" applyBorder="1" applyAlignment="1" applyProtection="1">
      <alignment horizontal="center" vertical="top"/>
    </xf>
    <xf numFmtId="0" fontId="11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 vertical="top"/>
    </xf>
    <xf numFmtId="0" fontId="12" fillId="2" borderId="12" xfId="0" applyFont="1" applyFill="1" applyBorder="1" applyAlignment="1" applyProtection="1">
      <alignment horizontal="center" vertical="top"/>
    </xf>
    <xf numFmtId="0" fontId="12" fillId="2" borderId="13" xfId="0" applyFont="1" applyFill="1" applyBorder="1" applyAlignment="1" applyProtection="1">
      <alignment horizontal="center" vertical="top"/>
    </xf>
    <xf numFmtId="41" fontId="11" fillId="0" borderId="0" xfId="2" applyFont="1" applyAlignment="1" applyProtection="1">
      <alignment vertical="top"/>
    </xf>
    <xf numFmtId="0" fontId="11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14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3" fontId="7" fillId="0" borderId="10" xfId="0" applyNumberFormat="1" applyFont="1" applyBorder="1" applyAlignment="1" applyProtection="1">
      <alignment horizontal="right" vertical="top"/>
      <protection locked="0"/>
    </xf>
    <xf numFmtId="14" fontId="7" fillId="0" borderId="4" xfId="0" applyNumberFormat="1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3" fontId="7" fillId="0" borderId="4" xfId="0" applyNumberFormat="1" applyFont="1" applyBorder="1" applyAlignment="1" applyProtection="1">
      <alignment horizontal="right" vertical="top"/>
      <protection locked="0"/>
    </xf>
    <xf numFmtId="14" fontId="7" fillId="0" borderId="9" xfId="0" applyNumberFormat="1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vertical="top"/>
      <protection locked="0"/>
    </xf>
    <xf numFmtId="3" fontId="7" fillId="0" borderId="9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vertical="top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Alignment="1" applyProtection="1">
      <alignment horizontal="center" vertical="top"/>
    </xf>
    <xf numFmtId="3" fontId="7" fillId="0" borderId="10" xfId="0" applyNumberFormat="1" applyFont="1" applyBorder="1" applyAlignment="1" applyProtection="1">
      <alignment horizontal="right" vertical="top"/>
    </xf>
    <xf numFmtId="0" fontId="7" fillId="0" borderId="0" xfId="0" applyFont="1" applyAlignment="1" applyProtection="1">
      <alignment vertical="top"/>
    </xf>
    <xf numFmtId="3" fontId="7" fillId="0" borderId="4" xfId="0" applyNumberFormat="1" applyFont="1" applyBorder="1" applyAlignment="1" applyProtection="1">
      <alignment horizontal="right" vertical="top"/>
    </xf>
    <xf numFmtId="14" fontId="5" fillId="0" borderId="14" xfId="0" applyNumberFormat="1" applyFont="1" applyBorder="1" applyAlignment="1" applyProtection="1">
      <alignment horizontal="center" vertical="top"/>
    </xf>
    <xf numFmtId="0" fontId="5" fillId="0" borderId="14" xfId="0" applyFont="1" applyBorder="1" applyAlignment="1" applyProtection="1">
      <alignment horizontal="center" vertical="top"/>
    </xf>
    <xf numFmtId="3" fontId="5" fillId="0" borderId="14" xfId="0" applyNumberFormat="1" applyFont="1" applyBorder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5" fillId="2" borderId="15" xfId="0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top"/>
    </xf>
    <xf numFmtId="3" fontId="7" fillId="0" borderId="4" xfId="0" applyNumberFormat="1" applyFont="1" applyBorder="1" applyAlignment="1" applyProtection="1">
      <alignment vertical="top"/>
      <protection locked="0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5" fillId="2" borderId="4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3" fontId="7" fillId="4" borderId="1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vertical="top"/>
    </xf>
    <xf numFmtId="3" fontId="7" fillId="4" borderId="4" xfId="0" applyNumberFormat="1" applyFont="1" applyFill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vertical="top"/>
    </xf>
    <xf numFmtId="3" fontId="7" fillId="0" borderId="9" xfId="0" applyNumberFormat="1" applyFont="1" applyBorder="1" applyAlignment="1">
      <alignment vertical="top"/>
    </xf>
    <xf numFmtId="0" fontId="5" fillId="2" borderId="14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0" fillId="0" borderId="0" xfId="0" applyFont="1"/>
    <xf numFmtId="0" fontId="9" fillId="0" borderId="0" xfId="0" applyFont="1"/>
    <xf numFmtId="0" fontId="19" fillId="0" borderId="0" xfId="1" applyFont="1" applyAlignment="1" applyProtection="1"/>
    <xf numFmtId="0" fontId="21" fillId="0" borderId="0" xfId="0" applyFont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2" fillId="0" borderId="0" xfId="0" applyFont="1" applyAlignment="1" applyProtection="1">
      <alignment horizontal="left" vertical="top"/>
    </xf>
    <xf numFmtId="0" fontId="22" fillId="0" borderId="28" xfId="0" applyFont="1" applyBorder="1" applyAlignment="1" applyProtection="1">
      <alignment vertical="top"/>
    </xf>
    <xf numFmtId="0" fontId="22" fillId="0" borderId="29" xfId="0" applyFont="1" applyBorder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2" fillId="0" borderId="20" xfId="0" applyFont="1" applyBorder="1" applyAlignment="1" applyProtection="1">
      <alignment vertical="top"/>
    </xf>
    <xf numFmtId="0" fontId="22" fillId="0" borderId="19" xfId="0" applyFont="1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2" fillId="0" borderId="25" xfId="0" applyFont="1" applyBorder="1" applyAlignment="1" applyProtection="1">
      <alignment vertical="top"/>
    </xf>
    <xf numFmtId="0" fontId="22" fillId="0" borderId="30" xfId="0" applyFont="1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167" fontId="22" fillId="0" borderId="2" xfId="0" applyNumberFormat="1" applyFont="1" applyBorder="1" applyAlignment="1" applyProtection="1">
      <alignment vertical="top"/>
    </xf>
    <xf numFmtId="0" fontId="22" fillId="0" borderId="22" xfId="0" applyFont="1" applyBorder="1" applyAlignment="1" applyProtection="1">
      <alignment vertical="top"/>
    </xf>
    <xf numFmtId="0" fontId="22" fillId="0" borderId="21" xfId="0" applyFont="1" applyBorder="1" applyAlignment="1" applyProtection="1">
      <alignment vertical="top"/>
    </xf>
    <xf numFmtId="0" fontId="21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left" vertical="top"/>
    </xf>
    <xf numFmtId="0" fontId="22" fillId="0" borderId="26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5" fillId="0" borderId="4" xfId="3" applyFont="1" applyBorder="1" applyAlignment="1" applyProtection="1">
      <alignment horizontal="center" vertical="center"/>
    </xf>
    <xf numFmtId="0" fontId="5" fillId="0" borderId="0" xfId="0" applyFont="1" applyProtection="1"/>
    <xf numFmtId="0" fontId="5" fillId="2" borderId="4" xfId="3" applyFont="1" applyFill="1" applyBorder="1" applyAlignment="1" applyProtection="1">
      <alignment horizontal="center" vertical="center"/>
    </xf>
    <xf numFmtId="49" fontId="5" fillId="3" borderId="10" xfId="3" applyNumberFormat="1" applyFont="1" applyFill="1" applyBorder="1" applyAlignment="1" applyProtection="1">
      <alignment vertical="center"/>
    </xf>
    <xf numFmtId="49" fontId="5" fillId="0" borderId="4" xfId="3" applyNumberFormat="1" applyFont="1" applyBorder="1" applyAlignment="1" applyProtection="1">
      <alignment vertical="center"/>
    </xf>
    <xf numFmtId="49" fontId="5" fillId="2" borderId="4" xfId="3" applyNumberFormat="1" applyFont="1" applyFill="1" applyBorder="1" applyAlignment="1" applyProtection="1">
      <alignment vertical="center"/>
    </xf>
    <xf numFmtId="0" fontId="7" fillId="0" borderId="0" xfId="0" applyFont="1" applyProtection="1">
      <protection locked="0"/>
    </xf>
    <xf numFmtId="0" fontId="7" fillId="5" borderId="4" xfId="3" applyFont="1" applyFill="1" applyBorder="1" applyAlignment="1" applyProtection="1">
      <alignment horizontal="center" vertical="center"/>
    </xf>
    <xf numFmtId="49" fontId="7" fillId="5" borderId="4" xfId="3" applyNumberFormat="1" applyFont="1" applyFill="1" applyBorder="1" applyAlignment="1" applyProtection="1">
      <alignment vertical="center"/>
    </xf>
    <xf numFmtId="0" fontId="7" fillId="0" borderId="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0" xfId="0" applyFont="1" applyAlignment="1" applyProtection="1">
      <alignment horizontal="left" vertical="top"/>
      <protection locked="0"/>
    </xf>
    <xf numFmtId="164" fontId="7" fillId="0" borderId="0" xfId="0" applyNumberFormat="1" applyFont="1" applyAlignment="1" applyProtection="1">
      <alignment horizontal="left" vertical="top"/>
      <protection locked="0"/>
    </xf>
    <xf numFmtId="165" fontId="7" fillId="0" borderId="0" xfId="0" applyNumberFormat="1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top"/>
      <protection locked="0"/>
    </xf>
    <xf numFmtId="164" fontId="20" fillId="0" borderId="0" xfId="0" applyNumberFormat="1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</xf>
    <xf numFmtId="164" fontId="7" fillId="0" borderId="0" xfId="0" applyNumberFormat="1" applyFont="1" applyAlignment="1" applyProtection="1">
      <alignment horizontal="left" vertical="top"/>
    </xf>
    <xf numFmtId="165" fontId="7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3" fontId="5" fillId="6" borderId="14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 wrapText="1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37" xfId="0" applyFont="1" applyFill="1" applyBorder="1" applyAlignment="1">
      <alignment horizontal="center" vertical="top"/>
    </xf>
    <xf numFmtId="49" fontId="5" fillId="2" borderId="38" xfId="0" applyNumberFormat="1" applyFont="1" applyFill="1" applyBorder="1" applyAlignment="1">
      <alignment horizontal="center" vertical="top"/>
    </xf>
    <xf numFmtId="3" fontId="7" fillId="4" borderId="39" xfId="0" applyNumberFormat="1" applyFont="1" applyFill="1" applyBorder="1" applyAlignment="1" applyProtection="1">
      <alignment vertical="top"/>
      <protection locked="0"/>
    </xf>
    <xf numFmtId="3" fontId="7" fillId="0" borderId="37" xfId="0" applyNumberFormat="1" applyFont="1" applyBorder="1" applyAlignment="1">
      <alignment vertical="top"/>
    </xf>
    <xf numFmtId="3" fontId="7" fillId="4" borderId="37" xfId="0" applyNumberFormat="1" applyFont="1" applyFill="1" applyBorder="1" applyAlignment="1">
      <alignment vertical="top"/>
    </xf>
    <xf numFmtId="3" fontId="7" fillId="0" borderId="37" xfId="0" applyNumberFormat="1" applyFont="1" applyBorder="1" applyAlignment="1" applyProtection="1">
      <alignment vertical="top"/>
      <protection locked="0"/>
    </xf>
    <xf numFmtId="3" fontId="7" fillId="0" borderId="40" xfId="0" applyNumberFormat="1" applyFont="1" applyBorder="1" applyAlignment="1" applyProtection="1">
      <alignment vertical="top"/>
      <protection locked="0"/>
    </xf>
    <xf numFmtId="3" fontId="5" fillId="2" borderId="34" xfId="0" applyNumberFormat="1" applyFont="1" applyFill="1" applyBorder="1" applyAlignment="1">
      <alignment vertical="top"/>
    </xf>
    <xf numFmtId="0" fontId="7" fillId="7" borderId="4" xfId="3" applyFont="1" applyFill="1" applyBorder="1" applyAlignment="1" applyProtection="1">
      <alignment horizontal="center" vertical="center"/>
    </xf>
    <xf numFmtId="49" fontId="7" fillId="7" borderId="4" xfId="3" applyNumberFormat="1" applyFont="1" applyFill="1" applyBorder="1" applyAlignment="1" applyProtection="1">
      <alignment vertical="center"/>
    </xf>
    <xf numFmtId="0" fontId="7" fillId="0" borderId="0" xfId="0" applyFont="1" applyBorder="1" applyProtection="1"/>
    <xf numFmtId="0" fontId="9" fillId="0" borderId="0" xfId="3" applyFont="1" applyProtection="1"/>
    <xf numFmtId="0" fontId="9" fillId="0" borderId="0" xfId="3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  <protection hidden="1"/>
    </xf>
    <xf numFmtId="0" fontId="9" fillId="0" borderId="0" xfId="3" applyFont="1" applyAlignment="1" applyProtection="1">
      <alignment vertical="center"/>
      <protection hidden="1"/>
    </xf>
    <xf numFmtId="0" fontId="5" fillId="8" borderId="4" xfId="3" applyFont="1" applyFill="1" applyBorder="1" applyAlignment="1" applyProtection="1">
      <alignment horizontal="center" vertical="center"/>
    </xf>
    <xf numFmtId="0" fontId="5" fillId="4" borderId="4" xfId="3" applyFont="1" applyFill="1" applyBorder="1" applyAlignment="1" applyProtection="1">
      <alignment horizontal="center" vertical="center"/>
    </xf>
    <xf numFmtId="49" fontId="5" fillId="4" borderId="4" xfId="3" applyNumberFormat="1" applyFont="1" applyFill="1" applyBorder="1" applyAlignment="1" applyProtection="1">
      <alignment vertical="center"/>
    </xf>
    <xf numFmtId="0" fontId="7" fillId="4" borderId="4" xfId="3" applyFont="1" applyFill="1" applyBorder="1" applyAlignment="1" applyProtection="1">
      <alignment horizontal="center" vertical="center"/>
    </xf>
    <xf numFmtId="49" fontId="7" fillId="4" borderId="4" xfId="3" applyNumberFormat="1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3" fontId="5" fillId="3" borderId="10" xfId="3" applyNumberFormat="1" applyFont="1" applyFill="1" applyBorder="1" applyAlignment="1" applyProtection="1">
      <alignment horizontal="right" vertical="center" indent="1"/>
    </xf>
    <xf numFmtId="3" fontId="5" fillId="0" borderId="4" xfId="3" applyNumberFormat="1" applyFont="1" applyBorder="1" applyAlignment="1" applyProtection="1">
      <alignment horizontal="right" vertical="center" indent="1"/>
    </xf>
    <xf numFmtId="3" fontId="5" fillId="2" borderId="4" xfId="3" applyNumberFormat="1" applyFont="1" applyFill="1" applyBorder="1" applyAlignment="1" applyProtection="1">
      <alignment horizontal="right" vertical="center" indent="1"/>
    </xf>
    <xf numFmtId="3" fontId="5" fillId="4" borderId="4" xfId="3" applyNumberFormat="1" applyFont="1" applyFill="1" applyBorder="1" applyAlignment="1" applyProtection="1">
      <alignment horizontal="right" vertical="center" indent="1"/>
    </xf>
    <xf numFmtId="3" fontId="5" fillId="5" borderId="4" xfId="3" applyNumberFormat="1" applyFont="1" applyFill="1" applyBorder="1" applyAlignment="1" applyProtection="1">
      <alignment horizontal="right" vertical="center" indent="1"/>
    </xf>
    <xf numFmtId="3" fontId="5" fillId="7" borderId="4" xfId="3" applyNumberFormat="1" applyFont="1" applyFill="1" applyBorder="1" applyAlignment="1" applyProtection="1">
      <alignment horizontal="right" vertical="center" indent="1"/>
    </xf>
    <xf numFmtId="3" fontId="7" fillId="0" borderId="4" xfId="3" applyNumberFormat="1" applyFont="1" applyBorder="1" applyAlignment="1" applyProtection="1">
      <alignment horizontal="right" vertical="center" indent="1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49" fontId="7" fillId="0" borderId="4" xfId="3" applyNumberFormat="1" applyFont="1" applyBorder="1" applyAlignment="1" applyProtection="1">
      <alignment vertical="center"/>
      <protection locked="0"/>
    </xf>
    <xf numFmtId="3" fontId="5" fillId="0" borderId="4" xfId="3" applyNumberFormat="1" applyFont="1" applyBorder="1" applyAlignment="1" applyProtection="1">
      <alignment horizontal="right" vertical="center" indent="1"/>
      <protection locked="0"/>
    </xf>
    <xf numFmtId="49" fontId="5" fillId="8" borderId="5" xfId="3" applyNumberFormat="1" applyFont="1" applyFill="1" applyBorder="1" applyAlignment="1" applyProtection="1">
      <alignment horizontal="center" vertical="center"/>
    </xf>
    <xf numFmtId="0" fontId="5" fillId="4" borderId="9" xfId="3" applyFont="1" applyFill="1" applyBorder="1" applyAlignment="1" applyProtection="1">
      <alignment horizontal="center" vertical="center"/>
    </xf>
    <xf numFmtId="49" fontId="5" fillId="4" borderId="9" xfId="3" applyNumberFormat="1" applyFont="1" applyFill="1" applyBorder="1" applyAlignment="1" applyProtection="1">
      <alignment vertical="center"/>
    </xf>
    <xf numFmtId="3" fontId="5" fillId="4" borderId="9" xfId="3" applyNumberFormat="1" applyFont="1" applyFill="1" applyBorder="1" applyAlignment="1" applyProtection="1">
      <alignment horizontal="right" vertical="center" indent="1"/>
    </xf>
    <xf numFmtId="0" fontId="5" fillId="3" borderId="14" xfId="3" applyFont="1" applyFill="1" applyBorder="1" applyAlignment="1" applyProtection="1">
      <alignment horizontal="center" vertical="center"/>
    </xf>
    <xf numFmtId="49" fontId="5" fillId="3" borderId="14" xfId="3" applyNumberFormat="1" applyFont="1" applyFill="1" applyBorder="1" applyAlignment="1" applyProtection="1">
      <alignment vertical="center"/>
    </xf>
    <xf numFmtId="3" fontId="5" fillId="6" borderId="14" xfId="3" applyNumberFormat="1" applyFont="1" applyFill="1" applyBorder="1" applyAlignment="1" applyProtection="1">
      <alignment horizontal="right" vertical="center" indent="1"/>
    </xf>
    <xf numFmtId="3" fontId="5" fillId="3" borderId="14" xfId="3" applyNumberFormat="1" applyFont="1" applyFill="1" applyBorder="1" applyAlignment="1" applyProtection="1">
      <alignment horizontal="right" vertical="center" indent="1"/>
    </xf>
    <xf numFmtId="0" fontId="1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5" fillId="4" borderId="4" xfId="0" applyFont="1" applyFill="1" applyBorder="1" applyAlignment="1" applyProtection="1">
      <alignment vertical="center"/>
    </xf>
    <xf numFmtId="3" fontId="5" fillId="4" borderId="4" xfId="0" applyNumberFormat="1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14" xfId="3" applyFont="1" applyFill="1" applyBorder="1" applyAlignment="1" applyProtection="1">
      <alignment horizontal="center" vertical="center"/>
    </xf>
    <xf numFmtId="49" fontId="5" fillId="4" borderId="14" xfId="3" applyNumberFormat="1" applyFont="1" applyFill="1" applyBorder="1" applyAlignment="1" applyProtection="1">
      <alignment vertical="center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5" fillId="4" borderId="4" xfId="0" applyNumberFormat="1" applyFont="1" applyFill="1" applyBorder="1" applyAlignment="1" applyProtection="1">
      <alignment horizontal="right" vertical="center"/>
    </xf>
    <xf numFmtId="3" fontId="7" fillId="0" borderId="4" xfId="0" applyNumberFormat="1" applyFont="1" applyBorder="1" applyAlignment="1" applyProtection="1">
      <alignment horizontal="right" vertical="center"/>
    </xf>
    <xf numFmtId="3" fontId="7" fillId="5" borderId="4" xfId="0" applyNumberFormat="1" applyFont="1" applyFill="1" applyBorder="1" applyAlignment="1" applyProtection="1">
      <alignment horizontal="right" vertical="center"/>
    </xf>
    <xf numFmtId="3" fontId="7" fillId="7" borderId="4" xfId="0" applyNumberFormat="1" applyFont="1" applyFill="1" applyBorder="1" applyAlignment="1" applyProtection="1">
      <alignment horizontal="right" vertical="center"/>
    </xf>
    <xf numFmtId="3" fontId="5" fillId="2" borderId="4" xfId="0" applyNumberFormat="1" applyFont="1" applyFill="1" applyBorder="1" applyAlignment="1" applyProtection="1">
      <alignment horizontal="right" vertical="center"/>
    </xf>
    <xf numFmtId="3" fontId="7" fillId="0" borderId="9" xfId="0" applyNumberFormat="1" applyFont="1" applyBorder="1" applyAlignment="1" applyProtection="1">
      <alignment horizontal="right" vertical="center"/>
    </xf>
    <xf numFmtId="3" fontId="5" fillId="4" borderId="14" xfId="0" applyNumberFormat="1" applyFont="1" applyFill="1" applyBorder="1" applyAlignment="1" applyProtection="1">
      <alignment horizontal="right" vertical="center"/>
    </xf>
    <xf numFmtId="3" fontId="5" fillId="2" borderId="4" xfId="3" applyNumberFormat="1" applyFont="1" applyFill="1" applyBorder="1" applyAlignment="1" applyProtection="1">
      <alignment horizontal="right" vertical="center"/>
    </xf>
    <xf numFmtId="3" fontId="5" fillId="4" borderId="4" xfId="3" applyNumberFormat="1" applyFont="1" applyFill="1" applyBorder="1" applyAlignment="1" applyProtection="1">
      <alignment horizontal="right" vertical="center"/>
    </xf>
    <xf numFmtId="3" fontId="7" fillId="5" borderId="4" xfId="3" applyNumberFormat="1" applyFont="1" applyFill="1" applyBorder="1" applyAlignment="1" applyProtection="1">
      <alignment horizontal="right" vertical="center"/>
    </xf>
    <xf numFmtId="3" fontId="7" fillId="7" borderId="4" xfId="3" applyNumberFormat="1" applyFont="1" applyFill="1" applyBorder="1" applyAlignment="1" applyProtection="1">
      <alignment horizontal="right" vertical="center"/>
    </xf>
    <xf numFmtId="3" fontId="5" fillId="6" borderId="41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7" fillId="0" borderId="4" xfId="0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horizontal="right" vertical="center"/>
    </xf>
    <xf numFmtId="0" fontId="9" fillId="0" borderId="0" xfId="0" applyFont="1" applyAlignment="1">
      <alignment vertical="top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3" fontId="7" fillId="0" borderId="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vertical="center"/>
    </xf>
    <xf numFmtId="3" fontId="5" fillId="5" borderId="9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center" vertical="center"/>
    </xf>
    <xf numFmtId="3" fontId="5" fillId="2" borderId="14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3" fillId="0" borderId="2" xfId="1" applyNumberFormat="1" applyBorder="1" applyAlignment="1" applyProtection="1">
      <alignment horizontal="left"/>
      <protection locked="0"/>
    </xf>
    <xf numFmtId="3" fontId="0" fillId="0" borderId="2" xfId="0" applyNumberFormat="1" applyBorder="1" applyAlignment="1" applyProtection="1">
      <alignment horizontal="left"/>
      <protection locked="0"/>
    </xf>
    <xf numFmtId="0" fontId="7" fillId="0" borderId="0" xfId="0" applyFont="1" applyBorder="1" applyAlignment="1">
      <alignment vertical="top"/>
    </xf>
    <xf numFmtId="3" fontId="7" fillId="0" borderId="0" xfId="0" applyNumberFormat="1" applyFont="1" applyAlignment="1" applyProtection="1">
      <alignment horizontal="left" vertical="top"/>
    </xf>
    <xf numFmtId="3" fontId="7" fillId="0" borderId="0" xfId="0" applyNumberFormat="1" applyFont="1" applyAlignment="1" applyProtection="1">
      <alignment horizontal="left" vertical="top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vertical="top" wrapText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>
      <alignment horizontal="center" vertical="top"/>
    </xf>
    <xf numFmtId="0" fontId="17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5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4" fontId="5" fillId="2" borderId="14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/>
    </xf>
    <xf numFmtId="3" fontId="5" fillId="2" borderId="14" xfId="0" applyNumberFormat="1" applyFont="1" applyFill="1" applyBorder="1" applyAlignment="1" applyProtection="1">
      <alignment horizontal="right" vertical="top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3" fontId="7" fillId="0" borderId="4" xfId="3" applyNumberFormat="1" applyFont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3" applyFont="1" applyFill="1" applyBorder="1" applyAlignment="1" applyProtection="1">
      <alignment horizontal="center" vertical="center"/>
      <protection locked="0"/>
    </xf>
    <xf numFmtId="49" fontId="7" fillId="0" borderId="4" xfId="3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3" fontId="7" fillId="0" borderId="4" xfId="3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7" borderId="4" xfId="0" applyFont="1" applyFill="1" applyBorder="1" applyAlignment="1" applyProtection="1">
      <alignment vertical="center"/>
      <protection locked="0"/>
    </xf>
    <xf numFmtId="0" fontId="7" fillId="7" borderId="4" xfId="3" applyFont="1" applyFill="1" applyBorder="1" applyAlignment="1" applyProtection="1">
      <alignment horizontal="center" vertical="center"/>
      <protection locked="0"/>
    </xf>
    <xf numFmtId="49" fontId="7" fillId="7" borderId="4" xfId="3" applyNumberFormat="1" applyFont="1" applyFill="1" applyBorder="1" applyAlignment="1" applyProtection="1">
      <alignment vertical="center"/>
      <protection locked="0"/>
    </xf>
    <xf numFmtId="3" fontId="7" fillId="7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Border="1" applyAlignment="1" applyProtection="1">
      <alignment horizontal="right" vertical="top" indent="1"/>
      <protection locked="0"/>
    </xf>
    <xf numFmtId="3" fontId="11" fillId="0" borderId="4" xfId="0" applyNumberFormat="1" applyFont="1" applyBorder="1" applyAlignment="1" applyProtection="1">
      <alignment horizontal="right" vertical="top" indent="1"/>
      <protection locked="0"/>
    </xf>
    <xf numFmtId="3" fontId="11" fillId="0" borderId="0" xfId="0" applyNumberFormat="1" applyFont="1" applyAlignment="1" applyProtection="1">
      <alignment horizontal="right" vertical="top" indent="1"/>
      <protection locked="0"/>
    </xf>
    <xf numFmtId="3" fontId="11" fillId="0" borderId="9" xfId="0" applyNumberFormat="1" applyFont="1" applyBorder="1" applyAlignment="1" applyProtection="1">
      <alignment horizontal="right" vertical="top" indent="1"/>
      <protection locked="0"/>
    </xf>
    <xf numFmtId="3" fontId="12" fillId="2" borderId="14" xfId="0" applyNumberFormat="1" applyFont="1" applyFill="1" applyBorder="1" applyAlignment="1" applyProtection="1">
      <alignment horizontal="right" vertical="top" indent="1"/>
    </xf>
    <xf numFmtId="0" fontId="21" fillId="0" borderId="0" xfId="0" applyFont="1" applyAlignment="1" applyProtection="1">
      <alignment horizontal="center" vertical="top"/>
    </xf>
    <xf numFmtId="0" fontId="29" fillId="0" borderId="0" xfId="0" applyFont="1" applyAlignment="1" applyProtection="1">
      <alignment horizontal="center" vertical="top"/>
    </xf>
    <xf numFmtId="0" fontId="28" fillId="0" borderId="0" xfId="0" applyFont="1" applyAlignment="1" applyProtection="1">
      <alignment vertical="top"/>
    </xf>
    <xf numFmtId="0" fontId="28" fillId="0" borderId="42" xfId="0" applyFont="1" applyBorder="1" applyAlignment="1" applyProtection="1">
      <alignment vertical="top"/>
    </xf>
    <xf numFmtId="0" fontId="28" fillId="0" borderId="43" xfId="0" applyFont="1" applyBorder="1" applyAlignment="1" applyProtection="1">
      <alignment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top"/>
    </xf>
    <xf numFmtId="14" fontId="7" fillId="0" borderId="10" xfId="0" applyNumberFormat="1" applyFont="1" applyBorder="1" applyAlignment="1" applyProtection="1">
      <alignment vertical="top"/>
      <protection locked="0"/>
    </xf>
    <xf numFmtId="3" fontId="7" fillId="0" borderId="10" xfId="0" applyNumberFormat="1" applyFont="1" applyBorder="1" applyAlignment="1" applyProtection="1">
      <alignment vertical="top"/>
      <protection locked="0"/>
    </xf>
    <xf numFmtId="14" fontId="7" fillId="0" borderId="4" xfId="0" applyNumberFormat="1" applyFont="1" applyBorder="1" applyAlignment="1" applyProtection="1">
      <alignment vertical="top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3" fontId="9" fillId="0" borderId="10" xfId="0" applyNumberFormat="1" applyFont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 locked="0"/>
    </xf>
    <xf numFmtId="3" fontId="9" fillId="0" borderId="9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3" fillId="0" borderId="0" xfId="1" applyAlignment="1" applyProtection="1"/>
    <xf numFmtId="0" fontId="3" fillId="0" borderId="0" xfId="1" applyNumberFormat="1" applyFill="1" applyAlignment="1" applyProtection="1">
      <alignment horizontal="right"/>
    </xf>
    <xf numFmtId="0" fontId="3" fillId="0" borderId="0" xfId="1" applyAlignment="1" applyProtection="1">
      <alignment horizontal="right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33" fillId="0" borderId="0" xfId="0" applyFont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0" fillId="0" borderId="44" xfId="0" applyBorder="1" applyProtection="1">
      <protection locked="0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14" fontId="7" fillId="0" borderId="4" xfId="0" applyNumberFormat="1" applyFont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top"/>
    </xf>
    <xf numFmtId="0" fontId="27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5" fillId="2" borderId="15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 applyProtection="1">
      <alignment horizontal="center" vertical="top"/>
      <protection hidden="1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  <protection hidden="1"/>
    </xf>
    <xf numFmtId="0" fontId="9" fillId="0" borderId="21" xfId="0" applyFont="1" applyBorder="1" applyAlignment="1" applyProtection="1">
      <alignment horizontal="center" vertical="top"/>
    </xf>
    <xf numFmtId="0" fontId="9" fillId="0" borderId="22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top"/>
    </xf>
    <xf numFmtId="0" fontId="9" fillId="0" borderId="20" xfId="0" applyFont="1" applyBorder="1" applyAlignment="1" applyProtection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0" xfId="3" applyFont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/>
      <protection hidden="1"/>
    </xf>
    <xf numFmtId="0" fontId="9" fillId="0" borderId="0" xfId="3" applyFont="1" applyAlignment="1" applyProtection="1">
      <alignment vertical="center"/>
    </xf>
    <xf numFmtId="0" fontId="17" fillId="0" borderId="0" xfId="3" applyFont="1" applyBorder="1" applyAlignment="1" applyProtection="1">
      <alignment horizontal="center" vertical="center"/>
      <protection hidden="1"/>
    </xf>
    <xf numFmtId="0" fontId="5" fillId="8" borderId="4" xfId="3" applyFont="1" applyFill="1" applyBorder="1" applyAlignment="1" applyProtection="1">
      <alignment horizontal="center" vertical="center"/>
    </xf>
    <xf numFmtId="0" fontId="5" fillId="8" borderId="4" xfId="3" applyFont="1" applyFill="1" applyBorder="1" applyAlignment="1" applyProtection="1">
      <alignment horizontal="center"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  <protection hidden="1"/>
    </xf>
    <xf numFmtId="0" fontId="9" fillId="0" borderId="4" xfId="3" applyFont="1" applyBorder="1" applyAlignment="1" applyProtection="1">
      <alignment horizontal="center" vertical="center"/>
    </xf>
    <xf numFmtId="0" fontId="9" fillId="0" borderId="9" xfId="3" applyFont="1" applyBorder="1" applyAlignment="1" applyProtection="1">
      <alignment horizontal="center" vertical="center"/>
    </xf>
    <xf numFmtId="0" fontId="9" fillId="0" borderId="10" xfId="3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top"/>
    </xf>
    <xf numFmtId="0" fontId="12" fillId="2" borderId="13" xfId="0" applyFont="1" applyFill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15" fillId="0" borderId="11" xfId="0" applyFont="1" applyBorder="1" applyAlignment="1" applyProtection="1">
      <alignment horizontal="center" vertical="top"/>
    </xf>
    <xf numFmtId="0" fontId="13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28" fillId="0" borderId="10" xfId="0" applyFont="1" applyBorder="1" applyAlignment="1" applyProtection="1">
      <alignment vertical="top"/>
    </xf>
    <xf numFmtId="0" fontId="21" fillId="0" borderId="4" xfId="0" applyFont="1" applyBorder="1" applyAlignment="1" applyProtection="1">
      <alignment horizontal="center" vertical="top"/>
    </xf>
    <xf numFmtId="0" fontId="29" fillId="0" borderId="0" xfId="0" applyFont="1" applyAlignment="1" applyProtection="1">
      <alignment horizontal="center" vertical="top"/>
    </xf>
    <xf numFmtId="0" fontId="28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justify" vertical="top"/>
    </xf>
    <xf numFmtId="0" fontId="29" fillId="0" borderId="14" xfId="0" applyFont="1" applyBorder="1" applyAlignment="1" applyProtection="1">
      <alignment horizontal="center" vertical="top"/>
    </xf>
    <xf numFmtId="0" fontId="28" fillId="0" borderId="4" xfId="0" applyFont="1" applyBorder="1" applyAlignment="1" applyProtection="1">
      <alignment vertical="top"/>
    </xf>
    <xf numFmtId="0" fontId="28" fillId="0" borderId="9" xfId="0" applyFont="1" applyBorder="1" applyAlignment="1" applyProtection="1">
      <alignment vertical="top"/>
    </xf>
    <xf numFmtId="0" fontId="28" fillId="0" borderId="10" xfId="0" applyFont="1" applyBorder="1" applyAlignment="1" applyProtection="1">
      <alignment horizontal="center" vertical="top"/>
    </xf>
    <xf numFmtId="0" fontId="28" fillId="0" borderId="4" xfId="0" applyFont="1" applyBorder="1" applyAlignment="1" applyProtection="1">
      <alignment horizontal="center" vertical="top"/>
    </xf>
    <xf numFmtId="0" fontId="28" fillId="0" borderId="9" xfId="0" applyFont="1" applyBorder="1" applyAlignment="1" applyProtection="1">
      <alignment horizontal="center" vertical="top"/>
    </xf>
    <xf numFmtId="42" fontId="28" fillId="0" borderId="4" xfId="0" applyNumberFormat="1" applyFont="1" applyBorder="1" applyAlignment="1" applyProtection="1">
      <alignment vertical="top"/>
      <protection locked="0"/>
    </xf>
    <xf numFmtId="42" fontId="28" fillId="0" borderId="9" xfId="0" applyNumberFormat="1" applyFont="1" applyBorder="1" applyAlignment="1" applyProtection="1">
      <alignment vertical="top"/>
      <protection locked="0"/>
    </xf>
    <xf numFmtId="42" fontId="28" fillId="0" borderId="10" xfId="0" applyNumberFormat="1" applyFont="1" applyBorder="1" applyAlignment="1" applyProtection="1">
      <alignment vertical="top"/>
      <protection locked="0"/>
    </xf>
    <xf numFmtId="42" fontId="28" fillId="0" borderId="14" xfId="0" applyNumberFormat="1" applyFont="1" applyBorder="1" applyAlignment="1" applyProtection="1">
      <alignment vertical="top"/>
    </xf>
    <xf numFmtId="0" fontId="28" fillId="0" borderId="14" xfId="0" applyFont="1" applyBorder="1" applyAlignment="1" applyProtection="1">
      <alignment vertical="top"/>
    </xf>
    <xf numFmtId="0" fontId="28" fillId="0" borderId="14" xfId="0" applyFont="1" applyBorder="1" applyAlignment="1" applyProtection="1">
      <alignment horizontal="center" vertical="top"/>
    </xf>
    <xf numFmtId="0" fontId="31" fillId="0" borderId="0" xfId="0" applyFont="1" applyAlignment="1" applyProtection="1">
      <alignment vertical="top"/>
    </xf>
    <xf numFmtId="0" fontId="30" fillId="0" borderId="0" xfId="0" applyFont="1" applyAlignment="1">
      <alignment horizontal="justify" vertical="top"/>
    </xf>
    <xf numFmtId="168" fontId="22" fillId="0" borderId="2" xfId="0" applyNumberFormat="1" applyFont="1" applyBorder="1" applyAlignment="1" applyProtection="1">
      <alignment vertical="top"/>
    </xf>
    <xf numFmtId="0" fontId="22" fillId="0" borderId="0" xfId="0" applyFont="1" applyAlignment="1" applyProtection="1">
      <alignment vertical="top"/>
    </xf>
    <xf numFmtId="1" fontId="22" fillId="0" borderId="0" xfId="0" applyNumberFormat="1" applyFont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top"/>
    </xf>
    <xf numFmtId="0" fontId="22" fillId="0" borderId="27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horizontal="center" vertical="center"/>
    </xf>
    <xf numFmtId="166" fontId="22" fillId="0" borderId="0" xfId="0" applyNumberFormat="1" applyFont="1" applyAlignment="1" applyProtection="1">
      <alignment horizontal="left" vertical="top"/>
    </xf>
    <xf numFmtId="0" fontId="21" fillId="0" borderId="0" xfId="0" applyFont="1" applyAlignment="1" applyProtection="1">
      <alignment vertical="top"/>
    </xf>
    <xf numFmtId="0" fontId="22" fillId="0" borderId="25" xfId="0" applyFont="1" applyBorder="1" applyAlignment="1" applyProtection="1">
      <alignment horizontal="left" vertical="top"/>
    </xf>
    <xf numFmtId="0" fontId="22" fillId="0" borderId="1" xfId="0" applyFont="1" applyBorder="1" applyAlignment="1" applyProtection="1">
      <alignment horizontal="left" vertical="top"/>
    </xf>
    <xf numFmtId="0" fontId="22" fillId="0" borderId="32" xfId="0" applyFont="1" applyBorder="1" applyAlignment="1" applyProtection="1">
      <alignment vertical="top"/>
    </xf>
    <xf numFmtId="0" fontId="21" fillId="0" borderId="0" xfId="0" applyFont="1" applyFill="1" applyAlignment="1" applyProtection="1">
      <alignment horizontal="left" vertical="top"/>
    </xf>
    <xf numFmtId="0" fontId="21" fillId="0" borderId="0" xfId="0" applyFont="1" applyAlignment="1" applyProtection="1">
      <alignment horizontal="left" vertical="top"/>
      <protection locked="0"/>
    </xf>
    <xf numFmtId="0" fontId="22" fillId="0" borderId="33" xfId="0" applyFont="1" applyBorder="1" applyAlignment="1" applyProtection="1">
      <alignment horizontal="left" vertical="top"/>
    </xf>
    <xf numFmtId="170" fontId="22" fillId="0" borderId="33" xfId="0" applyNumberFormat="1" applyFont="1" applyBorder="1" applyAlignment="1" applyProtection="1">
      <alignment horizontal="left" vertical="top"/>
    </xf>
    <xf numFmtId="0" fontId="22" fillId="0" borderId="1" xfId="0" applyFont="1" applyBorder="1" applyAlignment="1" applyProtection="1">
      <alignment vertical="top"/>
    </xf>
    <xf numFmtId="168" fontId="22" fillId="0" borderId="1" xfId="0" applyNumberFormat="1" applyFont="1" applyBorder="1" applyAlignment="1" applyProtection="1">
      <alignment vertical="top"/>
    </xf>
    <xf numFmtId="0" fontId="22" fillId="0" borderId="2" xfId="0" applyFont="1" applyBorder="1" applyAlignment="1" applyProtection="1">
      <alignment vertical="top"/>
    </xf>
    <xf numFmtId="0" fontId="25" fillId="0" borderId="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vertical="top"/>
    </xf>
    <xf numFmtId="0" fontId="22" fillId="0" borderId="31" xfId="0" applyFont="1" applyBorder="1" applyAlignment="1" applyProtection="1">
      <alignment vertical="top"/>
    </xf>
    <xf numFmtId="169" fontId="22" fillId="0" borderId="1" xfId="0" applyNumberFormat="1" applyFont="1" applyBorder="1" applyAlignment="1" applyProtection="1">
      <alignment horizontal="left" vertical="top"/>
    </xf>
    <xf numFmtId="0" fontId="22" fillId="0" borderId="0" xfId="0" applyFont="1" applyAlignment="1" applyProtection="1">
      <alignment horizontal="center" vertical="top"/>
    </xf>
    <xf numFmtId="0" fontId="22" fillId="0" borderId="2" xfId="0" applyFont="1" applyBorder="1" applyAlignment="1" applyProtection="1">
      <alignment horizontal="left" vertical="top"/>
    </xf>
    <xf numFmtId="167" fontId="22" fillId="0" borderId="2" xfId="0" applyNumberFormat="1" applyFont="1" applyBorder="1" applyAlignment="1" applyProtection="1">
      <alignment vertical="top"/>
    </xf>
    <xf numFmtId="0" fontId="22" fillId="0" borderId="20" xfId="0" applyFont="1" applyBorder="1" applyAlignment="1" applyProtection="1">
      <alignment horizontal="center" vertical="top"/>
    </xf>
    <xf numFmtId="0" fontId="22" fillId="0" borderId="19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horizontal="center" vertical="top"/>
    </xf>
    <xf numFmtId="0" fontId="26" fillId="0" borderId="0" xfId="0" applyFont="1" applyBorder="1" applyAlignment="1" applyProtection="1">
      <alignment horizontal="center" vertical="top"/>
    </xf>
    <xf numFmtId="0" fontId="26" fillId="0" borderId="20" xfId="0" applyFont="1" applyBorder="1" applyAlignment="1" applyProtection="1">
      <alignment horizontal="center" vertical="top"/>
    </xf>
    <xf numFmtId="0" fontId="26" fillId="0" borderId="19" xfId="0" applyFont="1" applyBorder="1" applyAlignment="1" applyProtection="1">
      <alignment horizontal="center" vertical="top"/>
    </xf>
    <xf numFmtId="0" fontId="22" fillId="0" borderId="30" xfId="0" applyFont="1" applyBorder="1" applyAlignment="1" applyProtection="1">
      <alignment horizontal="center" vertical="top"/>
    </xf>
    <xf numFmtId="0" fontId="22" fillId="0" borderId="18" xfId="0" applyFont="1" applyBorder="1" applyAlignment="1" applyProtection="1">
      <alignment horizontal="center" vertical="top"/>
    </xf>
    <xf numFmtId="0" fontId="22" fillId="0" borderId="17" xfId="0" applyFont="1" applyBorder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2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6" xfId="0" applyFont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vertical="top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horizontal="left"/>
      <protection hidden="1"/>
    </xf>
  </cellXfs>
  <cellStyles count="4">
    <cellStyle name="Comma [0]" xfId="2" builtinId="6"/>
    <cellStyle name="Hyperlink" xfId="1" builtinId="8"/>
    <cellStyle name="Normal" xfId="0" builtinId="0"/>
    <cellStyle name="Normal 2" xfId="3"/>
  </cellStyles>
  <dxfs count="7">
    <dxf>
      <fill>
        <patternFill patternType="lightGray">
          <bgColor theme="3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BOS-K5'!B13"/><Relationship Id="rId13" Type="http://schemas.openxmlformats.org/officeDocument/2006/relationships/hyperlink" Target="#'BOS-03'!E10"/><Relationship Id="rId3" Type="http://schemas.openxmlformats.org/officeDocument/2006/relationships/hyperlink" Target="#Sampul!B2"/><Relationship Id="rId7" Type="http://schemas.openxmlformats.org/officeDocument/2006/relationships/hyperlink" Target="#'BOS-K4'!B13"/><Relationship Id="rId12" Type="http://schemas.openxmlformats.org/officeDocument/2006/relationships/hyperlink" Target="#'Lampiran Bos-K7'!M26"/><Relationship Id="rId17" Type="http://schemas.openxmlformats.org/officeDocument/2006/relationships/hyperlink" Target="#'Kuitansi A2'!A1"/><Relationship Id="rId2" Type="http://schemas.openxmlformats.org/officeDocument/2006/relationships/hyperlink" Target="#'Data Sekolah'!D2"/><Relationship Id="rId16" Type="http://schemas.openxmlformats.org/officeDocument/2006/relationships/hyperlink" Target="#'Data A2'!A1"/><Relationship Id="rId1" Type="http://schemas.openxmlformats.org/officeDocument/2006/relationships/hyperlink" Target="#Petunjuk!A1"/><Relationship Id="rId6" Type="http://schemas.openxmlformats.org/officeDocument/2006/relationships/hyperlink" Target="#'BOS-K3'!B13"/><Relationship Id="rId11" Type="http://schemas.openxmlformats.org/officeDocument/2006/relationships/hyperlink" Target="#'BOS-K7a'!D16"/><Relationship Id="rId5" Type="http://schemas.openxmlformats.org/officeDocument/2006/relationships/hyperlink" Target="#'BOS-K2'!G16"/><Relationship Id="rId15" Type="http://schemas.openxmlformats.org/officeDocument/2006/relationships/hyperlink" Target="#'Surat Pengantar'!A1"/><Relationship Id="rId10" Type="http://schemas.openxmlformats.org/officeDocument/2006/relationships/hyperlink" Target="#'BOS-K7'!G19"/><Relationship Id="rId4" Type="http://schemas.openxmlformats.org/officeDocument/2006/relationships/hyperlink" Target="#'BOS-K1'!E13"/><Relationship Id="rId9" Type="http://schemas.openxmlformats.org/officeDocument/2006/relationships/hyperlink" Target="#'BOS-K6'!B14"/><Relationship Id="rId14" Type="http://schemas.openxmlformats.org/officeDocument/2006/relationships/hyperlink" Target="#'BOS-04'!C9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2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Daftar Isi'!B2"/><Relationship Id="rId1" Type="http://schemas.openxmlformats.org/officeDocument/2006/relationships/hyperlink" Target="#'Daftar Isi'!B2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4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Daftar Isi'!B4"/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4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4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4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4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ftar Isi'!B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aftar Isi'!B2"/><Relationship Id="rId1" Type="http://schemas.openxmlformats.org/officeDocument/2006/relationships/hyperlink" Target="#'Daftar Isi'!B2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Daftar Isi'!B4"/><Relationship Id="rId2" Type="http://schemas.openxmlformats.org/officeDocument/2006/relationships/image" Target="../media/image2.png"/><Relationship Id="rId1" Type="http://schemas.openxmlformats.org/officeDocument/2006/relationships/hyperlink" Target="#'Daftar Isi'!B2"/><Relationship Id="rId4" Type="http://schemas.openxmlformats.org/officeDocument/2006/relationships/hyperlink" Target="#'Daftar Isi'!B2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Daftar Isi'!B2"/><Relationship Id="rId2" Type="http://schemas.openxmlformats.org/officeDocument/2006/relationships/hyperlink" Target="#'Daftar Isi'!B2"/><Relationship Id="rId1" Type="http://schemas.openxmlformats.org/officeDocument/2006/relationships/hyperlink" Target="#'Daftar Isi'!B4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Daftar Isi'!B2"/><Relationship Id="rId2" Type="http://schemas.openxmlformats.org/officeDocument/2006/relationships/hyperlink" Target="#'Daftar Isi'!B2"/><Relationship Id="rId1" Type="http://schemas.openxmlformats.org/officeDocument/2006/relationships/hyperlink" Target="#'Daftar Isi'!B4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Daftar Isi'!B2"/><Relationship Id="rId1" Type="http://schemas.openxmlformats.org/officeDocument/2006/relationships/hyperlink" Target="#'Daftar Isi'!B4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Daftar Isi'!B2"/><Relationship Id="rId1" Type="http://schemas.openxmlformats.org/officeDocument/2006/relationships/hyperlink" Target="#'Daftar Isi'!B4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Daftar Isi'!B2"/><Relationship Id="rId1" Type="http://schemas.openxmlformats.org/officeDocument/2006/relationships/hyperlink" Target="#'Daftar Isi'!B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19050</xdr:rowOff>
    </xdr:from>
    <xdr:to>
      <xdr:col>1</xdr:col>
      <xdr:colOff>4524375</xdr:colOff>
      <xdr:row>3</xdr:row>
      <xdr:rowOff>228600</xdr:rowOff>
    </xdr:to>
    <xdr:sp macro="" textlink="">
      <xdr:nvSpPr>
        <xdr:cNvPr id="2" name="Rectangle 1"/>
        <xdr:cNvSpPr/>
      </xdr:nvSpPr>
      <xdr:spPr>
        <a:xfrm>
          <a:off x="323850" y="7620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4</xdr:row>
      <xdr:rowOff>19050</xdr:rowOff>
    </xdr:from>
    <xdr:to>
      <xdr:col>1</xdr:col>
      <xdr:colOff>4533900</xdr:colOff>
      <xdr:row>4</xdr:row>
      <xdr:rowOff>228600</xdr:rowOff>
    </xdr:to>
    <xdr:sp macro="" textlink="">
      <xdr:nvSpPr>
        <xdr:cNvPr id="3" name="Rectangle 2">
          <a:hlinkClick xmlns:r="http://schemas.openxmlformats.org/officeDocument/2006/relationships" r:id="rId1" tooltip="Lihat petunjuk penggunaan aplikasi BOS 2013"/>
        </xdr:cNvPr>
        <xdr:cNvSpPr/>
      </xdr:nvSpPr>
      <xdr:spPr>
        <a:xfrm>
          <a:off x="333375" y="10096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5</xdr:row>
      <xdr:rowOff>19050</xdr:rowOff>
    </xdr:from>
    <xdr:to>
      <xdr:col>1</xdr:col>
      <xdr:colOff>4533900</xdr:colOff>
      <xdr:row>5</xdr:row>
      <xdr:rowOff>228600</xdr:rowOff>
    </xdr:to>
    <xdr:sp macro="" textlink="">
      <xdr:nvSpPr>
        <xdr:cNvPr id="4" name="Rectangle 3">
          <a:hlinkClick xmlns:r="http://schemas.openxmlformats.org/officeDocument/2006/relationships" r:id="rId2" tooltip="Isi Data Sekolah di sini"/>
        </xdr:cNvPr>
        <xdr:cNvSpPr/>
      </xdr:nvSpPr>
      <xdr:spPr>
        <a:xfrm>
          <a:off x="333375" y="12573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6</xdr:row>
      <xdr:rowOff>19050</xdr:rowOff>
    </xdr:from>
    <xdr:to>
      <xdr:col>1</xdr:col>
      <xdr:colOff>4533900</xdr:colOff>
      <xdr:row>6</xdr:row>
      <xdr:rowOff>228600</xdr:rowOff>
    </xdr:to>
    <xdr:sp macro="" textlink="">
      <xdr:nvSpPr>
        <xdr:cNvPr id="5" name="Rectangle 4">
          <a:hlinkClick xmlns:r="http://schemas.openxmlformats.org/officeDocument/2006/relationships" r:id="rId3" tooltip="Lihat dan Cetak Sampul Laporan"/>
        </xdr:cNvPr>
        <xdr:cNvSpPr/>
      </xdr:nvSpPr>
      <xdr:spPr>
        <a:xfrm>
          <a:off x="333375" y="15049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7</xdr:row>
      <xdr:rowOff>19050</xdr:rowOff>
    </xdr:from>
    <xdr:to>
      <xdr:col>1</xdr:col>
      <xdr:colOff>4533900</xdr:colOff>
      <xdr:row>7</xdr:row>
      <xdr:rowOff>228600</xdr:rowOff>
    </xdr:to>
    <xdr:sp macro="" textlink="">
      <xdr:nvSpPr>
        <xdr:cNvPr id="6" name="Rectangle 5">
          <a:hlinkClick xmlns:r="http://schemas.openxmlformats.org/officeDocument/2006/relationships" r:id="rId4" tooltip="Isi Format BOS-K1"/>
        </xdr:cNvPr>
        <xdr:cNvSpPr/>
      </xdr:nvSpPr>
      <xdr:spPr>
        <a:xfrm>
          <a:off x="333375" y="17526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8</xdr:row>
      <xdr:rowOff>19050</xdr:rowOff>
    </xdr:from>
    <xdr:to>
      <xdr:col>1</xdr:col>
      <xdr:colOff>4533900</xdr:colOff>
      <xdr:row>8</xdr:row>
      <xdr:rowOff>228600</xdr:rowOff>
    </xdr:to>
    <xdr:sp macro="" textlink="">
      <xdr:nvSpPr>
        <xdr:cNvPr id="7" name="Rectangle 6">
          <a:hlinkClick xmlns:r="http://schemas.openxmlformats.org/officeDocument/2006/relationships" r:id="rId5" tooltip="Isi format BOS-K2"/>
        </xdr:cNvPr>
        <xdr:cNvSpPr/>
      </xdr:nvSpPr>
      <xdr:spPr>
        <a:xfrm>
          <a:off x="333375" y="20002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28575</xdr:colOff>
      <xdr:row>9</xdr:row>
      <xdr:rowOff>19050</xdr:rowOff>
    </xdr:from>
    <xdr:to>
      <xdr:col>1</xdr:col>
      <xdr:colOff>4543425</xdr:colOff>
      <xdr:row>9</xdr:row>
      <xdr:rowOff>228600</xdr:rowOff>
    </xdr:to>
    <xdr:sp macro="" textlink="">
      <xdr:nvSpPr>
        <xdr:cNvPr id="8" name="Rectangle 7">
          <a:hlinkClick xmlns:r="http://schemas.openxmlformats.org/officeDocument/2006/relationships" r:id="rId6" tooltip="Isi Format BOS-K3"/>
        </xdr:cNvPr>
        <xdr:cNvSpPr/>
      </xdr:nvSpPr>
      <xdr:spPr>
        <a:xfrm>
          <a:off x="342900" y="22479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10</xdr:row>
      <xdr:rowOff>19050</xdr:rowOff>
    </xdr:from>
    <xdr:to>
      <xdr:col>1</xdr:col>
      <xdr:colOff>4533900</xdr:colOff>
      <xdr:row>10</xdr:row>
      <xdr:rowOff>228600</xdr:rowOff>
    </xdr:to>
    <xdr:sp macro="" textlink="">
      <xdr:nvSpPr>
        <xdr:cNvPr id="9" name="Rectangle 8">
          <a:hlinkClick xmlns:r="http://schemas.openxmlformats.org/officeDocument/2006/relationships" r:id="rId7" tooltip="Isi Format BOS-K4"/>
        </xdr:cNvPr>
        <xdr:cNvSpPr/>
      </xdr:nvSpPr>
      <xdr:spPr>
        <a:xfrm>
          <a:off x="333375" y="24955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11</xdr:row>
      <xdr:rowOff>19050</xdr:rowOff>
    </xdr:from>
    <xdr:to>
      <xdr:col>1</xdr:col>
      <xdr:colOff>4533900</xdr:colOff>
      <xdr:row>11</xdr:row>
      <xdr:rowOff>228600</xdr:rowOff>
    </xdr:to>
    <xdr:sp macro="" textlink="">
      <xdr:nvSpPr>
        <xdr:cNvPr id="10" name="Rectangle 9">
          <a:hlinkClick xmlns:r="http://schemas.openxmlformats.org/officeDocument/2006/relationships" r:id="rId8" tooltip="Isi Format BOS-K5"/>
        </xdr:cNvPr>
        <xdr:cNvSpPr/>
      </xdr:nvSpPr>
      <xdr:spPr>
        <a:xfrm>
          <a:off x="333375" y="27432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12</xdr:row>
      <xdr:rowOff>19050</xdr:rowOff>
    </xdr:from>
    <xdr:to>
      <xdr:col>1</xdr:col>
      <xdr:colOff>4533900</xdr:colOff>
      <xdr:row>12</xdr:row>
      <xdr:rowOff>228600</xdr:rowOff>
    </xdr:to>
    <xdr:sp macro="" textlink="">
      <xdr:nvSpPr>
        <xdr:cNvPr id="11" name="Rectangle 10">
          <a:hlinkClick xmlns:r="http://schemas.openxmlformats.org/officeDocument/2006/relationships" r:id="rId9" tooltip="Isi Format BOS-K6"/>
        </xdr:cNvPr>
        <xdr:cNvSpPr/>
      </xdr:nvSpPr>
      <xdr:spPr>
        <a:xfrm>
          <a:off x="333375" y="29908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13</xdr:row>
      <xdr:rowOff>19050</xdr:rowOff>
    </xdr:from>
    <xdr:to>
      <xdr:col>1</xdr:col>
      <xdr:colOff>4533900</xdr:colOff>
      <xdr:row>13</xdr:row>
      <xdr:rowOff>228600</xdr:rowOff>
    </xdr:to>
    <xdr:sp macro="" textlink="">
      <xdr:nvSpPr>
        <xdr:cNvPr id="12" name="Rectangle 11">
          <a:hlinkClick xmlns:r="http://schemas.openxmlformats.org/officeDocument/2006/relationships" r:id="rId10" tooltip="Isi Format BOS-K7"/>
        </xdr:cNvPr>
        <xdr:cNvSpPr/>
      </xdr:nvSpPr>
      <xdr:spPr>
        <a:xfrm>
          <a:off x="333375" y="32385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14</xdr:row>
      <xdr:rowOff>19050</xdr:rowOff>
    </xdr:from>
    <xdr:to>
      <xdr:col>1</xdr:col>
      <xdr:colOff>4533900</xdr:colOff>
      <xdr:row>14</xdr:row>
      <xdr:rowOff>228600</xdr:rowOff>
    </xdr:to>
    <xdr:sp macro="" textlink="">
      <xdr:nvSpPr>
        <xdr:cNvPr id="13" name="Rectangle 12">
          <a:hlinkClick xmlns:r="http://schemas.openxmlformats.org/officeDocument/2006/relationships" r:id="rId11" tooltip="Isi Format BOS-K7a"/>
        </xdr:cNvPr>
        <xdr:cNvSpPr/>
      </xdr:nvSpPr>
      <xdr:spPr>
        <a:xfrm>
          <a:off x="333375" y="34861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15</xdr:row>
      <xdr:rowOff>19050</xdr:rowOff>
    </xdr:from>
    <xdr:to>
      <xdr:col>1</xdr:col>
      <xdr:colOff>4533900</xdr:colOff>
      <xdr:row>15</xdr:row>
      <xdr:rowOff>228600</xdr:rowOff>
    </xdr:to>
    <xdr:sp macro="" textlink="">
      <xdr:nvSpPr>
        <xdr:cNvPr id="14" name="Rectangle 13">
          <a:hlinkClick xmlns:r="http://schemas.openxmlformats.org/officeDocument/2006/relationships" r:id="rId12" tooltip="Isi Pernyataan Tanggung Jawab"/>
        </xdr:cNvPr>
        <xdr:cNvSpPr/>
      </xdr:nvSpPr>
      <xdr:spPr>
        <a:xfrm>
          <a:off x="333375" y="37338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16</xdr:row>
      <xdr:rowOff>19050</xdr:rowOff>
    </xdr:from>
    <xdr:to>
      <xdr:col>1</xdr:col>
      <xdr:colOff>4533900</xdr:colOff>
      <xdr:row>16</xdr:row>
      <xdr:rowOff>228600</xdr:rowOff>
    </xdr:to>
    <xdr:sp macro="" textlink="">
      <xdr:nvSpPr>
        <xdr:cNvPr id="15" name="Rectangle 14">
          <a:hlinkClick xmlns:r="http://schemas.openxmlformats.org/officeDocument/2006/relationships" r:id="rId13" tooltip="Isi Format BOS-03"/>
        </xdr:cNvPr>
        <xdr:cNvSpPr/>
      </xdr:nvSpPr>
      <xdr:spPr>
        <a:xfrm>
          <a:off x="333375" y="39814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17</xdr:row>
      <xdr:rowOff>19050</xdr:rowOff>
    </xdr:from>
    <xdr:to>
      <xdr:col>1</xdr:col>
      <xdr:colOff>4533900</xdr:colOff>
      <xdr:row>17</xdr:row>
      <xdr:rowOff>228600</xdr:rowOff>
    </xdr:to>
    <xdr:sp macro="" textlink="">
      <xdr:nvSpPr>
        <xdr:cNvPr id="16" name="Rectangle 15">
          <a:hlinkClick xmlns:r="http://schemas.openxmlformats.org/officeDocument/2006/relationships" r:id="rId14" tooltip="Isi Format BOS-04"/>
        </xdr:cNvPr>
        <xdr:cNvSpPr/>
      </xdr:nvSpPr>
      <xdr:spPr>
        <a:xfrm>
          <a:off x="333375" y="42291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18</xdr:row>
      <xdr:rowOff>19050</xdr:rowOff>
    </xdr:from>
    <xdr:to>
      <xdr:col>1</xdr:col>
      <xdr:colOff>4533900</xdr:colOff>
      <xdr:row>18</xdr:row>
      <xdr:rowOff>228600</xdr:rowOff>
    </xdr:to>
    <xdr:sp macro="" textlink="">
      <xdr:nvSpPr>
        <xdr:cNvPr id="17" name="Rectangle 16">
          <a:hlinkClick xmlns:r="http://schemas.openxmlformats.org/officeDocument/2006/relationships" r:id="rId15" tooltip="Isi dan Cetak Surat Pengantar Laporan"/>
        </xdr:cNvPr>
        <xdr:cNvSpPr/>
      </xdr:nvSpPr>
      <xdr:spPr>
        <a:xfrm>
          <a:off x="333375" y="44767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19</xdr:row>
      <xdr:rowOff>19050</xdr:rowOff>
    </xdr:from>
    <xdr:to>
      <xdr:col>1</xdr:col>
      <xdr:colOff>4533900</xdr:colOff>
      <xdr:row>19</xdr:row>
      <xdr:rowOff>228600</xdr:rowOff>
    </xdr:to>
    <xdr:sp macro="" textlink="">
      <xdr:nvSpPr>
        <xdr:cNvPr id="18" name="Rectangle 17">
          <a:hlinkClick xmlns:r="http://schemas.openxmlformats.org/officeDocument/2006/relationships" r:id="rId16" tooltip="Isi Daftar Barang yang dibeli"/>
        </xdr:cNvPr>
        <xdr:cNvSpPr/>
      </xdr:nvSpPr>
      <xdr:spPr>
        <a:xfrm>
          <a:off x="333375" y="472440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19050</xdr:colOff>
      <xdr:row>20</xdr:row>
      <xdr:rowOff>19050</xdr:rowOff>
    </xdr:from>
    <xdr:to>
      <xdr:col>1</xdr:col>
      <xdr:colOff>4533900</xdr:colOff>
      <xdr:row>20</xdr:row>
      <xdr:rowOff>228600</xdr:rowOff>
    </xdr:to>
    <xdr:sp macro="" textlink="">
      <xdr:nvSpPr>
        <xdr:cNvPr id="19" name="Rectangle 18">
          <a:hlinkClick xmlns:r="http://schemas.openxmlformats.org/officeDocument/2006/relationships" r:id="rId17" tooltip="Lihat dan Cetak Kuitansi A2"/>
        </xdr:cNvPr>
        <xdr:cNvSpPr/>
      </xdr:nvSpPr>
      <xdr:spPr>
        <a:xfrm>
          <a:off x="333375" y="4972050"/>
          <a:ext cx="4514850" cy="209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8</xdr:row>
      <xdr:rowOff>0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9201150" y="1266825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2079756</xdr:colOff>
      <xdr:row>10</xdr:row>
      <xdr:rowOff>111132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3310069" y="1690695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 editAs="absolute">
    <xdr:from>
      <xdr:col>1</xdr:col>
      <xdr:colOff>23814</xdr:colOff>
      <xdr:row>10</xdr:row>
      <xdr:rowOff>23814</xdr:rowOff>
    </xdr:from>
    <xdr:to>
      <xdr:col>10</xdr:col>
      <xdr:colOff>825501</xdr:colOff>
      <xdr:row>12</xdr:row>
      <xdr:rowOff>95251</xdr:rowOff>
    </xdr:to>
    <xdr:sp macro="" textlink="">
      <xdr:nvSpPr>
        <xdr:cNvPr id="3" name="Rectangle 2">
          <a:hlinkClick xmlns:r="http://schemas.openxmlformats.org/officeDocument/2006/relationships" r:id="rId2" tooltip="Kembali ke Daftar Isi"/>
        </xdr:cNvPr>
        <xdr:cNvSpPr/>
      </xdr:nvSpPr>
      <xdr:spPr>
        <a:xfrm>
          <a:off x="134939" y="1603377"/>
          <a:ext cx="9866312" cy="34924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32</xdr:row>
      <xdr:rowOff>76200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142875" y="493395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29090</xdr:colOff>
      <xdr:row>0</xdr:row>
      <xdr:rowOff>28575</xdr:rowOff>
    </xdr:from>
    <xdr:to>
      <xdr:col>1</xdr:col>
      <xdr:colOff>29090</xdr:colOff>
      <xdr:row>8</xdr:row>
      <xdr:rowOff>81606</xdr:rowOff>
    </xdr:to>
    <xdr:pic>
      <xdr:nvPicPr>
        <xdr:cNvPr id="2" name="Picture 2" descr="F:\kopian laptop\SDN 3 Slatri\BOS\Kop SDN 3 Slatri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90" y="28575"/>
          <a:ext cx="5943085" cy="1062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47</xdr:row>
      <xdr:rowOff>104775</xdr:rowOff>
    </xdr:from>
    <xdr:to>
      <xdr:col>3</xdr:col>
      <xdr:colOff>2238863</xdr:colOff>
      <xdr:row>53</xdr:row>
      <xdr:rowOff>124708</xdr:rowOff>
    </xdr:to>
    <xdr:sp macro="" textlink="">
      <xdr:nvSpPr>
        <xdr:cNvPr id="3" name="TextBox 2"/>
        <xdr:cNvSpPr txBox="1"/>
      </xdr:nvSpPr>
      <xdr:spPr>
        <a:xfrm>
          <a:off x="133350" y="7629525"/>
          <a:ext cx="2848463" cy="1162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36000" rIns="72000" bIns="72000" rtlCol="0" anchor="t">
          <a:spAutoFit/>
        </a:bodyPr>
        <a:lstStyle/>
        <a:p>
          <a:r>
            <a:rPr lang="id-ID" sz="1000">
              <a:latin typeface="Bookman Old Style" pitchFamily="18" charset="0"/>
            </a:rPr>
            <a:t>Telah diterima SPJ dengan rincian di atas </a:t>
          </a:r>
        </a:p>
        <a:p>
          <a:endParaRPr lang="id-ID" sz="1000">
            <a:latin typeface="Bookman Old Style" pitchFamily="18" charset="0"/>
          </a:endParaRPr>
        </a:p>
        <a:p>
          <a:pPr algn="l" defTabSz="180000">
            <a:tabLst>
              <a:tab pos="0" algn="l"/>
              <a:tab pos="1080000" algn="l"/>
            </a:tabLst>
          </a:pPr>
          <a:r>
            <a:rPr lang="id-ID" sz="1000">
              <a:latin typeface="Bookman Old Style" pitchFamily="18" charset="0"/>
            </a:rPr>
            <a:t>Pada tanggal	:</a:t>
          </a:r>
          <a:r>
            <a:rPr lang="id-ID" sz="1000" baseline="0">
              <a:latin typeface="Bookman Old Style" pitchFamily="18" charset="0"/>
            </a:rPr>
            <a:t> _________________________</a:t>
          </a:r>
        </a:p>
        <a:p>
          <a:pPr algn="l" defTabSz="180000">
            <a:tabLst>
              <a:tab pos="0" algn="l"/>
              <a:tab pos="1080000" algn="l"/>
            </a:tabLst>
          </a:pPr>
          <a:endParaRPr lang="id-ID" sz="1000" baseline="0">
            <a:latin typeface="Bookman Old Style" pitchFamily="18" charset="0"/>
          </a:endParaRPr>
        </a:p>
        <a:p>
          <a:pPr algn="l" defTabSz="180000">
            <a:tabLst>
              <a:tab pos="0" algn="l"/>
              <a:tab pos="1080000" algn="l"/>
            </a:tabLst>
          </a:pPr>
          <a:r>
            <a:rPr lang="id-ID" sz="1000" baseline="0">
              <a:latin typeface="Bookman Old Style" pitchFamily="18" charset="0"/>
            </a:rPr>
            <a:t>Nama Penerima	: _________________________</a:t>
          </a:r>
        </a:p>
        <a:p>
          <a:pPr algn="l" defTabSz="180000">
            <a:tabLst>
              <a:tab pos="0" algn="l"/>
              <a:tab pos="1080000" algn="l"/>
            </a:tabLst>
          </a:pPr>
          <a:endParaRPr lang="id-ID" sz="1000" baseline="0">
            <a:latin typeface="Bookman Old Style" pitchFamily="18" charset="0"/>
          </a:endParaRPr>
        </a:p>
        <a:p>
          <a:pPr algn="l" defTabSz="180000">
            <a:tabLst>
              <a:tab pos="0" algn="l"/>
              <a:tab pos="1080000" algn="l"/>
            </a:tabLst>
          </a:pPr>
          <a:r>
            <a:rPr lang="id-ID" sz="1000" baseline="0">
              <a:latin typeface="Bookman Old Style" pitchFamily="18" charset="0"/>
            </a:rPr>
            <a:t>Tanda Tangan 	: _________________________</a:t>
          </a:r>
          <a:endParaRPr lang="id-ID" sz="1000">
            <a:latin typeface="Bookman Old Style" pitchFamily="18" charset="0"/>
          </a:endParaRPr>
        </a:p>
      </xdr:txBody>
    </xdr:sp>
    <xdr:clientData/>
  </xdr:twoCellAnchor>
  <xdr:oneCellAnchor>
    <xdr:from>
      <xdr:col>6</xdr:col>
      <xdr:colOff>114300</xdr:colOff>
      <xdr:row>17</xdr:row>
      <xdr:rowOff>85725</xdr:rowOff>
    </xdr:from>
    <xdr:ext cx="691728" cy="172227"/>
    <xdr:sp macro="" textlink="">
      <xdr:nvSpPr>
        <xdr:cNvPr id="4" name="Rectangle 3">
          <a:hlinkClick xmlns:r="http://schemas.openxmlformats.org/officeDocument/2006/relationships" r:id="rId2" tooltip="Kembali ke Daftar Isi"/>
        </xdr:cNvPr>
        <xdr:cNvSpPr/>
      </xdr:nvSpPr>
      <xdr:spPr>
        <a:xfrm>
          <a:off x="5200650" y="270510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7</xdr:row>
      <xdr:rowOff>38100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5248275" y="1419225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51975</xdr:colOff>
      <xdr:row>27</xdr:row>
      <xdr:rowOff>43291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51975" y="3550223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47625</xdr:colOff>
      <xdr:row>6</xdr:row>
      <xdr:rowOff>180975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5876925" y="1381125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847725</xdr:colOff>
      <xdr:row>6</xdr:row>
      <xdr:rowOff>95250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5105400" y="106680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4</xdr:row>
      <xdr:rowOff>114300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5095875" y="64770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397085</xdr:colOff>
      <xdr:row>0</xdr:row>
      <xdr:rowOff>137723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4549985" y="137723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1988327</xdr:colOff>
      <xdr:row>34</xdr:row>
      <xdr:rowOff>11896</xdr:rowOff>
    </xdr:from>
    <xdr:ext cx="691728" cy="172227"/>
    <xdr:sp macro="" textlink="">
      <xdr:nvSpPr>
        <xdr:cNvPr id="3" name="Rectangle 2">
          <a:hlinkClick xmlns:r="http://schemas.openxmlformats.org/officeDocument/2006/relationships" r:id="rId1" tooltip="Kembali ke Daftar Isi"/>
        </xdr:cNvPr>
        <xdr:cNvSpPr/>
      </xdr:nvSpPr>
      <xdr:spPr>
        <a:xfrm>
          <a:off x="4321952" y="6488896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 editAs="absolute">
    <xdr:from>
      <xdr:col>0</xdr:col>
      <xdr:colOff>297656</xdr:colOff>
      <xdr:row>0</xdr:row>
      <xdr:rowOff>166688</xdr:rowOff>
    </xdr:from>
    <xdr:to>
      <xdr:col>1</xdr:col>
      <xdr:colOff>1881187</xdr:colOff>
      <xdr:row>35</xdr:row>
      <xdr:rowOff>47625</xdr:rowOff>
    </xdr:to>
    <xdr:sp macro="" textlink="">
      <xdr:nvSpPr>
        <xdr:cNvPr id="4" name="Rectangle 3">
          <a:hlinkClick xmlns:r="http://schemas.openxmlformats.org/officeDocument/2006/relationships" r:id="rId2" tooltip="Ke Daftar Isi"/>
        </xdr:cNvPr>
        <xdr:cNvSpPr/>
      </xdr:nvSpPr>
      <xdr:spPr>
        <a:xfrm>
          <a:off x="297656" y="166688"/>
          <a:ext cx="1893094" cy="6548437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123825</xdr:rowOff>
    </xdr:from>
    <xdr:to>
      <xdr:col>4</xdr:col>
      <xdr:colOff>200025</xdr:colOff>
      <xdr:row>53</xdr:row>
      <xdr:rowOff>19050</xdr:rowOff>
    </xdr:to>
    <xdr:sp macro="" textlink="">
      <xdr:nvSpPr>
        <xdr:cNvPr id="3" name="Rectangle 2"/>
        <xdr:cNvSpPr/>
      </xdr:nvSpPr>
      <xdr:spPr>
        <a:xfrm>
          <a:off x="114300" y="123825"/>
          <a:ext cx="5543550" cy="10410825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 editAs="absolute">
    <xdr:from>
      <xdr:col>1</xdr:col>
      <xdr:colOff>1638300</xdr:colOff>
      <xdr:row>2</xdr:row>
      <xdr:rowOff>64381</xdr:rowOff>
    </xdr:from>
    <xdr:to>
      <xdr:col>3</xdr:col>
      <xdr:colOff>1361596</xdr:colOff>
      <xdr:row>12</xdr:row>
      <xdr:rowOff>123825</xdr:rowOff>
    </xdr:to>
    <xdr:pic>
      <xdr:nvPicPr>
        <xdr:cNvPr id="9217" name="Picture 1">
          <a:hlinkClick xmlns:r="http://schemas.openxmlformats.org/officeDocument/2006/relationships" r:id="rId1" tooltip="Ke Daftar Is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952625" y="445381"/>
          <a:ext cx="1885471" cy="1964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3</xdr:col>
      <xdr:colOff>2438400</xdr:colOff>
      <xdr:row>0</xdr:row>
      <xdr:rowOff>161925</xdr:rowOff>
    </xdr:from>
    <xdr:ext cx="691728" cy="172227"/>
    <xdr:sp macro="" textlink="">
      <xdr:nvSpPr>
        <xdr:cNvPr id="5" name="Rectangle 4">
          <a:hlinkClick xmlns:r="http://schemas.openxmlformats.org/officeDocument/2006/relationships" r:id="rId3" tooltip="Kembali ke Daftar Isi"/>
        </xdr:cNvPr>
        <xdr:cNvSpPr/>
      </xdr:nvSpPr>
      <xdr:spPr>
        <a:xfrm>
          <a:off x="4914900" y="161925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>
    <xdr:from>
      <xdr:col>0</xdr:col>
      <xdr:colOff>171450</xdr:colOff>
      <xdr:row>20</xdr:row>
      <xdr:rowOff>133350</xdr:rowOff>
    </xdr:from>
    <xdr:to>
      <xdr:col>4</xdr:col>
      <xdr:colOff>133350</xdr:colOff>
      <xdr:row>41</xdr:row>
      <xdr:rowOff>104775</xdr:rowOff>
    </xdr:to>
    <xdr:sp macro="" textlink="">
      <xdr:nvSpPr>
        <xdr:cNvPr id="6" name="Rectangle 5">
          <a:hlinkClick xmlns:r="http://schemas.openxmlformats.org/officeDocument/2006/relationships" r:id="rId4" tooltip="Ke Daftar Isi"/>
        </xdr:cNvPr>
        <xdr:cNvSpPr/>
      </xdr:nvSpPr>
      <xdr:spPr>
        <a:xfrm>
          <a:off x="171450" y="4171950"/>
          <a:ext cx="5419725" cy="416242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95250</xdr:colOff>
      <xdr:row>39</xdr:row>
      <xdr:rowOff>76200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9344025" y="5648325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 editAs="absolute">
    <xdr:from>
      <xdr:col>1</xdr:col>
      <xdr:colOff>26459</xdr:colOff>
      <xdr:row>9</xdr:row>
      <xdr:rowOff>35984</xdr:rowOff>
    </xdr:from>
    <xdr:to>
      <xdr:col>8</xdr:col>
      <xdr:colOff>825500</xdr:colOff>
      <xdr:row>10</xdr:row>
      <xdr:rowOff>232833</xdr:rowOff>
    </xdr:to>
    <xdr:sp macro="" textlink="">
      <xdr:nvSpPr>
        <xdr:cNvPr id="3" name="Rectangle 2">
          <a:hlinkClick xmlns:r="http://schemas.openxmlformats.org/officeDocument/2006/relationships" r:id="rId2" tooltip="Ke Daftar Isi"/>
        </xdr:cNvPr>
        <xdr:cNvSpPr/>
      </xdr:nvSpPr>
      <xdr:spPr>
        <a:xfrm>
          <a:off x="142876" y="1411817"/>
          <a:ext cx="9943041" cy="345016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 editAs="absolute">
    <xdr:from>
      <xdr:col>1</xdr:col>
      <xdr:colOff>63500</xdr:colOff>
      <xdr:row>39</xdr:row>
      <xdr:rowOff>84667</xdr:rowOff>
    </xdr:from>
    <xdr:to>
      <xdr:col>8</xdr:col>
      <xdr:colOff>836083</xdr:colOff>
      <xdr:row>46</xdr:row>
      <xdr:rowOff>31750</xdr:rowOff>
    </xdr:to>
    <xdr:sp macro="" textlink="">
      <xdr:nvSpPr>
        <xdr:cNvPr id="4" name="Rectangle 3">
          <a:hlinkClick xmlns:r="http://schemas.openxmlformats.org/officeDocument/2006/relationships" r:id="rId3" tooltip="Ke Daftar Isi"/>
        </xdr:cNvPr>
        <xdr:cNvSpPr/>
      </xdr:nvSpPr>
      <xdr:spPr>
        <a:xfrm>
          <a:off x="179917" y="5767917"/>
          <a:ext cx="9916583" cy="10477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2228850</xdr:colOff>
      <xdr:row>12</xdr:row>
      <xdr:rowOff>57150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4352925" y="198120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 editAs="absolute">
    <xdr:from>
      <xdr:col>1</xdr:col>
      <xdr:colOff>19050</xdr:colOff>
      <xdr:row>12</xdr:row>
      <xdr:rowOff>9525</xdr:rowOff>
    </xdr:from>
    <xdr:to>
      <xdr:col>10</xdr:col>
      <xdr:colOff>1076325</xdr:colOff>
      <xdr:row>13</xdr:row>
      <xdr:rowOff>123825</xdr:rowOff>
    </xdr:to>
    <xdr:sp macro="" textlink="">
      <xdr:nvSpPr>
        <xdr:cNvPr id="3" name="Rectangle 2">
          <a:hlinkClick xmlns:r="http://schemas.openxmlformats.org/officeDocument/2006/relationships" r:id="rId2" tooltip="Klik untuk kembali ke Daftar Isi"/>
        </xdr:cNvPr>
        <xdr:cNvSpPr/>
      </xdr:nvSpPr>
      <xdr:spPr>
        <a:xfrm>
          <a:off x="133350" y="1933575"/>
          <a:ext cx="9886950" cy="25717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  <xdr:twoCellAnchor>
    <xdr:from>
      <xdr:col>1</xdr:col>
      <xdr:colOff>152400</xdr:colOff>
      <xdr:row>278</xdr:row>
      <xdr:rowOff>57150</xdr:rowOff>
    </xdr:from>
    <xdr:to>
      <xdr:col>10</xdr:col>
      <xdr:colOff>1000125</xdr:colOff>
      <xdr:row>287</xdr:row>
      <xdr:rowOff>47625</xdr:rowOff>
    </xdr:to>
    <xdr:sp macro="" textlink="">
      <xdr:nvSpPr>
        <xdr:cNvPr id="4" name="Rectangle 3">
          <a:hlinkClick xmlns:r="http://schemas.openxmlformats.org/officeDocument/2006/relationships" r:id="rId3" tooltip="Ke Daftar Isi"/>
        </xdr:cNvPr>
        <xdr:cNvSpPr/>
      </xdr:nvSpPr>
      <xdr:spPr>
        <a:xfrm>
          <a:off x="266700" y="37528500"/>
          <a:ext cx="9677400" cy="12001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3295650</xdr:colOff>
      <xdr:row>10</xdr:row>
      <xdr:rowOff>47625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6219825" y="167640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 editAs="absolute">
    <xdr:from>
      <xdr:col>1</xdr:col>
      <xdr:colOff>19050</xdr:colOff>
      <xdr:row>10</xdr:row>
      <xdr:rowOff>9525</xdr:rowOff>
    </xdr:from>
    <xdr:to>
      <xdr:col>7</xdr:col>
      <xdr:colOff>942975</xdr:colOff>
      <xdr:row>10</xdr:row>
      <xdr:rowOff>266700</xdr:rowOff>
    </xdr:to>
    <xdr:sp macro="" textlink="">
      <xdr:nvSpPr>
        <xdr:cNvPr id="3" name="Rectangle 2">
          <a:hlinkClick xmlns:r="http://schemas.openxmlformats.org/officeDocument/2006/relationships" r:id="rId2" tooltip="Kembali ke Daftar Isi"/>
        </xdr:cNvPr>
        <xdr:cNvSpPr/>
      </xdr:nvSpPr>
      <xdr:spPr>
        <a:xfrm>
          <a:off x="133350" y="1638300"/>
          <a:ext cx="9744075" cy="25717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3305175</xdr:colOff>
      <xdr:row>10</xdr:row>
      <xdr:rowOff>47625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6229350" y="167640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 editAs="absolute">
    <xdr:from>
      <xdr:col>1</xdr:col>
      <xdr:colOff>38099</xdr:colOff>
      <xdr:row>10</xdr:row>
      <xdr:rowOff>9525</xdr:rowOff>
    </xdr:from>
    <xdr:to>
      <xdr:col>7</xdr:col>
      <xdr:colOff>923925</xdr:colOff>
      <xdr:row>10</xdr:row>
      <xdr:rowOff>266700</xdr:rowOff>
    </xdr:to>
    <xdr:sp macro="" textlink="">
      <xdr:nvSpPr>
        <xdr:cNvPr id="3" name="Rectangle 2">
          <a:hlinkClick xmlns:r="http://schemas.openxmlformats.org/officeDocument/2006/relationships" r:id="rId2" tooltip="Kembali ke Daftar Isi"/>
        </xdr:cNvPr>
        <xdr:cNvSpPr/>
      </xdr:nvSpPr>
      <xdr:spPr>
        <a:xfrm>
          <a:off x="152399" y="1638300"/>
          <a:ext cx="9705976" cy="25717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3295650</xdr:colOff>
      <xdr:row>10</xdr:row>
      <xdr:rowOff>47625</xdr:rowOff>
    </xdr:from>
    <xdr:ext cx="691728" cy="172227"/>
    <xdr:sp macro="" textlink="">
      <xdr:nvSpPr>
        <xdr:cNvPr id="2" name="Rectangle 1">
          <a:hlinkClick xmlns:r="http://schemas.openxmlformats.org/officeDocument/2006/relationships" r:id="rId1" tooltip="Kembali ke Daftar Isi"/>
        </xdr:cNvPr>
        <xdr:cNvSpPr/>
      </xdr:nvSpPr>
      <xdr:spPr>
        <a:xfrm>
          <a:off x="6219825" y="1676400"/>
          <a:ext cx="691728" cy="172227"/>
        </a:xfrm>
        <a:prstGeom prst="rect">
          <a:avLst/>
        </a:prstGeom>
        <a:solidFill>
          <a:schemeClr val="bg1">
            <a:alpha val="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lang="id-ID" sz="1100">
              <a:solidFill>
                <a:srgbClr val="FF0000"/>
              </a:solidFill>
            </a:rPr>
            <a:t>Ke Daftar Isi</a:t>
          </a:r>
        </a:p>
      </xdr:txBody>
    </xdr:sp>
    <xdr:clientData fPrintsWithSheet="0"/>
  </xdr:oneCellAnchor>
  <xdr:twoCellAnchor editAs="absolute">
    <xdr:from>
      <xdr:col>1</xdr:col>
      <xdr:colOff>38099</xdr:colOff>
      <xdr:row>10</xdr:row>
      <xdr:rowOff>9525</xdr:rowOff>
    </xdr:from>
    <xdr:to>
      <xdr:col>7</xdr:col>
      <xdr:colOff>937949</xdr:colOff>
      <xdr:row>10</xdr:row>
      <xdr:rowOff>261525</xdr:rowOff>
    </xdr:to>
    <xdr:sp macro="" textlink="">
      <xdr:nvSpPr>
        <xdr:cNvPr id="3" name="Rectangle 2">
          <a:hlinkClick xmlns:r="http://schemas.openxmlformats.org/officeDocument/2006/relationships" r:id="rId2" tooltip="Kembali ke Daftar Isi"/>
        </xdr:cNvPr>
        <xdr:cNvSpPr/>
      </xdr:nvSpPr>
      <xdr:spPr>
        <a:xfrm>
          <a:off x="152399" y="1638300"/>
          <a:ext cx="9720000" cy="25200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N%203%20Slatri/BOS%20SDN%203%20Slatri/2012/Triwulan%202/Kutansi_a2_bes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\AppData\Roaming\Microsoft\AddIns\Rupiah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2 besar"/>
      <sheetName val="data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</sheetNames>
    <sheetDataSet>
      <sheetData sheetId="0" refreshError="1"/>
      <sheetData sheetId="1" refreshError="1">
        <row r="1">
          <cell r="A1" t="str">
            <v>no 
1</v>
          </cell>
          <cell r="B1" t="str">
            <v>kegiatan 
2</v>
          </cell>
          <cell r="C1" t="str">
            <v>th_angg 
3</v>
          </cell>
          <cell r="D1" t="str">
            <v>kode_rek 
4</v>
          </cell>
          <cell r="E1" t="str">
            <v>terima_dari_1 
5</v>
          </cell>
          <cell r="F1" t="str">
            <v>terima_dari_2 
6</v>
          </cell>
          <cell r="G1" t="str">
            <v>belanja_1 
7</v>
          </cell>
          <cell r="H1" t="str">
            <v>rp_belanja_1 
8</v>
          </cell>
          <cell r="I1" t="str">
            <v>belanja_2 
9</v>
          </cell>
          <cell r="J1" t="str">
            <v>rp_belanja_2 
10</v>
          </cell>
          <cell r="K1" t="str">
            <v>belanja_3 
11</v>
          </cell>
          <cell r="L1" t="str">
            <v>rp_belanja_3 
12</v>
          </cell>
          <cell r="M1" t="str">
            <v>belanja_4 
13</v>
          </cell>
          <cell r="N1" t="str">
            <v>rp_belanja_4 
14</v>
          </cell>
          <cell r="O1" t="str">
            <v>belanja_5 
15</v>
          </cell>
          <cell r="P1" t="str">
            <v>rp_belanja_5 
16</v>
          </cell>
          <cell r="Q1" t="str">
            <v>belanja_6 
17</v>
          </cell>
          <cell r="R1" t="str">
            <v>rp_belanja_6 
18</v>
          </cell>
          <cell r="S1" t="str">
            <v>belanja_7 
19</v>
          </cell>
          <cell r="T1" t="str">
            <v>rp_belanja_7 
20</v>
          </cell>
          <cell r="U1" t="str">
            <v>belanja_8 
21</v>
          </cell>
          <cell r="V1" t="str">
            <v>rp_belanja_8 
22</v>
          </cell>
          <cell r="W1" t="str">
            <v>belanja_9 
23</v>
          </cell>
          <cell r="X1" t="str">
            <v>rp_belanja_9 
24</v>
          </cell>
          <cell r="Y1" t="str">
            <v>belanja_10 
25</v>
          </cell>
          <cell r="Z1" t="str">
            <v>rp_belanja_10 
26</v>
          </cell>
          <cell r="AA1" t="str">
            <v>belanja_11 
27</v>
          </cell>
          <cell r="AB1" t="str">
            <v>rp_belanja_11 
28</v>
          </cell>
          <cell r="AC1" t="str">
            <v>belanja_12 
29</v>
          </cell>
          <cell r="AD1" t="str">
            <v>rp_belanja_12 
30</v>
          </cell>
          <cell r="AE1" t="str">
            <v>belanja_13 
31</v>
          </cell>
          <cell r="AF1" t="str">
            <v>rp_belanja_13 
32</v>
          </cell>
          <cell r="AG1" t="str">
            <v>belanja_14 
33</v>
          </cell>
          <cell r="AH1" t="str">
            <v>rp_belanja_14 
34</v>
          </cell>
          <cell r="AI1" t="str">
            <v>belanja_15 
35</v>
          </cell>
          <cell r="AJ1" t="str">
            <v>rp_belanja_15 
36</v>
          </cell>
          <cell r="AK1" t="str">
            <v>uang_sejml 
37</v>
          </cell>
          <cell r="AL1" t="str">
            <v>terbilang 
38</v>
          </cell>
          <cell r="AM1" t="str">
            <v>brg_msk_tgl 
39</v>
          </cell>
          <cell r="AN1" t="str">
            <v>jml_kotor 
40</v>
          </cell>
          <cell r="AO1" t="str">
            <v>potongan 
41</v>
          </cell>
          <cell r="AP1" t="str">
            <v>dibayar 
42</v>
          </cell>
          <cell r="AQ1" t="str">
            <v>rincian_pot_1 
43</v>
          </cell>
          <cell r="AR1" t="str">
            <v>rincian_pot_2 
44</v>
          </cell>
          <cell r="AS1" t="str">
            <v>rincian_pot_3 
45</v>
          </cell>
          <cell r="AT1" t="str">
            <v>rincian+pot_4 
46</v>
          </cell>
          <cell r="AU1" t="str">
            <v>titi_m 
47</v>
          </cell>
          <cell r="AV1" t="str">
            <v>nama_penerima 
48</v>
          </cell>
          <cell r="AW1" t="str">
            <v>alamat1_penerima 
49</v>
          </cell>
          <cell r="AX1" t="str">
            <v>alamat2_penerima 
50</v>
          </cell>
          <cell r="AY1" t="str">
            <v>pngg_jw 
51</v>
          </cell>
          <cell r="AZ1" t="str">
            <v>pemegang_kas 
52</v>
          </cell>
          <cell r="BA1" t="str">
            <v>pimp_keg 
53</v>
          </cell>
          <cell r="BB1" t="str">
            <v>bend_keg 
54</v>
          </cell>
          <cell r="BC1" t="str">
            <v>untuk_pekerjaan 
55</v>
          </cell>
        </row>
        <row r="2">
          <cell r="A2">
            <v>1</v>
          </cell>
          <cell r="B2" t="str">
            <v>Pembelian Buku Penjaskes</v>
          </cell>
          <cell r="C2">
            <v>2011</v>
          </cell>
          <cell r="E2" t="str">
            <v>Prapti Murtiningsih</v>
          </cell>
          <cell r="F2" t="str">
            <v xml:space="preserve">Bendahara BOS SDN 1 Karangkobar </v>
          </cell>
          <cell r="G2" t="str">
            <v>Buku Penjaskes Kls 1 = 41 eksemplar</v>
          </cell>
          <cell r="H2">
            <v>434313</v>
          </cell>
          <cell r="I2" t="str">
            <v>Buku Penjaskes Kls 1 = 34 eksemplar</v>
          </cell>
          <cell r="J2">
            <v>442918</v>
          </cell>
          <cell r="K2" t="str">
            <v>Buku Penjaskes Kls 2 = 26 eksemplar</v>
          </cell>
          <cell r="L2">
            <v>238550</v>
          </cell>
          <cell r="M2" t="str">
            <v>Buku Penjaskes Kls 4 = 39 eksemplar</v>
          </cell>
          <cell r="N2">
            <v>424164</v>
          </cell>
          <cell r="O2" t="str">
            <v>Buku Penjaskes Kls 5 = 45 eksemplar</v>
          </cell>
          <cell r="P2">
            <v>438840</v>
          </cell>
          <cell r="Q2" t="str">
            <v>Buku Penjaskes Kls 6 = 31 eksemplar</v>
          </cell>
          <cell r="R2">
            <v>337156</v>
          </cell>
          <cell r="AK2">
            <v>2315941</v>
          </cell>
          <cell r="AL2" t="str">
            <v>dua juta tiga ratus lima belas ribu sembilan ratus empat puluh satu rupiah</v>
          </cell>
          <cell r="AM2">
            <v>40617</v>
          </cell>
          <cell r="AN2">
            <v>2315941</v>
          </cell>
          <cell r="AO2">
            <v>0</v>
          </cell>
          <cell r="AP2">
            <v>2315941</v>
          </cell>
          <cell r="AQ2" t="str">
            <v>-</v>
          </cell>
          <cell r="AR2" t="str">
            <v>-</v>
          </cell>
          <cell r="AS2" t="str">
            <v>-</v>
          </cell>
          <cell r="AT2" t="str">
            <v>-</v>
          </cell>
          <cell r="AU2">
            <v>40617</v>
          </cell>
          <cell r="AV2" t="str">
            <v>Haryono</v>
          </cell>
          <cell r="AW2" t="str">
            <v>CV. PILAR ABADHI</v>
          </cell>
          <cell r="AX2" t="str">
            <v>Banjarnegara</v>
          </cell>
          <cell r="AY2" t="str">
            <v>BAMBANG SUPRIYADI, S.Pd.</v>
          </cell>
          <cell r="BB2" t="str">
            <v>Prapti Murtiningsih</v>
          </cell>
          <cell r="BC2" t="str">
            <v>Pembelaian Buku Penjaskes</v>
          </cell>
        </row>
        <row r="3">
          <cell r="A3">
            <v>2</v>
          </cell>
          <cell r="B3" t="str">
            <v>Pembelian Buku Penjaskes</v>
          </cell>
          <cell r="C3">
            <v>2011</v>
          </cell>
          <cell r="E3" t="str">
            <v xml:space="preserve">Bendahara BOS SDN 1 Karangkobar </v>
          </cell>
          <cell r="F3" t="str">
            <v xml:space="preserve">Bendahara BOS SDN 1 Karangkobar </v>
          </cell>
          <cell r="G3" t="str">
            <v>Buku Penjaskes Kelas 1 = 41 eksemplar</v>
          </cell>
          <cell r="H3">
            <v>434313</v>
          </cell>
          <cell r="I3" t="str">
            <v>Buku Penjaskes Kls 1 = 41 eksemplar</v>
          </cell>
          <cell r="J3">
            <v>442918</v>
          </cell>
          <cell r="K3" t="str">
            <v>Buku Penjaskes Kls 2 = 41 eksemplar</v>
          </cell>
          <cell r="L3">
            <v>238550</v>
          </cell>
          <cell r="M3" t="str">
            <v>Buku Penjaskes Kls 4 = 41 eksemplar</v>
          </cell>
          <cell r="N3">
            <v>424164</v>
          </cell>
          <cell r="O3" t="str">
            <v>Buku Penjaskes Kls 5 = 41 eksemplar</v>
          </cell>
          <cell r="P3">
            <v>438840</v>
          </cell>
          <cell r="Q3" t="str">
            <v>Buku Penjaskes Kls 6 = 41 eksemplar</v>
          </cell>
          <cell r="R3">
            <v>337156</v>
          </cell>
          <cell r="AK3">
            <v>2315941</v>
          </cell>
          <cell r="AL3" t="str">
            <v>dua juta tiga ratus lima belas ribu sembilan ratus empat puluh satu rupiah</v>
          </cell>
          <cell r="AM3">
            <v>40617</v>
          </cell>
          <cell r="AN3">
            <v>2315941</v>
          </cell>
          <cell r="AO3">
            <v>0</v>
          </cell>
          <cell r="AP3">
            <v>45000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>
            <v>40617</v>
          </cell>
          <cell r="AV3" t="str">
            <v>Haryono</v>
          </cell>
          <cell r="AW3" t="str">
            <v>CV. PILAR ABADHI</v>
          </cell>
          <cell r="AX3" t="str">
            <v>Banjarnegara</v>
          </cell>
          <cell r="AY3" t="str">
            <v>EKO WAHYONO, S.Pd.</v>
          </cell>
          <cell r="BB3" t="str">
            <v>KISTONI, S.Pd.</v>
          </cell>
          <cell r="BC3" t="str">
            <v>Pembelaian Buku Penjaskes</v>
          </cell>
        </row>
        <row r="4">
          <cell r="A4">
            <v>3</v>
          </cell>
          <cell r="B4" t="str">
            <v>Pembelian Buku Penjaskes</v>
          </cell>
          <cell r="C4">
            <v>2011</v>
          </cell>
          <cell r="E4" t="str">
            <v xml:space="preserve">Bendahara BOS SDN 1 Karangkobar </v>
          </cell>
          <cell r="F4" t="str">
            <v xml:space="preserve">Bendahara BOS SDN 1 Karangkobar </v>
          </cell>
          <cell r="G4" t="str">
            <v>Buku Penjaskes Kelas 1 = 41 eksemplar</v>
          </cell>
          <cell r="H4">
            <v>434313</v>
          </cell>
          <cell r="I4" t="str">
            <v>Buku Penjaskes Kls 1 = 41 eksemplar</v>
          </cell>
          <cell r="J4">
            <v>442918</v>
          </cell>
          <cell r="K4" t="str">
            <v>Buku Penjaskes Kls 2 = 41 eksemplar</v>
          </cell>
          <cell r="L4">
            <v>238550</v>
          </cell>
          <cell r="M4" t="str">
            <v>Buku Penjaskes Kls 4 = 41 eksemplar</v>
          </cell>
          <cell r="N4">
            <v>424164</v>
          </cell>
          <cell r="O4" t="str">
            <v>Buku Penjaskes Kls 5 = 41 eksemplar</v>
          </cell>
          <cell r="P4">
            <v>438840</v>
          </cell>
          <cell r="Q4" t="str">
            <v>Buku Penjaskes Kls 6 = 41 eksemplar</v>
          </cell>
          <cell r="R4">
            <v>337156</v>
          </cell>
          <cell r="AK4">
            <v>2315941</v>
          </cell>
          <cell r="AL4" t="str">
            <v>dua juta tiga ratus lima belas ribu sembilan ratus empat puluh satu rupiah</v>
          </cell>
          <cell r="AM4">
            <v>40617</v>
          </cell>
          <cell r="AN4">
            <v>2315941</v>
          </cell>
          <cell r="AO4">
            <v>27000</v>
          </cell>
          <cell r="AP4">
            <v>2288941</v>
          </cell>
          <cell r="AQ4" t="str">
            <v>8 orang X Rp 3.375,-</v>
          </cell>
          <cell r="AU4">
            <v>40617</v>
          </cell>
          <cell r="AV4" t="str">
            <v>Haryono</v>
          </cell>
          <cell r="AW4" t="str">
            <v>CV. PILAR ABADHI</v>
          </cell>
          <cell r="AX4" t="str">
            <v>Banjarnegara</v>
          </cell>
          <cell r="AY4" t="str">
            <v>EKO WAHYONO, S.Pd.</v>
          </cell>
          <cell r="BB4" t="str">
            <v>KISTONI, S.Pd.</v>
          </cell>
          <cell r="BC4" t="str">
            <v>Pembelaian Buku Penjaskes</v>
          </cell>
        </row>
        <row r="5">
          <cell r="A5">
            <v>4</v>
          </cell>
          <cell r="B5" t="str">
            <v>Pembelian Buku Penjaskes</v>
          </cell>
          <cell r="C5">
            <v>2011</v>
          </cell>
          <cell r="E5" t="str">
            <v xml:space="preserve">Bendahara BOS SDN 1 Karangkobar </v>
          </cell>
          <cell r="F5" t="str">
            <v xml:space="preserve">Bendahara BOS SDN 1 Karangkobar </v>
          </cell>
          <cell r="G5" t="str">
            <v>Buku Penjaskes Kelas 1 = 41 eksemplar</v>
          </cell>
          <cell r="H5">
            <v>434313</v>
          </cell>
          <cell r="I5" t="str">
            <v>Buku Penjaskes Kls 1 = 41 eksemplar</v>
          </cell>
          <cell r="J5">
            <v>442918</v>
          </cell>
          <cell r="K5" t="str">
            <v>Buku Penjaskes Kls 2 = 41 eksemplar</v>
          </cell>
          <cell r="L5">
            <v>238550</v>
          </cell>
          <cell r="M5" t="str">
            <v>Buku Penjaskes Kls 4 = 41 eksemplar</v>
          </cell>
          <cell r="N5">
            <v>424164</v>
          </cell>
          <cell r="O5" t="str">
            <v>Buku Penjaskes Kls 5 = 41 eksemplar</v>
          </cell>
          <cell r="P5">
            <v>438840</v>
          </cell>
          <cell r="Q5" t="str">
            <v>Buku Penjaskes Kls 6 = 41 eksemplar</v>
          </cell>
          <cell r="R5">
            <v>337156</v>
          </cell>
          <cell r="AK5">
            <v>2315941</v>
          </cell>
          <cell r="AL5" t="str">
            <v>dua juta tiga ratus lima belas ribu sembilan ratus empat puluh satu rupiah</v>
          </cell>
          <cell r="AM5">
            <v>40617</v>
          </cell>
          <cell r="AN5">
            <v>2315941</v>
          </cell>
          <cell r="AP5">
            <v>2315941</v>
          </cell>
          <cell r="AU5">
            <v>40617</v>
          </cell>
          <cell r="AV5" t="str">
            <v>Haryono</v>
          </cell>
          <cell r="AW5" t="str">
            <v>CV. PILAR ABADHI</v>
          </cell>
          <cell r="AX5" t="str">
            <v>Banjarnegara</v>
          </cell>
          <cell r="AY5" t="str">
            <v>EKO WAHYONO, S.Pd.</v>
          </cell>
          <cell r="BB5" t="str">
            <v>KISTONI, S.Pd.</v>
          </cell>
          <cell r="BC5" t="str">
            <v>Pembelaian Buku Penjaskes</v>
          </cell>
        </row>
        <row r="6">
          <cell r="A6">
            <v>5</v>
          </cell>
          <cell r="B6" t="str">
            <v>Pembelian Buku Penjaskes</v>
          </cell>
          <cell r="C6">
            <v>2011</v>
          </cell>
          <cell r="E6" t="str">
            <v xml:space="preserve">Bendahara BOS SDN 1 Karangkobar </v>
          </cell>
          <cell r="F6" t="str">
            <v xml:space="preserve">Bendahara BOS SDN 1 Karangkobar </v>
          </cell>
          <cell r="G6" t="str">
            <v>Buku Penjaskes Kelas 1 = 41 eksemplar</v>
          </cell>
          <cell r="H6">
            <v>434313</v>
          </cell>
          <cell r="I6" t="str">
            <v>Buku Penjaskes Kls 1 = 41 eksemplar</v>
          </cell>
          <cell r="J6">
            <v>442918</v>
          </cell>
          <cell r="K6" t="str">
            <v>Buku Penjaskes Kls 2 = 41 eksemplar</v>
          </cell>
          <cell r="L6">
            <v>238550</v>
          </cell>
          <cell r="M6" t="str">
            <v>Buku Penjaskes Kls 4 = 41 eksemplar</v>
          </cell>
          <cell r="N6">
            <v>424164</v>
          </cell>
          <cell r="O6" t="str">
            <v>Buku Penjaskes Kls 5 = 41 eksemplar</v>
          </cell>
          <cell r="P6">
            <v>438840</v>
          </cell>
          <cell r="Q6" t="str">
            <v>Buku Penjaskes Kls 6 = 41 eksemplar</v>
          </cell>
          <cell r="R6">
            <v>337156</v>
          </cell>
          <cell r="AK6">
            <v>2315941</v>
          </cell>
          <cell r="AL6" t="str">
            <v>dua juta tiga ratus lima belas ribu sembilan ratus empat puluh satu rupiah</v>
          </cell>
          <cell r="AM6">
            <v>40617</v>
          </cell>
          <cell r="AN6">
            <v>2315941</v>
          </cell>
          <cell r="AP6">
            <v>2315941</v>
          </cell>
          <cell r="AU6">
            <v>40617</v>
          </cell>
          <cell r="AV6" t="str">
            <v>Haryono</v>
          </cell>
          <cell r="AW6" t="str">
            <v>CV. PILAR ABADHI</v>
          </cell>
          <cell r="AX6" t="str">
            <v>Banjarnegara</v>
          </cell>
          <cell r="AY6" t="str">
            <v>EKO WAHYONO, S.Pd.</v>
          </cell>
          <cell r="BB6" t="str">
            <v>KISTONI, S.Pd.</v>
          </cell>
          <cell r="BC6" t="str">
            <v>Pembelaian Buku Penjaskes</v>
          </cell>
        </row>
        <row r="7">
          <cell r="A7">
            <v>6</v>
          </cell>
          <cell r="B7" t="str">
            <v>Pembelian Buku Penjaskes</v>
          </cell>
          <cell r="C7">
            <v>2011</v>
          </cell>
          <cell r="E7" t="str">
            <v xml:space="preserve">Bendahara BOS SDN 1 Karangkobar </v>
          </cell>
          <cell r="F7" t="str">
            <v xml:space="preserve">Bendahara BOS SDN 1 Karangkobar </v>
          </cell>
          <cell r="G7" t="str">
            <v>Buku Penjaskes Kelas 1 = 41 eksemplar</v>
          </cell>
          <cell r="H7">
            <v>434313</v>
          </cell>
          <cell r="I7" t="str">
            <v>Buku Penjaskes Kls 1 = 41 eksemplar</v>
          </cell>
          <cell r="J7">
            <v>442918</v>
          </cell>
          <cell r="K7" t="str">
            <v>Buku Penjaskes Kls 2 = 41 eksemplar</v>
          </cell>
          <cell r="L7">
            <v>238550</v>
          </cell>
          <cell r="M7" t="str">
            <v>Buku Penjaskes Kls 4 = 41 eksemplar</v>
          </cell>
          <cell r="N7">
            <v>424164</v>
          </cell>
          <cell r="O7" t="str">
            <v>Buku Penjaskes Kls 5 = 41 eksemplar</v>
          </cell>
          <cell r="P7">
            <v>438840</v>
          </cell>
          <cell r="Q7" t="str">
            <v>Buku Penjaskes Kls 6 = 41 eksemplar</v>
          </cell>
          <cell r="R7">
            <v>337156</v>
          </cell>
          <cell r="AK7">
            <v>2315941</v>
          </cell>
          <cell r="AL7" t="str">
            <v>dua juta tiga ratus lima belas ribu sembilan ratus empat puluh satu rupiah</v>
          </cell>
          <cell r="AM7">
            <v>40617</v>
          </cell>
          <cell r="AN7">
            <v>2315941</v>
          </cell>
          <cell r="AP7">
            <v>2315941</v>
          </cell>
          <cell r="AU7">
            <v>40617</v>
          </cell>
          <cell r="AV7" t="str">
            <v>Haryono</v>
          </cell>
          <cell r="AW7" t="str">
            <v>CV. PILAR ABADHI</v>
          </cell>
          <cell r="AX7" t="str">
            <v>Banjarnegara</v>
          </cell>
          <cell r="AY7" t="str">
            <v>EKO WAHYONO, S.Pd.</v>
          </cell>
          <cell r="BB7" t="str">
            <v>KISTONI, S.Pd.</v>
          </cell>
          <cell r="BC7" t="str">
            <v>Pembelaian Buku Penjaskes</v>
          </cell>
        </row>
        <row r="8">
          <cell r="A8">
            <v>7</v>
          </cell>
          <cell r="B8" t="str">
            <v>Pembelian Buku Penjaskes</v>
          </cell>
          <cell r="C8">
            <v>2011</v>
          </cell>
          <cell r="E8" t="str">
            <v xml:space="preserve">Bendahara BOS SDN 1 Karangkobar </v>
          </cell>
          <cell r="F8" t="str">
            <v xml:space="preserve">Bendahara BOS SDN 1 Karangkobar </v>
          </cell>
          <cell r="G8" t="str">
            <v>Buku Penjaskes Kelas 1 = 41 eksemplar</v>
          </cell>
          <cell r="H8">
            <v>434313</v>
          </cell>
          <cell r="I8" t="str">
            <v>Buku Penjaskes Kls 1 = 41 eksemplar</v>
          </cell>
          <cell r="J8">
            <v>442918</v>
          </cell>
          <cell r="K8" t="str">
            <v>Buku Penjaskes Kls 2 = 41 eksemplar</v>
          </cell>
          <cell r="L8">
            <v>238550</v>
          </cell>
          <cell r="M8" t="str">
            <v>Buku Penjaskes Kls 4 = 41 eksemplar</v>
          </cell>
          <cell r="N8">
            <v>424164</v>
          </cell>
          <cell r="O8" t="str">
            <v>Buku Penjaskes Kls 5 = 41 eksemplar</v>
          </cell>
          <cell r="P8">
            <v>438840</v>
          </cell>
          <cell r="Q8" t="str">
            <v>Buku Penjaskes Kls 6 = 41 eksemplar</v>
          </cell>
          <cell r="R8">
            <v>337156</v>
          </cell>
          <cell r="AL8" t="str">
            <v>nol  rupiah</v>
          </cell>
          <cell r="AM8">
            <v>40617</v>
          </cell>
          <cell r="AN8">
            <v>0</v>
          </cell>
          <cell r="AP8">
            <v>0</v>
          </cell>
          <cell r="AU8">
            <v>40617</v>
          </cell>
          <cell r="AV8" t="str">
            <v>Haryono</v>
          </cell>
          <cell r="AW8" t="str">
            <v>CV. PILAR ABADHI</v>
          </cell>
          <cell r="AX8" t="str">
            <v>Banjarnegara</v>
          </cell>
          <cell r="BC8" t="str">
            <v>Pembelaian Buku Penjaskes</v>
          </cell>
        </row>
        <row r="9">
          <cell r="A9">
            <v>8</v>
          </cell>
          <cell r="B9" t="str">
            <v>Pembelian Buku Penjaskes</v>
          </cell>
          <cell r="C9">
            <v>2011</v>
          </cell>
          <cell r="E9" t="str">
            <v xml:space="preserve">Bendahara BOS SDN 1 Karangkobar </v>
          </cell>
          <cell r="F9" t="str">
            <v xml:space="preserve">Bendahara BOS SDN 1 Karangkobar </v>
          </cell>
          <cell r="G9" t="str">
            <v>Buku Penjaskes Kelas 1 = 41 eksemplar</v>
          </cell>
          <cell r="H9">
            <v>434313</v>
          </cell>
          <cell r="I9" t="str">
            <v>Buku Penjaskes Kls 1 = 41 eksemplar</v>
          </cell>
          <cell r="J9">
            <v>442918</v>
          </cell>
          <cell r="K9" t="str">
            <v>Buku Penjaskes Kls 2 = 41 eksemplar</v>
          </cell>
          <cell r="L9">
            <v>238550</v>
          </cell>
          <cell r="M9" t="str">
            <v>Buku Penjaskes Kls 4 = 41 eksemplar</v>
          </cell>
          <cell r="N9">
            <v>424164</v>
          </cell>
          <cell r="O9" t="str">
            <v>Buku Penjaskes Kls 5 = 41 eksemplar</v>
          </cell>
          <cell r="P9">
            <v>438840</v>
          </cell>
          <cell r="Q9" t="str">
            <v>Buku Penjaskes Kls 6 = 41 eksemplar</v>
          </cell>
          <cell r="R9">
            <v>337156</v>
          </cell>
          <cell r="AL9" t="str">
            <v>nol  rupiah</v>
          </cell>
          <cell r="AM9">
            <v>40617</v>
          </cell>
          <cell r="AU9">
            <v>40617</v>
          </cell>
          <cell r="AV9" t="str">
            <v>Haryono</v>
          </cell>
          <cell r="AW9" t="str">
            <v>CV. PILAR ABADHI</v>
          </cell>
          <cell r="AX9" t="str">
            <v>Banjarnegara</v>
          </cell>
          <cell r="BC9" t="str">
            <v>Pembelaian Buku Penjaskes</v>
          </cell>
        </row>
        <row r="10">
          <cell r="A10">
            <v>9</v>
          </cell>
          <cell r="B10" t="str">
            <v>Pembelian Buku Penjaskes</v>
          </cell>
          <cell r="C10">
            <v>2011</v>
          </cell>
          <cell r="E10" t="str">
            <v xml:space="preserve">Bendahara BOS SDN 1 Karangkobar </v>
          </cell>
          <cell r="F10" t="str">
            <v xml:space="preserve">Bendahara BOS SDN 1 Karangkobar </v>
          </cell>
          <cell r="G10" t="str">
            <v>Buku Penjaskes Kelas 1 = 41 eksemplar</v>
          </cell>
          <cell r="H10">
            <v>434313</v>
          </cell>
          <cell r="I10" t="str">
            <v>Buku Penjaskes Kls 1 = 41 eksemplar</v>
          </cell>
          <cell r="J10">
            <v>442918</v>
          </cell>
          <cell r="K10" t="str">
            <v>Buku Penjaskes Kls 2 = 41 eksemplar</v>
          </cell>
          <cell r="L10">
            <v>238550</v>
          </cell>
          <cell r="M10" t="str">
            <v>Buku Penjaskes Kls 4 = 41 eksemplar</v>
          </cell>
          <cell r="N10">
            <v>424164</v>
          </cell>
          <cell r="O10" t="str">
            <v>Buku Penjaskes Kls 5 = 41 eksemplar</v>
          </cell>
          <cell r="P10">
            <v>438840</v>
          </cell>
          <cell r="Q10" t="str">
            <v>Buku Penjaskes Kls 6 = 41 eksemplar</v>
          </cell>
          <cell r="R10">
            <v>337156</v>
          </cell>
          <cell r="AL10" t="str">
            <v>nol  rupiah</v>
          </cell>
          <cell r="AM10">
            <v>40617</v>
          </cell>
          <cell r="AU10">
            <v>40617</v>
          </cell>
          <cell r="AV10" t="str">
            <v>Haryono</v>
          </cell>
          <cell r="AW10" t="str">
            <v>CV. PILAR ABADHI</v>
          </cell>
          <cell r="AX10" t="str">
            <v>Banjarnegara</v>
          </cell>
          <cell r="BC10" t="str">
            <v>Pembelaian Buku Penjaskes</v>
          </cell>
        </row>
        <row r="11">
          <cell r="A11">
            <v>10</v>
          </cell>
          <cell r="B11" t="str">
            <v>Pembelian Buku Penjaskes</v>
          </cell>
          <cell r="C11">
            <v>2011</v>
          </cell>
          <cell r="E11" t="str">
            <v xml:space="preserve">Bendahara BOS SDN 1 Karangkobar </v>
          </cell>
          <cell r="F11" t="str">
            <v xml:space="preserve">Bendahara BOS SDN 1 Karangkobar </v>
          </cell>
          <cell r="G11" t="str">
            <v>Buku Penjaskes Kelas 1 = 41 eksemplar</v>
          </cell>
          <cell r="H11">
            <v>434313</v>
          </cell>
          <cell r="I11" t="str">
            <v>Buku Penjaskes Kls 1 = 41 eksemplar</v>
          </cell>
          <cell r="J11">
            <v>442918</v>
          </cell>
          <cell r="K11" t="str">
            <v>Buku Penjaskes Kls 2 = 41 eksemplar</v>
          </cell>
          <cell r="L11">
            <v>238550</v>
          </cell>
          <cell r="M11" t="str">
            <v>Buku Penjaskes Kls 4 = 41 eksemplar</v>
          </cell>
          <cell r="N11">
            <v>424164</v>
          </cell>
          <cell r="O11" t="str">
            <v>Buku Penjaskes Kls 5 = 41 eksemplar</v>
          </cell>
          <cell r="P11">
            <v>438840</v>
          </cell>
          <cell r="Q11" t="str">
            <v>Buku Penjaskes Kls 6 = 41 eksemplar</v>
          </cell>
          <cell r="R11">
            <v>337156</v>
          </cell>
          <cell r="AL11" t="str">
            <v>nol  rupiah</v>
          </cell>
          <cell r="AM11">
            <v>40617</v>
          </cell>
          <cell r="AU11">
            <v>40617</v>
          </cell>
          <cell r="AV11" t="str">
            <v>Haryono</v>
          </cell>
          <cell r="AW11" t="str">
            <v>CV. PILAR ABADHI</v>
          </cell>
          <cell r="AX11" t="str">
            <v>Banjarnegara</v>
          </cell>
          <cell r="BC11" t="str">
            <v>Pembelaian Buku Penjaskes</v>
          </cell>
        </row>
        <row r="12">
          <cell r="A12">
            <v>11</v>
          </cell>
          <cell r="B12" t="str">
            <v>Pembelian Buku Penjaskes</v>
          </cell>
          <cell r="C12">
            <v>2011</v>
          </cell>
          <cell r="E12" t="str">
            <v xml:space="preserve">Bendahara BOS SDN 1 Karangkobar </v>
          </cell>
          <cell r="F12" t="str">
            <v xml:space="preserve">Bendahara BOS SDN 1 Karangkobar </v>
          </cell>
          <cell r="G12" t="str">
            <v>Buku Penjaskes Kelas 1 = 41 eksemplar</v>
          </cell>
          <cell r="H12">
            <v>434313</v>
          </cell>
          <cell r="I12" t="str">
            <v>Buku Penjaskes Kls 1 = 41 eksemplar</v>
          </cell>
          <cell r="J12">
            <v>442918</v>
          </cell>
          <cell r="K12" t="str">
            <v>Buku Penjaskes Kls 2 = 41 eksemplar</v>
          </cell>
          <cell r="L12">
            <v>238550</v>
          </cell>
          <cell r="M12" t="str">
            <v>Buku Penjaskes Kls 4 = 41 eksemplar</v>
          </cell>
          <cell r="N12">
            <v>424164</v>
          </cell>
          <cell r="O12" t="str">
            <v>Buku Penjaskes Kls 5 = 41 eksemplar</v>
          </cell>
          <cell r="P12">
            <v>438840</v>
          </cell>
          <cell r="Q12" t="str">
            <v>Buku Penjaskes Kls 6 = 41 eksemplar</v>
          </cell>
          <cell r="R12">
            <v>337156</v>
          </cell>
          <cell r="AL12" t="str">
            <v>nol  rupiah</v>
          </cell>
          <cell r="AM12">
            <v>40617</v>
          </cell>
          <cell r="AU12">
            <v>40617</v>
          </cell>
          <cell r="AV12" t="str">
            <v>Haryono</v>
          </cell>
          <cell r="AW12" t="str">
            <v>CV. PILAR ABADHI</v>
          </cell>
          <cell r="AX12" t="str">
            <v>Banjarnegara</v>
          </cell>
          <cell r="BC12" t="str">
            <v>Pembelaian Buku Penjaskes</v>
          </cell>
        </row>
        <row r="13">
          <cell r="A13">
            <v>12</v>
          </cell>
          <cell r="B13" t="str">
            <v>Pembelian Buku Penjaskes</v>
          </cell>
          <cell r="C13">
            <v>2011</v>
          </cell>
          <cell r="E13" t="str">
            <v xml:space="preserve">Bendahara BOS SDN 1 Karangkobar </v>
          </cell>
          <cell r="F13" t="str">
            <v xml:space="preserve">Bendahara BOS SDN 1 Karangkobar </v>
          </cell>
          <cell r="G13" t="str">
            <v>Buku Penjaskes Kelas 1 = 41 eksemplar</v>
          </cell>
          <cell r="H13">
            <v>434313</v>
          </cell>
          <cell r="I13" t="str">
            <v>Buku Penjaskes Kls 1 = 41 eksemplar</v>
          </cell>
          <cell r="J13">
            <v>442918</v>
          </cell>
          <cell r="K13" t="str">
            <v>Buku Penjaskes Kls 2 = 41 eksemplar</v>
          </cell>
          <cell r="L13">
            <v>238550</v>
          </cell>
          <cell r="M13" t="str">
            <v>Buku Penjaskes Kls 4 = 41 eksemplar</v>
          </cell>
          <cell r="N13">
            <v>424164</v>
          </cell>
          <cell r="O13" t="str">
            <v>Buku Penjaskes Kls 5 = 41 eksemplar</v>
          </cell>
          <cell r="P13">
            <v>438840</v>
          </cell>
          <cell r="Q13" t="str">
            <v>Buku Penjaskes Kls 6 = 41 eksemplar</v>
          </cell>
          <cell r="R13">
            <v>337156</v>
          </cell>
          <cell r="AL13" t="str">
            <v>nol  rupiah</v>
          </cell>
          <cell r="AM13">
            <v>40617</v>
          </cell>
          <cell r="AU13">
            <v>40617</v>
          </cell>
          <cell r="AV13" t="str">
            <v>Haryono</v>
          </cell>
          <cell r="AW13" t="str">
            <v>CV. PILAR ABADHI</v>
          </cell>
          <cell r="AX13" t="str">
            <v>Banjarnegara</v>
          </cell>
          <cell r="BC13" t="str">
            <v>Pembelaian Buku Penjaskes</v>
          </cell>
        </row>
        <row r="14">
          <cell r="A14">
            <v>13</v>
          </cell>
          <cell r="B14" t="str">
            <v>Pembelian Buku Penjaskes</v>
          </cell>
          <cell r="C14">
            <v>2011</v>
          </cell>
          <cell r="E14" t="str">
            <v xml:space="preserve">Bendahara BOS SDN 1 Karangkobar </v>
          </cell>
          <cell r="F14" t="str">
            <v xml:space="preserve">Bendahara BOS SDN 1 Karangkobar </v>
          </cell>
          <cell r="G14" t="str">
            <v>Buku Penjaskes Kelas 1 = 41 eksemplar</v>
          </cell>
          <cell r="H14">
            <v>434313</v>
          </cell>
          <cell r="I14" t="str">
            <v>Buku Penjaskes Kls 1 = 41 eksemplar</v>
          </cell>
          <cell r="J14">
            <v>442918</v>
          </cell>
          <cell r="K14" t="str">
            <v>Buku Penjaskes Kls 2 = 41 eksemplar</v>
          </cell>
          <cell r="L14">
            <v>238550</v>
          </cell>
          <cell r="M14" t="str">
            <v>Buku Penjaskes Kls 4 = 41 eksemplar</v>
          </cell>
          <cell r="N14">
            <v>424164</v>
          </cell>
          <cell r="O14" t="str">
            <v>Buku Penjaskes Kls 5 = 41 eksemplar</v>
          </cell>
          <cell r="P14">
            <v>438840</v>
          </cell>
          <cell r="Q14" t="str">
            <v>Buku Penjaskes Kls 6 = 41 eksemplar</v>
          </cell>
          <cell r="R14">
            <v>337156</v>
          </cell>
          <cell r="AL14" t="str">
            <v>nol  rupiah</v>
          </cell>
          <cell r="AM14">
            <v>40617</v>
          </cell>
          <cell r="AU14">
            <v>40617</v>
          </cell>
          <cell r="AV14" t="str">
            <v>Haryono</v>
          </cell>
          <cell r="AW14" t="str">
            <v>CV. PILAR ABADHI</v>
          </cell>
          <cell r="AX14" t="str">
            <v>Banjarnegara</v>
          </cell>
          <cell r="BC14" t="str">
            <v>Pembelaian Buku Penjaskes</v>
          </cell>
        </row>
        <row r="15">
          <cell r="A15">
            <v>14</v>
          </cell>
          <cell r="B15" t="str">
            <v>Pembelian Buku Penjaskes</v>
          </cell>
          <cell r="C15">
            <v>2011</v>
          </cell>
          <cell r="E15" t="str">
            <v xml:space="preserve">Bendahara BOS SDN 1 Karangkobar </v>
          </cell>
          <cell r="F15" t="str">
            <v xml:space="preserve">Bendahara BOS SDN 1 Karangkobar </v>
          </cell>
          <cell r="G15" t="str">
            <v>Buku Penjaskes Kelas 1 = 41 eksemplar</v>
          </cell>
          <cell r="H15">
            <v>434313</v>
          </cell>
          <cell r="I15" t="str">
            <v>Buku Penjaskes Kls 1 = 41 eksemplar</v>
          </cell>
          <cell r="J15">
            <v>442918</v>
          </cell>
          <cell r="K15" t="str">
            <v>Buku Penjaskes Kls 2 = 41 eksemplar</v>
          </cell>
          <cell r="L15">
            <v>238550</v>
          </cell>
          <cell r="M15" t="str">
            <v>Buku Penjaskes Kls 4 = 41 eksemplar</v>
          </cell>
          <cell r="N15">
            <v>424164</v>
          </cell>
          <cell r="O15" t="str">
            <v>Buku Penjaskes Kls 5 = 41 eksemplar</v>
          </cell>
          <cell r="P15">
            <v>438840</v>
          </cell>
          <cell r="Q15" t="str">
            <v>Buku Penjaskes Kls 6 = 41 eksemplar</v>
          </cell>
          <cell r="R15">
            <v>337156</v>
          </cell>
          <cell r="AL15" t="str">
            <v>nol  rupiah</v>
          </cell>
          <cell r="AM15">
            <v>40617</v>
          </cell>
          <cell r="AU15">
            <v>40617</v>
          </cell>
          <cell r="AV15" t="str">
            <v>Haryono</v>
          </cell>
          <cell r="AW15" t="str">
            <v>CV. PILAR ABADHI</v>
          </cell>
          <cell r="AX15" t="str">
            <v>Banjarnegara</v>
          </cell>
          <cell r="BC15" t="str">
            <v>Pembelaian Buku Penjaskes</v>
          </cell>
        </row>
        <row r="16">
          <cell r="A16">
            <v>15</v>
          </cell>
          <cell r="B16" t="str">
            <v>Pembelian Buku Penjaskes</v>
          </cell>
          <cell r="C16">
            <v>2011</v>
          </cell>
          <cell r="E16" t="str">
            <v xml:space="preserve">Bendahara BOS SDN 1 Karangkobar </v>
          </cell>
          <cell r="F16" t="str">
            <v xml:space="preserve">Bendahara BOS SDN 1 Karangkobar </v>
          </cell>
          <cell r="G16" t="str">
            <v>Buku Penjaskes Kelas 1 = 41 eksemplar</v>
          </cell>
          <cell r="H16">
            <v>434313</v>
          </cell>
          <cell r="I16" t="str">
            <v>Buku Penjaskes Kls 1 = 41 eksemplar</v>
          </cell>
          <cell r="J16">
            <v>442918</v>
          </cell>
          <cell r="K16" t="str">
            <v>Buku Penjaskes Kls 2 = 41 eksemplar</v>
          </cell>
          <cell r="L16">
            <v>238550</v>
          </cell>
          <cell r="M16" t="str">
            <v>Buku Penjaskes Kls 4 = 41 eksemplar</v>
          </cell>
          <cell r="N16">
            <v>424164</v>
          </cell>
          <cell r="O16" t="str">
            <v>Buku Penjaskes Kls 5 = 41 eksemplar</v>
          </cell>
          <cell r="P16">
            <v>438840</v>
          </cell>
          <cell r="Q16" t="str">
            <v>Buku Penjaskes Kls 6 = 41 eksemplar</v>
          </cell>
          <cell r="R16">
            <v>337156</v>
          </cell>
          <cell r="AL16" t="str">
            <v>nol  rupiah</v>
          </cell>
          <cell r="AM16">
            <v>40617</v>
          </cell>
          <cell r="AU16">
            <v>40617</v>
          </cell>
          <cell r="AV16" t="str">
            <v>Haryono</v>
          </cell>
          <cell r="AW16" t="str">
            <v>CV. PILAR ABADHI</v>
          </cell>
          <cell r="AX16" t="str">
            <v>Banjarnegara</v>
          </cell>
          <cell r="BC16" t="str">
            <v>Pembelaian Buku Penjaskes</v>
          </cell>
        </row>
        <row r="17">
          <cell r="A17">
            <v>16</v>
          </cell>
          <cell r="B17" t="str">
            <v>Pembelian Buku Penjaskes</v>
          </cell>
          <cell r="C17">
            <v>2011</v>
          </cell>
          <cell r="E17" t="str">
            <v xml:space="preserve">Bendahara BOS SDN 1 Karangkobar </v>
          </cell>
          <cell r="F17" t="str">
            <v xml:space="preserve">Bendahara BOS SDN 1 Karangkobar </v>
          </cell>
          <cell r="G17" t="str">
            <v>Buku Penjaskes Kelas 1 = 41 eksemplar</v>
          </cell>
          <cell r="H17">
            <v>434313</v>
          </cell>
          <cell r="I17" t="str">
            <v>Buku Penjaskes Kls 1 = 41 eksemplar</v>
          </cell>
          <cell r="J17">
            <v>442918</v>
          </cell>
          <cell r="K17" t="str">
            <v>Buku Penjaskes Kls 2 = 41 eksemplar</v>
          </cell>
          <cell r="L17">
            <v>238550</v>
          </cell>
          <cell r="M17" t="str">
            <v>Buku Penjaskes Kls 4 = 41 eksemplar</v>
          </cell>
          <cell r="N17">
            <v>424164</v>
          </cell>
          <cell r="O17" t="str">
            <v>Buku Penjaskes Kls 5 = 41 eksemplar</v>
          </cell>
          <cell r="P17">
            <v>438840</v>
          </cell>
          <cell r="Q17" t="str">
            <v>Buku Penjaskes Kls 6 = 41 eksemplar</v>
          </cell>
          <cell r="R17">
            <v>337156</v>
          </cell>
          <cell r="AL17" t="str">
            <v>nol  rupiah</v>
          </cell>
          <cell r="AM17">
            <v>40617</v>
          </cell>
          <cell r="AU17">
            <v>40617</v>
          </cell>
          <cell r="AV17" t="str">
            <v>Haryono</v>
          </cell>
          <cell r="AW17" t="str">
            <v>CV. PILAR ABADHI</v>
          </cell>
          <cell r="AX17" t="str">
            <v>Banjarnegara</v>
          </cell>
          <cell r="BC17" t="str">
            <v>Pembelaian Buku Penjaskes</v>
          </cell>
        </row>
        <row r="18">
          <cell r="A18">
            <v>17</v>
          </cell>
          <cell r="B18" t="str">
            <v>Pembelian Buku Penjaskes</v>
          </cell>
          <cell r="C18">
            <v>2011</v>
          </cell>
          <cell r="E18" t="str">
            <v xml:space="preserve">Bendahara BOS SDN 1 Karangkobar </v>
          </cell>
          <cell r="F18" t="str">
            <v xml:space="preserve">Bendahara BOS SDN 1 Karangkobar </v>
          </cell>
          <cell r="G18" t="str">
            <v>Buku Penjaskes Kelas 1 = 41 eksemplar</v>
          </cell>
          <cell r="H18">
            <v>434313</v>
          </cell>
          <cell r="I18" t="str">
            <v>Buku Penjaskes Kls 1 = 41 eksemplar</v>
          </cell>
          <cell r="J18">
            <v>442918</v>
          </cell>
          <cell r="K18" t="str">
            <v>Buku Penjaskes Kls 2 = 41 eksemplar</v>
          </cell>
          <cell r="L18">
            <v>238550</v>
          </cell>
          <cell r="M18" t="str">
            <v>Buku Penjaskes Kls 4 = 41 eksemplar</v>
          </cell>
          <cell r="N18">
            <v>424164</v>
          </cell>
          <cell r="O18" t="str">
            <v>Buku Penjaskes Kls 5 = 41 eksemplar</v>
          </cell>
          <cell r="P18">
            <v>438840</v>
          </cell>
          <cell r="Q18" t="str">
            <v>Buku Penjaskes Kls 6 = 41 eksemplar</v>
          </cell>
          <cell r="R18">
            <v>337156</v>
          </cell>
          <cell r="AL18" t="str">
            <v>nol  rupiah</v>
          </cell>
          <cell r="AM18">
            <v>40617</v>
          </cell>
          <cell r="AU18">
            <v>40617</v>
          </cell>
          <cell r="AV18" t="str">
            <v>Haryono</v>
          </cell>
          <cell r="AW18" t="str">
            <v>CV. PILAR ABADHI</v>
          </cell>
          <cell r="AX18" t="str">
            <v>Banjarnegara</v>
          </cell>
          <cell r="BC18" t="str">
            <v>Pembelaian Buku Penjaskes</v>
          </cell>
        </row>
        <row r="19">
          <cell r="A19">
            <v>18</v>
          </cell>
          <cell r="B19" t="str">
            <v>Pembelian Buku Penjaskes</v>
          </cell>
          <cell r="C19">
            <v>2011</v>
          </cell>
          <cell r="E19" t="str">
            <v xml:space="preserve">Bendahara BOS SDN 1 Karangkobar </v>
          </cell>
          <cell r="F19" t="str">
            <v xml:space="preserve">Bendahara BOS SDN 1 Karangkobar </v>
          </cell>
          <cell r="G19" t="str">
            <v>Buku Penjaskes Kelas 1 = 41 eksemplar</v>
          </cell>
          <cell r="H19">
            <v>434313</v>
          </cell>
          <cell r="I19" t="str">
            <v>Buku Penjaskes Kls 1 = 41 eksemplar</v>
          </cell>
          <cell r="J19">
            <v>442918</v>
          </cell>
          <cell r="K19" t="str">
            <v>Buku Penjaskes Kls 2 = 41 eksemplar</v>
          </cell>
          <cell r="L19">
            <v>238550</v>
          </cell>
          <cell r="M19" t="str">
            <v>Buku Penjaskes Kls 4 = 41 eksemplar</v>
          </cell>
          <cell r="N19">
            <v>424164</v>
          </cell>
          <cell r="O19" t="str">
            <v>Buku Penjaskes Kls 5 = 41 eksemplar</v>
          </cell>
          <cell r="P19">
            <v>438840</v>
          </cell>
          <cell r="Q19" t="str">
            <v>Buku Penjaskes Kls 6 = 41 eksemplar</v>
          </cell>
          <cell r="R19">
            <v>337156</v>
          </cell>
          <cell r="AL19" t="str">
            <v>nol  rupiah</v>
          </cell>
          <cell r="AM19">
            <v>40617</v>
          </cell>
          <cell r="AU19">
            <v>40617</v>
          </cell>
          <cell r="AV19" t="str">
            <v>Haryono</v>
          </cell>
          <cell r="AW19" t="str">
            <v>CV. PILAR ABADHI</v>
          </cell>
          <cell r="AX19" t="str">
            <v>Banjarnegara</v>
          </cell>
          <cell r="BC19" t="str">
            <v>Pembelaian Buku Penjaskes</v>
          </cell>
        </row>
        <row r="20">
          <cell r="A20">
            <v>19</v>
          </cell>
          <cell r="B20" t="str">
            <v>Pembelian Buku Penjaskes</v>
          </cell>
          <cell r="C20">
            <v>2011</v>
          </cell>
          <cell r="E20" t="str">
            <v xml:space="preserve">Bendahara BOS SDN 1 Karangkobar </v>
          </cell>
          <cell r="F20" t="str">
            <v xml:space="preserve">Bendahara BOS SDN 1 Karangkobar </v>
          </cell>
          <cell r="G20" t="str">
            <v>Buku Penjaskes Kelas 1 = 41 eksemplar</v>
          </cell>
          <cell r="H20">
            <v>434313</v>
          </cell>
          <cell r="I20" t="str">
            <v>Buku Penjaskes Kls 1 = 41 eksemplar</v>
          </cell>
          <cell r="J20">
            <v>442918</v>
          </cell>
          <cell r="K20" t="str">
            <v>Buku Penjaskes Kls 2 = 41 eksemplar</v>
          </cell>
          <cell r="L20">
            <v>238550</v>
          </cell>
          <cell r="M20" t="str">
            <v>Buku Penjaskes Kls 4 = 41 eksemplar</v>
          </cell>
          <cell r="N20">
            <v>424164</v>
          </cell>
          <cell r="O20" t="str">
            <v>Buku Penjaskes Kls 5 = 41 eksemplar</v>
          </cell>
          <cell r="P20">
            <v>438840</v>
          </cell>
          <cell r="Q20" t="str">
            <v>Buku Penjaskes Kls 6 = 41 eksemplar</v>
          </cell>
          <cell r="R20">
            <v>337156</v>
          </cell>
          <cell r="AL20" t="str">
            <v>nol  rupiah</v>
          </cell>
          <cell r="AM20">
            <v>40617</v>
          </cell>
          <cell r="AU20">
            <v>40617</v>
          </cell>
          <cell r="AV20" t="str">
            <v>Haryono</v>
          </cell>
          <cell r="AW20" t="str">
            <v>CV. PILAR ABADHI</v>
          </cell>
          <cell r="AX20" t="str">
            <v>Banjarnegara</v>
          </cell>
          <cell r="BC20" t="str">
            <v>Pembelaian Buku Penjaskes</v>
          </cell>
        </row>
        <row r="21">
          <cell r="A21">
            <v>20</v>
          </cell>
          <cell r="B21" t="str">
            <v>Pembelian Buku Penjaskes</v>
          </cell>
          <cell r="C21">
            <v>2011</v>
          </cell>
          <cell r="E21" t="str">
            <v xml:space="preserve">Bendahara BOS SDN 1 Karangkobar </v>
          </cell>
          <cell r="F21" t="str">
            <v xml:space="preserve">Bendahara BOS SDN 1 Karangkobar </v>
          </cell>
          <cell r="G21" t="str">
            <v>Buku Penjaskes Kelas 1 = 41 eksemplar</v>
          </cell>
          <cell r="H21">
            <v>434313</v>
          </cell>
          <cell r="I21" t="str">
            <v>Buku Penjaskes Kls 1 = 41 eksemplar</v>
          </cell>
          <cell r="J21">
            <v>442918</v>
          </cell>
          <cell r="K21" t="str">
            <v>Buku Penjaskes Kls 2 = 41 eksemplar</v>
          </cell>
          <cell r="L21">
            <v>238550</v>
          </cell>
          <cell r="M21" t="str">
            <v>Buku Penjaskes Kls 4 = 41 eksemplar</v>
          </cell>
          <cell r="N21">
            <v>424164</v>
          </cell>
          <cell r="O21" t="str">
            <v>Buku Penjaskes Kls 5 = 41 eksemplar</v>
          </cell>
          <cell r="P21">
            <v>438840</v>
          </cell>
          <cell r="Q21" t="str">
            <v>Buku Penjaskes Kls 6 = 41 eksemplar</v>
          </cell>
          <cell r="R21">
            <v>337156</v>
          </cell>
          <cell r="AL21" t="str">
            <v>nol  rupiah</v>
          </cell>
          <cell r="AM21">
            <v>40617</v>
          </cell>
          <cell r="AU21">
            <v>40617</v>
          </cell>
          <cell r="AV21" t="str">
            <v>Haryono</v>
          </cell>
          <cell r="AW21" t="str">
            <v>CV. PILAR ABADHI</v>
          </cell>
          <cell r="AX21" t="str">
            <v>Banjarnegara</v>
          </cell>
          <cell r="BC21" t="str">
            <v>Pembelaian Buku Penjaskes</v>
          </cell>
        </row>
        <row r="22">
          <cell r="A22">
            <v>21</v>
          </cell>
          <cell r="B22" t="str">
            <v>Pembelian Buku Penjaskes</v>
          </cell>
          <cell r="C22">
            <v>2011</v>
          </cell>
          <cell r="E22" t="str">
            <v xml:space="preserve">Bendahara BOS SDN 1 Karangkobar </v>
          </cell>
          <cell r="F22" t="str">
            <v xml:space="preserve">Bendahara BOS SDN 1 Karangkobar </v>
          </cell>
          <cell r="G22" t="str">
            <v>Buku Penjaskes Kelas 1 = 41 eksemplar</v>
          </cell>
          <cell r="H22">
            <v>434313</v>
          </cell>
          <cell r="I22" t="str">
            <v>Buku Penjaskes Kls 1 = 41 eksemplar</v>
          </cell>
          <cell r="J22">
            <v>442918</v>
          </cell>
          <cell r="K22" t="str">
            <v>Buku Penjaskes Kls 2 = 41 eksemplar</v>
          </cell>
          <cell r="L22">
            <v>238550</v>
          </cell>
          <cell r="M22" t="str">
            <v>Buku Penjaskes Kls 4 = 41 eksemplar</v>
          </cell>
          <cell r="N22">
            <v>424164</v>
          </cell>
          <cell r="O22" t="str">
            <v>Buku Penjaskes Kls 5 = 41 eksemplar</v>
          </cell>
          <cell r="P22">
            <v>438840</v>
          </cell>
          <cell r="Q22" t="str">
            <v>Buku Penjaskes Kls 6 = 41 eksemplar</v>
          </cell>
          <cell r="R22">
            <v>337156</v>
          </cell>
          <cell r="AL22" t="str">
            <v>nol  rupiah</v>
          </cell>
          <cell r="AM22">
            <v>40617</v>
          </cell>
          <cell r="AU22">
            <v>40617</v>
          </cell>
          <cell r="AV22" t="str">
            <v>Haryono</v>
          </cell>
          <cell r="AW22" t="str">
            <v>CV. PILAR ABADHI</v>
          </cell>
          <cell r="AX22" t="str">
            <v>Banjarnegara</v>
          </cell>
          <cell r="BC22" t="str">
            <v>Pembelaian Buku Penjaskes</v>
          </cell>
        </row>
        <row r="23">
          <cell r="A23">
            <v>22</v>
          </cell>
          <cell r="B23" t="str">
            <v>Pembelian Buku Penjaskes</v>
          </cell>
          <cell r="C23">
            <v>2011</v>
          </cell>
          <cell r="E23" t="str">
            <v xml:space="preserve">Bendahara BOS SDN 1 Karangkobar </v>
          </cell>
          <cell r="F23" t="str">
            <v xml:space="preserve">Bendahara BOS SDN 1 Karangkobar </v>
          </cell>
          <cell r="G23" t="str">
            <v>Buku Penjaskes Kelas 1 = 41 eksemplar</v>
          </cell>
          <cell r="H23">
            <v>434313</v>
          </cell>
          <cell r="I23" t="str">
            <v>Buku Penjaskes Kls 1 = 41 eksemplar</v>
          </cell>
          <cell r="J23">
            <v>442918</v>
          </cell>
          <cell r="K23" t="str">
            <v>Buku Penjaskes Kls 2 = 41 eksemplar</v>
          </cell>
          <cell r="L23">
            <v>238550</v>
          </cell>
          <cell r="M23" t="str">
            <v>Buku Penjaskes Kls 4 = 41 eksemplar</v>
          </cell>
          <cell r="N23">
            <v>424164</v>
          </cell>
          <cell r="O23" t="str">
            <v>Buku Penjaskes Kls 5 = 41 eksemplar</v>
          </cell>
          <cell r="P23">
            <v>438840</v>
          </cell>
          <cell r="Q23" t="str">
            <v>Buku Penjaskes Kls 6 = 41 eksemplar</v>
          </cell>
          <cell r="R23">
            <v>337156</v>
          </cell>
          <cell r="AL23" t="str">
            <v>nol  rupiah</v>
          </cell>
          <cell r="AM23">
            <v>40617</v>
          </cell>
          <cell r="AU23">
            <v>40617</v>
          </cell>
          <cell r="AV23" t="str">
            <v>Haryono</v>
          </cell>
          <cell r="AW23" t="str">
            <v>CV. PILAR ABADHI</v>
          </cell>
          <cell r="AX23" t="str">
            <v>Banjarnegara</v>
          </cell>
          <cell r="BC23" t="str">
            <v>Pembelaian Buku Penjaskes</v>
          </cell>
        </row>
        <row r="24">
          <cell r="A24">
            <v>23</v>
          </cell>
          <cell r="B24" t="str">
            <v>Pembelian Buku Penjaskes</v>
          </cell>
          <cell r="C24">
            <v>2011</v>
          </cell>
          <cell r="E24" t="str">
            <v xml:space="preserve">Bendahara BOS SDN 1 Karangkobar </v>
          </cell>
          <cell r="F24" t="str">
            <v xml:space="preserve">Bendahara BOS SDN 1 Karangkobar </v>
          </cell>
          <cell r="G24" t="str">
            <v>Buku Penjaskes Kelas 1 = 41 eksemplar</v>
          </cell>
          <cell r="H24">
            <v>434313</v>
          </cell>
          <cell r="I24" t="str">
            <v>Buku Penjaskes Kls 1 = 41 eksemplar</v>
          </cell>
          <cell r="J24">
            <v>442918</v>
          </cell>
          <cell r="K24" t="str">
            <v>Buku Penjaskes Kls 2 = 41 eksemplar</v>
          </cell>
          <cell r="L24">
            <v>238550</v>
          </cell>
          <cell r="M24" t="str">
            <v>Buku Penjaskes Kls 4 = 41 eksemplar</v>
          </cell>
          <cell r="N24">
            <v>424164</v>
          </cell>
          <cell r="O24" t="str">
            <v>Buku Penjaskes Kls 5 = 41 eksemplar</v>
          </cell>
          <cell r="P24">
            <v>438840</v>
          </cell>
          <cell r="Q24" t="str">
            <v>Buku Penjaskes Kls 6 = 41 eksemplar</v>
          </cell>
          <cell r="R24">
            <v>337156</v>
          </cell>
          <cell r="AL24" t="str">
            <v>nol  rupiah</v>
          </cell>
          <cell r="AM24">
            <v>40617</v>
          </cell>
          <cell r="AU24">
            <v>40617</v>
          </cell>
          <cell r="AV24" t="str">
            <v>Haryono</v>
          </cell>
          <cell r="AW24" t="str">
            <v>CV. PILAR ABADHI</v>
          </cell>
          <cell r="AX24" t="str">
            <v>Banjarnegara</v>
          </cell>
          <cell r="BC24" t="str">
            <v>Pembelaian Buku Penjaskes</v>
          </cell>
        </row>
        <row r="25">
          <cell r="A25">
            <v>24</v>
          </cell>
          <cell r="B25" t="str">
            <v>Pembelian Buku Penjaskes</v>
          </cell>
          <cell r="C25">
            <v>2011</v>
          </cell>
          <cell r="E25" t="str">
            <v xml:space="preserve">Bendahara BOS SDN 1 Karangkobar </v>
          </cell>
          <cell r="F25" t="str">
            <v xml:space="preserve">Bendahara BOS SDN 1 Karangkobar </v>
          </cell>
          <cell r="G25" t="str">
            <v>Buku Penjaskes Kelas 1 = 41 eksemplar</v>
          </cell>
          <cell r="H25">
            <v>434313</v>
          </cell>
          <cell r="I25" t="str">
            <v>Buku Penjaskes Kls 1 = 41 eksemplar</v>
          </cell>
          <cell r="J25">
            <v>442918</v>
          </cell>
          <cell r="K25" t="str">
            <v>Buku Penjaskes Kls 2 = 41 eksemplar</v>
          </cell>
          <cell r="L25">
            <v>238550</v>
          </cell>
          <cell r="M25" t="str">
            <v>Buku Penjaskes Kls 4 = 41 eksemplar</v>
          </cell>
          <cell r="N25">
            <v>424164</v>
          </cell>
          <cell r="O25" t="str">
            <v>Buku Penjaskes Kls 5 = 41 eksemplar</v>
          </cell>
          <cell r="P25">
            <v>438840</v>
          </cell>
          <cell r="Q25" t="str">
            <v>Buku Penjaskes Kls 6 = 41 eksemplar</v>
          </cell>
          <cell r="R25">
            <v>337156</v>
          </cell>
          <cell r="AL25" t="str">
            <v>nol  rupiah</v>
          </cell>
          <cell r="AM25">
            <v>40617</v>
          </cell>
          <cell r="AU25">
            <v>40617</v>
          </cell>
          <cell r="AV25" t="str">
            <v>Haryono</v>
          </cell>
          <cell r="AW25" t="str">
            <v>CV. PILAR ABADHI</v>
          </cell>
          <cell r="AX25" t="str">
            <v>Banjarnegara</v>
          </cell>
          <cell r="BC25" t="str">
            <v>Pembelaian Buku Penjaskes</v>
          </cell>
        </row>
        <row r="26">
          <cell r="A26">
            <v>25</v>
          </cell>
          <cell r="B26" t="str">
            <v>Pembelian Buku Penjaskes</v>
          </cell>
          <cell r="C26">
            <v>2011</v>
          </cell>
          <cell r="E26" t="str">
            <v xml:space="preserve">Bendahara BOS SDN 1 Karangkobar </v>
          </cell>
          <cell r="F26" t="str">
            <v xml:space="preserve">Bendahara BOS SDN 1 Karangkobar </v>
          </cell>
          <cell r="G26" t="str">
            <v>Buku Penjaskes Kelas 1 = 41 eksemplar</v>
          </cell>
          <cell r="H26">
            <v>434313</v>
          </cell>
          <cell r="I26" t="str">
            <v>Buku Penjaskes Kls 1 = 41 eksemplar</v>
          </cell>
          <cell r="J26">
            <v>442918</v>
          </cell>
          <cell r="K26" t="str">
            <v>Buku Penjaskes Kls 2 = 41 eksemplar</v>
          </cell>
          <cell r="L26">
            <v>238550</v>
          </cell>
          <cell r="M26" t="str">
            <v>Buku Penjaskes Kls 4 = 41 eksemplar</v>
          </cell>
          <cell r="N26">
            <v>424164</v>
          </cell>
          <cell r="O26" t="str">
            <v>Buku Penjaskes Kls 5 = 41 eksemplar</v>
          </cell>
          <cell r="P26">
            <v>438840</v>
          </cell>
          <cell r="Q26" t="str">
            <v>Buku Penjaskes Kls 6 = 41 eksemplar</v>
          </cell>
          <cell r="R26">
            <v>337156</v>
          </cell>
          <cell r="AL26" t="str">
            <v>nol  rupiah</v>
          </cell>
          <cell r="AM26">
            <v>40617</v>
          </cell>
          <cell r="AU26">
            <v>40617</v>
          </cell>
          <cell r="AV26" t="str">
            <v>Haryono</v>
          </cell>
          <cell r="AW26" t="str">
            <v>CV. PILAR ABADHI</v>
          </cell>
          <cell r="AX26" t="str">
            <v>Banjarnegara</v>
          </cell>
          <cell r="BC26" t="str">
            <v>Pembelaian Buku Penjaskes</v>
          </cell>
        </row>
        <row r="27">
          <cell r="A27">
            <v>26</v>
          </cell>
          <cell r="B27" t="str">
            <v>Pembelian Buku Penjaskes</v>
          </cell>
          <cell r="C27">
            <v>2011</v>
          </cell>
          <cell r="E27" t="str">
            <v xml:space="preserve">Bendahara BOS SDN 1 Karangkobar </v>
          </cell>
          <cell r="F27" t="str">
            <v xml:space="preserve">Bendahara BOS SDN 1 Karangkobar </v>
          </cell>
          <cell r="G27" t="str">
            <v>Buku Penjaskes Kelas 1 = 41 eksemplar</v>
          </cell>
          <cell r="H27">
            <v>434313</v>
          </cell>
          <cell r="I27" t="str">
            <v>Buku Penjaskes Kls 1 = 41 eksemplar</v>
          </cell>
          <cell r="J27">
            <v>442918</v>
          </cell>
          <cell r="K27" t="str">
            <v>Buku Penjaskes Kls 2 = 41 eksemplar</v>
          </cell>
          <cell r="L27">
            <v>238550</v>
          </cell>
          <cell r="M27" t="str">
            <v>Buku Penjaskes Kls 4 = 41 eksemplar</v>
          </cell>
          <cell r="N27">
            <v>424164</v>
          </cell>
          <cell r="O27" t="str">
            <v>Buku Penjaskes Kls 5 = 41 eksemplar</v>
          </cell>
          <cell r="P27">
            <v>438840</v>
          </cell>
          <cell r="Q27" t="str">
            <v>Buku Penjaskes Kls 6 = 41 eksemplar</v>
          </cell>
          <cell r="R27">
            <v>337156</v>
          </cell>
          <cell r="AL27" t="str">
            <v>nol  rupiah</v>
          </cell>
          <cell r="AM27">
            <v>40617</v>
          </cell>
          <cell r="AU27">
            <v>40617</v>
          </cell>
          <cell r="AV27" t="str">
            <v>Haryono</v>
          </cell>
          <cell r="AW27" t="str">
            <v>CV. PILAR ABADHI</v>
          </cell>
          <cell r="AX27" t="str">
            <v>Banjarnegara</v>
          </cell>
          <cell r="BC27" t="str">
            <v>Pembelaian Buku Penjaskes</v>
          </cell>
        </row>
        <row r="28">
          <cell r="A28">
            <v>27</v>
          </cell>
          <cell r="B28" t="str">
            <v>Pembelian Buku Penjaskes</v>
          </cell>
          <cell r="C28">
            <v>2011</v>
          </cell>
          <cell r="E28" t="str">
            <v xml:space="preserve">Bendahara BOS SDN 1 Karangkobar </v>
          </cell>
          <cell r="F28" t="str">
            <v xml:space="preserve">Bendahara BOS SDN 1 Karangkobar </v>
          </cell>
          <cell r="G28" t="str">
            <v>Buku Penjaskes Kelas 1 = 41 eksemplar</v>
          </cell>
          <cell r="H28">
            <v>434313</v>
          </cell>
          <cell r="I28" t="str">
            <v>Buku Penjaskes Kls 1 = 41 eksemplar</v>
          </cell>
          <cell r="J28">
            <v>442918</v>
          </cell>
          <cell r="K28" t="str">
            <v>Buku Penjaskes Kls 2 = 41 eksemplar</v>
          </cell>
          <cell r="L28">
            <v>238550</v>
          </cell>
          <cell r="M28" t="str">
            <v>Buku Penjaskes Kls 4 = 41 eksemplar</v>
          </cell>
          <cell r="N28">
            <v>424164</v>
          </cell>
          <cell r="O28" t="str">
            <v>Buku Penjaskes Kls 5 = 41 eksemplar</v>
          </cell>
          <cell r="P28">
            <v>438840</v>
          </cell>
          <cell r="Q28" t="str">
            <v>Buku Penjaskes Kls 6 = 41 eksemplar</v>
          </cell>
          <cell r="R28">
            <v>337156</v>
          </cell>
          <cell r="AL28" t="str">
            <v>nol  rupiah</v>
          </cell>
          <cell r="AM28">
            <v>40617</v>
          </cell>
          <cell r="AU28">
            <v>40617</v>
          </cell>
          <cell r="AV28" t="str">
            <v>Haryono</v>
          </cell>
          <cell r="AW28" t="str">
            <v>CV. PILAR ABADHI</v>
          </cell>
          <cell r="AX28" t="str">
            <v>Banjarnegara</v>
          </cell>
          <cell r="BC28" t="str">
            <v>Pembelaian Buku Penjaskes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terbilang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ko_wahyono58@windowslive.com" TargetMode="External"/><Relationship Id="rId2" Type="http://schemas.openxmlformats.org/officeDocument/2006/relationships/hyperlink" Target="mailto:eko_wahyono58@yahoo.com" TargetMode="External"/><Relationship Id="rId1" Type="http://schemas.openxmlformats.org/officeDocument/2006/relationships/hyperlink" Target="mailto:ewahyono580@gmail.com" TargetMode="External"/><Relationship Id="rId6" Type="http://schemas.openxmlformats.org/officeDocument/2006/relationships/image" Target="../media/image1.jpeg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D22"/>
  <sheetViews>
    <sheetView showGridLines="0" showRowColHeaders="0" tabSelected="1" zoomScale="110" zoomScaleNormal="110" workbookViewId="0">
      <pane xSplit="4" ySplit="22" topLeftCell="XFD23" activePane="bottomRight" state="frozen"/>
      <selection pane="topRight" activeCell="E1" sqref="E1"/>
      <selection pane="bottomLeft" activeCell="A23" sqref="A23"/>
      <selection pane="bottomRight" activeCell="B2" sqref="B2"/>
    </sheetView>
  </sheetViews>
  <sheetFormatPr defaultColWidth="0" defaultRowHeight="20.100000000000001" customHeight="1" zeroHeight="1"/>
  <cols>
    <col min="1" max="1" width="4.7109375" style="318" customWidth="1"/>
    <col min="2" max="2" width="68.28515625" style="318" bestFit="1" customWidth="1"/>
    <col min="3" max="4" width="4.7109375" style="318" customWidth="1"/>
    <col min="5" max="16384" width="9.140625" style="318" hidden="1"/>
  </cols>
  <sheetData>
    <row r="1" spans="2:2" ht="20.100000000000001" customHeight="1"/>
    <row r="2" spans="2:2" s="316" customFormat="1" ht="20.100000000000001" customHeight="1">
      <c r="B2" s="319" t="s">
        <v>787</v>
      </c>
    </row>
    <row r="3" spans="2:2" ht="20.100000000000001" customHeight="1"/>
    <row r="4" spans="2:2" ht="20.100000000000001" customHeight="1">
      <c r="B4" s="317" t="s">
        <v>788</v>
      </c>
    </row>
    <row r="5" spans="2:2" ht="20.100000000000001" customHeight="1">
      <c r="B5" s="318" t="s">
        <v>789</v>
      </c>
    </row>
    <row r="6" spans="2:2" ht="20.100000000000001" customHeight="1">
      <c r="B6" s="318" t="s">
        <v>790</v>
      </c>
    </row>
    <row r="7" spans="2:2" ht="20.100000000000001" customHeight="1">
      <c r="B7" s="318" t="s">
        <v>791</v>
      </c>
    </row>
    <row r="8" spans="2:2" ht="20.100000000000001" customHeight="1">
      <c r="B8" s="318" t="s">
        <v>792</v>
      </c>
    </row>
    <row r="9" spans="2:2" ht="20.100000000000001" customHeight="1">
      <c r="B9" s="318" t="s">
        <v>793</v>
      </c>
    </row>
    <row r="10" spans="2:2" ht="20.100000000000001" customHeight="1">
      <c r="B10" s="318" t="s">
        <v>794</v>
      </c>
    </row>
    <row r="11" spans="2:2" ht="20.100000000000001" customHeight="1">
      <c r="B11" s="318" t="s">
        <v>795</v>
      </c>
    </row>
    <row r="12" spans="2:2" ht="20.100000000000001" customHeight="1">
      <c r="B12" s="318" t="s">
        <v>796</v>
      </c>
    </row>
    <row r="13" spans="2:2" ht="20.100000000000001" customHeight="1">
      <c r="B13" s="318" t="s">
        <v>797</v>
      </c>
    </row>
    <row r="14" spans="2:2" ht="20.100000000000001" customHeight="1">
      <c r="B14" s="318" t="s">
        <v>798</v>
      </c>
    </row>
    <row r="15" spans="2:2" ht="20.100000000000001" customHeight="1">
      <c r="B15" s="318" t="s">
        <v>799</v>
      </c>
    </row>
    <row r="16" spans="2:2" ht="20.100000000000001" customHeight="1">
      <c r="B16" s="318" t="s">
        <v>800</v>
      </c>
    </row>
    <row r="17" spans="2:2" ht="20.100000000000001" customHeight="1">
      <c r="B17" s="318" t="s">
        <v>801</v>
      </c>
    </row>
    <row r="18" spans="2:2" ht="20.100000000000001" customHeight="1">
      <c r="B18" s="318" t="s">
        <v>802</v>
      </c>
    </row>
    <row r="19" spans="2:2" ht="20.100000000000001" customHeight="1">
      <c r="B19" s="318" t="s">
        <v>803</v>
      </c>
    </row>
    <row r="20" spans="2:2" ht="20.100000000000001" customHeight="1">
      <c r="B20" s="318" t="s">
        <v>804</v>
      </c>
    </row>
    <row r="21" spans="2:2" ht="20.100000000000001" customHeight="1">
      <c r="B21" s="318" t="s">
        <v>805</v>
      </c>
    </row>
    <row r="22" spans="2:2" ht="20.100000000000001" customHeight="1"/>
  </sheetData>
  <sheetProtection password="CAE2" sheet="1" objects="1" scenarios="1" selectLockedCells="1" selectUnlockedCells="1"/>
  <pageMargins left="0.59055118110236227" right="0.59055118110236227" top="0.78740157480314965" bottom="1.7716535433070868" header="0.39370078740157483" footer="0.39370078740157483"/>
  <pageSetup paperSize="5" orientation="portrait" horizontalDpi="4294967293" verticalDpi="0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M57"/>
  <sheetViews>
    <sheetView showGridLines="0" showRowColHeaders="0" workbookViewId="0">
      <pane xSplit="12" ySplit="13" topLeftCell="XFB14" activePane="bottomRight" state="frozen"/>
      <selection pane="topRight" activeCell="M1" sqref="M1"/>
      <selection pane="bottomLeft" activeCell="A14" sqref="A14"/>
      <selection pane="bottomRight" activeCell="B14" sqref="B14"/>
    </sheetView>
  </sheetViews>
  <sheetFormatPr defaultColWidth="0" defaultRowHeight="10.5" zeroHeight="1"/>
  <cols>
    <col min="1" max="1" width="2.7109375" style="64" customWidth="1"/>
    <col min="2" max="4" width="12.7109375" style="64" customWidth="1"/>
    <col min="5" max="5" width="32.7109375" style="64" customWidth="1"/>
    <col min="6" max="11" width="12.7109375" style="64" customWidth="1"/>
    <col min="12" max="12" width="2.7109375" style="64" customWidth="1"/>
    <col min="13" max="13" width="2.7109375" style="64" hidden="1" customWidth="1"/>
    <col min="14" max="16384" width="9.140625" style="64" hidden="1"/>
  </cols>
  <sheetData>
    <row r="1" spans="2:11"/>
    <row r="2" spans="2:11" s="290" customFormat="1" ht="12.75">
      <c r="B2" s="336" t="s">
        <v>757</v>
      </c>
      <c r="C2" s="336"/>
      <c r="D2" s="336"/>
      <c r="E2" s="336"/>
      <c r="F2" s="336"/>
      <c r="G2" s="336"/>
      <c r="H2" s="336"/>
      <c r="I2" s="336"/>
      <c r="J2" s="336"/>
      <c r="K2" s="336"/>
    </row>
    <row r="3" spans="2:11" s="290" customFormat="1" ht="12.75">
      <c r="B3" s="336" t="str">
        <f>"TRIWULAN "&amp;UPPER(triwulan)&amp;" TAHUN "&amp;tahun_anggaran</f>
        <v>TRIWULAN I (SATU) TAHUN 2013</v>
      </c>
      <c r="C3" s="336"/>
      <c r="D3" s="336"/>
      <c r="E3" s="336"/>
      <c r="F3" s="336"/>
      <c r="G3" s="336"/>
      <c r="H3" s="336"/>
      <c r="I3" s="336"/>
      <c r="J3" s="336"/>
      <c r="K3" s="336"/>
    </row>
    <row r="4" spans="2:11" s="209" customFormat="1" ht="12.75"/>
    <row r="5" spans="2:11" s="209" customFormat="1" ht="12.75">
      <c r="B5" s="359" t="s">
        <v>53</v>
      </c>
      <c r="C5" s="359"/>
      <c r="D5" s="359" t="str">
        <f>": "&amp;IF(nama_sekolah&lt;&gt;"",nama_sekolah,"....................................................................................................")</f>
        <v>: SD Negeri 3 Slatri</v>
      </c>
      <c r="E5" s="359"/>
      <c r="F5" s="359"/>
      <c r="G5" s="359"/>
      <c r="J5" s="360" t="s">
        <v>763</v>
      </c>
      <c r="K5" s="360"/>
    </row>
    <row r="6" spans="2:11" s="209" customFormat="1" ht="12.75">
      <c r="B6" s="359" t="s">
        <v>208</v>
      </c>
      <c r="C6" s="359"/>
      <c r="D6" s="359" t="str">
        <f>": "&amp;IF(AND(nama_sekolah&lt;&gt;"",desa_kel&lt;&gt;""),desa_kel,"....................................................................................................")</f>
        <v>: Slatri</v>
      </c>
      <c r="E6" s="359"/>
      <c r="F6" s="359"/>
      <c r="G6" s="359"/>
      <c r="J6" s="360" t="s">
        <v>764</v>
      </c>
      <c r="K6" s="360"/>
    </row>
    <row r="7" spans="2:11" s="209" customFormat="1" ht="12.75">
      <c r="B7" s="359" t="s">
        <v>8</v>
      </c>
      <c r="C7" s="359"/>
      <c r="D7" s="359" t="str">
        <f>": "&amp;IF(AND(nama_sekolah&lt;&gt;"",desa_kel&lt;&gt;"",kec&lt;&gt;""),kec,"....................................................................................................")</f>
        <v>: Karangkobar</v>
      </c>
      <c r="E7" s="359"/>
      <c r="F7" s="359"/>
      <c r="G7" s="359"/>
      <c r="J7" s="360" t="s">
        <v>765</v>
      </c>
      <c r="K7" s="360"/>
    </row>
    <row r="8" spans="2:11" s="209" customFormat="1" ht="12.75">
      <c r="B8" s="359" t="s">
        <v>9</v>
      </c>
      <c r="C8" s="359"/>
      <c r="D8" s="359" t="str">
        <f>": "&amp;IF(AND(nama_sekolah&lt;&gt;"",desa_kel&lt;&gt;"",kec&lt;&gt;"",kab_kota&lt;&gt;""),kab_kota,"....................................................................................................")</f>
        <v>: Kab. Banjarnegara</v>
      </c>
      <c r="E8" s="359"/>
      <c r="F8" s="359"/>
      <c r="G8" s="359"/>
    </row>
    <row r="9" spans="2:11" s="209" customFormat="1" ht="12.75">
      <c r="B9" s="359" t="s">
        <v>10</v>
      </c>
      <c r="C9" s="359"/>
      <c r="D9" s="359" t="str">
        <f>": "&amp;IF(AND(nama_sekolah&lt;&gt;"",desa_kel&lt;&gt;"",kec&lt;&gt;"",kab_kota&lt;&gt;"",provinsi&lt;&gt;""),provinsi,"....................................................................................................")</f>
        <v>: Jawa Tengah</v>
      </c>
      <c r="E9" s="359"/>
      <c r="F9" s="359"/>
      <c r="G9" s="359"/>
    </row>
    <row r="10" spans="2:11" ht="11.25" thickBot="1"/>
    <row r="11" spans="2:11" s="291" customFormat="1" ht="11.25" thickTop="1">
      <c r="B11" s="357" t="s">
        <v>138</v>
      </c>
      <c r="C11" s="357" t="s">
        <v>211</v>
      </c>
      <c r="D11" s="357" t="s">
        <v>139</v>
      </c>
      <c r="E11" s="357" t="s">
        <v>140</v>
      </c>
      <c r="F11" s="357" t="s">
        <v>758</v>
      </c>
      <c r="G11" s="357"/>
      <c r="H11" s="357"/>
      <c r="I11" s="357"/>
      <c r="J11" s="357" t="s">
        <v>131</v>
      </c>
      <c r="K11" s="357" t="s">
        <v>206</v>
      </c>
    </row>
    <row r="12" spans="2:11" s="291" customFormat="1">
      <c r="B12" s="358"/>
      <c r="C12" s="358"/>
      <c r="D12" s="358"/>
      <c r="E12" s="358"/>
      <c r="F12" s="293" t="s">
        <v>759</v>
      </c>
      <c r="G12" s="293" t="s">
        <v>760</v>
      </c>
      <c r="H12" s="293" t="s">
        <v>761</v>
      </c>
      <c r="I12" s="293" t="s">
        <v>762</v>
      </c>
      <c r="J12" s="358"/>
      <c r="K12" s="358"/>
    </row>
    <row r="13" spans="2:11" s="292" customFormat="1" ht="11.25" thickBot="1">
      <c r="B13" s="294" t="s">
        <v>64</v>
      </c>
      <c r="C13" s="294" t="s">
        <v>65</v>
      </c>
      <c r="D13" s="294" t="s">
        <v>66</v>
      </c>
      <c r="E13" s="294" t="s">
        <v>67</v>
      </c>
      <c r="F13" s="294" t="s">
        <v>68</v>
      </c>
      <c r="G13" s="294" t="s">
        <v>160</v>
      </c>
      <c r="H13" s="294" t="s">
        <v>161</v>
      </c>
      <c r="I13" s="294" t="s">
        <v>162</v>
      </c>
      <c r="J13" s="294" t="s">
        <v>214</v>
      </c>
      <c r="K13" s="294" t="s">
        <v>215</v>
      </c>
    </row>
    <row r="14" spans="2:11" ht="11.25" thickTop="1">
      <c r="B14" s="295"/>
      <c r="C14" s="28"/>
      <c r="D14" s="28"/>
      <c r="E14" s="28"/>
      <c r="F14" s="296"/>
      <c r="G14" s="296"/>
      <c r="H14" s="296"/>
      <c r="I14" s="296"/>
      <c r="J14" s="296"/>
      <c r="K14" s="296"/>
    </row>
    <row r="15" spans="2:11">
      <c r="B15" s="297"/>
      <c r="C15" s="31"/>
      <c r="D15" s="31"/>
      <c r="E15" s="31"/>
      <c r="F15" s="59"/>
      <c r="G15" s="59"/>
      <c r="H15" s="59"/>
      <c r="I15" s="59"/>
      <c r="J15" s="59"/>
      <c r="K15" s="59"/>
    </row>
    <row r="16" spans="2:11">
      <c r="B16" s="297"/>
      <c r="C16" s="31"/>
      <c r="D16" s="31"/>
      <c r="E16" s="31"/>
      <c r="F16" s="59"/>
      <c r="G16" s="59"/>
      <c r="H16" s="59"/>
      <c r="I16" s="59"/>
      <c r="J16" s="59"/>
      <c r="K16" s="59"/>
    </row>
    <row r="17" spans="2:11">
      <c r="B17" s="297"/>
      <c r="C17" s="31"/>
      <c r="D17" s="31"/>
      <c r="E17" s="31"/>
      <c r="F17" s="59"/>
      <c r="G17" s="59"/>
      <c r="H17" s="59"/>
      <c r="I17" s="59"/>
      <c r="J17" s="59"/>
      <c r="K17" s="59"/>
    </row>
    <row r="18" spans="2:11">
      <c r="B18" s="297"/>
      <c r="C18" s="31"/>
      <c r="D18" s="31"/>
      <c r="E18" s="31"/>
      <c r="F18" s="59"/>
      <c r="G18" s="59"/>
      <c r="H18" s="59"/>
      <c r="I18" s="59"/>
      <c r="J18" s="59"/>
      <c r="K18" s="59"/>
    </row>
    <row r="19" spans="2:11">
      <c r="B19" s="297"/>
      <c r="C19" s="31"/>
      <c r="D19" s="31"/>
      <c r="E19" s="31"/>
      <c r="F19" s="59"/>
      <c r="G19" s="59"/>
      <c r="H19" s="59"/>
      <c r="I19" s="59"/>
      <c r="J19" s="59"/>
      <c r="K19" s="59"/>
    </row>
    <row r="20" spans="2:11">
      <c r="B20" s="297"/>
      <c r="C20" s="31"/>
      <c r="D20" s="31"/>
      <c r="E20" s="31"/>
      <c r="F20" s="59"/>
      <c r="G20" s="59"/>
      <c r="H20" s="59"/>
      <c r="I20" s="59"/>
      <c r="J20" s="59"/>
      <c r="K20" s="59"/>
    </row>
    <row r="21" spans="2:11">
      <c r="B21" s="297"/>
      <c r="C21" s="31"/>
      <c r="D21" s="31"/>
      <c r="E21" s="31"/>
      <c r="F21" s="59"/>
      <c r="G21" s="59"/>
      <c r="H21" s="59"/>
      <c r="I21" s="59"/>
      <c r="J21" s="59"/>
      <c r="K21" s="59"/>
    </row>
    <row r="22" spans="2:11">
      <c r="B22" s="297"/>
      <c r="C22" s="31"/>
      <c r="D22" s="31"/>
      <c r="E22" s="31"/>
      <c r="F22" s="59"/>
      <c r="G22" s="59"/>
      <c r="H22" s="59"/>
      <c r="I22" s="59"/>
      <c r="J22" s="59"/>
      <c r="K22" s="59"/>
    </row>
    <row r="23" spans="2:11">
      <c r="B23" s="297"/>
      <c r="C23" s="31"/>
      <c r="D23" s="31"/>
      <c r="E23" s="31"/>
      <c r="F23" s="59"/>
      <c r="G23" s="59"/>
      <c r="H23" s="59"/>
      <c r="I23" s="59"/>
      <c r="J23" s="59"/>
      <c r="K23" s="59"/>
    </row>
    <row r="24" spans="2:11">
      <c r="B24" s="297"/>
      <c r="C24" s="31"/>
      <c r="D24" s="31"/>
      <c r="E24" s="31"/>
      <c r="F24" s="59"/>
      <c r="G24" s="59"/>
      <c r="H24" s="59"/>
      <c r="I24" s="59"/>
      <c r="J24" s="59"/>
      <c r="K24" s="59"/>
    </row>
    <row r="25" spans="2:11">
      <c r="B25" s="297"/>
      <c r="C25" s="31"/>
      <c r="D25" s="31"/>
      <c r="E25" s="31"/>
      <c r="F25" s="59"/>
      <c r="G25" s="59"/>
      <c r="H25" s="59"/>
      <c r="I25" s="59"/>
      <c r="J25" s="59"/>
      <c r="K25" s="59"/>
    </row>
    <row r="26" spans="2:11">
      <c r="B26" s="297"/>
      <c r="C26" s="31"/>
      <c r="D26" s="31"/>
      <c r="E26" s="31"/>
      <c r="F26" s="59"/>
      <c r="G26" s="59"/>
      <c r="H26" s="59"/>
      <c r="I26" s="59"/>
      <c r="J26" s="59"/>
      <c r="K26" s="59"/>
    </row>
    <row r="27" spans="2:11">
      <c r="B27" s="297"/>
      <c r="C27" s="31"/>
      <c r="D27" s="31"/>
      <c r="E27" s="31"/>
      <c r="F27" s="59"/>
      <c r="G27" s="59"/>
      <c r="H27" s="59"/>
      <c r="I27" s="59"/>
      <c r="J27" s="59"/>
      <c r="K27" s="59"/>
    </row>
    <row r="28" spans="2:11">
      <c r="B28" s="297"/>
      <c r="C28" s="31"/>
      <c r="D28" s="31"/>
      <c r="E28" s="31"/>
      <c r="F28" s="59"/>
      <c r="G28" s="59"/>
      <c r="H28" s="59"/>
      <c r="I28" s="59"/>
      <c r="J28" s="59"/>
      <c r="K28" s="59"/>
    </row>
    <row r="29" spans="2:11">
      <c r="B29" s="297"/>
      <c r="C29" s="31"/>
      <c r="D29" s="31"/>
      <c r="E29" s="31"/>
      <c r="F29" s="59"/>
      <c r="G29" s="59"/>
      <c r="H29" s="59"/>
      <c r="I29" s="59"/>
      <c r="J29" s="59"/>
      <c r="K29" s="59"/>
    </row>
    <row r="30" spans="2:11">
      <c r="B30" s="297"/>
      <c r="C30" s="31"/>
      <c r="D30" s="31"/>
      <c r="E30" s="31"/>
      <c r="F30" s="59"/>
      <c r="G30" s="59"/>
      <c r="H30" s="59"/>
      <c r="I30" s="59"/>
      <c r="J30" s="59"/>
      <c r="K30" s="59"/>
    </row>
    <row r="31" spans="2:11">
      <c r="B31" s="297"/>
      <c r="C31" s="31"/>
      <c r="D31" s="31"/>
      <c r="E31" s="31"/>
      <c r="F31" s="59"/>
      <c r="G31" s="59"/>
      <c r="H31" s="59"/>
      <c r="I31" s="59"/>
      <c r="J31" s="59"/>
      <c r="K31" s="59"/>
    </row>
    <row r="32" spans="2:11">
      <c r="B32" s="297"/>
      <c r="C32" s="31"/>
      <c r="D32" s="31"/>
      <c r="E32" s="31"/>
      <c r="F32" s="59"/>
      <c r="G32" s="59"/>
      <c r="H32" s="59"/>
      <c r="I32" s="59"/>
      <c r="J32" s="59"/>
      <c r="K32" s="59"/>
    </row>
    <row r="33" spans="2:11">
      <c r="B33" s="297"/>
      <c r="C33" s="31"/>
      <c r="D33" s="31"/>
      <c r="E33" s="31"/>
      <c r="F33" s="59"/>
      <c r="G33" s="59"/>
      <c r="H33" s="59"/>
      <c r="I33" s="59"/>
      <c r="J33" s="59"/>
      <c r="K33" s="59"/>
    </row>
    <row r="34" spans="2:11">
      <c r="B34" s="297"/>
      <c r="C34" s="31"/>
      <c r="D34" s="31"/>
      <c r="E34" s="31"/>
      <c r="F34" s="59"/>
      <c r="G34" s="59"/>
      <c r="H34" s="59"/>
      <c r="I34" s="59"/>
      <c r="J34" s="59"/>
      <c r="K34" s="59"/>
    </row>
    <row r="35" spans="2:11">
      <c r="B35" s="297"/>
      <c r="C35" s="31"/>
      <c r="D35" s="31"/>
      <c r="E35" s="31"/>
      <c r="F35" s="59"/>
      <c r="G35" s="59"/>
      <c r="H35" s="59"/>
      <c r="I35" s="59"/>
      <c r="J35" s="59"/>
      <c r="K35" s="59"/>
    </row>
    <row r="36" spans="2:11">
      <c r="B36" s="297"/>
      <c r="C36" s="31"/>
      <c r="D36" s="31"/>
      <c r="E36" s="31"/>
      <c r="F36" s="59"/>
      <c r="G36" s="59"/>
      <c r="H36" s="59"/>
      <c r="I36" s="59"/>
      <c r="J36" s="59"/>
      <c r="K36" s="59"/>
    </row>
    <row r="37" spans="2:11">
      <c r="B37" s="297"/>
      <c r="C37" s="31"/>
      <c r="D37" s="31"/>
      <c r="E37" s="31"/>
      <c r="F37" s="59"/>
      <c r="G37" s="59"/>
      <c r="H37" s="59"/>
      <c r="I37" s="59"/>
      <c r="J37" s="59"/>
      <c r="K37" s="59"/>
    </row>
    <row r="38" spans="2:11">
      <c r="B38" s="297"/>
      <c r="C38" s="31"/>
      <c r="D38" s="31"/>
      <c r="E38" s="31"/>
      <c r="F38" s="59"/>
      <c r="G38" s="59"/>
      <c r="H38" s="59"/>
      <c r="I38" s="59"/>
      <c r="J38" s="59"/>
      <c r="K38" s="59"/>
    </row>
    <row r="39" spans="2:11">
      <c r="B39" s="297"/>
      <c r="C39" s="31"/>
      <c r="D39" s="31"/>
      <c r="E39" s="31"/>
      <c r="F39" s="59"/>
      <c r="G39" s="59"/>
      <c r="H39" s="59"/>
      <c r="I39" s="59"/>
      <c r="J39" s="59"/>
      <c r="K39" s="59"/>
    </row>
    <row r="40" spans="2:11">
      <c r="B40" s="297"/>
      <c r="C40" s="31"/>
      <c r="D40" s="31"/>
      <c r="E40" s="31"/>
      <c r="F40" s="59"/>
      <c r="G40" s="59"/>
      <c r="H40" s="59"/>
      <c r="I40" s="59"/>
      <c r="J40" s="59"/>
      <c r="K40" s="59"/>
    </row>
    <row r="41" spans="2:11">
      <c r="B41" s="297"/>
      <c r="C41" s="31"/>
      <c r="D41" s="31"/>
      <c r="E41" s="31"/>
      <c r="F41" s="59"/>
      <c r="G41" s="59"/>
      <c r="H41" s="59"/>
      <c r="I41" s="59"/>
      <c r="J41" s="59"/>
      <c r="K41" s="59"/>
    </row>
    <row r="42" spans="2:11">
      <c r="B42" s="297"/>
      <c r="C42" s="31"/>
      <c r="D42" s="31"/>
      <c r="E42" s="31"/>
      <c r="F42" s="59"/>
      <c r="G42" s="59"/>
      <c r="H42" s="59"/>
      <c r="I42" s="59"/>
      <c r="J42" s="59"/>
      <c r="K42" s="59"/>
    </row>
    <row r="43" spans="2:11">
      <c r="B43" s="297"/>
      <c r="C43" s="31"/>
      <c r="D43" s="31"/>
      <c r="E43" s="31"/>
      <c r="F43" s="59"/>
      <c r="G43" s="59"/>
      <c r="H43" s="59"/>
      <c r="I43" s="59"/>
      <c r="J43" s="59"/>
      <c r="K43" s="59"/>
    </row>
    <row r="44" spans="2:11">
      <c r="B44" s="297"/>
      <c r="C44" s="31"/>
      <c r="D44" s="31"/>
      <c r="E44" s="31"/>
      <c r="F44" s="59"/>
      <c r="G44" s="59"/>
      <c r="H44" s="59"/>
      <c r="I44" s="59"/>
      <c r="J44" s="59"/>
      <c r="K44" s="59"/>
    </row>
    <row r="45" spans="2:11"/>
    <row r="46" spans="2:11" ht="12.75">
      <c r="C46" s="48" t="s">
        <v>143</v>
      </c>
      <c r="J46" s="48" t="str">
        <f>IF(AND(desa_kel&lt;&gt;"",periode_sampai&lt;&gt;""),desa_kel&amp;", "&amp;periode_sampai,"....................., ................................")</f>
        <v>Slatri, 31 Maret 2013</v>
      </c>
    </row>
    <row r="47" spans="2:11" ht="12.75">
      <c r="C47" s="48" t="s">
        <v>144</v>
      </c>
      <c r="J47" s="48"/>
    </row>
    <row r="48" spans="2:11" ht="12.75">
      <c r="C48" s="48"/>
      <c r="J48" s="48" t="s">
        <v>145</v>
      </c>
    </row>
    <row r="49" spans="3:10" ht="12.75">
      <c r="C49" s="48"/>
      <c r="J49" s="48"/>
    </row>
    <row r="50" spans="3:10" ht="12.75">
      <c r="C50" s="48"/>
      <c r="J50" s="48"/>
    </row>
    <row r="51" spans="3:10" ht="12.75">
      <c r="C51" s="48"/>
      <c r="J51" s="48"/>
    </row>
    <row r="52" spans="3:10" ht="12.75">
      <c r="C52" s="48"/>
      <c r="J52" s="48"/>
    </row>
    <row r="53" spans="3:10" ht="12.75">
      <c r="C53" s="48"/>
      <c r="J53" s="48"/>
    </row>
    <row r="54" spans="3:10" ht="12.75">
      <c r="C54" s="258" t="str">
        <f>IF(AND(nama_sekolah&lt;&gt;"",nama_ks&lt;&gt;""),UPPER(nama_ks),".............................")</f>
        <v>EKO WAHYONO, S.PD., M.M.</v>
      </c>
      <c r="J54" s="258" t="str">
        <f>IF(AND(nama_sekolah&lt;&gt;"",nama_bend&lt;&gt;""),UPPER(nama_bend),".............................")</f>
        <v>MISMUN, S.PD.I.</v>
      </c>
    </row>
    <row r="55" spans="3:10" ht="12.75">
      <c r="C55" s="259" t="str">
        <f>"NIP "&amp;IF(AND(nama_sekolah&lt;&gt;"",nama_ks&lt;&gt;"",nip_ks),nip_ks,".............................")</f>
        <v>NIP 19650321 198608 1 001</v>
      </c>
      <c r="J55" s="259" t="str">
        <f>"NIP "&amp;IF(AND(nama_sekolah&lt;&gt;"",nama_bend&lt;&gt;"",nip_bend),nip_bend,".............................")</f>
        <v>NIP 19540212 198304 1 001</v>
      </c>
    </row>
    <row r="56" spans="3:10"/>
    <row r="57" spans="3:10"/>
  </sheetData>
  <sheetProtection sheet="1" objects="1" scenarios="1" selectLockedCells="1" autoFilter="0"/>
  <autoFilter ref="B13:K44"/>
  <mergeCells count="22">
    <mergeCell ref="D7:G7"/>
    <mergeCell ref="D8:G8"/>
    <mergeCell ref="D9:G9"/>
    <mergeCell ref="J5:K5"/>
    <mergeCell ref="J6:K6"/>
    <mergeCell ref="J7:K7"/>
    <mergeCell ref="B11:B12"/>
    <mergeCell ref="B2:K2"/>
    <mergeCell ref="B3:K3"/>
    <mergeCell ref="B5:C5"/>
    <mergeCell ref="B6:C6"/>
    <mergeCell ref="B7:C7"/>
    <mergeCell ref="B8:C8"/>
    <mergeCell ref="B9:C9"/>
    <mergeCell ref="D5:G5"/>
    <mergeCell ref="D6:G6"/>
    <mergeCell ref="F11:I11"/>
    <mergeCell ref="K11:K12"/>
    <mergeCell ref="J11:J12"/>
    <mergeCell ref="E11:E12"/>
    <mergeCell ref="D11:D12"/>
    <mergeCell ref="C11:C12"/>
  </mergeCells>
  <pageMargins left="0.59055118110236227" right="1.3779527559055118" top="0.59055118110236227" bottom="0.78740157480314965" header="0.39370078740157483" footer="0.39370078740157483"/>
  <pageSetup paperSize="5" orientation="landscape" horizontalDpi="4294967293" verticalDpi="0" r:id="rId1"/>
  <drawing r:id="rId2"/>
  <picture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L286"/>
  <sheetViews>
    <sheetView showGridLines="0" showRowColHeaders="0" topLeftCell="A10" zoomScale="120" zoomScaleNormal="120" workbookViewId="0">
      <pane xSplit="12" ySplit="5" topLeftCell="XER15" activePane="bottomRight" state="frozen"/>
      <selection activeCell="A10" sqref="A10"/>
      <selection pane="topRight" activeCell="M10" sqref="M10"/>
      <selection pane="bottomLeft" activeCell="A15" sqref="A15"/>
      <selection pane="bottomRight" activeCell="G19" sqref="G19"/>
    </sheetView>
  </sheetViews>
  <sheetFormatPr defaultColWidth="0" defaultRowHeight="10.5" zeroHeight="1"/>
  <cols>
    <col min="1" max="1" width="1.7109375" style="4" customWidth="1"/>
    <col min="2" max="2" width="7" style="4" bestFit="1" customWidth="1"/>
    <col min="3" max="3" width="9.7109375" style="4" customWidth="1"/>
    <col min="4" max="4" width="42.7109375" style="4" customWidth="1"/>
    <col min="5" max="11" width="12.7109375" style="4" customWidth="1"/>
    <col min="12" max="12" width="1.7109375" style="4" customWidth="1"/>
    <col min="13" max="16384" width="9.140625" style="4" hidden="1"/>
  </cols>
  <sheetData>
    <row r="1" spans="2:12">
      <c r="H1" s="143"/>
      <c r="I1" s="143"/>
      <c r="J1" s="143"/>
      <c r="K1" s="143"/>
      <c r="L1" s="143"/>
    </row>
    <row r="2" spans="2:12" s="5" customFormat="1" ht="12.75">
      <c r="B2" s="368" t="s">
        <v>52</v>
      </c>
      <c r="C2" s="368"/>
      <c r="D2" s="368"/>
      <c r="E2" s="368"/>
      <c r="F2" s="368"/>
      <c r="G2" s="368"/>
      <c r="H2" s="368"/>
      <c r="I2" s="368"/>
      <c r="J2" s="368"/>
      <c r="K2" s="368"/>
    </row>
    <row r="3" spans="2:12" s="5" customFormat="1" ht="12.75">
      <c r="B3" s="369" t="str">
        <f>"TAHUN ANGGARAN "&amp;tahun_anggaran</f>
        <v>TAHUN ANGGARAN 2013</v>
      </c>
      <c r="C3" s="369"/>
      <c r="D3" s="369"/>
      <c r="E3" s="369"/>
      <c r="F3" s="369"/>
      <c r="G3" s="369"/>
      <c r="H3" s="369"/>
      <c r="I3" s="369"/>
      <c r="J3" s="369"/>
      <c r="K3" s="369"/>
    </row>
    <row r="4" spans="2:12" s="5" customFormat="1" ht="12.75">
      <c r="B4" s="369" t="str">
        <f>"PERIODE TANGGAL: "&amp;UPPER(periode_dari)&amp;" s.d. "&amp;UPPER(periode_sampai)</f>
        <v>PERIODE TANGGAL: 01 JANUARI 2013 s.d. 31 MARET 2013</v>
      </c>
      <c r="C4" s="369"/>
      <c r="D4" s="369"/>
      <c r="E4" s="369"/>
      <c r="F4" s="369"/>
      <c r="G4" s="369"/>
      <c r="H4" s="369"/>
      <c r="I4" s="369"/>
      <c r="J4" s="369"/>
      <c r="K4" s="369"/>
    </row>
    <row r="5" spans="2:12" s="5" customFormat="1" ht="12.75"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2:12" s="5" customFormat="1" ht="12.75">
      <c r="B6" s="363" t="s">
        <v>53</v>
      </c>
      <c r="C6" s="363"/>
      <c r="D6" s="147" t="str">
        <f>": "&amp;IF(nama_sekolah&lt;&gt;"",UPPER(nama_sekolah),"")</f>
        <v>: SD NEGERI 3 SLATRI</v>
      </c>
      <c r="E6" s="144"/>
      <c r="F6" s="144"/>
      <c r="G6" s="144"/>
      <c r="H6" s="144"/>
      <c r="I6" s="144"/>
      <c r="J6" s="144"/>
      <c r="K6" s="144"/>
    </row>
    <row r="7" spans="2:12" s="5" customFormat="1" ht="12.75">
      <c r="B7" s="363" t="s">
        <v>8</v>
      </c>
      <c r="C7" s="363"/>
      <c r="D7" s="147" t="str">
        <f>": "&amp;IF(kec&lt;&gt;"",UPPER(kec),"")</f>
        <v>: KARANGKOBAR</v>
      </c>
      <c r="E7" s="144"/>
      <c r="F7" s="144"/>
      <c r="G7" s="144"/>
      <c r="H7" s="144"/>
      <c r="I7" s="370" t="s">
        <v>49</v>
      </c>
      <c r="J7" s="370"/>
      <c r="K7" s="370"/>
    </row>
    <row r="8" spans="2:12" s="5" customFormat="1" ht="12.75">
      <c r="B8" s="363" t="s">
        <v>9</v>
      </c>
      <c r="C8" s="363"/>
      <c r="D8" s="147" t="str">
        <f>": "&amp;IF(kab_kota&lt;&gt;"",UPPER(kab_kota),"")</f>
        <v>: KAB. BANJARNEGARA</v>
      </c>
      <c r="E8" s="144"/>
      <c r="F8" s="144"/>
      <c r="G8" s="144"/>
      <c r="H8" s="144"/>
      <c r="I8" s="371" t="s">
        <v>50</v>
      </c>
      <c r="J8" s="371"/>
      <c r="K8" s="371"/>
    </row>
    <row r="9" spans="2:12" s="5" customFormat="1" ht="12.75">
      <c r="B9" s="363" t="s">
        <v>10</v>
      </c>
      <c r="C9" s="363"/>
      <c r="D9" s="147" t="str">
        <f>": "&amp;IF(provinsi&lt;&gt;"",UPPER(provinsi),"")</f>
        <v>: JAWA TENGAH</v>
      </c>
      <c r="E9" s="144"/>
      <c r="F9" s="144"/>
      <c r="G9" s="144"/>
      <c r="H9" s="144"/>
      <c r="I9" s="372" t="s">
        <v>51</v>
      </c>
      <c r="J9" s="372"/>
      <c r="K9" s="372"/>
    </row>
    <row r="10" spans="2:12" s="5" customFormat="1" ht="13.5" thickBo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2" ht="11.25" thickTop="1">
      <c r="B11" s="367" t="s">
        <v>54</v>
      </c>
      <c r="C11" s="367" t="s">
        <v>633</v>
      </c>
      <c r="D11" s="367" t="s">
        <v>56</v>
      </c>
      <c r="E11" s="367" t="s">
        <v>57</v>
      </c>
      <c r="F11" s="367" t="s">
        <v>58</v>
      </c>
      <c r="G11" s="367"/>
      <c r="H11" s="367"/>
      <c r="I11" s="367"/>
      <c r="J11" s="367"/>
      <c r="K11" s="367"/>
    </row>
    <row r="12" spans="2:12">
      <c r="B12" s="365"/>
      <c r="C12" s="365"/>
      <c r="D12" s="365"/>
      <c r="E12" s="365"/>
      <c r="F12" s="365" t="s">
        <v>59</v>
      </c>
      <c r="G12" s="365" t="s">
        <v>60</v>
      </c>
      <c r="H12" s="365"/>
      <c r="I12" s="365"/>
      <c r="J12" s="365" t="s">
        <v>61</v>
      </c>
      <c r="K12" s="366" t="s">
        <v>62</v>
      </c>
    </row>
    <row r="13" spans="2:12">
      <c r="B13" s="365"/>
      <c r="C13" s="365"/>
      <c r="D13" s="365"/>
      <c r="E13" s="365"/>
      <c r="F13" s="365"/>
      <c r="G13" s="148" t="s">
        <v>63</v>
      </c>
      <c r="H13" s="148" t="s">
        <v>10</v>
      </c>
      <c r="I13" s="148" t="s">
        <v>9</v>
      </c>
      <c r="J13" s="365"/>
      <c r="K13" s="365"/>
    </row>
    <row r="14" spans="2:12" ht="11.25" thickBot="1">
      <c r="B14" s="164" t="s">
        <v>64</v>
      </c>
      <c r="C14" s="164" t="s">
        <v>65</v>
      </c>
      <c r="D14" s="164" t="s">
        <v>66</v>
      </c>
      <c r="E14" s="164" t="s">
        <v>67</v>
      </c>
      <c r="F14" s="164"/>
      <c r="G14" s="164"/>
      <c r="H14" s="164" t="s">
        <v>68</v>
      </c>
      <c r="I14" s="164"/>
      <c r="J14" s="164"/>
      <c r="K14" s="164"/>
    </row>
    <row r="15" spans="2:12" ht="11.25" thickTop="1">
      <c r="B15" s="6"/>
      <c r="C15" s="6"/>
      <c r="D15" s="111" t="s">
        <v>70</v>
      </c>
      <c r="E15" s="154">
        <f>F15+G15+H15+I15+J15+K15</f>
        <v>6960000</v>
      </c>
      <c r="F15" s="154"/>
      <c r="G15" s="154">
        <f>48*145000</f>
        <v>6960000</v>
      </c>
      <c r="H15" s="154"/>
      <c r="I15" s="154"/>
      <c r="J15" s="154"/>
      <c r="K15" s="154"/>
    </row>
    <row r="16" spans="2:12">
      <c r="B16" s="108"/>
      <c r="C16" s="108"/>
      <c r="D16" s="112" t="s">
        <v>72</v>
      </c>
      <c r="E16" s="155"/>
      <c r="F16" s="155"/>
      <c r="G16" s="155"/>
      <c r="H16" s="155"/>
      <c r="I16" s="155"/>
      <c r="J16" s="155"/>
      <c r="K16" s="155"/>
    </row>
    <row r="17" spans="2:11">
      <c r="B17" s="110" t="s">
        <v>69</v>
      </c>
      <c r="C17" s="110"/>
      <c r="D17" s="113" t="s">
        <v>73</v>
      </c>
      <c r="E17" s="156"/>
      <c r="F17" s="156"/>
      <c r="G17" s="156"/>
      <c r="H17" s="156"/>
      <c r="I17" s="156"/>
      <c r="J17" s="156"/>
      <c r="K17" s="156"/>
    </row>
    <row r="18" spans="2:11" s="109" customFormat="1">
      <c r="B18" s="149">
        <v>1</v>
      </c>
      <c r="C18" s="149"/>
      <c r="D18" s="150" t="s">
        <v>216</v>
      </c>
      <c r="E18" s="157">
        <f>SUM(E19:E26)</f>
        <v>0</v>
      </c>
      <c r="F18" s="157">
        <f t="shared" ref="F18:K18" si="0">SUM(F19:F26)</f>
        <v>0</v>
      </c>
      <c r="G18" s="157">
        <f t="shared" si="0"/>
        <v>0</v>
      </c>
      <c r="H18" s="157">
        <f t="shared" si="0"/>
        <v>0</v>
      </c>
      <c r="I18" s="157">
        <f t="shared" si="0"/>
        <v>0</v>
      </c>
      <c r="J18" s="157">
        <f t="shared" si="0"/>
        <v>0</v>
      </c>
      <c r="K18" s="157">
        <f t="shared" si="0"/>
        <v>0</v>
      </c>
    </row>
    <row r="19" spans="2:11" s="114" customFormat="1">
      <c r="B19" s="161" t="s">
        <v>217</v>
      </c>
      <c r="C19" s="161"/>
      <c r="D19" s="162" t="s">
        <v>218</v>
      </c>
      <c r="E19" s="163">
        <f t="shared" ref="E19:E68" si="1">F19+G19+H19+I19+J19+K19</f>
        <v>0</v>
      </c>
      <c r="F19" s="160"/>
      <c r="G19" s="160"/>
      <c r="H19" s="160"/>
      <c r="I19" s="160"/>
      <c r="J19" s="160"/>
      <c r="K19" s="160"/>
    </row>
    <row r="20" spans="2:11" s="114" customFormat="1">
      <c r="B20" s="161" t="s">
        <v>304</v>
      </c>
      <c r="C20" s="161"/>
      <c r="D20" s="162" t="s">
        <v>305</v>
      </c>
      <c r="E20" s="163">
        <f t="shared" si="1"/>
        <v>0</v>
      </c>
      <c r="F20" s="160"/>
      <c r="G20" s="160"/>
      <c r="H20" s="160"/>
      <c r="I20" s="160"/>
      <c r="J20" s="160"/>
      <c r="K20" s="160"/>
    </row>
    <row r="21" spans="2:11" s="114" customFormat="1">
      <c r="B21" s="161" t="s">
        <v>306</v>
      </c>
      <c r="C21" s="161"/>
      <c r="D21" s="162" t="s">
        <v>320</v>
      </c>
      <c r="E21" s="163">
        <f t="shared" si="1"/>
        <v>0</v>
      </c>
      <c r="F21" s="160"/>
      <c r="G21" s="160"/>
      <c r="H21" s="160"/>
      <c r="I21" s="160"/>
      <c r="J21" s="160"/>
      <c r="K21" s="160"/>
    </row>
    <row r="22" spans="2:11" s="114" customFormat="1">
      <c r="B22" s="161" t="s">
        <v>307</v>
      </c>
      <c r="C22" s="161"/>
      <c r="D22" s="162" t="s">
        <v>321</v>
      </c>
      <c r="E22" s="163">
        <f t="shared" si="1"/>
        <v>0</v>
      </c>
      <c r="F22" s="160"/>
      <c r="G22" s="160"/>
      <c r="H22" s="160"/>
      <c r="I22" s="160"/>
      <c r="J22" s="160"/>
      <c r="K22" s="160"/>
    </row>
    <row r="23" spans="2:11" s="114" customFormat="1">
      <c r="B23" s="161" t="s">
        <v>308</v>
      </c>
      <c r="C23" s="161"/>
      <c r="D23" s="162" t="s">
        <v>322</v>
      </c>
      <c r="E23" s="163">
        <f t="shared" si="1"/>
        <v>0</v>
      </c>
      <c r="F23" s="160"/>
      <c r="G23" s="160"/>
      <c r="H23" s="160"/>
      <c r="I23" s="160"/>
      <c r="J23" s="160"/>
      <c r="K23" s="160"/>
    </row>
    <row r="24" spans="2:11" s="114" customFormat="1">
      <c r="B24" s="161" t="s">
        <v>371</v>
      </c>
      <c r="C24" s="161"/>
      <c r="D24" s="162" t="s">
        <v>372</v>
      </c>
      <c r="E24" s="163">
        <f t="shared" si="1"/>
        <v>0</v>
      </c>
      <c r="F24" s="160"/>
      <c r="G24" s="160"/>
      <c r="H24" s="160"/>
      <c r="I24" s="160"/>
      <c r="J24" s="160"/>
      <c r="K24" s="160"/>
    </row>
    <row r="25" spans="2:11" s="114" customFormat="1">
      <c r="B25" s="161" t="s">
        <v>463</v>
      </c>
      <c r="C25" s="161"/>
      <c r="D25" s="162" t="s">
        <v>620</v>
      </c>
      <c r="E25" s="163">
        <f t="shared" si="1"/>
        <v>0</v>
      </c>
      <c r="F25" s="160"/>
      <c r="G25" s="160"/>
      <c r="H25" s="160"/>
      <c r="I25" s="160"/>
      <c r="J25" s="160"/>
      <c r="K25" s="160"/>
    </row>
    <row r="26" spans="2:11" s="114" customFormat="1">
      <c r="B26" s="161" t="s">
        <v>619</v>
      </c>
      <c r="C26" s="161"/>
      <c r="D26" s="162" t="s">
        <v>620</v>
      </c>
      <c r="E26" s="163">
        <f t="shared" si="1"/>
        <v>0</v>
      </c>
      <c r="F26" s="160"/>
      <c r="G26" s="160"/>
      <c r="H26" s="160"/>
      <c r="I26" s="160"/>
      <c r="J26" s="160"/>
      <c r="K26" s="160"/>
    </row>
    <row r="27" spans="2:11" s="109" customFormat="1">
      <c r="B27" s="149">
        <v>2</v>
      </c>
      <c r="C27" s="149"/>
      <c r="D27" s="150" t="s">
        <v>309</v>
      </c>
      <c r="E27" s="157">
        <f>SUM(E28:E36)</f>
        <v>555000</v>
      </c>
      <c r="F27" s="157">
        <f t="shared" ref="F27:K27" si="2">SUM(F28:F36)</f>
        <v>0</v>
      </c>
      <c r="G27" s="157">
        <f t="shared" si="2"/>
        <v>555000</v>
      </c>
      <c r="H27" s="157">
        <f t="shared" si="2"/>
        <v>0</v>
      </c>
      <c r="I27" s="157">
        <f t="shared" si="2"/>
        <v>0</v>
      </c>
      <c r="J27" s="157">
        <f t="shared" si="2"/>
        <v>0</v>
      </c>
      <c r="K27" s="157">
        <f t="shared" si="2"/>
        <v>0</v>
      </c>
    </row>
    <row r="28" spans="2:11" s="114" customFormat="1">
      <c r="B28" s="161" t="s">
        <v>76</v>
      </c>
      <c r="C28" s="161"/>
      <c r="D28" s="162" t="s">
        <v>310</v>
      </c>
      <c r="E28" s="163">
        <f t="shared" si="1"/>
        <v>25000</v>
      </c>
      <c r="F28" s="160"/>
      <c r="G28" s="160">
        <f>1*25000</f>
        <v>25000</v>
      </c>
      <c r="H28" s="160"/>
      <c r="I28" s="160"/>
      <c r="J28" s="160"/>
      <c r="K28" s="160"/>
    </row>
    <row r="29" spans="2:11" s="114" customFormat="1">
      <c r="B29" s="161" t="s">
        <v>77</v>
      </c>
      <c r="C29" s="161"/>
      <c r="D29" s="162" t="s">
        <v>311</v>
      </c>
      <c r="E29" s="163">
        <f t="shared" si="1"/>
        <v>90000</v>
      </c>
      <c r="F29" s="160"/>
      <c r="G29" s="160">
        <f>6*15000</f>
        <v>90000</v>
      </c>
      <c r="H29" s="160"/>
      <c r="I29" s="160"/>
      <c r="J29" s="160"/>
      <c r="K29" s="160"/>
    </row>
    <row r="30" spans="2:11" s="114" customFormat="1">
      <c r="B30" s="161" t="s">
        <v>79</v>
      </c>
      <c r="C30" s="161"/>
      <c r="D30" s="162" t="s">
        <v>312</v>
      </c>
      <c r="E30" s="163">
        <f t="shared" si="1"/>
        <v>90000</v>
      </c>
      <c r="F30" s="160"/>
      <c r="G30" s="160">
        <f>6*15000</f>
        <v>90000</v>
      </c>
      <c r="H30" s="160"/>
      <c r="I30" s="160"/>
      <c r="J30" s="160"/>
      <c r="K30" s="160"/>
    </row>
    <row r="31" spans="2:11" s="114" customFormat="1">
      <c r="B31" s="161" t="s">
        <v>167</v>
      </c>
      <c r="C31" s="161"/>
      <c r="D31" s="162" t="s">
        <v>313</v>
      </c>
      <c r="E31" s="163">
        <f t="shared" si="1"/>
        <v>175000</v>
      </c>
      <c r="F31" s="160"/>
      <c r="G31" s="160">
        <f>7*25000</f>
        <v>175000</v>
      </c>
      <c r="H31" s="160"/>
      <c r="I31" s="160"/>
      <c r="J31" s="160"/>
      <c r="K31" s="160"/>
    </row>
    <row r="32" spans="2:11" s="114" customFormat="1">
      <c r="B32" s="161" t="s">
        <v>168</v>
      </c>
      <c r="C32" s="161"/>
      <c r="D32" s="162" t="s">
        <v>314</v>
      </c>
      <c r="E32" s="163">
        <f t="shared" si="1"/>
        <v>175000</v>
      </c>
      <c r="F32" s="160"/>
      <c r="G32" s="160">
        <f>7*25000</f>
        <v>175000</v>
      </c>
      <c r="H32" s="160"/>
      <c r="I32" s="160"/>
      <c r="J32" s="160"/>
      <c r="K32" s="160"/>
    </row>
    <row r="33" spans="2:11" s="114" customFormat="1">
      <c r="B33" s="161" t="s">
        <v>315</v>
      </c>
      <c r="C33" s="161"/>
      <c r="D33" s="162" t="s">
        <v>316</v>
      </c>
      <c r="E33" s="163">
        <f t="shared" si="1"/>
        <v>0</v>
      </c>
      <c r="F33" s="160"/>
      <c r="G33" s="160"/>
      <c r="H33" s="160"/>
      <c r="I33" s="160"/>
      <c r="J33" s="160"/>
      <c r="K33" s="160"/>
    </row>
    <row r="34" spans="2:11" s="114" customFormat="1">
      <c r="B34" s="161" t="s">
        <v>317</v>
      </c>
      <c r="C34" s="161"/>
      <c r="D34" s="162" t="s">
        <v>318</v>
      </c>
      <c r="E34" s="163">
        <f t="shared" si="1"/>
        <v>0</v>
      </c>
      <c r="F34" s="160"/>
      <c r="G34" s="160"/>
      <c r="H34" s="160"/>
      <c r="I34" s="160"/>
      <c r="J34" s="160"/>
      <c r="K34" s="160"/>
    </row>
    <row r="35" spans="2:11" s="114" customFormat="1">
      <c r="B35" s="161" t="s">
        <v>319</v>
      </c>
      <c r="C35" s="161"/>
      <c r="D35" s="162" t="s">
        <v>622</v>
      </c>
      <c r="E35" s="163">
        <f t="shared" si="1"/>
        <v>0</v>
      </c>
      <c r="F35" s="160"/>
      <c r="G35" s="160"/>
      <c r="H35" s="160"/>
      <c r="I35" s="160"/>
      <c r="J35" s="160"/>
      <c r="K35" s="160"/>
    </row>
    <row r="36" spans="2:11" s="114" customFormat="1">
      <c r="B36" s="161" t="s">
        <v>621</v>
      </c>
      <c r="C36" s="161"/>
      <c r="D36" s="162" t="s">
        <v>622</v>
      </c>
      <c r="E36" s="163">
        <f t="shared" si="1"/>
        <v>0</v>
      </c>
      <c r="F36" s="160"/>
      <c r="G36" s="160"/>
      <c r="H36" s="160"/>
      <c r="I36" s="160"/>
      <c r="J36" s="160"/>
      <c r="K36" s="160"/>
    </row>
    <row r="37" spans="2:11" s="109" customFormat="1">
      <c r="B37" s="149">
        <v>3</v>
      </c>
      <c r="C37" s="149"/>
      <c r="D37" s="150" t="s">
        <v>323</v>
      </c>
      <c r="E37" s="157">
        <f>E38+E52+E60</f>
        <v>1816000</v>
      </c>
      <c r="F37" s="157">
        <f t="shared" ref="F37:K37" si="3">F38+F52+F60</f>
        <v>0</v>
      </c>
      <c r="G37" s="157">
        <f t="shared" si="3"/>
        <v>1816000</v>
      </c>
      <c r="H37" s="157">
        <f t="shared" si="3"/>
        <v>0</v>
      </c>
      <c r="I37" s="157">
        <f t="shared" si="3"/>
        <v>0</v>
      </c>
      <c r="J37" s="157">
        <f t="shared" si="3"/>
        <v>0</v>
      </c>
      <c r="K37" s="157">
        <f t="shared" si="3"/>
        <v>0</v>
      </c>
    </row>
    <row r="38" spans="2:11">
      <c r="B38" s="115" t="s">
        <v>173</v>
      </c>
      <c r="C38" s="115"/>
      <c r="D38" s="116" t="s">
        <v>324</v>
      </c>
      <c r="E38" s="158">
        <f>E39+E46</f>
        <v>581000</v>
      </c>
      <c r="F38" s="158">
        <f t="shared" ref="F38:K38" si="4">F39+F46</f>
        <v>0</v>
      </c>
      <c r="G38" s="158">
        <f t="shared" si="4"/>
        <v>581000</v>
      </c>
      <c r="H38" s="158">
        <f t="shared" si="4"/>
        <v>0</v>
      </c>
      <c r="I38" s="158">
        <f t="shared" si="4"/>
        <v>0</v>
      </c>
      <c r="J38" s="158">
        <f t="shared" si="4"/>
        <v>0</v>
      </c>
      <c r="K38" s="158">
        <f t="shared" si="4"/>
        <v>0</v>
      </c>
    </row>
    <row r="39" spans="2:11">
      <c r="B39" s="141" t="s">
        <v>325</v>
      </c>
      <c r="C39" s="141"/>
      <c r="D39" s="142" t="s">
        <v>326</v>
      </c>
      <c r="E39" s="159">
        <f>SUM(E40:E45)</f>
        <v>401000</v>
      </c>
      <c r="F39" s="159">
        <f t="shared" ref="F39:K39" si="5">SUM(F40:F45)</f>
        <v>0</v>
      </c>
      <c r="G39" s="159">
        <f t="shared" si="5"/>
        <v>401000</v>
      </c>
      <c r="H39" s="159">
        <f t="shared" si="5"/>
        <v>0</v>
      </c>
      <c r="I39" s="159">
        <f t="shared" si="5"/>
        <v>0</v>
      </c>
      <c r="J39" s="159">
        <f t="shared" si="5"/>
        <v>0</v>
      </c>
      <c r="K39" s="159">
        <f t="shared" si="5"/>
        <v>0</v>
      </c>
    </row>
    <row r="40" spans="2:11" s="114" customFormat="1">
      <c r="B40" s="161"/>
      <c r="C40" s="161"/>
      <c r="D40" s="162" t="s">
        <v>328</v>
      </c>
      <c r="E40" s="163">
        <f t="shared" si="1"/>
        <v>216000</v>
      </c>
      <c r="F40" s="160"/>
      <c r="G40" s="160">
        <f>72*3000</f>
        <v>216000</v>
      </c>
      <c r="H40" s="160"/>
      <c r="I40" s="160"/>
      <c r="J40" s="160"/>
      <c r="K40" s="160"/>
    </row>
    <row r="41" spans="2:11" s="114" customFormat="1">
      <c r="B41" s="161"/>
      <c r="C41" s="161"/>
      <c r="D41" s="162" t="s">
        <v>329</v>
      </c>
      <c r="E41" s="163">
        <f t="shared" si="1"/>
        <v>30000</v>
      </c>
      <c r="F41" s="160"/>
      <c r="G41" s="160">
        <f>12*2500</f>
        <v>30000</v>
      </c>
      <c r="H41" s="160"/>
      <c r="I41" s="160"/>
      <c r="J41" s="160"/>
      <c r="K41" s="160"/>
    </row>
    <row r="42" spans="2:11" s="114" customFormat="1">
      <c r="B42" s="161"/>
      <c r="C42" s="161"/>
      <c r="D42" s="162" t="s">
        <v>330</v>
      </c>
      <c r="E42" s="163">
        <f t="shared" si="1"/>
        <v>35000</v>
      </c>
      <c r="F42" s="160"/>
      <c r="G42" s="160">
        <f>10*3500</f>
        <v>35000</v>
      </c>
      <c r="H42" s="160"/>
      <c r="I42" s="160"/>
      <c r="J42" s="160"/>
      <c r="K42" s="160"/>
    </row>
    <row r="43" spans="2:11" s="114" customFormat="1">
      <c r="B43" s="161"/>
      <c r="C43" s="161"/>
      <c r="D43" s="162" t="s">
        <v>334</v>
      </c>
      <c r="E43" s="163">
        <f t="shared" si="1"/>
        <v>60000</v>
      </c>
      <c r="F43" s="160"/>
      <c r="G43" s="160">
        <f>6*10000</f>
        <v>60000</v>
      </c>
      <c r="H43" s="160"/>
      <c r="I43" s="160"/>
      <c r="J43" s="160"/>
      <c r="K43" s="160"/>
    </row>
    <row r="44" spans="2:11" s="114" customFormat="1">
      <c r="B44" s="161"/>
      <c r="C44" s="161"/>
      <c r="D44" s="162" t="s">
        <v>335</v>
      </c>
      <c r="E44" s="163">
        <f t="shared" si="1"/>
        <v>60000</v>
      </c>
      <c r="F44" s="160"/>
      <c r="G44" s="160">
        <f>6*10000</f>
        <v>60000</v>
      </c>
      <c r="H44" s="160"/>
      <c r="I44" s="160"/>
      <c r="J44" s="160"/>
      <c r="K44" s="160"/>
    </row>
    <row r="45" spans="2:11" s="114" customFormat="1">
      <c r="B45" s="161"/>
      <c r="C45" s="161"/>
      <c r="D45" s="162" t="s">
        <v>264</v>
      </c>
      <c r="E45" s="163">
        <f t="shared" si="1"/>
        <v>0</v>
      </c>
      <c r="F45" s="160"/>
      <c r="G45" s="160"/>
      <c r="H45" s="160"/>
      <c r="I45" s="160"/>
      <c r="J45" s="160"/>
      <c r="K45" s="160"/>
    </row>
    <row r="46" spans="2:11">
      <c r="B46" s="141" t="s">
        <v>327</v>
      </c>
      <c r="C46" s="141"/>
      <c r="D46" s="142" t="s">
        <v>333</v>
      </c>
      <c r="E46" s="159">
        <f>SUM(E47:E51)</f>
        <v>180000</v>
      </c>
      <c r="F46" s="159">
        <f t="shared" ref="F46:K46" si="6">SUM(F47:F51)</f>
        <v>0</v>
      </c>
      <c r="G46" s="159">
        <f t="shared" si="6"/>
        <v>180000</v>
      </c>
      <c r="H46" s="159">
        <f t="shared" si="6"/>
        <v>0</v>
      </c>
      <c r="I46" s="159">
        <f t="shared" si="6"/>
        <v>0</v>
      </c>
      <c r="J46" s="159">
        <f t="shared" si="6"/>
        <v>0</v>
      </c>
      <c r="K46" s="159">
        <f t="shared" si="6"/>
        <v>0</v>
      </c>
    </row>
    <row r="47" spans="2:11" s="114" customFormat="1">
      <c r="B47" s="161"/>
      <c r="C47" s="161"/>
      <c r="D47" s="162" t="s">
        <v>331</v>
      </c>
      <c r="E47" s="163">
        <f t="shared" si="1"/>
        <v>50000</v>
      </c>
      <c r="F47" s="160"/>
      <c r="G47" s="160">
        <f>5*10000</f>
        <v>50000</v>
      </c>
      <c r="H47" s="160"/>
      <c r="I47" s="160"/>
      <c r="J47" s="160"/>
      <c r="K47" s="160"/>
    </row>
    <row r="48" spans="2:11" s="114" customFormat="1">
      <c r="B48" s="161"/>
      <c r="C48" s="161"/>
      <c r="D48" s="162" t="s">
        <v>332</v>
      </c>
      <c r="E48" s="163">
        <f t="shared" si="1"/>
        <v>30000</v>
      </c>
      <c r="F48" s="160"/>
      <c r="G48" s="160">
        <f>3*10000</f>
        <v>30000</v>
      </c>
      <c r="H48" s="160"/>
      <c r="I48" s="160"/>
      <c r="J48" s="160"/>
      <c r="K48" s="160"/>
    </row>
    <row r="49" spans="2:11" s="114" customFormat="1">
      <c r="B49" s="161"/>
      <c r="C49" s="161"/>
      <c r="D49" s="162" t="s">
        <v>336</v>
      </c>
      <c r="E49" s="163">
        <f t="shared" si="1"/>
        <v>40000</v>
      </c>
      <c r="F49" s="160"/>
      <c r="G49" s="160">
        <f>20*2000</f>
        <v>40000</v>
      </c>
      <c r="H49" s="160"/>
      <c r="I49" s="160"/>
      <c r="J49" s="160"/>
      <c r="K49" s="160"/>
    </row>
    <row r="50" spans="2:11" s="114" customFormat="1">
      <c r="B50" s="161"/>
      <c r="C50" s="161"/>
      <c r="D50" s="162" t="s">
        <v>337</v>
      </c>
      <c r="E50" s="163">
        <f t="shared" si="1"/>
        <v>60000</v>
      </c>
      <c r="F50" s="160"/>
      <c r="G50" s="160">
        <f>6*10000</f>
        <v>60000</v>
      </c>
      <c r="H50" s="160"/>
      <c r="I50" s="160"/>
      <c r="J50" s="160"/>
      <c r="K50" s="160"/>
    </row>
    <row r="51" spans="2:11" s="114" customFormat="1">
      <c r="B51" s="161"/>
      <c r="C51" s="161"/>
      <c r="D51" s="162" t="s">
        <v>264</v>
      </c>
      <c r="E51" s="163">
        <f t="shared" si="1"/>
        <v>0</v>
      </c>
      <c r="F51" s="160"/>
      <c r="G51" s="160"/>
      <c r="H51" s="160"/>
      <c r="I51" s="160"/>
      <c r="J51" s="160"/>
      <c r="K51" s="160"/>
    </row>
    <row r="52" spans="2:11">
      <c r="B52" s="115" t="s">
        <v>174</v>
      </c>
      <c r="C52" s="115"/>
      <c r="D52" s="116" t="s">
        <v>338</v>
      </c>
      <c r="E52" s="158">
        <f>E53+E55</f>
        <v>0</v>
      </c>
      <c r="F52" s="158">
        <f t="shared" ref="F52:K52" si="7">F53+F55</f>
        <v>0</v>
      </c>
      <c r="G52" s="158">
        <f t="shared" si="7"/>
        <v>0</v>
      </c>
      <c r="H52" s="158">
        <f t="shared" si="7"/>
        <v>0</v>
      </c>
      <c r="I52" s="158">
        <f t="shared" si="7"/>
        <v>0</v>
      </c>
      <c r="J52" s="158">
        <f t="shared" si="7"/>
        <v>0</v>
      </c>
      <c r="K52" s="158">
        <f t="shared" si="7"/>
        <v>0</v>
      </c>
    </row>
    <row r="53" spans="2:11">
      <c r="B53" s="141" t="s">
        <v>339</v>
      </c>
      <c r="C53" s="141"/>
      <c r="D53" s="142" t="s">
        <v>340</v>
      </c>
      <c r="E53" s="159">
        <f>E54</f>
        <v>0</v>
      </c>
      <c r="F53" s="159">
        <f t="shared" ref="F53:K53" si="8">F54</f>
        <v>0</v>
      </c>
      <c r="G53" s="159">
        <f t="shared" si="8"/>
        <v>0</v>
      </c>
      <c r="H53" s="159">
        <f t="shared" si="8"/>
        <v>0</v>
      </c>
      <c r="I53" s="159">
        <f t="shared" si="8"/>
        <v>0</v>
      </c>
      <c r="J53" s="159">
        <f t="shared" si="8"/>
        <v>0</v>
      </c>
      <c r="K53" s="159">
        <f t="shared" si="8"/>
        <v>0</v>
      </c>
    </row>
    <row r="54" spans="2:11" s="114" customFormat="1">
      <c r="B54" s="161"/>
      <c r="C54" s="161"/>
      <c r="D54" s="162" t="s">
        <v>361</v>
      </c>
      <c r="E54" s="163">
        <f t="shared" si="1"/>
        <v>0</v>
      </c>
      <c r="F54" s="160"/>
      <c r="G54" s="160"/>
      <c r="H54" s="160"/>
      <c r="I54" s="160"/>
      <c r="J54" s="160"/>
      <c r="K54" s="160"/>
    </row>
    <row r="55" spans="2:11">
      <c r="B55" s="141" t="s">
        <v>358</v>
      </c>
      <c r="C55" s="141"/>
      <c r="D55" s="142" t="s">
        <v>359</v>
      </c>
      <c r="E55" s="159">
        <f>SUM(E56:E59)</f>
        <v>0</v>
      </c>
      <c r="F55" s="159">
        <f t="shared" ref="F55:K55" si="9">SUM(F56:F59)</f>
        <v>0</v>
      </c>
      <c r="G55" s="159">
        <f t="shared" si="9"/>
        <v>0</v>
      </c>
      <c r="H55" s="159">
        <f t="shared" si="9"/>
        <v>0</v>
      </c>
      <c r="I55" s="159">
        <f t="shared" si="9"/>
        <v>0</v>
      </c>
      <c r="J55" s="159">
        <f t="shared" si="9"/>
        <v>0</v>
      </c>
      <c r="K55" s="159">
        <f t="shared" si="9"/>
        <v>0</v>
      </c>
    </row>
    <row r="56" spans="2:11" s="114" customFormat="1">
      <c r="B56" s="161"/>
      <c r="C56" s="161"/>
      <c r="D56" s="162" t="s">
        <v>360</v>
      </c>
      <c r="E56" s="163">
        <f t="shared" si="1"/>
        <v>0</v>
      </c>
      <c r="F56" s="160"/>
      <c r="G56" s="160"/>
      <c r="H56" s="160"/>
      <c r="I56" s="160"/>
      <c r="J56" s="160"/>
      <c r="K56" s="160"/>
    </row>
    <row r="57" spans="2:11" s="114" customFormat="1">
      <c r="B57" s="161"/>
      <c r="C57" s="161"/>
      <c r="D57" s="162" t="s">
        <v>362</v>
      </c>
      <c r="E57" s="163">
        <f t="shared" si="1"/>
        <v>0</v>
      </c>
      <c r="F57" s="160"/>
      <c r="G57" s="160"/>
      <c r="H57" s="160"/>
      <c r="I57" s="160"/>
      <c r="J57" s="160"/>
      <c r="K57" s="160"/>
    </row>
    <row r="58" spans="2:11" s="114" customFormat="1">
      <c r="B58" s="161"/>
      <c r="C58" s="161"/>
      <c r="D58" s="162" t="s">
        <v>363</v>
      </c>
      <c r="E58" s="163">
        <f t="shared" si="1"/>
        <v>0</v>
      </c>
      <c r="F58" s="160"/>
      <c r="G58" s="160"/>
      <c r="H58" s="160"/>
      <c r="I58" s="160"/>
      <c r="J58" s="160"/>
      <c r="K58" s="160"/>
    </row>
    <row r="59" spans="2:11" s="114" customFormat="1">
      <c r="B59" s="161"/>
      <c r="C59" s="161"/>
      <c r="D59" s="162" t="s">
        <v>623</v>
      </c>
      <c r="E59" s="163">
        <f t="shared" si="1"/>
        <v>0</v>
      </c>
      <c r="F59" s="160"/>
      <c r="G59" s="160"/>
      <c r="H59" s="160"/>
      <c r="I59" s="160"/>
      <c r="J59" s="160"/>
      <c r="K59" s="160"/>
    </row>
    <row r="60" spans="2:11">
      <c r="B60" s="115" t="s">
        <v>175</v>
      </c>
      <c r="C60" s="115"/>
      <c r="D60" s="116" t="s">
        <v>364</v>
      </c>
      <c r="E60" s="158">
        <f>E61</f>
        <v>1235000</v>
      </c>
      <c r="F60" s="158">
        <f t="shared" ref="F60:K60" si="10">F61</f>
        <v>0</v>
      </c>
      <c r="G60" s="158">
        <f t="shared" si="10"/>
        <v>1235000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</row>
    <row r="61" spans="2:11">
      <c r="B61" s="141" t="s">
        <v>365</v>
      </c>
      <c r="C61" s="141"/>
      <c r="D61" s="142" t="s">
        <v>366</v>
      </c>
      <c r="E61" s="159">
        <f>SUM(E62:E68)</f>
        <v>1235000</v>
      </c>
      <c r="F61" s="159">
        <f t="shared" ref="F61:K61" si="11">SUM(F62:F68)</f>
        <v>0</v>
      </c>
      <c r="G61" s="159">
        <f t="shared" si="11"/>
        <v>1235000</v>
      </c>
      <c r="H61" s="159">
        <f t="shared" si="11"/>
        <v>0</v>
      </c>
      <c r="I61" s="159">
        <f t="shared" si="11"/>
        <v>0</v>
      </c>
      <c r="J61" s="159">
        <f t="shared" si="11"/>
        <v>0</v>
      </c>
      <c r="K61" s="159">
        <f t="shared" si="11"/>
        <v>0</v>
      </c>
    </row>
    <row r="62" spans="2:11" s="114" customFormat="1">
      <c r="B62" s="161"/>
      <c r="C62" s="161"/>
      <c r="D62" s="162" t="s">
        <v>367</v>
      </c>
      <c r="E62" s="163">
        <f t="shared" si="1"/>
        <v>25000</v>
      </c>
      <c r="F62" s="160"/>
      <c r="G62" s="160">
        <f>1*25000</f>
        <v>25000</v>
      </c>
      <c r="H62" s="160"/>
      <c r="I62" s="160"/>
      <c r="J62" s="160"/>
      <c r="K62" s="160"/>
    </row>
    <row r="63" spans="2:11" s="114" customFormat="1">
      <c r="B63" s="161"/>
      <c r="C63" s="161"/>
      <c r="D63" s="162" t="s">
        <v>368</v>
      </c>
      <c r="E63" s="163">
        <f t="shared" si="1"/>
        <v>10000</v>
      </c>
      <c r="F63" s="160"/>
      <c r="G63" s="160">
        <f>1*10000</f>
        <v>10000</v>
      </c>
      <c r="H63" s="160"/>
      <c r="I63" s="160"/>
      <c r="J63" s="160"/>
      <c r="K63" s="160"/>
    </row>
    <row r="64" spans="2:11" s="114" customFormat="1">
      <c r="B64" s="161"/>
      <c r="C64" s="161"/>
      <c r="D64" s="162" t="s">
        <v>369</v>
      </c>
      <c r="E64" s="163">
        <f t="shared" si="1"/>
        <v>300000</v>
      </c>
      <c r="F64" s="160"/>
      <c r="G64" s="160">
        <f>4*3*25000</f>
        <v>300000</v>
      </c>
      <c r="H64" s="160"/>
      <c r="I64" s="160"/>
      <c r="J64" s="160"/>
      <c r="K64" s="160"/>
    </row>
    <row r="65" spans="2:11" s="114" customFormat="1">
      <c r="B65" s="161"/>
      <c r="C65" s="161"/>
      <c r="D65" s="162" t="s">
        <v>370</v>
      </c>
      <c r="E65" s="163">
        <f t="shared" si="1"/>
        <v>300000</v>
      </c>
      <c r="F65" s="160"/>
      <c r="G65" s="160">
        <f>4*3*25000</f>
        <v>300000</v>
      </c>
      <c r="H65" s="160"/>
      <c r="I65" s="160"/>
      <c r="J65" s="160"/>
      <c r="K65" s="160"/>
    </row>
    <row r="66" spans="2:11" s="114" customFormat="1">
      <c r="B66" s="161"/>
      <c r="C66" s="161"/>
      <c r="D66" s="162" t="s">
        <v>373</v>
      </c>
      <c r="E66" s="163">
        <f t="shared" si="1"/>
        <v>300000</v>
      </c>
      <c r="F66" s="160"/>
      <c r="G66" s="160">
        <f>4*3*25000</f>
        <v>300000</v>
      </c>
      <c r="H66" s="160"/>
      <c r="I66" s="160"/>
      <c r="J66" s="160"/>
      <c r="K66" s="160"/>
    </row>
    <row r="67" spans="2:11" s="114" customFormat="1">
      <c r="B67" s="161"/>
      <c r="C67" s="161"/>
      <c r="D67" s="162" t="s">
        <v>374</v>
      </c>
      <c r="E67" s="163">
        <f t="shared" si="1"/>
        <v>300000</v>
      </c>
      <c r="F67" s="160"/>
      <c r="G67" s="160">
        <f>4*3*25000</f>
        <v>300000</v>
      </c>
      <c r="H67" s="160"/>
      <c r="I67" s="160"/>
      <c r="J67" s="160"/>
      <c r="K67" s="160"/>
    </row>
    <row r="68" spans="2:11" s="114" customFormat="1">
      <c r="B68" s="161"/>
      <c r="C68" s="161"/>
      <c r="D68" s="162" t="s">
        <v>264</v>
      </c>
      <c r="E68" s="163">
        <f t="shared" si="1"/>
        <v>0</v>
      </c>
      <c r="F68" s="160"/>
      <c r="G68" s="160"/>
      <c r="H68" s="160"/>
      <c r="I68" s="160"/>
      <c r="J68" s="160"/>
      <c r="K68" s="160"/>
    </row>
    <row r="69" spans="2:11" s="109" customFormat="1">
      <c r="B69" s="149" t="s">
        <v>111</v>
      </c>
      <c r="C69" s="149"/>
      <c r="D69" s="150" t="s">
        <v>375</v>
      </c>
      <c r="E69" s="157">
        <f>E70+E81</f>
        <v>480000</v>
      </c>
      <c r="F69" s="157">
        <f t="shared" ref="F69:K69" si="12">F70+F81</f>
        <v>0</v>
      </c>
      <c r="G69" s="157">
        <f t="shared" si="12"/>
        <v>480000</v>
      </c>
      <c r="H69" s="157">
        <f t="shared" si="12"/>
        <v>0</v>
      </c>
      <c r="I69" s="157">
        <f t="shared" si="12"/>
        <v>0</v>
      </c>
      <c r="J69" s="157">
        <f t="shared" si="12"/>
        <v>0</v>
      </c>
      <c r="K69" s="157">
        <f t="shared" si="12"/>
        <v>0</v>
      </c>
    </row>
    <row r="70" spans="2:11">
      <c r="B70" s="115" t="s">
        <v>181</v>
      </c>
      <c r="C70" s="115"/>
      <c r="D70" s="116" t="s">
        <v>376</v>
      </c>
      <c r="E70" s="158">
        <f>E71+E76</f>
        <v>480000</v>
      </c>
      <c r="F70" s="158">
        <f t="shared" ref="F70:K70" si="13">F71+F76</f>
        <v>0</v>
      </c>
      <c r="G70" s="158">
        <f t="shared" si="13"/>
        <v>480000</v>
      </c>
      <c r="H70" s="158">
        <f t="shared" si="13"/>
        <v>0</v>
      </c>
      <c r="I70" s="158">
        <f t="shared" si="13"/>
        <v>0</v>
      </c>
      <c r="J70" s="158">
        <f t="shared" si="13"/>
        <v>0</v>
      </c>
      <c r="K70" s="158">
        <f t="shared" si="13"/>
        <v>0</v>
      </c>
    </row>
    <row r="71" spans="2:11">
      <c r="B71" s="141" t="s">
        <v>377</v>
      </c>
      <c r="C71" s="141"/>
      <c r="D71" s="142" t="s">
        <v>378</v>
      </c>
      <c r="E71" s="159">
        <f>SUM(E72:E75)</f>
        <v>420000</v>
      </c>
      <c r="F71" s="159">
        <f>SUM(F72:F75)</f>
        <v>0</v>
      </c>
      <c r="G71" s="159">
        <f t="shared" ref="G71:K71" si="14">SUM(G72:G75)</f>
        <v>420000</v>
      </c>
      <c r="H71" s="159">
        <f t="shared" si="14"/>
        <v>0</v>
      </c>
      <c r="I71" s="159">
        <f t="shared" si="14"/>
        <v>0</v>
      </c>
      <c r="J71" s="159">
        <f t="shared" si="14"/>
        <v>0</v>
      </c>
      <c r="K71" s="159">
        <f t="shared" si="14"/>
        <v>0</v>
      </c>
    </row>
    <row r="72" spans="2:11" s="114" customFormat="1">
      <c r="B72" s="161"/>
      <c r="C72" s="161"/>
      <c r="D72" s="162" t="s">
        <v>634</v>
      </c>
      <c r="E72" s="163">
        <f t="shared" ref="E72:E257" si="15">F72+G72+H72+I72+J72+K72</f>
        <v>300000</v>
      </c>
      <c r="F72" s="160"/>
      <c r="G72" s="160">
        <f>5*6*10000</f>
        <v>300000</v>
      </c>
      <c r="H72" s="160"/>
      <c r="I72" s="160"/>
      <c r="J72" s="160"/>
      <c r="K72" s="160"/>
    </row>
    <row r="73" spans="2:11" s="114" customFormat="1">
      <c r="B73" s="161"/>
      <c r="C73" s="161"/>
      <c r="D73" s="162" t="s">
        <v>635</v>
      </c>
      <c r="E73" s="163">
        <f t="shared" si="15"/>
        <v>60000</v>
      </c>
      <c r="F73" s="160"/>
      <c r="G73" s="160">
        <f>1*6*10000</f>
        <v>60000</v>
      </c>
      <c r="H73" s="160"/>
      <c r="I73" s="160"/>
      <c r="J73" s="160"/>
      <c r="K73" s="160"/>
    </row>
    <row r="74" spans="2:11" s="114" customFormat="1">
      <c r="B74" s="161"/>
      <c r="C74" s="161"/>
      <c r="D74" s="162" t="s">
        <v>636</v>
      </c>
      <c r="E74" s="163">
        <f t="shared" si="15"/>
        <v>60000</v>
      </c>
      <c r="F74" s="160"/>
      <c r="G74" s="160">
        <f>1*6*10000</f>
        <v>60000</v>
      </c>
      <c r="H74" s="160"/>
      <c r="I74" s="160"/>
      <c r="J74" s="160"/>
      <c r="K74" s="160"/>
    </row>
    <row r="75" spans="2:11" s="114" customFormat="1">
      <c r="B75" s="161"/>
      <c r="C75" s="161"/>
      <c r="D75" s="162"/>
      <c r="E75" s="163">
        <f t="shared" si="15"/>
        <v>0</v>
      </c>
      <c r="F75" s="160"/>
      <c r="G75" s="160"/>
      <c r="H75" s="160"/>
      <c r="I75" s="160"/>
      <c r="J75" s="160"/>
      <c r="K75" s="160"/>
    </row>
    <row r="76" spans="2:11">
      <c r="B76" s="141" t="s">
        <v>379</v>
      </c>
      <c r="C76" s="141"/>
      <c r="D76" s="142" t="s">
        <v>380</v>
      </c>
      <c r="E76" s="159">
        <f>SUM(E77:E80)</f>
        <v>60000</v>
      </c>
      <c r="F76" s="159">
        <f t="shared" ref="F76:K76" si="16">SUM(F77:F80)</f>
        <v>0</v>
      </c>
      <c r="G76" s="159">
        <f t="shared" si="16"/>
        <v>60000</v>
      </c>
      <c r="H76" s="159">
        <f t="shared" si="16"/>
        <v>0</v>
      </c>
      <c r="I76" s="159">
        <f t="shared" si="16"/>
        <v>0</v>
      </c>
      <c r="J76" s="159">
        <f t="shared" si="16"/>
        <v>0</v>
      </c>
      <c r="K76" s="159">
        <f t="shared" si="16"/>
        <v>0</v>
      </c>
    </row>
    <row r="77" spans="2:11" s="114" customFormat="1">
      <c r="B77" s="161"/>
      <c r="C77" s="161"/>
      <c r="D77" s="162" t="s">
        <v>637</v>
      </c>
      <c r="E77" s="163">
        <f t="shared" si="15"/>
        <v>60000</v>
      </c>
      <c r="F77" s="160"/>
      <c r="G77" s="160">
        <f>1*6*10000</f>
        <v>60000</v>
      </c>
      <c r="H77" s="160"/>
      <c r="I77" s="160"/>
      <c r="J77" s="160"/>
      <c r="K77" s="160"/>
    </row>
    <row r="78" spans="2:11" s="114" customFormat="1">
      <c r="B78" s="161"/>
      <c r="C78" s="161"/>
      <c r="D78" s="162" t="s">
        <v>381</v>
      </c>
      <c r="E78" s="163">
        <f t="shared" si="15"/>
        <v>0</v>
      </c>
      <c r="F78" s="160"/>
      <c r="G78" s="160"/>
      <c r="H78" s="160"/>
      <c r="I78" s="160"/>
      <c r="J78" s="160"/>
      <c r="K78" s="160"/>
    </row>
    <row r="79" spans="2:11" s="114" customFormat="1">
      <c r="B79" s="161"/>
      <c r="C79" s="161"/>
      <c r="D79" s="162" t="s">
        <v>382</v>
      </c>
      <c r="E79" s="163">
        <f t="shared" si="15"/>
        <v>0</v>
      </c>
      <c r="F79" s="160"/>
      <c r="G79" s="160"/>
      <c r="H79" s="160"/>
      <c r="I79" s="160"/>
      <c r="J79" s="160"/>
      <c r="K79" s="160"/>
    </row>
    <row r="80" spans="2:11" s="114" customFormat="1">
      <c r="B80" s="161"/>
      <c r="C80" s="161"/>
      <c r="D80" s="162"/>
      <c r="E80" s="163">
        <f t="shared" si="15"/>
        <v>0</v>
      </c>
      <c r="F80" s="160"/>
      <c r="G80" s="160"/>
      <c r="H80" s="160"/>
      <c r="I80" s="160"/>
      <c r="J80" s="160"/>
      <c r="K80" s="160"/>
    </row>
    <row r="81" spans="2:11">
      <c r="B81" s="115" t="s">
        <v>182</v>
      </c>
      <c r="C81" s="115"/>
      <c r="D81" s="116" t="s">
        <v>383</v>
      </c>
      <c r="E81" s="158">
        <f t="shared" si="15"/>
        <v>0</v>
      </c>
      <c r="F81" s="158">
        <f t="shared" ref="F81" si="17">G81+H81+I81+J81+K81+L81</f>
        <v>0</v>
      </c>
      <c r="G81" s="158">
        <f t="shared" ref="G81" si="18">H81+I81+J81+K81+L81+M81</f>
        <v>0</v>
      </c>
      <c r="H81" s="158">
        <f t="shared" ref="H81" si="19">I81+J81+K81+L81+M81+N81</f>
        <v>0</v>
      </c>
      <c r="I81" s="158">
        <f t="shared" ref="I81" si="20">J81+K81+L81+M81+N81+O81</f>
        <v>0</v>
      </c>
      <c r="J81" s="158">
        <f t="shared" ref="J81" si="21">K81+L81+M81+N81+O81+P81</f>
        <v>0</v>
      </c>
      <c r="K81" s="158">
        <f t="shared" ref="K81" si="22">L81+M81+N81+O81+P81+Q81</f>
        <v>0</v>
      </c>
    </row>
    <row r="82" spans="2:11" s="114" customFormat="1">
      <c r="B82" s="161" t="s">
        <v>384</v>
      </c>
      <c r="C82" s="161"/>
      <c r="D82" s="162" t="s">
        <v>385</v>
      </c>
      <c r="E82" s="163">
        <f t="shared" si="15"/>
        <v>0</v>
      </c>
      <c r="F82" s="160"/>
      <c r="G82" s="160"/>
      <c r="H82" s="160"/>
      <c r="I82" s="160"/>
      <c r="J82" s="160"/>
      <c r="K82" s="160"/>
    </row>
    <row r="83" spans="2:11" s="114" customFormat="1">
      <c r="B83" s="161"/>
      <c r="C83" s="161"/>
      <c r="D83" s="162" t="s">
        <v>388</v>
      </c>
      <c r="E83" s="163">
        <f t="shared" si="15"/>
        <v>0</v>
      </c>
      <c r="F83" s="160"/>
      <c r="G83" s="160"/>
      <c r="H83" s="160"/>
      <c r="I83" s="160"/>
      <c r="J83" s="160"/>
      <c r="K83" s="160"/>
    </row>
    <row r="84" spans="2:11" s="114" customFormat="1">
      <c r="B84" s="161" t="s">
        <v>386</v>
      </c>
      <c r="C84" s="161"/>
      <c r="D84" s="162" t="s">
        <v>387</v>
      </c>
      <c r="E84" s="163">
        <f t="shared" si="15"/>
        <v>0</v>
      </c>
      <c r="F84" s="160"/>
      <c r="G84" s="160"/>
      <c r="H84" s="160"/>
      <c r="I84" s="160"/>
      <c r="J84" s="160"/>
      <c r="K84" s="160"/>
    </row>
    <row r="85" spans="2:11" s="114" customFormat="1">
      <c r="B85" s="161"/>
      <c r="C85" s="161"/>
      <c r="D85" s="162" t="s">
        <v>389</v>
      </c>
      <c r="E85" s="163">
        <f t="shared" si="15"/>
        <v>0</v>
      </c>
      <c r="F85" s="160"/>
      <c r="G85" s="160"/>
      <c r="H85" s="160"/>
      <c r="I85" s="160"/>
      <c r="J85" s="160"/>
      <c r="K85" s="160"/>
    </row>
    <row r="86" spans="2:11" s="114" customFormat="1">
      <c r="B86" s="161"/>
      <c r="C86" s="161"/>
      <c r="D86" s="162"/>
      <c r="E86" s="163">
        <f t="shared" si="15"/>
        <v>0</v>
      </c>
      <c r="F86" s="160"/>
      <c r="G86" s="160"/>
      <c r="H86" s="160"/>
      <c r="I86" s="160"/>
      <c r="J86" s="160"/>
      <c r="K86" s="160"/>
    </row>
    <row r="87" spans="2:11">
      <c r="B87" s="151" t="s">
        <v>42</v>
      </c>
      <c r="C87" s="151"/>
      <c r="D87" s="152" t="s">
        <v>392</v>
      </c>
      <c r="E87" s="157">
        <f>E88+E109+E121</f>
        <v>125000</v>
      </c>
      <c r="F87" s="157">
        <f t="shared" ref="F87:K87" si="23">F88+F109+F121</f>
        <v>0</v>
      </c>
      <c r="G87" s="157">
        <f t="shared" si="23"/>
        <v>125000</v>
      </c>
      <c r="H87" s="157">
        <f t="shared" si="23"/>
        <v>0</v>
      </c>
      <c r="I87" s="157">
        <f t="shared" si="23"/>
        <v>0</v>
      </c>
      <c r="J87" s="157">
        <f t="shared" si="23"/>
        <v>0</v>
      </c>
      <c r="K87" s="157">
        <f t="shared" si="23"/>
        <v>0</v>
      </c>
    </row>
    <row r="88" spans="2:11">
      <c r="B88" s="115" t="s">
        <v>191</v>
      </c>
      <c r="C88" s="115"/>
      <c r="D88" s="116" t="s">
        <v>393</v>
      </c>
      <c r="E88" s="158">
        <f>SUM(E89:E108)</f>
        <v>125000</v>
      </c>
      <c r="F88" s="158">
        <f t="shared" ref="F88:K88" si="24">SUM(F89:F108)</f>
        <v>0</v>
      </c>
      <c r="G88" s="158">
        <f t="shared" si="24"/>
        <v>125000</v>
      </c>
      <c r="H88" s="158">
        <f t="shared" si="24"/>
        <v>0</v>
      </c>
      <c r="I88" s="158">
        <f t="shared" si="24"/>
        <v>0</v>
      </c>
      <c r="J88" s="158">
        <f t="shared" si="24"/>
        <v>0</v>
      </c>
      <c r="K88" s="158">
        <f t="shared" si="24"/>
        <v>0</v>
      </c>
    </row>
    <row r="89" spans="2:11" s="114" customFormat="1">
      <c r="B89" s="161" t="s">
        <v>394</v>
      </c>
      <c r="C89" s="161"/>
      <c r="D89" s="162" t="s">
        <v>395</v>
      </c>
      <c r="E89" s="163">
        <f t="shared" si="15"/>
        <v>0</v>
      </c>
      <c r="F89" s="160"/>
      <c r="G89" s="160"/>
      <c r="H89" s="160"/>
      <c r="I89" s="160"/>
      <c r="J89" s="160"/>
      <c r="K89" s="160"/>
    </row>
    <row r="90" spans="2:11" s="114" customFormat="1">
      <c r="B90" s="161"/>
      <c r="C90" s="161"/>
      <c r="D90" s="162" t="s">
        <v>396</v>
      </c>
      <c r="E90" s="163">
        <f t="shared" si="15"/>
        <v>0</v>
      </c>
      <c r="F90" s="160"/>
      <c r="G90" s="160"/>
      <c r="H90" s="160"/>
      <c r="I90" s="160"/>
      <c r="J90" s="160"/>
      <c r="K90" s="160"/>
    </row>
    <row r="91" spans="2:11" s="114" customFormat="1">
      <c r="B91" s="161" t="s">
        <v>397</v>
      </c>
      <c r="C91" s="161"/>
      <c r="D91" s="162" t="s">
        <v>398</v>
      </c>
      <c r="E91" s="163">
        <f t="shared" si="15"/>
        <v>0</v>
      </c>
      <c r="F91" s="160"/>
      <c r="G91" s="160"/>
      <c r="H91" s="160"/>
      <c r="I91" s="160"/>
      <c r="J91" s="160"/>
      <c r="K91" s="160"/>
    </row>
    <row r="92" spans="2:11" s="114" customFormat="1">
      <c r="B92" s="161"/>
      <c r="C92" s="161"/>
      <c r="D92" s="162" t="s">
        <v>399</v>
      </c>
      <c r="E92" s="163">
        <f t="shared" si="15"/>
        <v>0</v>
      </c>
      <c r="F92" s="160"/>
      <c r="G92" s="160"/>
      <c r="H92" s="160"/>
      <c r="I92" s="160"/>
      <c r="J92" s="160"/>
      <c r="K92" s="160"/>
    </row>
    <row r="93" spans="2:11" s="114" customFormat="1">
      <c r="B93" s="161"/>
      <c r="C93" s="161"/>
      <c r="D93" s="162" t="s">
        <v>400</v>
      </c>
      <c r="E93" s="163">
        <f t="shared" si="15"/>
        <v>0</v>
      </c>
      <c r="F93" s="160"/>
      <c r="G93" s="160"/>
      <c r="H93" s="160"/>
      <c r="I93" s="160"/>
      <c r="J93" s="160"/>
      <c r="K93" s="160"/>
    </row>
    <row r="94" spans="2:11" s="114" customFormat="1">
      <c r="B94" s="161" t="s">
        <v>401</v>
      </c>
      <c r="C94" s="161"/>
      <c r="D94" s="162" t="s">
        <v>402</v>
      </c>
      <c r="E94" s="163">
        <f t="shared" si="15"/>
        <v>0</v>
      </c>
      <c r="F94" s="160"/>
      <c r="G94" s="160"/>
      <c r="H94" s="160"/>
      <c r="I94" s="160"/>
      <c r="J94" s="160"/>
      <c r="K94" s="160"/>
    </row>
    <row r="95" spans="2:11" s="114" customFormat="1">
      <c r="B95" s="161"/>
      <c r="C95" s="161"/>
      <c r="D95" s="162" t="s">
        <v>403</v>
      </c>
      <c r="E95" s="163">
        <f t="shared" si="15"/>
        <v>0</v>
      </c>
      <c r="F95" s="160"/>
      <c r="G95" s="160"/>
      <c r="H95" s="160"/>
      <c r="I95" s="160"/>
      <c r="J95" s="160"/>
      <c r="K95" s="160"/>
    </row>
    <row r="96" spans="2:11" s="114" customFormat="1">
      <c r="B96" s="161"/>
      <c r="C96" s="161"/>
      <c r="D96" s="162" t="s">
        <v>404</v>
      </c>
      <c r="E96" s="163">
        <f t="shared" si="15"/>
        <v>0</v>
      </c>
      <c r="F96" s="160"/>
      <c r="G96" s="160"/>
      <c r="H96" s="160"/>
      <c r="I96" s="160"/>
      <c r="J96" s="160"/>
      <c r="K96" s="160"/>
    </row>
    <row r="97" spans="2:11" s="114" customFormat="1">
      <c r="B97" s="161" t="s">
        <v>405</v>
      </c>
      <c r="C97" s="161"/>
      <c r="D97" s="162" t="s">
        <v>406</v>
      </c>
      <c r="E97" s="163">
        <f t="shared" si="15"/>
        <v>0</v>
      </c>
      <c r="F97" s="160"/>
      <c r="G97" s="160"/>
      <c r="H97" s="160"/>
      <c r="I97" s="160"/>
      <c r="J97" s="160"/>
      <c r="K97" s="160"/>
    </row>
    <row r="98" spans="2:11" s="114" customFormat="1">
      <c r="B98" s="161"/>
      <c r="C98" s="161"/>
      <c r="D98" s="162" t="s">
        <v>408</v>
      </c>
      <c r="E98" s="163">
        <f t="shared" si="15"/>
        <v>50000</v>
      </c>
      <c r="F98" s="160"/>
      <c r="G98" s="160">
        <f>2*25000</f>
        <v>50000</v>
      </c>
      <c r="H98" s="160"/>
      <c r="I98" s="160"/>
      <c r="J98" s="160"/>
      <c r="K98" s="160"/>
    </row>
    <row r="99" spans="2:11" s="114" customFormat="1">
      <c r="B99" s="161"/>
      <c r="C99" s="161"/>
      <c r="D99" s="162" t="s">
        <v>407</v>
      </c>
      <c r="E99" s="163">
        <f t="shared" si="15"/>
        <v>25000</v>
      </c>
      <c r="F99" s="160"/>
      <c r="G99" s="160">
        <f>1*25000</f>
        <v>25000</v>
      </c>
      <c r="H99" s="160"/>
      <c r="I99" s="160"/>
      <c r="J99" s="160"/>
      <c r="K99" s="160"/>
    </row>
    <row r="100" spans="2:11" s="114" customFormat="1">
      <c r="B100" s="161"/>
      <c r="C100" s="161"/>
      <c r="D100" s="162" t="s">
        <v>409</v>
      </c>
      <c r="E100" s="163">
        <f t="shared" si="15"/>
        <v>0</v>
      </c>
      <c r="F100" s="160"/>
      <c r="G100" s="160"/>
      <c r="H100" s="160"/>
      <c r="I100" s="160"/>
      <c r="J100" s="160"/>
      <c r="K100" s="160"/>
    </row>
    <row r="101" spans="2:11" s="114" customFormat="1">
      <c r="B101" s="161"/>
      <c r="C101" s="161"/>
      <c r="D101" s="162" t="s">
        <v>404</v>
      </c>
      <c r="E101" s="163">
        <f t="shared" si="15"/>
        <v>0</v>
      </c>
      <c r="F101" s="160"/>
      <c r="G101" s="160"/>
      <c r="H101" s="160"/>
      <c r="I101" s="160"/>
      <c r="J101" s="160"/>
      <c r="K101" s="160"/>
    </row>
    <row r="102" spans="2:11" s="114" customFormat="1">
      <c r="B102" s="161" t="s">
        <v>410</v>
      </c>
      <c r="C102" s="161"/>
      <c r="D102" s="162" t="s">
        <v>411</v>
      </c>
      <c r="E102" s="163">
        <f t="shared" si="15"/>
        <v>0</v>
      </c>
      <c r="F102" s="160"/>
      <c r="G102" s="160"/>
      <c r="H102" s="160"/>
      <c r="I102" s="160"/>
      <c r="J102" s="160"/>
      <c r="K102" s="160"/>
    </row>
    <row r="103" spans="2:11" s="114" customFormat="1">
      <c r="B103" s="161"/>
      <c r="C103" s="161"/>
      <c r="D103" s="162" t="s">
        <v>412</v>
      </c>
      <c r="E103" s="163">
        <f t="shared" si="15"/>
        <v>0</v>
      </c>
      <c r="F103" s="160"/>
      <c r="G103" s="160"/>
      <c r="H103" s="160"/>
      <c r="I103" s="160"/>
      <c r="J103" s="160"/>
      <c r="K103" s="160"/>
    </row>
    <row r="104" spans="2:11" s="114" customFormat="1">
      <c r="B104" s="161"/>
      <c r="C104" s="161"/>
      <c r="D104" s="162" t="s">
        <v>413</v>
      </c>
      <c r="E104" s="163">
        <f t="shared" si="15"/>
        <v>0</v>
      </c>
      <c r="F104" s="160"/>
      <c r="G104" s="160"/>
      <c r="H104" s="160"/>
      <c r="I104" s="160"/>
      <c r="J104" s="160"/>
      <c r="K104" s="160"/>
    </row>
    <row r="105" spans="2:11" s="114" customFormat="1">
      <c r="B105" s="161"/>
      <c r="C105" s="161"/>
      <c r="D105" s="162" t="s">
        <v>414</v>
      </c>
      <c r="E105" s="163">
        <f t="shared" si="15"/>
        <v>0</v>
      </c>
      <c r="F105" s="160"/>
      <c r="G105" s="160"/>
      <c r="H105" s="160"/>
      <c r="I105" s="160"/>
      <c r="J105" s="160"/>
      <c r="K105" s="160"/>
    </row>
    <row r="106" spans="2:11" s="114" customFormat="1">
      <c r="B106" s="161"/>
      <c r="C106" s="161"/>
      <c r="D106" s="162" t="s">
        <v>415</v>
      </c>
      <c r="E106" s="163">
        <f t="shared" si="15"/>
        <v>50000</v>
      </c>
      <c r="F106" s="160"/>
      <c r="G106" s="160">
        <f>10*5000</f>
        <v>50000</v>
      </c>
      <c r="H106" s="160"/>
      <c r="I106" s="160"/>
      <c r="J106" s="160"/>
      <c r="K106" s="160"/>
    </row>
    <row r="107" spans="2:11" s="114" customFormat="1">
      <c r="B107" s="161"/>
      <c r="C107" s="161"/>
      <c r="D107" s="162" t="s">
        <v>404</v>
      </c>
      <c r="E107" s="163">
        <f t="shared" si="15"/>
        <v>0</v>
      </c>
      <c r="F107" s="160"/>
      <c r="G107" s="160"/>
      <c r="H107" s="160"/>
      <c r="I107" s="160"/>
      <c r="J107" s="160"/>
      <c r="K107" s="160"/>
    </row>
    <row r="108" spans="2:11" s="114" customFormat="1">
      <c r="B108" s="161"/>
      <c r="C108" s="161"/>
      <c r="D108" s="162" t="s">
        <v>264</v>
      </c>
      <c r="E108" s="163">
        <f t="shared" si="15"/>
        <v>0</v>
      </c>
      <c r="F108" s="160"/>
      <c r="G108" s="160"/>
      <c r="H108" s="160"/>
      <c r="I108" s="160"/>
      <c r="J108" s="160"/>
      <c r="K108" s="160"/>
    </row>
    <row r="109" spans="2:11">
      <c r="B109" s="115" t="s">
        <v>43</v>
      </c>
      <c r="C109" s="115"/>
      <c r="D109" s="116" t="s">
        <v>416</v>
      </c>
      <c r="E109" s="158">
        <f>SUM(E110:E120)</f>
        <v>0</v>
      </c>
      <c r="F109" s="158">
        <f t="shared" ref="F109:K109" si="25">SUM(F110:F120)</f>
        <v>0</v>
      </c>
      <c r="G109" s="158">
        <f t="shared" si="25"/>
        <v>0</v>
      </c>
      <c r="H109" s="158">
        <f t="shared" si="25"/>
        <v>0</v>
      </c>
      <c r="I109" s="158">
        <f t="shared" si="25"/>
        <v>0</v>
      </c>
      <c r="J109" s="158">
        <f t="shared" si="25"/>
        <v>0</v>
      </c>
      <c r="K109" s="158">
        <f t="shared" si="25"/>
        <v>0</v>
      </c>
    </row>
    <row r="110" spans="2:11" s="114" customFormat="1">
      <c r="B110" s="161" t="s">
        <v>44</v>
      </c>
      <c r="C110" s="161"/>
      <c r="D110" s="162" t="s">
        <v>417</v>
      </c>
      <c r="E110" s="163">
        <f t="shared" si="15"/>
        <v>0</v>
      </c>
      <c r="F110" s="160"/>
      <c r="G110" s="160"/>
      <c r="H110" s="160"/>
      <c r="I110" s="160"/>
      <c r="J110" s="160"/>
      <c r="K110" s="160"/>
    </row>
    <row r="111" spans="2:11" s="114" customFormat="1">
      <c r="B111" s="161"/>
      <c r="C111" s="161"/>
      <c r="D111" s="162" t="s">
        <v>418</v>
      </c>
      <c r="E111" s="163">
        <f t="shared" si="15"/>
        <v>0</v>
      </c>
      <c r="F111" s="160"/>
      <c r="G111" s="160"/>
      <c r="H111" s="160"/>
      <c r="I111" s="160"/>
      <c r="J111" s="160"/>
      <c r="K111" s="160"/>
    </row>
    <row r="112" spans="2:11" s="114" customFormat="1">
      <c r="B112" s="161"/>
      <c r="C112" s="161"/>
      <c r="D112" s="162" t="s">
        <v>419</v>
      </c>
      <c r="E112" s="163">
        <f t="shared" si="15"/>
        <v>0</v>
      </c>
      <c r="F112" s="160"/>
      <c r="G112" s="160"/>
      <c r="H112" s="160"/>
      <c r="I112" s="160"/>
      <c r="J112" s="160"/>
      <c r="K112" s="160"/>
    </row>
    <row r="113" spans="2:11" s="114" customFormat="1">
      <c r="B113" s="161" t="s">
        <v>46</v>
      </c>
      <c r="C113" s="161"/>
      <c r="D113" s="162" t="s">
        <v>420</v>
      </c>
      <c r="E113" s="163">
        <f t="shared" si="15"/>
        <v>0</v>
      </c>
      <c r="F113" s="160"/>
      <c r="G113" s="160"/>
      <c r="H113" s="160"/>
      <c r="I113" s="160"/>
      <c r="J113" s="160"/>
      <c r="K113" s="160"/>
    </row>
    <row r="114" spans="2:11" s="114" customFormat="1">
      <c r="B114" s="161"/>
      <c r="C114" s="161"/>
      <c r="D114" s="162" t="s">
        <v>421</v>
      </c>
      <c r="E114" s="163">
        <f t="shared" si="15"/>
        <v>0</v>
      </c>
      <c r="F114" s="160"/>
      <c r="G114" s="160"/>
      <c r="H114" s="160"/>
      <c r="I114" s="160"/>
      <c r="J114" s="160"/>
      <c r="K114" s="160"/>
    </row>
    <row r="115" spans="2:11" s="114" customFormat="1">
      <c r="B115" s="161"/>
      <c r="C115" s="161"/>
      <c r="D115" s="162" t="s">
        <v>422</v>
      </c>
      <c r="E115" s="163">
        <f t="shared" si="15"/>
        <v>0</v>
      </c>
      <c r="F115" s="160"/>
      <c r="G115" s="160"/>
      <c r="H115" s="160"/>
      <c r="I115" s="160"/>
      <c r="J115" s="160"/>
      <c r="K115" s="160"/>
    </row>
    <row r="116" spans="2:11" s="114" customFormat="1">
      <c r="B116" s="161" t="s">
        <v>48</v>
      </c>
      <c r="C116" s="161"/>
      <c r="D116" s="162" t="s">
        <v>423</v>
      </c>
      <c r="E116" s="163">
        <f t="shared" si="15"/>
        <v>0</v>
      </c>
      <c r="F116" s="160"/>
      <c r="G116" s="160"/>
      <c r="H116" s="160"/>
      <c r="I116" s="160"/>
      <c r="J116" s="160"/>
      <c r="K116" s="160"/>
    </row>
    <row r="117" spans="2:11" s="114" customFormat="1">
      <c r="B117" s="161"/>
      <c r="C117" s="161"/>
      <c r="D117" s="162" t="s">
        <v>424</v>
      </c>
      <c r="E117" s="163">
        <f t="shared" si="15"/>
        <v>0</v>
      </c>
      <c r="F117" s="160"/>
      <c r="G117" s="160"/>
      <c r="H117" s="160"/>
      <c r="I117" s="160"/>
      <c r="J117" s="160"/>
      <c r="K117" s="160"/>
    </row>
    <row r="118" spans="2:11" s="114" customFormat="1">
      <c r="B118" s="161"/>
      <c r="C118" s="161"/>
      <c r="D118" s="162" t="s">
        <v>425</v>
      </c>
      <c r="E118" s="163">
        <f t="shared" si="15"/>
        <v>0</v>
      </c>
      <c r="F118" s="160"/>
      <c r="G118" s="160"/>
      <c r="H118" s="160"/>
      <c r="I118" s="160"/>
      <c r="J118" s="160"/>
      <c r="K118" s="160"/>
    </row>
    <row r="119" spans="2:11" s="114" customFormat="1">
      <c r="B119" s="161"/>
      <c r="C119" s="161"/>
      <c r="D119" s="162" t="s">
        <v>426</v>
      </c>
      <c r="E119" s="163">
        <f t="shared" si="15"/>
        <v>0</v>
      </c>
      <c r="F119" s="160"/>
      <c r="G119" s="160"/>
      <c r="H119" s="160"/>
      <c r="I119" s="160"/>
      <c r="J119" s="160"/>
      <c r="K119" s="160"/>
    </row>
    <row r="120" spans="2:11" s="114" customFormat="1">
      <c r="B120" s="161"/>
      <c r="C120" s="161"/>
      <c r="D120" s="162" t="s">
        <v>427</v>
      </c>
      <c r="E120" s="163">
        <f t="shared" si="15"/>
        <v>0</v>
      </c>
      <c r="F120" s="160"/>
      <c r="G120" s="160"/>
      <c r="H120" s="160"/>
      <c r="I120" s="160"/>
      <c r="J120" s="160"/>
      <c r="K120" s="160"/>
    </row>
    <row r="121" spans="2:11">
      <c r="B121" s="115" t="s">
        <v>192</v>
      </c>
      <c r="C121" s="115"/>
      <c r="D121" s="116" t="s">
        <v>428</v>
      </c>
      <c r="E121" s="158">
        <f>SUM(E122:E164)</f>
        <v>0</v>
      </c>
      <c r="F121" s="158">
        <f t="shared" ref="F121:K121" si="26">SUM(F122:F164)</f>
        <v>0</v>
      </c>
      <c r="G121" s="158">
        <f t="shared" si="26"/>
        <v>0</v>
      </c>
      <c r="H121" s="158">
        <f t="shared" si="26"/>
        <v>0</v>
      </c>
      <c r="I121" s="158">
        <f t="shared" si="26"/>
        <v>0</v>
      </c>
      <c r="J121" s="158">
        <f t="shared" si="26"/>
        <v>0</v>
      </c>
      <c r="K121" s="158">
        <f t="shared" si="26"/>
        <v>0</v>
      </c>
    </row>
    <row r="122" spans="2:11" s="114" customFormat="1">
      <c r="B122" s="161" t="s">
        <v>429</v>
      </c>
      <c r="C122" s="161"/>
      <c r="D122" s="162" t="s">
        <v>430</v>
      </c>
      <c r="E122" s="163">
        <f t="shared" si="15"/>
        <v>0</v>
      </c>
      <c r="F122" s="160"/>
      <c r="G122" s="160"/>
      <c r="H122" s="160"/>
      <c r="I122" s="160"/>
      <c r="J122" s="160"/>
      <c r="K122" s="160"/>
    </row>
    <row r="123" spans="2:11" s="114" customFormat="1">
      <c r="B123" s="161"/>
      <c r="C123" s="161"/>
      <c r="D123" s="162" t="s">
        <v>431</v>
      </c>
      <c r="E123" s="163">
        <f t="shared" si="15"/>
        <v>0</v>
      </c>
      <c r="F123" s="160"/>
      <c r="G123" s="160"/>
      <c r="H123" s="160"/>
      <c r="I123" s="160"/>
      <c r="J123" s="160"/>
      <c r="K123" s="160"/>
    </row>
    <row r="124" spans="2:11" s="114" customFormat="1">
      <c r="B124" s="161"/>
      <c r="C124" s="161"/>
      <c r="D124" s="162" t="s">
        <v>432</v>
      </c>
      <c r="E124" s="163">
        <f t="shared" si="15"/>
        <v>0</v>
      </c>
      <c r="F124" s="160"/>
      <c r="G124" s="160"/>
      <c r="H124" s="160"/>
      <c r="I124" s="160"/>
      <c r="J124" s="160"/>
      <c r="K124" s="160"/>
    </row>
    <row r="125" spans="2:11" s="114" customFormat="1">
      <c r="B125" s="161" t="s">
        <v>433</v>
      </c>
      <c r="C125" s="161"/>
      <c r="D125" s="162" t="s">
        <v>434</v>
      </c>
      <c r="E125" s="163">
        <f t="shared" si="15"/>
        <v>0</v>
      </c>
      <c r="F125" s="160"/>
      <c r="G125" s="160"/>
      <c r="H125" s="160"/>
      <c r="I125" s="160"/>
      <c r="J125" s="160"/>
      <c r="K125" s="160"/>
    </row>
    <row r="126" spans="2:11" s="114" customFormat="1">
      <c r="B126" s="161"/>
      <c r="C126" s="161"/>
      <c r="D126" s="162" t="s">
        <v>435</v>
      </c>
      <c r="E126" s="163">
        <f t="shared" si="15"/>
        <v>0</v>
      </c>
      <c r="F126" s="160"/>
      <c r="G126" s="160"/>
      <c r="H126" s="160"/>
      <c r="I126" s="160"/>
      <c r="J126" s="160"/>
      <c r="K126" s="160"/>
    </row>
    <row r="127" spans="2:11" s="114" customFormat="1">
      <c r="B127" s="161"/>
      <c r="C127" s="161"/>
      <c r="D127" s="162" t="s">
        <v>436</v>
      </c>
      <c r="E127" s="163">
        <f t="shared" si="15"/>
        <v>0</v>
      </c>
      <c r="F127" s="160"/>
      <c r="G127" s="160"/>
      <c r="H127" s="160"/>
      <c r="I127" s="160"/>
      <c r="J127" s="160"/>
      <c r="K127" s="160"/>
    </row>
    <row r="128" spans="2:11" s="114" customFormat="1">
      <c r="B128" s="161" t="s">
        <v>437</v>
      </c>
      <c r="C128" s="161"/>
      <c r="D128" s="162" t="s">
        <v>438</v>
      </c>
      <c r="E128" s="163">
        <f t="shared" si="15"/>
        <v>0</v>
      </c>
      <c r="F128" s="160"/>
      <c r="G128" s="160"/>
      <c r="H128" s="160"/>
      <c r="I128" s="160"/>
      <c r="J128" s="160"/>
      <c r="K128" s="160"/>
    </row>
    <row r="129" spans="2:11" s="114" customFormat="1">
      <c r="B129" s="161"/>
      <c r="C129" s="161"/>
      <c r="D129" s="162" t="s">
        <v>439</v>
      </c>
      <c r="E129" s="163">
        <f t="shared" si="15"/>
        <v>0</v>
      </c>
      <c r="F129" s="160"/>
      <c r="G129" s="160"/>
      <c r="H129" s="160"/>
      <c r="I129" s="160"/>
      <c r="J129" s="160"/>
      <c r="K129" s="160"/>
    </row>
    <row r="130" spans="2:11" s="114" customFormat="1">
      <c r="B130" s="161"/>
      <c r="C130" s="161"/>
      <c r="D130" s="162" t="s">
        <v>440</v>
      </c>
      <c r="E130" s="163">
        <f t="shared" si="15"/>
        <v>0</v>
      </c>
      <c r="F130" s="160"/>
      <c r="G130" s="160"/>
      <c r="H130" s="160"/>
      <c r="I130" s="160"/>
      <c r="J130" s="160"/>
      <c r="K130" s="160"/>
    </row>
    <row r="131" spans="2:11" s="114" customFormat="1">
      <c r="B131" s="161" t="s">
        <v>441</v>
      </c>
      <c r="C131" s="161"/>
      <c r="D131" s="162" t="s">
        <v>442</v>
      </c>
      <c r="E131" s="163">
        <f t="shared" si="15"/>
        <v>0</v>
      </c>
      <c r="F131" s="160"/>
      <c r="G131" s="160"/>
      <c r="H131" s="160"/>
      <c r="I131" s="160"/>
      <c r="J131" s="160"/>
      <c r="K131" s="160"/>
    </row>
    <row r="132" spans="2:11" s="114" customFormat="1">
      <c r="B132" s="161"/>
      <c r="C132" s="161"/>
      <c r="D132" s="162" t="s">
        <v>443</v>
      </c>
      <c r="E132" s="163">
        <f t="shared" si="15"/>
        <v>0</v>
      </c>
      <c r="F132" s="160"/>
      <c r="G132" s="160"/>
      <c r="H132" s="160"/>
      <c r="I132" s="160"/>
      <c r="J132" s="160"/>
      <c r="K132" s="160"/>
    </row>
    <row r="133" spans="2:11" s="114" customFormat="1">
      <c r="B133" s="161"/>
      <c r="C133" s="161"/>
      <c r="D133" s="162" t="s">
        <v>444</v>
      </c>
      <c r="E133" s="163">
        <f t="shared" si="15"/>
        <v>0</v>
      </c>
      <c r="F133" s="160"/>
      <c r="G133" s="160"/>
      <c r="H133" s="160"/>
      <c r="I133" s="160"/>
      <c r="J133" s="160"/>
      <c r="K133" s="160"/>
    </row>
    <row r="134" spans="2:11" s="114" customFormat="1">
      <c r="B134" s="161" t="s">
        <v>445</v>
      </c>
      <c r="C134" s="161"/>
      <c r="D134" s="162" t="s">
        <v>446</v>
      </c>
      <c r="E134" s="163">
        <f t="shared" si="15"/>
        <v>0</v>
      </c>
      <c r="F134" s="160"/>
      <c r="G134" s="160"/>
      <c r="H134" s="160"/>
      <c r="I134" s="160"/>
      <c r="J134" s="160"/>
      <c r="K134" s="160"/>
    </row>
    <row r="135" spans="2:11" s="114" customFormat="1">
      <c r="B135" s="161"/>
      <c r="C135" s="161"/>
      <c r="D135" s="162" t="s">
        <v>447</v>
      </c>
      <c r="E135" s="163">
        <f t="shared" si="15"/>
        <v>0</v>
      </c>
      <c r="F135" s="160"/>
      <c r="G135" s="160"/>
      <c r="H135" s="160"/>
      <c r="I135" s="160"/>
      <c r="J135" s="160"/>
      <c r="K135" s="160"/>
    </row>
    <row r="136" spans="2:11" s="114" customFormat="1">
      <c r="B136" s="161"/>
      <c r="C136" s="161"/>
      <c r="D136" s="162" t="s">
        <v>448</v>
      </c>
      <c r="E136" s="163">
        <f t="shared" si="15"/>
        <v>0</v>
      </c>
      <c r="F136" s="160"/>
      <c r="G136" s="160"/>
      <c r="H136" s="160"/>
      <c r="I136" s="160"/>
      <c r="J136" s="160"/>
      <c r="K136" s="160"/>
    </row>
    <row r="137" spans="2:11" s="114" customFormat="1">
      <c r="B137" s="161" t="s">
        <v>449</v>
      </c>
      <c r="C137" s="161"/>
      <c r="D137" s="162" t="s">
        <v>450</v>
      </c>
      <c r="E137" s="163">
        <f t="shared" si="15"/>
        <v>0</v>
      </c>
      <c r="F137" s="160"/>
      <c r="G137" s="160"/>
      <c r="H137" s="160"/>
      <c r="I137" s="160"/>
      <c r="J137" s="160"/>
      <c r="K137" s="160"/>
    </row>
    <row r="138" spans="2:11" s="114" customFormat="1">
      <c r="B138" s="161"/>
      <c r="C138" s="161"/>
      <c r="D138" s="162" t="s">
        <v>451</v>
      </c>
      <c r="E138" s="163">
        <f t="shared" si="15"/>
        <v>0</v>
      </c>
      <c r="F138" s="160"/>
      <c r="G138" s="160"/>
      <c r="H138" s="160"/>
      <c r="I138" s="160"/>
      <c r="J138" s="160"/>
      <c r="K138" s="160"/>
    </row>
    <row r="139" spans="2:11" s="114" customFormat="1">
      <c r="B139" s="161"/>
      <c r="C139" s="161"/>
      <c r="D139" s="162" t="s">
        <v>452</v>
      </c>
      <c r="E139" s="163">
        <f t="shared" si="15"/>
        <v>0</v>
      </c>
      <c r="F139" s="160"/>
      <c r="G139" s="160"/>
      <c r="H139" s="160"/>
      <c r="I139" s="160"/>
      <c r="J139" s="160"/>
      <c r="K139" s="160"/>
    </row>
    <row r="140" spans="2:11" s="114" customFormat="1">
      <c r="B140" s="161"/>
      <c r="C140" s="161"/>
      <c r="D140" s="162" t="s">
        <v>453</v>
      </c>
      <c r="E140" s="163">
        <f t="shared" si="15"/>
        <v>0</v>
      </c>
      <c r="F140" s="160"/>
      <c r="G140" s="160"/>
      <c r="H140" s="160"/>
      <c r="I140" s="160"/>
      <c r="J140" s="160"/>
      <c r="K140" s="160"/>
    </row>
    <row r="141" spans="2:11" s="114" customFormat="1">
      <c r="B141" s="161" t="s">
        <v>454</v>
      </c>
      <c r="C141" s="161"/>
      <c r="D141" s="162" t="s">
        <v>455</v>
      </c>
      <c r="E141" s="163">
        <f t="shared" si="15"/>
        <v>0</v>
      </c>
      <c r="F141" s="160"/>
      <c r="G141" s="160"/>
      <c r="H141" s="160"/>
      <c r="I141" s="160"/>
      <c r="J141" s="160"/>
      <c r="K141" s="160"/>
    </row>
    <row r="142" spans="2:11" s="114" customFormat="1">
      <c r="B142" s="161"/>
      <c r="C142" s="161"/>
      <c r="D142" s="162" t="s">
        <v>456</v>
      </c>
      <c r="E142" s="163">
        <f t="shared" si="15"/>
        <v>0</v>
      </c>
      <c r="F142" s="160"/>
      <c r="G142" s="160"/>
      <c r="H142" s="160"/>
      <c r="I142" s="160"/>
      <c r="J142" s="160"/>
      <c r="K142" s="160"/>
    </row>
    <row r="143" spans="2:11" s="114" customFormat="1">
      <c r="B143" s="161"/>
      <c r="C143" s="161"/>
      <c r="D143" s="162" t="s">
        <v>457</v>
      </c>
      <c r="E143" s="163">
        <f t="shared" si="15"/>
        <v>0</v>
      </c>
      <c r="F143" s="160"/>
      <c r="G143" s="160"/>
      <c r="H143" s="160"/>
      <c r="I143" s="160"/>
      <c r="J143" s="160"/>
      <c r="K143" s="160"/>
    </row>
    <row r="144" spans="2:11" s="114" customFormat="1">
      <c r="B144" s="161"/>
      <c r="C144" s="161"/>
      <c r="D144" s="162" t="s">
        <v>458</v>
      </c>
      <c r="E144" s="163">
        <f t="shared" si="15"/>
        <v>0</v>
      </c>
      <c r="F144" s="160"/>
      <c r="G144" s="160"/>
      <c r="H144" s="160"/>
      <c r="I144" s="160"/>
      <c r="J144" s="160"/>
      <c r="K144" s="160"/>
    </row>
    <row r="145" spans="2:11" s="114" customFormat="1">
      <c r="B145" s="161"/>
      <c r="C145" s="161"/>
      <c r="D145" s="162" t="s">
        <v>459</v>
      </c>
      <c r="E145" s="163">
        <f t="shared" si="15"/>
        <v>0</v>
      </c>
      <c r="F145" s="160"/>
      <c r="G145" s="160"/>
      <c r="H145" s="160"/>
      <c r="I145" s="160"/>
      <c r="J145" s="160"/>
      <c r="K145" s="160"/>
    </row>
    <row r="146" spans="2:11" s="114" customFormat="1">
      <c r="B146" s="161"/>
      <c r="C146" s="161"/>
      <c r="D146" s="162" t="s">
        <v>460</v>
      </c>
      <c r="E146" s="163">
        <f t="shared" si="15"/>
        <v>0</v>
      </c>
      <c r="F146" s="160"/>
      <c r="G146" s="160"/>
      <c r="H146" s="160"/>
      <c r="I146" s="160"/>
      <c r="J146" s="160"/>
      <c r="K146" s="160"/>
    </row>
    <row r="147" spans="2:11" s="114" customFormat="1">
      <c r="B147" s="161"/>
      <c r="C147" s="161"/>
      <c r="D147" s="162" t="s">
        <v>461</v>
      </c>
      <c r="E147" s="163">
        <f t="shared" si="15"/>
        <v>0</v>
      </c>
      <c r="F147" s="160"/>
      <c r="G147" s="160"/>
      <c r="H147" s="160"/>
      <c r="I147" s="160"/>
      <c r="J147" s="160"/>
      <c r="K147" s="160"/>
    </row>
    <row r="148" spans="2:11" s="114" customFormat="1">
      <c r="B148" s="161"/>
      <c r="C148" s="161"/>
      <c r="D148" s="162" t="s">
        <v>462</v>
      </c>
      <c r="E148" s="163">
        <f t="shared" si="15"/>
        <v>0</v>
      </c>
      <c r="F148" s="160"/>
      <c r="G148" s="160"/>
      <c r="H148" s="160"/>
      <c r="I148" s="160"/>
      <c r="J148" s="160"/>
      <c r="K148" s="160"/>
    </row>
    <row r="149" spans="2:11" s="114" customFormat="1">
      <c r="B149" s="161" t="s">
        <v>464</v>
      </c>
      <c r="C149" s="161"/>
      <c r="D149" s="162" t="s">
        <v>465</v>
      </c>
      <c r="E149" s="163">
        <f t="shared" si="15"/>
        <v>0</v>
      </c>
      <c r="F149" s="160"/>
      <c r="G149" s="160"/>
      <c r="H149" s="160"/>
      <c r="I149" s="160"/>
      <c r="J149" s="160"/>
      <c r="K149" s="160"/>
    </row>
    <row r="150" spans="2:11" s="114" customFormat="1">
      <c r="B150" s="161"/>
      <c r="C150" s="161"/>
      <c r="D150" s="162" t="s">
        <v>466</v>
      </c>
      <c r="E150" s="163">
        <f t="shared" si="15"/>
        <v>0</v>
      </c>
      <c r="F150" s="160"/>
      <c r="G150" s="160"/>
      <c r="H150" s="160"/>
      <c r="I150" s="160"/>
      <c r="J150" s="160"/>
      <c r="K150" s="160"/>
    </row>
    <row r="151" spans="2:11" s="114" customFormat="1">
      <c r="B151" s="161"/>
      <c r="C151" s="161"/>
      <c r="D151" s="162" t="s">
        <v>467</v>
      </c>
      <c r="E151" s="163">
        <f t="shared" si="15"/>
        <v>0</v>
      </c>
      <c r="F151" s="160"/>
      <c r="G151" s="160"/>
      <c r="H151" s="160"/>
      <c r="I151" s="160"/>
      <c r="J151" s="160"/>
      <c r="K151" s="160"/>
    </row>
    <row r="152" spans="2:11" s="114" customFormat="1">
      <c r="B152" s="161"/>
      <c r="C152" s="161"/>
      <c r="D152" s="162" t="s">
        <v>468</v>
      </c>
      <c r="E152" s="163">
        <f t="shared" si="15"/>
        <v>0</v>
      </c>
      <c r="F152" s="160"/>
      <c r="G152" s="160"/>
      <c r="H152" s="160"/>
      <c r="I152" s="160"/>
      <c r="J152" s="160"/>
      <c r="K152" s="160"/>
    </row>
    <row r="153" spans="2:11" s="114" customFormat="1">
      <c r="B153" s="161"/>
      <c r="C153" s="161"/>
      <c r="D153" s="162" t="s">
        <v>472</v>
      </c>
      <c r="E153" s="163">
        <f t="shared" si="15"/>
        <v>0</v>
      </c>
      <c r="F153" s="160"/>
      <c r="G153" s="160"/>
      <c r="H153" s="160"/>
      <c r="I153" s="160"/>
      <c r="J153" s="160"/>
      <c r="K153" s="160"/>
    </row>
    <row r="154" spans="2:11" s="114" customFormat="1">
      <c r="B154" s="161"/>
      <c r="C154" s="161"/>
      <c r="D154" s="162" t="s">
        <v>469</v>
      </c>
      <c r="E154" s="163">
        <f t="shared" si="15"/>
        <v>0</v>
      </c>
      <c r="F154" s="160"/>
      <c r="G154" s="160"/>
      <c r="H154" s="160"/>
      <c r="I154" s="160"/>
      <c r="J154" s="160"/>
      <c r="K154" s="160"/>
    </row>
    <row r="155" spans="2:11" s="114" customFormat="1">
      <c r="B155" s="161"/>
      <c r="C155" s="161"/>
      <c r="D155" s="162" t="s">
        <v>470</v>
      </c>
      <c r="E155" s="163">
        <f t="shared" si="15"/>
        <v>0</v>
      </c>
      <c r="F155" s="160"/>
      <c r="G155" s="160"/>
      <c r="H155" s="160"/>
      <c r="I155" s="160"/>
      <c r="J155" s="160"/>
      <c r="K155" s="160"/>
    </row>
    <row r="156" spans="2:11" s="114" customFormat="1">
      <c r="B156" s="161"/>
      <c r="C156" s="161"/>
      <c r="D156" s="162" t="s">
        <v>471</v>
      </c>
      <c r="E156" s="163">
        <f t="shared" si="15"/>
        <v>0</v>
      </c>
      <c r="F156" s="160"/>
      <c r="G156" s="160"/>
      <c r="H156" s="160"/>
      <c r="I156" s="160"/>
      <c r="J156" s="160"/>
      <c r="K156" s="160"/>
    </row>
    <row r="157" spans="2:11" s="114" customFormat="1">
      <c r="B157" s="161" t="s">
        <v>473</v>
      </c>
      <c r="C157" s="161"/>
      <c r="D157" s="162" t="s">
        <v>474</v>
      </c>
      <c r="E157" s="163">
        <f t="shared" si="15"/>
        <v>0</v>
      </c>
      <c r="F157" s="160"/>
      <c r="G157" s="160"/>
      <c r="H157" s="160"/>
      <c r="I157" s="160"/>
      <c r="J157" s="160"/>
      <c r="K157" s="160"/>
    </row>
    <row r="158" spans="2:11" s="114" customFormat="1">
      <c r="B158" s="161"/>
      <c r="C158" s="161"/>
      <c r="D158" s="162" t="s">
        <v>476</v>
      </c>
      <c r="E158" s="163">
        <f t="shared" si="15"/>
        <v>0</v>
      </c>
      <c r="F158" s="160"/>
      <c r="G158" s="160"/>
      <c r="H158" s="160"/>
      <c r="I158" s="160"/>
      <c r="J158" s="160"/>
      <c r="K158" s="160"/>
    </row>
    <row r="159" spans="2:11" s="114" customFormat="1">
      <c r="B159" s="161"/>
      <c r="C159" s="161"/>
      <c r="D159" s="162" t="s">
        <v>475</v>
      </c>
      <c r="E159" s="163">
        <f t="shared" si="15"/>
        <v>0</v>
      </c>
      <c r="F159" s="160"/>
      <c r="G159" s="160"/>
      <c r="H159" s="160"/>
      <c r="I159" s="160"/>
      <c r="J159" s="160"/>
      <c r="K159" s="160"/>
    </row>
    <row r="160" spans="2:11" s="114" customFormat="1">
      <c r="B160" s="161"/>
      <c r="C160" s="161"/>
      <c r="D160" s="162" t="s">
        <v>477</v>
      </c>
      <c r="E160" s="163">
        <f t="shared" si="15"/>
        <v>0</v>
      </c>
      <c r="F160" s="160"/>
      <c r="G160" s="160"/>
      <c r="H160" s="160"/>
      <c r="I160" s="160"/>
      <c r="J160" s="160"/>
      <c r="K160" s="160"/>
    </row>
    <row r="161" spans="2:11" s="114" customFormat="1">
      <c r="B161" s="161"/>
      <c r="C161" s="161"/>
      <c r="D161" s="162" t="s">
        <v>478</v>
      </c>
      <c r="E161" s="163">
        <f t="shared" si="15"/>
        <v>0</v>
      </c>
      <c r="F161" s="160"/>
      <c r="G161" s="160"/>
      <c r="H161" s="160"/>
      <c r="I161" s="160"/>
      <c r="J161" s="160"/>
      <c r="K161" s="160"/>
    </row>
    <row r="162" spans="2:11" s="114" customFormat="1">
      <c r="B162" s="161"/>
      <c r="C162" s="161"/>
      <c r="D162" s="162" t="s">
        <v>479</v>
      </c>
      <c r="E162" s="163">
        <f t="shared" si="15"/>
        <v>0</v>
      </c>
      <c r="F162" s="160"/>
      <c r="G162" s="160"/>
      <c r="H162" s="160"/>
      <c r="I162" s="160"/>
      <c r="J162" s="160"/>
      <c r="K162" s="160"/>
    </row>
    <row r="163" spans="2:11" s="114" customFormat="1">
      <c r="B163" s="161"/>
      <c r="C163" s="161"/>
      <c r="D163" s="162" t="s">
        <v>480</v>
      </c>
      <c r="E163" s="163">
        <f t="shared" si="15"/>
        <v>0</v>
      </c>
      <c r="F163" s="160"/>
      <c r="G163" s="160"/>
      <c r="H163" s="160"/>
      <c r="I163" s="160"/>
      <c r="J163" s="160"/>
      <c r="K163" s="160"/>
    </row>
    <row r="164" spans="2:11" s="114" customFormat="1">
      <c r="B164" s="161"/>
      <c r="C164" s="161"/>
      <c r="D164" s="162" t="s">
        <v>264</v>
      </c>
      <c r="E164" s="163">
        <f t="shared" si="15"/>
        <v>0</v>
      </c>
      <c r="F164" s="160"/>
      <c r="G164" s="160"/>
      <c r="H164" s="160"/>
      <c r="I164" s="160"/>
      <c r="J164" s="160"/>
      <c r="K164" s="160"/>
    </row>
    <row r="165" spans="2:11">
      <c r="B165" s="151" t="s">
        <v>114</v>
      </c>
      <c r="C165" s="151"/>
      <c r="D165" s="152" t="s">
        <v>481</v>
      </c>
      <c r="E165" s="157">
        <f t="shared" si="15"/>
        <v>0</v>
      </c>
      <c r="F165" s="157">
        <f t="shared" ref="F165:F166" si="27">G165+H165+I165+J165+K165+L165</f>
        <v>0</v>
      </c>
      <c r="G165" s="157">
        <f t="shared" ref="G165:G166" si="28">H165+I165+J165+K165+L165+M165</f>
        <v>0</v>
      </c>
      <c r="H165" s="157">
        <f t="shared" ref="H165:H166" si="29">I165+J165+K165+L165+M165+N165</f>
        <v>0</v>
      </c>
      <c r="I165" s="157">
        <f t="shared" ref="I165:I166" si="30">J165+K165+L165+M165+N165+O165</f>
        <v>0</v>
      </c>
      <c r="J165" s="157">
        <f t="shared" ref="J165:J166" si="31">K165+L165+M165+N165+O165+P165</f>
        <v>0</v>
      </c>
      <c r="K165" s="157">
        <f t="shared" ref="K165:K166" si="32">L165+M165+N165+O165+P165+Q165</f>
        <v>0</v>
      </c>
    </row>
    <row r="166" spans="2:11">
      <c r="B166" s="115" t="s">
        <v>482</v>
      </c>
      <c r="C166" s="115"/>
      <c r="D166" s="116" t="s">
        <v>483</v>
      </c>
      <c r="E166" s="158">
        <f t="shared" si="15"/>
        <v>0</v>
      </c>
      <c r="F166" s="158">
        <f t="shared" si="27"/>
        <v>0</v>
      </c>
      <c r="G166" s="158">
        <f t="shared" si="28"/>
        <v>0</v>
      </c>
      <c r="H166" s="158">
        <f t="shared" si="29"/>
        <v>0</v>
      </c>
      <c r="I166" s="158">
        <f t="shared" si="30"/>
        <v>0</v>
      </c>
      <c r="J166" s="158">
        <f t="shared" si="31"/>
        <v>0</v>
      </c>
      <c r="K166" s="158">
        <f t="shared" si="32"/>
        <v>0</v>
      </c>
    </row>
    <row r="167" spans="2:11" s="114" customFormat="1">
      <c r="B167" s="161" t="s">
        <v>484</v>
      </c>
      <c r="C167" s="161"/>
      <c r="D167" s="162" t="s">
        <v>485</v>
      </c>
      <c r="E167" s="163">
        <f t="shared" si="15"/>
        <v>0</v>
      </c>
      <c r="F167" s="160"/>
      <c r="G167" s="160"/>
      <c r="H167" s="160"/>
      <c r="I167" s="160"/>
      <c r="J167" s="160"/>
      <c r="K167" s="160"/>
    </row>
    <row r="168" spans="2:11" s="114" customFormat="1">
      <c r="B168" s="161" t="s">
        <v>486</v>
      </c>
      <c r="C168" s="161"/>
      <c r="D168" s="162" t="s">
        <v>487</v>
      </c>
      <c r="E168" s="163">
        <f t="shared" si="15"/>
        <v>0</v>
      </c>
      <c r="F168" s="160"/>
      <c r="G168" s="160"/>
      <c r="H168" s="160"/>
      <c r="I168" s="160"/>
      <c r="J168" s="160"/>
      <c r="K168" s="160"/>
    </row>
    <row r="169" spans="2:11" s="114" customFormat="1">
      <c r="B169" s="161" t="s">
        <v>488</v>
      </c>
      <c r="C169" s="161"/>
      <c r="D169" s="162" t="s">
        <v>489</v>
      </c>
      <c r="E169" s="163">
        <f t="shared" si="15"/>
        <v>0</v>
      </c>
      <c r="F169" s="160"/>
      <c r="G169" s="160"/>
      <c r="H169" s="160"/>
      <c r="I169" s="160"/>
      <c r="J169" s="160"/>
      <c r="K169" s="160"/>
    </row>
    <row r="170" spans="2:11" s="114" customFormat="1">
      <c r="B170" s="161" t="s">
        <v>632</v>
      </c>
      <c r="C170" s="161"/>
      <c r="D170" s="162"/>
      <c r="E170" s="163">
        <f t="shared" si="15"/>
        <v>0</v>
      </c>
      <c r="F170" s="160"/>
      <c r="G170" s="160"/>
      <c r="H170" s="160"/>
      <c r="I170" s="160"/>
      <c r="J170" s="160"/>
      <c r="K170" s="160"/>
    </row>
    <row r="171" spans="2:11">
      <c r="B171" s="115" t="s">
        <v>490</v>
      </c>
      <c r="C171" s="115"/>
      <c r="D171" s="116" t="s">
        <v>491</v>
      </c>
      <c r="E171" s="158">
        <f>SUM(E172:E189)</f>
        <v>180000</v>
      </c>
      <c r="F171" s="158">
        <f t="shared" ref="F171:K171" si="33">SUM(F172:F189)</f>
        <v>0</v>
      </c>
      <c r="G171" s="158">
        <f t="shared" si="33"/>
        <v>180000</v>
      </c>
      <c r="H171" s="158">
        <f t="shared" si="33"/>
        <v>0</v>
      </c>
      <c r="I171" s="158">
        <f t="shared" si="33"/>
        <v>0</v>
      </c>
      <c r="J171" s="158">
        <f t="shared" si="33"/>
        <v>0</v>
      </c>
      <c r="K171" s="158">
        <f t="shared" si="33"/>
        <v>0</v>
      </c>
    </row>
    <row r="172" spans="2:11" s="114" customFormat="1">
      <c r="B172" s="161" t="s">
        <v>492</v>
      </c>
      <c r="C172" s="161"/>
      <c r="D172" s="162" t="s">
        <v>493</v>
      </c>
      <c r="E172" s="163">
        <f t="shared" si="15"/>
        <v>0</v>
      </c>
      <c r="F172" s="160"/>
      <c r="G172" s="160"/>
      <c r="H172" s="160"/>
      <c r="I172" s="160"/>
      <c r="J172" s="160"/>
      <c r="K172" s="160"/>
    </row>
    <row r="173" spans="2:11" s="114" customFormat="1">
      <c r="B173" s="161" t="s">
        <v>492</v>
      </c>
      <c r="C173" s="161"/>
      <c r="D173" s="162" t="s">
        <v>494</v>
      </c>
      <c r="E173" s="163">
        <f t="shared" si="15"/>
        <v>0</v>
      </c>
      <c r="F173" s="160"/>
      <c r="G173" s="160"/>
      <c r="H173" s="160"/>
      <c r="I173" s="160"/>
      <c r="J173" s="160"/>
      <c r="K173" s="160"/>
    </row>
    <row r="174" spans="2:11" s="114" customFormat="1">
      <c r="B174" s="161"/>
      <c r="C174" s="161"/>
      <c r="D174" s="162" t="s">
        <v>495</v>
      </c>
      <c r="E174" s="163">
        <f t="shared" si="15"/>
        <v>0</v>
      </c>
      <c r="F174" s="160"/>
      <c r="G174" s="160"/>
      <c r="H174" s="160"/>
      <c r="I174" s="160"/>
      <c r="J174" s="160"/>
      <c r="K174" s="160"/>
    </row>
    <row r="175" spans="2:11" s="114" customFormat="1">
      <c r="B175" s="161"/>
      <c r="C175" s="161"/>
      <c r="D175" s="162" t="s">
        <v>638</v>
      </c>
      <c r="E175" s="163">
        <f t="shared" si="15"/>
        <v>40000</v>
      </c>
      <c r="F175" s="160"/>
      <c r="G175" s="160">
        <f>4*10000</f>
        <v>40000</v>
      </c>
      <c r="H175" s="160"/>
      <c r="I175" s="160"/>
      <c r="J175" s="160"/>
      <c r="K175" s="160"/>
    </row>
    <row r="176" spans="2:11" s="114" customFormat="1">
      <c r="B176" s="161"/>
      <c r="C176" s="161"/>
      <c r="D176" s="162" t="s">
        <v>496</v>
      </c>
      <c r="E176" s="163">
        <f t="shared" si="15"/>
        <v>0</v>
      </c>
      <c r="F176" s="160"/>
      <c r="G176" s="160"/>
      <c r="H176" s="160"/>
      <c r="I176" s="160"/>
      <c r="J176" s="160"/>
      <c r="K176" s="160"/>
    </row>
    <row r="177" spans="2:11" s="114" customFormat="1">
      <c r="B177" s="161"/>
      <c r="C177" s="161"/>
      <c r="D177" s="162" t="s">
        <v>497</v>
      </c>
      <c r="E177" s="163">
        <f t="shared" si="15"/>
        <v>0</v>
      </c>
      <c r="F177" s="160"/>
      <c r="G177" s="160"/>
      <c r="H177" s="160"/>
      <c r="I177" s="160"/>
      <c r="J177" s="160"/>
      <c r="K177" s="160"/>
    </row>
    <row r="178" spans="2:11" s="114" customFormat="1">
      <c r="B178" s="161"/>
      <c r="C178" s="161"/>
      <c r="D178" s="162" t="s">
        <v>498</v>
      </c>
      <c r="E178" s="163">
        <f t="shared" si="15"/>
        <v>0</v>
      </c>
      <c r="F178" s="160"/>
      <c r="G178" s="160"/>
      <c r="H178" s="160"/>
      <c r="I178" s="160"/>
      <c r="J178" s="160"/>
      <c r="K178" s="160"/>
    </row>
    <row r="179" spans="2:11" s="114" customFormat="1">
      <c r="B179" s="161"/>
      <c r="C179" s="161"/>
      <c r="D179" s="162" t="s">
        <v>639</v>
      </c>
      <c r="E179" s="163">
        <f t="shared" si="15"/>
        <v>70000</v>
      </c>
      <c r="F179" s="160"/>
      <c r="G179" s="160">
        <f>7*10000</f>
        <v>70000</v>
      </c>
      <c r="H179" s="160"/>
      <c r="I179" s="160"/>
      <c r="J179" s="160"/>
      <c r="K179" s="160"/>
    </row>
    <row r="180" spans="2:11" s="114" customFormat="1">
      <c r="B180" s="161"/>
      <c r="C180" s="161"/>
      <c r="D180" s="162" t="s">
        <v>640</v>
      </c>
      <c r="E180" s="163">
        <f t="shared" si="15"/>
        <v>70000</v>
      </c>
      <c r="F180" s="160"/>
      <c r="G180" s="160">
        <f>7*10000</f>
        <v>70000</v>
      </c>
      <c r="H180" s="160"/>
      <c r="I180" s="160"/>
      <c r="J180" s="160"/>
      <c r="K180" s="160"/>
    </row>
    <row r="181" spans="2:11" s="114" customFormat="1">
      <c r="B181" s="161"/>
      <c r="C181" s="161"/>
      <c r="D181" s="162" t="s">
        <v>499</v>
      </c>
      <c r="E181" s="163">
        <f t="shared" si="15"/>
        <v>0</v>
      </c>
      <c r="F181" s="160"/>
      <c r="G181" s="160"/>
      <c r="H181" s="160"/>
      <c r="I181" s="160"/>
      <c r="J181" s="160"/>
      <c r="K181" s="160"/>
    </row>
    <row r="182" spans="2:11" s="114" customFormat="1">
      <c r="B182" s="161"/>
      <c r="C182" s="161"/>
      <c r="D182" s="162" t="s">
        <v>500</v>
      </c>
      <c r="E182" s="163">
        <f t="shared" si="15"/>
        <v>0</v>
      </c>
      <c r="F182" s="160"/>
      <c r="G182" s="160"/>
      <c r="H182" s="160"/>
      <c r="I182" s="160"/>
      <c r="J182" s="160"/>
      <c r="K182" s="160"/>
    </row>
    <row r="183" spans="2:11" s="114" customFormat="1">
      <c r="B183" s="161"/>
      <c r="C183" s="161"/>
      <c r="D183" s="162" t="s">
        <v>501</v>
      </c>
      <c r="E183" s="163">
        <f t="shared" si="15"/>
        <v>0</v>
      </c>
      <c r="F183" s="160"/>
      <c r="G183" s="160"/>
      <c r="H183" s="160"/>
      <c r="I183" s="160"/>
      <c r="J183" s="160"/>
      <c r="K183" s="160"/>
    </row>
    <row r="184" spans="2:11" s="114" customFormat="1">
      <c r="B184" s="161"/>
      <c r="C184" s="161"/>
      <c r="D184" s="162" t="s">
        <v>502</v>
      </c>
      <c r="E184" s="163">
        <f t="shared" si="15"/>
        <v>0</v>
      </c>
      <c r="F184" s="160"/>
      <c r="G184" s="160"/>
      <c r="H184" s="160"/>
      <c r="I184" s="160"/>
      <c r="J184" s="160"/>
      <c r="K184" s="160"/>
    </row>
    <row r="185" spans="2:11" s="114" customFormat="1">
      <c r="B185" s="161"/>
      <c r="C185" s="161"/>
      <c r="D185" s="162" t="s">
        <v>503</v>
      </c>
      <c r="E185" s="163">
        <f t="shared" si="15"/>
        <v>0</v>
      </c>
      <c r="F185" s="160"/>
      <c r="G185" s="160"/>
      <c r="H185" s="160"/>
      <c r="I185" s="160"/>
      <c r="J185" s="160"/>
      <c r="K185" s="160"/>
    </row>
    <row r="186" spans="2:11" s="114" customFormat="1">
      <c r="B186" s="161"/>
      <c r="C186" s="161"/>
      <c r="D186" s="162" t="s">
        <v>503</v>
      </c>
      <c r="E186" s="163">
        <f t="shared" si="15"/>
        <v>0</v>
      </c>
      <c r="F186" s="160"/>
      <c r="G186" s="160"/>
      <c r="H186" s="160"/>
      <c r="I186" s="160"/>
      <c r="J186" s="160"/>
      <c r="K186" s="160"/>
    </row>
    <row r="187" spans="2:11" s="114" customFormat="1">
      <c r="B187" s="161"/>
      <c r="C187" s="161"/>
      <c r="D187" s="162" t="s">
        <v>503</v>
      </c>
      <c r="E187" s="163">
        <f t="shared" si="15"/>
        <v>0</v>
      </c>
      <c r="F187" s="160"/>
      <c r="G187" s="160"/>
      <c r="H187" s="160"/>
      <c r="I187" s="160"/>
      <c r="J187" s="160"/>
      <c r="K187" s="160"/>
    </row>
    <row r="188" spans="2:11" s="114" customFormat="1">
      <c r="B188" s="161"/>
      <c r="C188" s="161"/>
      <c r="D188" s="162" t="s">
        <v>504</v>
      </c>
      <c r="E188" s="163">
        <f t="shared" si="15"/>
        <v>0</v>
      </c>
      <c r="F188" s="160"/>
      <c r="G188" s="160"/>
      <c r="H188" s="160"/>
      <c r="I188" s="160"/>
      <c r="J188" s="160"/>
      <c r="K188" s="160"/>
    </row>
    <row r="189" spans="2:11" s="114" customFormat="1">
      <c r="B189" s="161"/>
      <c r="C189" s="161"/>
      <c r="D189" s="162" t="s">
        <v>264</v>
      </c>
      <c r="E189" s="163">
        <f t="shared" si="15"/>
        <v>0</v>
      </c>
      <c r="F189" s="160"/>
      <c r="G189" s="160"/>
      <c r="H189" s="160"/>
      <c r="I189" s="160"/>
      <c r="J189" s="160"/>
      <c r="K189" s="160"/>
    </row>
    <row r="190" spans="2:11">
      <c r="B190" s="115" t="s">
        <v>505</v>
      </c>
      <c r="C190" s="115"/>
      <c r="D190" s="116" t="s">
        <v>506</v>
      </c>
      <c r="E190" s="158">
        <f>SUM(E191:E194)</f>
        <v>210000</v>
      </c>
      <c r="F190" s="158">
        <f t="shared" ref="F190:K190" si="34">SUM(F191:F194)</f>
        <v>0</v>
      </c>
      <c r="G190" s="158">
        <f t="shared" si="34"/>
        <v>210000</v>
      </c>
      <c r="H190" s="158">
        <f t="shared" si="34"/>
        <v>0</v>
      </c>
      <c r="I190" s="158">
        <f t="shared" si="34"/>
        <v>0</v>
      </c>
      <c r="J190" s="158">
        <f t="shared" si="34"/>
        <v>0</v>
      </c>
      <c r="K190" s="158">
        <f t="shared" si="34"/>
        <v>0</v>
      </c>
    </row>
    <row r="191" spans="2:11" s="114" customFormat="1">
      <c r="B191" s="161" t="s">
        <v>507</v>
      </c>
      <c r="C191" s="161"/>
      <c r="D191" s="162" t="s">
        <v>510</v>
      </c>
      <c r="E191" s="163">
        <f t="shared" si="15"/>
        <v>60000</v>
      </c>
      <c r="F191" s="160"/>
      <c r="G191" s="160">
        <f>6*10000</f>
        <v>60000</v>
      </c>
      <c r="H191" s="160"/>
      <c r="I191" s="160"/>
      <c r="J191" s="160"/>
      <c r="K191" s="160"/>
    </row>
    <row r="192" spans="2:11" s="114" customFormat="1">
      <c r="B192" s="161" t="s">
        <v>508</v>
      </c>
      <c r="C192" s="161"/>
      <c r="D192" s="162" t="s">
        <v>509</v>
      </c>
      <c r="E192" s="163">
        <f t="shared" si="15"/>
        <v>60000</v>
      </c>
      <c r="F192" s="160"/>
      <c r="G192" s="160">
        <f>6*10000</f>
        <v>60000</v>
      </c>
      <c r="H192" s="160"/>
      <c r="I192" s="160"/>
      <c r="J192" s="160"/>
      <c r="K192" s="160"/>
    </row>
    <row r="193" spans="2:11" s="114" customFormat="1">
      <c r="B193" s="161" t="s">
        <v>511</v>
      </c>
      <c r="C193" s="161"/>
      <c r="D193" s="162" t="s">
        <v>512</v>
      </c>
      <c r="E193" s="163">
        <f t="shared" si="15"/>
        <v>90000</v>
      </c>
      <c r="F193" s="160"/>
      <c r="G193" s="160">
        <f>6*3*5000</f>
        <v>90000</v>
      </c>
      <c r="H193" s="160"/>
      <c r="I193" s="160"/>
      <c r="J193" s="160"/>
      <c r="K193" s="160"/>
    </row>
    <row r="194" spans="2:11" s="114" customFormat="1">
      <c r="B194" s="161" t="s">
        <v>631</v>
      </c>
      <c r="C194" s="161"/>
      <c r="D194" s="162"/>
      <c r="E194" s="163">
        <f t="shared" si="15"/>
        <v>0</v>
      </c>
      <c r="F194" s="160"/>
      <c r="G194" s="160"/>
      <c r="H194" s="160"/>
      <c r="I194" s="160"/>
      <c r="J194" s="160"/>
      <c r="K194" s="160"/>
    </row>
    <row r="195" spans="2:11">
      <c r="B195" s="115" t="s">
        <v>513</v>
      </c>
      <c r="C195" s="115"/>
      <c r="D195" s="116" t="s">
        <v>514</v>
      </c>
      <c r="E195" s="158">
        <f>SUM(E196:E201)</f>
        <v>100000</v>
      </c>
      <c r="F195" s="158">
        <f t="shared" ref="F195:K195" si="35">SUM(F196:F201)</f>
        <v>0</v>
      </c>
      <c r="G195" s="158">
        <f t="shared" si="35"/>
        <v>100000</v>
      </c>
      <c r="H195" s="158">
        <f t="shared" si="35"/>
        <v>0</v>
      </c>
      <c r="I195" s="158">
        <f t="shared" si="35"/>
        <v>0</v>
      </c>
      <c r="J195" s="158">
        <f t="shared" si="35"/>
        <v>0</v>
      </c>
      <c r="K195" s="158">
        <f t="shared" si="35"/>
        <v>0</v>
      </c>
    </row>
    <row r="196" spans="2:11" s="114" customFormat="1">
      <c r="B196" s="161" t="s">
        <v>515</v>
      </c>
      <c r="C196" s="161"/>
      <c r="D196" s="162" t="s">
        <v>516</v>
      </c>
      <c r="E196" s="163">
        <f t="shared" si="15"/>
        <v>0</v>
      </c>
      <c r="F196" s="160"/>
      <c r="G196" s="160"/>
      <c r="H196" s="160"/>
      <c r="I196" s="160"/>
      <c r="J196" s="160"/>
      <c r="K196" s="160"/>
    </row>
    <row r="197" spans="2:11" s="114" customFormat="1">
      <c r="B197" s="161" t="s">
        <v>517</v>
      </c>
      <c r="C197" s="161"/>
      <c r="D197" s="162" t="s">
        <v>518</v>
      </c>
      <c r="E197" s="163">
        <f t="shared" si="15"/>
        <v>100000</v>
      </c>
      <c r="F197" s="160"/>
      <c r="G197" s="160">
        <v>100000</v>
      </c>
      <c r="H197" s="160"/>
      <c r="I197" s="160"/>
      <c r="J197" s="160"/>
      <c r="K197" s="160"/>
    </row>
    <row r="198" spans="2:11" s="114" customFormat="1">
      <c r="B198" s="161" t="s">
        <v>519</v>
      </c>
      <c r="C198" s="161"/>
      <c r="D198" s="162" t="s">
        <v>520</v>
      </c>
      <c r="E198" s="163">
        <f t="shared" si="15"/>
        <v>0</v>
      </c>
      <c r="F198" s="160"/>
      <c r="G198" s="160"/>
      <c r="H198" s="160"/>
      <c r="I198" s="160"/>
      <c r="J198" s="160"/>
      <c r="K198" s="160"/>
    </row>
    <row r="199" spans="2:11" s="114" customFormat="1">
      <c r="B199" s="161" t="s">
        <v>521</v>
      </c>
      <c r="C199" s="161"/>
      <c r="D199" s="162" t="s">
        <v>522</v>
      </c>
      <c r="E199" s="163">
        <f t="shared" si="15"/>
        <v>0</v>
      </c>
      <c r="F199" s="160"/>
      <c r="G199" s="160"/>
      <c r="H199" s="160"/>
      <c r="I199" s="160"/>
      <c r="J199" s="160"/>
      <c r="K199" s="160"/>
    </row>
    <row r="200" spans="2:11" s="114" customFormat="1">
      <c r="B200" s="161" t="s">
        <v>523</v>
      </c>
      <c r="C200" s="161"/>
      <c r="D200" s="162" t="s">
        <v>524</v>
      </c>
      <c r="E200" s="163">
        <f t="shared" si="15"/>
        <v>0</v>
      </c>
      <c r="F200" s="160"/>
      <c r="G200" s="160"/>
      <c r="H200" s="160"/>
      <c r="I200" s="160"/>
      <c r="J200" s="160"/>
      <c r="K200" s="160"/>
    </row>
    <row r="201" spans="2:11" s="114" customFormat="1">
      <c r="B201" s="161" t="s">
        <v>630</v>
      </c>
      <c r="C201" s="161"/>
      <c r="D201" s="162"/>
      <c r="E201" s="163">
        <f t="shared" si="15"/>
        <v>0</v>
      </c>
      <c r="F201" s="160"/>
      <c r="G201" s="160"/>
      <c r="H201" s="160"/>
      <c r="I201" s="160"/>
      <c r="J201" s="160"/>
      <c r="K201" s="160"/>
    </row>
    <row r="202" spans="2:11">
      <c r="B202" s="151" t="s">
        <v>116</v>
      </c>
      <c r="C202" s="151"/>
      <c r="D202" s="152" t="s">
        <v>525</v>
      </c>
      <c r="E202" s="157">
        <f>E203</f>
        <v>951000</v>
      </c>
      <c r="F202" s="157">
        <f t="shared" ref="F202:K202" si="36">F203</f>
        <v>0</v>
      </c>
      <c r="G202" s="157">
        <f t="shared" si="36"/>
        <v>951000</v>
      </c>
      <c r="H202" s="157">
        <f t="shared" si="36"/>
        <v>0</v>
      </c>
      <c r="I202" s="157">
        <f t="shared" si="36"/>
        <v>0</v>
      </c>
      <c r="J202" s="157">
        <f t="shared" si="36"/>
        <v>0</v>
      </c>
      <c r="K202" s="157">
        <f t="shared" si="36"/>
        <v>0</v>
      </c>
    </row>
    <row r="203" spans="2:11">
      <c r="B203" s="115" t="s">
        <v>526</v>
      </c>
      <c r="C203" s="115"/>
      <c r="D203" s="116" t="s">
        <v>527</v>
      </c>
      <c r="E203" s="158">
        <f>SUM(E204:E209)</f>
        <v>951000</v>
      </c>
      <c r="F203" s="158">
        <f t="shared" ref="F203:K203" si="37">SUM(F204:F209)</f>
        <v>0</v>
      </c>
      <c r="G203" s="158">
        <f t="shared" si="37"/>
        <v>951000</v>
      </c>
      <c r="H203" s="158">
        <f t="shared" si="37"/>
        <v>0</v>
      </c>
      <c r="I203" s="158">
        <f t="shared" si="37"/>
        <v>0</v>
      </c>
      <c r="J203" s="158">
        <f t="shared" si="37"/>
        <v>0</v>
      </c>
      <c r="K203" s="158">
        <f t="shared" si="37"/>
        <v>0</v>
      </c>
    </row>
    <row r="204" spans="2:11" s="114" customFormat="1">
      <c r="B204" s="161" t="s">
        <v>528</v>
      </c>
      <c r="C204" s="161"/>
      <c r="D204" s="162" t="s">
        <v>529</v>
      </c>
      <c r="E204" s="163">
        <f t="shared" si="15"/>
        <v>540000</v>
      </c>
      <c r="F204" s="160"/>
      <c r="G204" s="160">
        <f>9*2000*30</f>
        <v>540000</v>
      </c>
      <c r="H204" s="160"/>
      <c r="I204" s="160"/>
      <c r="J204" s="160"/>
      <c r="K204" s="160"/>
    </row>
    <row r="205" spans="2:11" s="114" customFormat="1">
      <c r="B205" s="161" t="s">
        <v>530</v>
      </c>
      <c r="C205" s="161"/>
      <c r="D205" s="162" t="s">
        <v>531</v>
      </c>
      <c r="E205" s="163">
        <f t="shared" si="15"/>
        <v>75000</v>
      </c>
      <c r="F205" s="160"/>
      <c r="G205" s="160">
        <f>15*5000</f>
        <v>75000</v>
      </c>
      <c r="H205" s="160"/>
      <c r="I205" s="160"/>
      <c r="J205" s="160"/>
      <c r="K205" s="160"/>
    </row>
    <row r="206" spans="2:11" s="114" customFormat="1">
      <c r="B206" s="161" t="s">
        <v>532</v>
      </c>
      <c r="C206" s="161"/>
      <c r="D206" s="162" t="s">
        <v>533</v>
      </c>
      <c r="E206" s="163">
        <f t="shared" si="15"/>
        <v>96000</v>
      </c>
      <c r="F206" s="160"/>
      <c r="G206" s="160">
        <f>6*16000</f>
        <v>96000</v>
      </c>
      <c r="H206" s="160"/>
      <c r="I206" s="160"/>
      <c r="J206" s="160"/>
      <c r="K206" s="160"/>
    </row>
    <row r="207" spans="2:11" s="114" customFormat="1">
      <c r="B207" s="161" t="s">
        <v>534</v>
      </c>
      <c r="C207" s="161"/>
      <c r="D207" s="162" t="s">
        <v>535</v>
      </c>
      <c r="E207" s="163">
        <f t="shared" si="15"/>
        <v>60000</v>
      </c>
      <c r="F207" s="160"/>
      <c r="G207" s="160">
        <f>3*20000</f>
        <v>60000</v>
      </c>
      <c r="H207" s="160"/>
      <c r="I207" s="160"/>
      <c r="J207" s="160"/>
      <c r="K207" s="160"/>
    </row>
    <row r="208" spans="2:11" s="114" customFormat="1">
      <c r="B208" s="161" t="s">
        <v>536</v>
      </c>
      <c r="C208" s="161"/>
      <c r="D208" s="162" t="s">
        <v>537</v>
      </c>
      <c r="E208" s="163">
        <f>F208+G208+H208+I208+J208+K208</f>
        <v>180000</v>
      </c>
      <c r="F208" s="160"/>
      <c r="G208" s="160">
        <f>3*60000</f>
        <v>180000</v>
      </c>
      <c r="H208" s="160"/>
      <c r="I208" s="160"/>
      <c r="J208" s="160"/>
      <c r="K208" s="160"/>
    </row>
    <row r="209" spans="2:11" s="114" customFormat="1">
      <c r="B209" s="161" t="s">
        <v>629</v>
      </c>
      <c r="C209" s="161"/>
      <c r="D209" s="162"/>
      <c r="E209" s="163">
        <f t="shared" si="15"/>
        <v>0</v>
      </c>
      <c r="F209" s="160"/>
      <c r="G209" s="160"/>
      <c r="H209" s="160"/>
      <c r="I209" s="160"/>
      <c r="J209" s="160"/>
      <c r="K209" s="160"/>
    </row>
    <row r="210" spans="2:11">
      <c r="B210" s="151" t="s">
        <v>118</v>
      </c>
      <c r="C210" s="151"/>
      <c r="D210" s="152" t="s">
        <v>538</v>
      </c>
      <c r="E210" s="157">
        <f>E211+E217+E223+E232+E237+E242+E248+E253</f>
        <v>282500</v>
      </c>
      <c r="F210" s="157">
        <f t="shared" ref="F210:K210" si="38">F211+F217+F223+F232+F237+F242+F248+F253</f>
        <v>0</v>
      </c>
      <c r="G210" s="157">
        <f t="shared" si="38"/>
        <v>282500</v>
      </c>
      <c r="H210" s="157">
        <f t="shared" si="38"/>
        <v>0</v>
      </c>
      <c r="I210" s="157">
        <f t="shared" si="38"/>
        <v>0</v>
      </c>
      <c r="J210" s="157">
        <f t="shared" si="38"/>
        <v>0</v>
      </c>
      <c r="K210" s="157">
        <f t="shared" si="38"/>
        <v>0</v>
      </c>
    </row>
    <row r="211" spans="2:11">
      <c r="B211" s="115" t="s">
        <v>539</v>
      </c>
      <c r="C211" s="115"/>
      <c r="D211" s="116" t="s">
        <v>540</v>
      </c>
      <c r="E211" s="158">
        <f>SUM(E212:E216)</f>
        <v>0</v>
      </c>
      <c r="F211" s="158">
        <f t="shared" ref="F211:K211" si="39">SUM(F212:F216)</f>
        <v>0</v>
      </c>
      <c r="G211" s="158">
        <f t="shared" si="39"/>
        <v>0</v>
      </c>
      <c r="H211" s="158">
        <f t="shared" si="39"/>
        <v>0</v>
      </c>
      <c r="I211" s="158">
        <f t="shared" si="39"/>
        <v>0</v>
      </c>
      <c r="J211" s="158">
        <f t="shared" si="39"/>
        <v>0</v>
      </c>
      <c r="K211" s="158">
        <f t="shared" si="39"/>
        <v>0</v>
      </c>
    </row>
    <row r="212" spans="2:11" s="114" customFormat="1">
      <c r="B212" s="161" t="s">
        <v>541</v>
      </c>
      <c r="C212" s="161"/>
      <c r="D212" s="162" t="s">
        <v>542</v>
      </c>
      <c r="E212" s="163">
        <f t="shared" si="15"/>
        <v>0</v>
      </c>
      <c r="F212" s="160"/>
      <c r="G212" s="160"/>
      <c r="H212" s="160"/>
      <c r="I212" s="160"/>
      <c r="J212" s="160"/>
      <c r="K212" s="160"/>
    </row>
    <row r="213" spans="2:11" s="114" customFormat="1">
      <c r="B213" s="161" t="s">
        <v>545</v>
      </c>
      <c r="C213" s="161"/>
      <c r="D213" s="162" t="s">
        <v>543</v>
      </c>
      <c r="E213" s="163">
        <f t="shared" si="15"/>
        <v>0</v>
      </c>
      <c r="F213" s="160"/>
      <c r="G213" s="160"/>
      <c r="H213" s="160"/>
      <c r="I213" s="160"/>
      <c r="J213" s="160"/>
      <c r="K213" s="160"/>
    </row>
    <row r="214" spans="2:11" s="114" customFormat="1">
      <c r="B214" s="161" t="s">
        <v>546</v>
      </c>
      <c r="C214" s="161"/>
      <c r="D214" s="162" t="s">
        <v>544</v>
      </c>
      <c r="E214" s="163">
        <f t="shared" si="15"/>
        <v>0</v>
      </c>
      <c r="F214" s="160"/>
      <c r="G214" s="160"/>
      <c r="H214" s="160"/>
      <c r="I214" s="160"/>
      <c r="J214" s="160"/>
      <c r="K214" s="160"/>
    </row>
    <row r="215" spans="2:11" s="114" customFormat="1">
      <c r="B215" s="161" t="s">
        <v>554</v>
      </c>
      <c r="C215" s="161"/>
      <c r="D215" s="162" t="s">
        <v>555</v>
      </c>
      <c r="E215" s="163">
        <f t="shared" si="15"/>
        <v>0</v>
      </c>
      <c r="F215" s="160"/>
      <c r="G215" s="160"/>
      <c r="H215" s="160"/>
      <c r="I215" s="160"/>
      <c r="J215" s="160"/>
      <c r="K215" s="160"/>
    </row>
    <row r="216" spans="2:11" s="114" customFormat="1">
      <c r="B216" s="161" t="s">
        <v>628</v>
      </c>
      <c r="C216" s="161"/>
      <c r="D216" s="162"/>
      <c r="E216" s="163">
        <f t="shared" si="15"/>
        <v>0</v>
      </c>
      <c r="F216" s="160"/>
      <c r="G216" s="160"/>
      <c r="H216" s="160"/>
      <c r="I216" s="160"/>
      <c r="J216" s="160"/>
      <c r="K216" s="160"/>
    </row>
    <row r="217" spans="2:11">
      <c r="B217" s="115" t="s">
        <v>547</v>
      </c>
      <c r="C217" s="115"/>
      <c r="D217" s="116" t="s">
        <v>548</v>
      </c>
      <c r="E217" s="158">
        <f>SUM(E218:E222)</f>
        <v>112500</v>
      </c>
      <c r="F217" s="158">
        <f t="shared" ref="F217:K217" si="40">SUM(F218:F222)</f>
        <v>0</v>
      </c>
      <c r="G217" s="158">
        <f t="shared" si="40"/>
        <v>112500</v>
      </c>
      <c r="H217" s="158">
        <f t="shared" si="40"/>
        <v>0</v>
      </c>
      <c r="I217" s="158">
        <f t="shared" si="40"/>
        <v>0</v>
      </c>
      <c r="J217" s="158">
        <f t="shared" si="40"/>
        <v>0</v>
      </c>
      <c r="K217" s="158">
        <f t="shared" si="40"/>
        <v>0</v>
      </c>
    </row>
    <row r="218" spans="2:11" s="114" customFormat="1">
      <c r="B218" s="161" t="s">
        <v>549</v>
      </c>
      <c r="C218" s="161"/>
      <c r="D218" s="162" t="s">
        <v>550</v>
      </c>
      <c r="E218" s="163">
        <f t="shared" si="15"/>
        <v>112500</v>
      </c>
      <c r="F218" s="160"/>
      <c r="G218" s="160">
        <f>5*9*2500</f>
        <v>112500</v>
      </c>
      <c r="H218" s="160"/>
      <c r="I218" s="160"/>
      <c r="J218" s="160"/>
      <c r="K218" s="160"/>
    </row>
    <row r="219" spans="2:11" s="114" customFormat="1">
      <c r="B219" s="161" t="s">
        <v>556</v>
      </c>
      <c r="C219" s="161"/>
      <c r="D219" s="162" t="s">
        <v>551</v>
      </c>
      <c r="E219" s="163">
        <f t="shared" si="15"/>
        <v>0</v>
      </c>
      <c r="F219" s="160"/>
      <c r="G219" s="160"/>
      <c r="H219" s="160"/>
      <c r="I219" s="160"/>
      <c r="J219" s="160"/>
      <c r="K219" s="160"/>
    </row>
    <row r="220" spans="2:11" s="114" customFormat="1">
      <c r="B220" s="161" t="s">
        <v>557</v>
      </c>
      <c r="C220" s="161"/>
      <c r="D220" s="162" t="s">
        <v>552</v>
      </c>
      <c r="E220" s="163">
        <f t="shared" si="15"/>
        <v>0</v>
      </c>
      <c r="F220" s="160"/>
      <c r="G220" s="160"/>
      <c r="H220" s="160"/>
      <c r="I220" s="160"/>
      <c r="J220" s="160"/>
      <c r="K220" s="160"/>
    </row>
    <row r="221" spans="2:11" s="114" customFormat="1">
      <c r="B221" s="161" t="s">
        <v>558</v>
      </c>
      <c r="C221" s="161"/>
      <c r="D221" s="162" t="s">
        <v>553</v>
      </c>
      <c r="E221" s="163">
        <f t="shared" si="15"/>
        <v>0</v>
      </c>
      <c r="F221" s="160"/>
      <c r="G221" s="160"/>
      <c r="H221" s="160"/>
      <c r="I221" s="160"/>
      <c r="J221" s="160"/>
      <c r="K221" s="160"/>
    </row>
    <row r="222" spans="2:11" s="114" customFormat="1">
      <c r="B222" s="161" t="s">
        <v>627</v>
      </c>
      <c r="C222" s="161"/>
      <c r="D222" s="162"/>
      <c r="E222" s="163">
        <f t="shared" si="15"/>
        <v>0</v>
      </c>
      <c r="F222" s="160"/>
      <c r="G222" s="160"/>
      <c r="H222" s="160"/>
      <c r="I222" s="160"/>
      <c r="J222" s="160"/>
      <c r="K222" s="160"/>
    </row>
    <row r="223" spans="2:11">
      <c r="B223" s="115" t="s">
        <v>559</v>
      </c>
      <c r="C223" s="115"/>
      <c r="D223" s="116" t="s">
        <v>560</v>
      </c>
      <c r="E223" s="158">
        <f>SUM(E224:E231)</f>
        <v>125000</v>
      </c>
      <c r="F223" s="158">
        <f t="shared" ref="F223:K223" si="41">SUM(F224:F231)</f>
        <v>0</v>
      </c>
      <c r="G223" s="158">
        <f t="shared" si="41"/>
        <v>125000</v>
      </c>
      <c r="H223" s="158">
        <f t="shared" si="41"/>
        <v>0</v>
      </c>
      <c r="I223" s="158">
        <f t="shared" si="41"/>
        <v>0</v>
      </c>
      <c r="J223" s="158">
        <f t="shared" si="41"/>
        <v>0</v>
      </c>
      <c r="K223" s="158">
        <f t="shared" si="41"/>
        <v>0</v>
      </c>
    </row>
    <row r="224" spans="2:11" s="114" customFormat="1">
      <c r="B224" s="161" t="s">
        <v>561</v>
      </c>
      <c r="C224" s="161"/>
      <c r="D224" s="162" t="s">
        <v>565</v>
      </c>
      <c r="E224" s="163">
        <f t="shared" si="15"/>
        <v>125000</v>
      </c>
      <c r="F224" s="160"/>
      <c r="G224" s="160">
        <f>5*25000</f>
        <v>125000</v>
      </c>
      <c r="H224" s="160"/>
      <c r="I224" s="160"/>
      <c r="J224" s="160"/>
      <c r="K224" s="160"/>
    </row>
    <row r="225" spans="2:11" s="114" customFormat="1">
      <c r="B225" s="161" t="s">
        <v>562</v>
      </c>
      <c r="C225" s="161"/>
      <c r="D225" s="162" t="s">
        <v>566</v>
      </c>
      <c r="E225" s="163">
        <f t="shared" si="15"/>
        <v>0</v>
      </c>
      <c r="F225" s="160"/>
      <c r="G225" s="160"/>
      <c r="H225" s="160"/>
      <c r="I225" s="160"/>
      <c r="J225" s="160"/>
      <c r="K225" s="160"/>
    </row>
    <row r="226" spans="2:11" s="114" customFormat="1">
      <c r="B226" s="161" t="s">
        <v>563</v>
      </c>
      <c r="C226" s="161"/>
      <c r="D226" s="162" t="s">
        <v>567</v>
      </c>
      <c r="E226" s="163">
        <f t="shared" si="15"/>
        <v>0</v>
      </c>
      <c r="F226" s="160"/>
      <c r="G226" s="160"/>
      <c r="H226" s="160"/>
      <c r="I226" s="160"/>
      <c r="J226" s="160"/>
      <c r="K226" s="160"/>
    </row>
    <row r="227" spans="2:11" s="114" customFormat="1">
      <c r="B227" s="161" t="s">
        <v>564</v>
      </c>
      <c r="C227" s="161"/>
      <c r="D227" s="162" t="s">
        <v>568</v>
      </c>
      <c r="E227" s="163">
        <f t="shared" si="15"/>
        <v>0</v>
      </c>
      <c r="F227" s="160"/>
      <c r="G227" s="160"/>
      <c r="H227" s="160"/>
      <c r="I227" s="160"/>
      <c r="J227" s="160"/>
      <c r="K227" s="160"/>
    </row>
    <row r="228" spans="2:11" s="114" customFormat="1">
      <c r="B228" s="161" t="s">
        <v>569</v>
      </c>
      <c r="C228" s="161"/>
      <c r="D228" s="162" t="s">
        <v>572</v>
      </c>
      <c r="E228" s="163">
        <f t="shared" si="15"/>
        <v>0</v>
      </c>
      <c r="F228" s="160"/>
      <c r="G228" s="160"/>
      <c r="H228" s="160"/>
      <c r="I228" s="160"/>
      <c r="J228" s="160"/>
      <c r="K228" s="160"/>
    </row>
    <row r="229" spans="2:11" s="114" customFormat="1">
      <c r="B229" s="161" t="s">
        <v>570</v>
      </c>
      <c r="C229" s="161"/>
      <c r="D229" s="162" t="s">
        <v>573</v>
      </c>
      <c r="E229" s="163">
        <f t="shared" si="15"/>
        <v>0</v>
      </c>
      <c r="F229" s="160"/>
      <c r="G229" s="160"/>
      <c r="H229" s="160"/>
      <c r="I229" s="160"/>
      <c r="J229" s="160"/>
      <c r="K229" s="160"/>
    </row>
    <row r="230" spans="2:11" s="114" customFormat="1">
      <c r="B230" s="161" t="s">
        <v>571</v>
      </c>
      <c r="C230" s="161"/>
      <c r="D230" s="162" t="s">
        <v>574</v>
      </c>
      <c r="E230" s="163">
        <f t="shared" si="15"/>
        <v>0</v>
      </c>
      <c r="F230" s="160"/>
      <c r="G230" s="160"/>
      <c r="H230" s="160"/>
      <c r="I230" s="160"/>
      <c r="J230" s="160"/>
      <c r="K230" s="160"/>
    </row>
    <row r="231" spans="2:11" s="114" customFormat="1">
      <c r="B231" s="161" t="s">
        <v>626</v>
      </c>
      <c r="C231" s="161"/>
      <c r="D231" s="162"/>
      <c r="E231" s="163">
        <f t="shared" si="15"/>
        <v>0</v>
      </c>
      <c r="F231" s="160"/>
      <c r="G231" s="160"/>
      <c r="H231" s="160"/>
      <c r="I231" s="160"/>
      <c r="J231" s="160"/>
      <c r="K231" s="160"/>
    </row>
    <row r="232" spans="2:11">
      <c r="B232" s="115" t="s">
        <v>575</v>
      </c>
      <c r="C232" s="115"/>
      <c r="D232" s="116" t="s">
        <v>576</v>
      </c>
      <c r="E232" s="158">
        <f>SUM(E233:E236)</f>
        <v>45000</v>
      </c>
      <c r="F232" s="158">
        <f t="shared" ref="F232:K232" si="42">SUM(F233:F236)</f>
        <v>0</v>
      </c>
      <c r="G232" s="158">
        <f t="shared" si="42"/>
        <v>45000</v>
      </c>
      <c r="H232" s="158">
        <f t="shared" si="42"/>
        <v>0</v>
      </c>
      <c r="I232" s="158">
        <f t="shared" si="42"/>
        <v>0</v>
      </c>
      <c r="J232" s="158">
        <f t="shared" si="42"/>
        <v>0</v>
      </c>
      <c r="K232" s="158">
        <f t="shared" si="42"/>
        <v>0</v>
      </c>
    </row>
    <row r="233" spans="2:11" s="114" customFormat="1">
      <c r="B233" s="161" t="s">
        <v>577</v>
      </c>
      <c r="C233" s="161"/>
      <c r="D233" s="162" t="s">
        <v>579</v>
      </c>
      <c r="E233" s="163">
        <f t="shared" si="15"/>
        <v>45000</v>
      </c>
      <c r="F233" s="160"/>
      <c r="G233" s="160">
        <f>5*9*1000</f>
        <v>45000</v>
      </c>
      <c r="H233" s="160"/>
      <c r="I233" s="160"/>
      <c r="J233" s="160"/>
      <c r="K233" s="160"/>
    </row>
    <row r="234" spans="2:11" s="114" customFormat="1">
      <c r="B234" s="161" t="s">
        <v>578</v>
      </c>
      <c r="C234" s="161"/>
      <c r="D234" s="162" t="s">
        <v>580</v>
      </c>
      <c r="E234" s="163">
        <f t="shared" si="15"/>
        <v>0</v>
      </c>
      <c r="F234" s="160"/>
      <c r="G234" s="160"/>
      <c r="H234" s="160"/>
      <c r="I234" s="160"/>
      <c r="J234" s="160"/>
      <c r="K234" s="160"/>
    </row>
    <row r="235" spans="2:11" s="114" customFormat="1">
      <c r="B235" s="161" t="s">
        <v>563</v>
      </c>
      <c r="C235" s="161"/>
      <c r="D235" s="162" t="s">
        <v>581</v>
      </c>
      <c r="E235" s="163">
        <f t="shared" si="15"/>
        <v>0</v>
      </c>
      <c r="F235" s="160"/>
      <c r="G235" s="160"/>
      <c r="H235" s="160"/>
      <c r="I235" s="160"/>
      <c r="J235" s="160"/>
      <c r="K235" s="160"/>
    </row>
    <row r="236" spans="2:11" s="114" customFormat="1">
      <c r="B236" s="161" t="s">
        <v>564</v>
      </c>
      <c r="C236" s="161"/>
      <c r="D236" s="162"/>
      <c r="E236" s="163">
        <f t="shared" si="15"/>
        <v>0</v>
      </c>
      <c r="F236" s="160"/>
      <c r="G236" s="160"/>
      <c r="H236" s="160"/>
      <c r="I236" s="160"/>
      <c r="J236" s="160"/>
      <c r="K236" s="160"/>
    </row>
    <row r="237" spans="2:11">
      <c r="B237" s="115" t="s">
        <v>582</v>
      </c>
      <c r="C237" s="115"/>
      <c r="D237" s="116" t="s">
        <v>583</v>
      </c>
      <c r="E237" s="158">
        <f>SUM(E238:E241)</f>
        <v>0</v>
      </c>
      <c r="F237" s="158">
        <f t="shared" ref="F237:K237" si="43">SUM(F238:F241)</f>
        <v>0</v>
      </c>
      <c r="G237" s="158">
        <f t="shared" si="43"/>
        <v>0</v>
      </c>
      <c r="H237" s="158">
        <f t="shared" si="43"/>
        <v>0</v>
      </c>
      <c r="I237" s="158">
        <f t="shared" si="43"/>
        <v>0</v>
      </c>
      <c r="J237" s="158">
        <f t="shared" si="43"/>
        <v>0</v>
      </c>
      <c r="K237" s="158">
        <f t="shared" si="43"/>
        <v>0</v>
      </c>
    </row>
    <row r="238" spans="2:11" s="114" customFormat="1">
      <c r="B238" s="161" t="s">
        <v>584</v>
      </c>
      <c r="C238" s="161"/>
      <c r="D238" s="162" t="s">
        <v>585</v>
      </c>
      <c r="E238" s="163">
        <f t="shared" si="15"/>
        <v>0</v>
      </c>
      <c r="F238" s="160"/>
      <c r="G238" s="160"/>
      <c r="H238" s="160"/>
      <c r="I238" s="160"/>
      <c r="J238" s="160"/>
      <c r="K238" s="160"/>
    </row>
    <row r="239" spans="2:11" s="114" customFormat="1">
      <c r="B239" s="161"/>
      <c r="C239" s="161"/>
      <c r="D239" s="162" t="s">
        <v>586</v>
      </c>
      <c r="E239" s="163">
        <f t="shared" si="15"/>
        <v>0</v>
      </c>
      <c r="F239" s="160"/>
      <c r="G239" s="160"/>
      <c r="H239" s="160"/>
      <c r="I239" s="160"/>
      <c r="J239" s="160"/>
      <c r="K239" s="160"/>
    </row>
    <row r="240" spans="2:11" s="114" customFormat="1">
      <c r="B240" s="161" t="s">
        <v>587</v>
      </c>
      <c r="C240" s="161"/>
      <c r="D240" s="162" t="s">
        <v>588</v>
      </c>
      <c r="E240" s="163">
        <f t="shared" si="15"/>
        <v>0</v>
      </c>
      <c r="F240" s="160"/>
      <c r="G240" s="160"/>
      <c r="H240" s="160"/>
      <c r="I240" s="160"/>
      <c r="J240" s="160"/>
      <c r="K240" s="160"/>
    </row>
    <row r="241" spans="2:11" s="114" customFormat="1">
      <c r="B241" s="161" t="s">
        <v>625</v>
      </c>
      <c r="C241" s="161"/>
      <c r="D241" s="162"/>
      <c r="E241" s="163">
        <f t="shared" si="15"/>
        <v>0</v>
      </c>
      <c r="F241" s="160"/>
      <c r="G241" s="160"/>
      <c r="H241" s="160"/>
      <c r="I241" s="160"/>
      <c r="J241" s="160"/>
      <c r="K241" s="160"/>
    </row>
    <row r="242" spans="2:11">
      <c r="B242" s="115" t="s">
        <v>589</v>
      </c>
      <c r="C242" s="115"/>
      <c r="D242" s="116" t="s">
        <v>590</v>
      </c>
      <c r="E242" s="158">
        <f>SUM(E243:E247)</f>
        <v>0</v>
      </c>
      <c r="F242" s="158">
        <f t="shared" ref="F242:K242" si="44">SUM(F243:F247)</f>
        <v>0</v>
      </c>
      <c r="G242" s="158">
        <f t="shared" si="44"/>
        <v>0</v>
      </c>
      <c r="H242" s="158">
        <f t="shared" si="44"/>
        <v>0</v>
      </c>
      <c r="I242" s="158">
        <f t="shared" si="44"/>
        <v>0</v>
      </c>
      <c r="J242" s="158">
        <f t="shared" si="44"/>
        <v>0</v>
      </c>
      <c r="K242" s="158">
        <f t="shared" si="44"/>
        <v>0</v>
      </c>
    </row>
    <row r="243" spans="2:11" s="114" customFormat="1">
      <c r="B243" s="161" t="s">
        <v>591</v>
      </c>
      <c r="C243" s="161"/>
      <c r="D243" s="162" t="s">
        <v>594</v>
      </c>
      <c r="E243" s="163">
        <f t="shared" si="15"/>
        <v>0</v>
      </c>
      <c r="F243" s="160"/>
      <c r="G243" s="160"/>
      <c r="H243" s="160"/>
      <c r="I243" s="160"/>
      <c r="J243" s="160"/>
      <c r="K243" s="160"/>
    </row>
    <row r="244" spans="2:11" s="114" customFormat="1">
      <c r="B244" s="161" t="s">
        <v>592</v>
      </c>
      <c r="C244" s="161"/>
      <c r="D244" s="162" t="s">
        <v>595</v>
      </c>
      <c r="E244" s="163">
        <f t="shared" si="15"/>
        <v>0</v>
      </c>
      <c r="F244" s="160"/>
      <c r="G244" s="160"/>
      <c r="H244" s="160"/>
      <c r="I244" s="160"/>
      <c r="J244" s="160"/>
      <c r="K244" s="160"/>
    </row>
    <row r="245" spans="2:11" s="114" customFormat="1">
      <c r="B245" s="161" t="s">
        <v>593</v>
      </c>
      <c r="C245" s="161"/>
      <c r="D245" s="162" t="s">
        <v>596</v>
      </c>
      <c r="E245" s="163">
        <f t="shared" si="15"/>
        <v>0</v>
      </c>
      <c r="F245" s="160"/>
      <c r="G245" s="160"/>
      <c r="H245" s="160"/>
      <c r="I245" s="160"/>
      <c r="J245" s="160"/>
      <c r="K245" s="160"/>
    </row>
    <row r="246" spans="2:11" s="114" customFormat="1">
      <c r="B246" s="161" t="s">
        <v>597</v>
      </c>
      <c r="C246" s="161"/>
      <c r="D246" s="162" t="s">
        <v>598</v>
      </c>
      <c r="E246" s="163">
        <f t="shared" si="15"/>
        <v>0</v>
      </c>
      <c r="F246" s="160"/>
      <c r="G246" s="160"/>
      <c r="H246" s="160"/>
      <c r="I246" s="160"/>
      <c r="J246" s="160"/>
      <c r="K246" s="160"/>
    </row>
    <row r="247" spans="2:11" s="114" customFormat="1">
      <c r="B247" s="161" t="s">
        <v>624</v>
      </c>
      <c r="C247" s="161"/>
      <c r="D247" s="162"/>
      <c r="E247" s="163">
        <f t="shared" si="15"/>
        <v>0</v>
      </c>
      <c r="F247" s="160"/>
      <c r="G247" s="160"/>
      <c r="H247" s="160"/>
      <c r="I247" s="160"/>
      <c r="J247" s="160"/>
      <c r="K247" s="160"/>
    </row>
    <row r="248" spans="2:11">
      <c r="B248" s="115" t="s">
        <v>599</v>
      </c>
      <c r="C248" s="115"/>
      <c r="D248" s="116" t="s">
        <v>600</v>
      </c>
      <c r="E248" s="158">
        <f>SUM(E249:E252)</f>
        <v>0</v>
      </c>
      <c r="F248" s="158">
        <f t="shared" ref="F248:K248" si="45">SUM(F249:F252)</f>
        <v>0</v>
      </c>
      <c r="G248" s="158">
        <f t="shared" si="45"/>
        <v>0</v>
      </c>
      <c r="H248" s="158">
        <f t="shared" si="45"/>
        <v>0</v>
      </c>
      <c r="I248" s="158">
        <f t="shared" si="45"/>
        <v>0</v>
      </c>
      <c r="J248" s="158">
        <f t="shared" si="45"/>
        <v>0</v>
      </c>
      <c r="K248" s="158">
        <f t="shared" si="45"/>
        <v>0</v>
      </c>
    </row>
    <row r="249" spans="2:11" s="114" customFormat="1">
      <c r="B249" s="161" t="s">
        <v>601</v>
      </c>
      <c r="C249" s="161"/>
      <c r="D249" s="162" t="s">
        <v>602</v>
      </c>
      <c r="E249" s="163">
        <f t="shared" si="15"/>
        <v>0</v>
      </c>
      <c r="F249" s="160"/>
      <c r="G249" s="160"/>
      <c r="H249" s="160"/>
      <c r="I249" s="160"/>
      <c r="J249" s="160"/>
      <c r="K249" s="160"/>
    </row>
    <row r="250" spans="2:11" s="114" customFormat="1">
      <c r="B250" s="161" t="s">
        <v>603</v>
      </c>
      <c r="C250" s="161"/>
      <c r="D250" s="162" t="s">
        <v>604</v>
      </c>
      <c r="E250" s="163">
        <f t="shared" si="15"/>
        <v>0</v>
      </c>
      <c r="F250" s="160"/>
      <c r="G250" s="160"/>
      <c r="H250" s="160"/>
      <c r="I250" s="160"/>
      <c r="J250" s="160"/>
      <c r="K250" s="160"/>
    </row>
    <row r="251" spans="2:11" s="114" customFormat="1">
      <c r="B251" s="161" t="s">
        <v>605</v>
      </c>
      <c r="C251" s="161"/>
      <c r="D251" s="162" t="s">
        <v>606</v>
      </c>
      <c r="E251" s="163">
        <f t="shared" si="15"/>
        <v>0</v>
      </c>
      <c r="F251" s="160"/>
      <c r="G251" s="160"/>
      <c r="H251" s="160"/>
      <c r="I251" s="160"/>
      <c r="J251" s="160"/>
      <c r="K251" s="160"/>
    </row>
    <row r="252" spans="2:11" s="114" customFormat="1">
      <c r="B252" s="161" t="s">
        <v>618</v>
      </c>
      <c r="C252" s="161"/>
      <c r="D252" s="162"/>
      <c r="E252" s="163">
        <f t="shared" si="15"/>
        <v>0</v>
      </c>
      <c r="F252" s="160"/>
      <c r="G252" s="160"/>
      <c r="H252" s="160"/>
      <c r="I252" s="160"/>
      <c r="J252" s="160"/>
      <c r="K252" s="160"/>
    </row>
    <row r="253" spans="2:11">
      <c r="B253" s="115" t="s">
        <v>607</v>
      </c>
      <c r="C253" s="115"/>
      <c r="D253" s="116" t="s">
        <v>608</v>
      </c>
      <c r="E253" s="158">
        <f>SUM(E254:E257)</f>
        <v>0</v>
      </c>
      <c r="F253" s="158">
        <f t="shared" ref="F253:K253" si="46">SUM(F254:F257)</f>
        <v>0</v>
      </c>
      <c r="G253" s="158">
        <f t="shared" si="46"/>
        <v>0</v>
      </c>
      <c r="H253" s="158">
        <f t="shared" si="46"/>
        <v>0</v>
      </c>
      <c r="I253" s="158">
        <f t="shared" si="46"/>
        <v>0</v>
      </c>
      <c r="J253" s="158">
        <f t="shared" si="46"/>
        <v>0</v>
      </c>
      <c r="K253" s="158">
        <f t="shared" si="46"/>
        <v>0</v>
      </c>
    </row>
    <row r="254" spans="2:11" s="114" customFormat="1">
      <c r="B254" s="161" t="s">
        <v>609</v>
      </c>
      <c r="C254" s="161"/>
      <c r="D254" s="162" t="s">
        <v>610</v>
      </c>
      <c r="E254" s="163">
        <f t="shared" si="15"/>
        <v>0</v>
      </c>
      <c r="F254" s="160"/>
      <c r="G254" s="160"/>
      <c r="H254" s="160"/>
      <c r="I254" s="160"/>
      <c r="J254" s="160"/>
      <c r="K254" s="160"/>
    </row>
    <row r="255" spans="2:11" s="114" customFormat="1">
      <c r="B255" s="161" t="s">
        <v>611</v>
      </c>
      <c r="C255" s="161"/>
      <c r="D255" s="162" t="s">
        <v>612</v>
      </c>
      <c r="E255" s="163">
        <f t="shared" si="15"/>
        <v>0</v>
      </c>
      <c r="F255" s="160"/>
      <c r="G255" s="160"/>
      <c r="H255" s="160"/>
      <c r="I255" s="160"/>
      <c r="J255" s="160"/>
      <c r="K255" s="160"/>
    </row>
    <row r="256" spans="2:11" s="114" customFormat="1">
      <c r="B256" s="161" t="s">
        <v>613</v>
      </c>
      <c r="C256" s="161"/>
      <c r="D256" s="162" t="s">
        <v>614</v>
      </c>
      <c r="E256" s="163">
        <f t="shared" si="15"/>
        <v>0</v>
      </c>
      <c r="F256" s="160"/>
      <c r="G256" s="160"/>
      <c r="H256" s="160"/>
      <c r="I256" s="160"/>
      <c r="J256" s="160"/>
      <c r="K256" s="160"/>
    </row>
    <row r="257" spans="2:11" s="114" customFormat="1">
      <c r="B257" s="161" t="s">
        <v>615</v>
      </c>
      <c r="C257" s="161"/>
      <c r="D257" s="162" t="s">
        <v>616</v>
      </c>
      <c r="E257" s="163">
        <f t="shared" si="15"/>
        <v>0</v>
      </c>
      <c r="F257" s="160"/>
      <c r="G257" s="160"/>
      <c r="H257" s="160"/>
      <c r="I257" s="160"/>
      <c r="J257" s="160"/>
      <c r="K257" s="160"/>
    </row>
    <row r="258" spans="2:11">
      <c r="B258" s="149"/>
      <c r="C258" s="149"/>
      <c r="D258" s="150" t="s">
        <v>74</v>
      </c>
      <c r="E258" s="157">
        <f>E18+E27+E37+E69+E87+E165+E202+E210</f>
        <v>4209500</v>
      </c>
      <c r="F258" s="157">
        <f t="shared" ref="F258:K258" si="47">F18+F27+F37+F69+F87+F165+F202+F210</f>
        <v>0</v>
      </c>
      <c r="G258" s="157">
        <f t="shared" si="47"/>
        <v>4209500</v>
      </c>
      <c r="H258" s="157">
        <f t="shared" si="47"/>
        <v>0</v>
      </c>
      <c r="I258" s="157">
        <f t="shared" si="47"/>
        <v>0</v>
      </c>
      <c r="J258" s="157">
        <f t="shared" si="47"/>
        <v>0</v>
      </c>
      <c r="K258" s="157">
        <f t="shared" si="47"/>
        <v>0</v>
      </c>
    </row>
    <row r="259" spans="2:11">
      <c r="B259" s="110">
        <v>2</v>
      </c>
      <c r="C259" s="110"/>
      <c r="D259" s="113" t="s">
        <v>75</v>
      </c>
      <c r="E259" s="156"/>
      <c r="F259" s="156"/>
      <c r="G259" s="156"/>
      <c r="H259" s="156"/>
      <c r="I259" s="156"/>
      <c r="J259" s="156"/>
      <c r="K259" s="156"/>
    </row>
    <row r="260" spans="2:11" s="114" customFormat="1">
      <c r="B260" s="161" t="s">
        <v>76</v>
      </c>
      <c r="C260" s="161"/>
      <c r="D260" s="162" t="s">
        <v>641</v>
      </c>
      <c r="E260" s="163">
        <f>F260+G260+H260+I260+J260+K260</f>
        <v>1200000</v>
      </c>
      <c r="F260" s="160"/>
      <c r="G260" s="160">
        <f>4*3*100000</f>
        <v>1200000</v>
      </c>
      <c r="H260" s="160"/>
      <c r="I260" s="160"/>
      <c r="J260" s="160"/>
      <c r="K260" s="160"/>
    </row>
    <row r="261" spans="2:11" s="114" customFormat="1">
      <c r="B261" s="161" t="s">
        <v>77</v>
      </c>
      <c r="C261" s="161"/>
      <c r="D261" s="162" t="s">
        <v>78</v>
      </c>
      <c r="E261" s="163">
        <f t="shared" ref="E261:E263" si="48">F261+G261+H261+I261+J261+K261</f>
        <v>0</v>
      </c>
      <c r="F261" s="160"/>
      <c r="G261" s="160"/>
      <c r="H261" s="160"/>
      <c r="I261" s="160"/>
      <c r="J261" s="160"/>
      <c r="K261" s="160"/>
    </row>
    <row r="262" spans="2:11" s="114" customFormat="1">
      <c r="B262" s="161" t="s">
        <v>79</v>
      </c>
      <c r="C262" s="161"/>
      <c r="D262" s="162" t="s">
        <v>617</v>
      </c>
      <c r="E262" s="163">
        <f t="shared" si="48"/>
        <v>0</v>
      </c>
      <c r="F262" s="160"/>
      <c r="G262" s="160"/>
      <c r="H262" s="160"/>
      <c r="I262" s="160"/>
      <c r="J262" s="160"/>
      <c r="K262" s="160"/>
    </row>
    <row r="263" spans="2:11" s="114" customFormat="1">
      <c r="B263" s="161" t="s">
        <v>167</v>
      </c>
      <c r="C263" s="161"/>
      <c r="D263" s="162" t="s">
        <v>617</v>
      </c>
      <c r="E263" s="163">
        <f t="shared" si="48"/>
        <v>0</v>
      </c>
      <c r="F263" s="160"/>
      <c r="G263" s="160"/>
      <c r="H263" s="160"/>
      <c r="I263" s="160"/>
      <c r="J263" s="160"/>
      <c r="K263" s="160"/>
    </row>
    <row r="264" spans="2:11" ht="11.25" thickBot="1">
      <c r="B264" s="165"/>
      <c r="C264" s="165"/>
      <c r="D264" s="166" t="s">
        <v>80</v>
      </c>
      <c r="E264" s="167">
        <f>SUM(E260:E263)</f>
        <v>1200000</v>
      </c>
      <c r="F264" s="167">
        <f t="shared" ref="F264:K264" si="49">SUM(F260:F263)</f>
        <v>0</v>
      </c>
      <c r="G264" s="167">
        <f t="shared" si="49"/>
        <v>1200000</v>
      </c>
      <c r="H264" s="167">
        <f t="shared" si="49"/>
        <v>0</v>
      </c>
      <c r="I264" s="167">
        <f t="shared" si="49"/>
        <v>0</v>
      </c>
      <c r="J264" s="167">
        <f t="shared" si="49"/>
        <v>0</v>
      </c>
      <c r="K264" s="167">
        <f t="shared" si="49"/>
        <v>0</v>
      </c>
    </row>
    <row r="265" spans="2:11" ht="12" thickTop="1" thickBot="1">
      <c r="B265" s="168"/>
      <c r="C265" s="168"/>
      <c r="D265" s="169" t="s">
        <v>81</v>
      </c>
      <c r="E265" s="170">
        <f>E258+E264</f>
        <v>5409500</v>
      </c>
      <c r="F265" s="170">
        <f t="shared" ref="F265:K265" si="50">F258+F264</f>
        <v>0</v>
      </c>
      <c r="G265" s="170">
        <f t="shared" si="50"/>
        <v>5409500</v>
      </c>
      <c r="H265" s="170">
        <f t="shared" si="50"/>
        <v>0</v>
      </c>
      <c r="I265" s="170">
        <f t="shared" si="50"/>
        <v>0</v>
      </c>
      <c r="J265" s="170">
        <f t="shared" si="50"/>
        <v>0</v>
      </c>
      <c r="K265" s="170">
        <f t="shared" si="50"/>
        <v>0</v>
      </c>
    </row>
    <row r="266" spans="2:11" ht="12" thickTop="1" thickBot="1">
      <c r="B266" s="168"/>
      <c r="C266" s="168"/>
      <c r="D266" s="169" t="s">
        <v>83</v>
      </c>
      <c r="E266" s="171">
        <f>E15-E265</f>
        <v>1550500</v>
      </c>
      <c r="F266" s="171">
        <f t="shared" ref="F266:K266" si="51">F15-F265</f>
        <v>0</v>
      </c>
      <c r="G266" s="171">
        <f t="shared" si="51"/>
        <v>1550500</v>
      </c>
      <c r="H266" s="171">
        <f t="shared" si="51"/>
        <v>0</v>
      </c>
      <c r="I266" s="171">
        <f t="shared" si="51"/>
        <v>0</v>
      </c>
      <c r="J266" s="171">
        <f t="shared" si="51"/>
        <v>0</v>
      </c>
      <c r="K266" s="171">
        <f t="shared" si="51"/>
        <v>0</v>
      </c>
    </row>
    <row r="267" spans="2:11" ht="11.25" thickTop="1"/>
    <row r="268" spans="2:11" s="5" customFormat="1" ht="12.75">
      <c r="B268" s="144"/>
      <c r="C268" s="144"/>
      <c r="D268" s="144"/>
      <c r="E268" s="144"/>
      <c r="F268" s="144"/>
      <c r="G268" s="144"/>
      <c r="H268" s="144"/>
      <c r="I268" s="144"/>
      <c r="J268" s="362" t="str">
        <f>IF(AND(nama_sekolah&lt;&gt;"",desa_kel&lt;&gt;""),desa_kel&amp;", "&amp;periode_sampai,"......................., .........................")</f>
        <v>Slatri, 31 Maret 2013</v>
      </c>
      <c r="K268" s="362"/>
    </row>
    <row r="269" spans="2:11" s="5" customFormat="1" ht="12.75">
      <c r="B269" s="363"/>
      <c r="C269" s="363"/>
      <c r="D269" s="144"/>
      <c r="E269" s="361" t="s">
        <v>84</v>
      </c>
      <c r="F269" s="361"/>
      <c r="G269" s="144"/>
      <c r="H269" s="144"/>
      <c r="I269" s="144"/>
      <c r="J269" s="361"/>
      <c r="K269" s="361"/>
    </row>
    <row r="270" spans="2:11" s="5" customFormat="1" ht="12.75">
      <c r="B270" s="361" t="s">
        <v>85</v>
      </c>
      <c r="C270" s="361"/>
      <c r="D270" s="144"/>
      <c r="E270" s="361" t="s">
        <v>86</v>
      </c>
      <c r="F270" s="361"/>
      <c r="G270" s="144"/>
      <c r="H270" s="144"/>
      <c r="I270" s="144"/>
      <c r="J270" s="361" t="s">
        <v>87</v>
      </c>
      <c r="K270" s="361"/>
    </row>
    <row r="271" spans="2:11" s="5" customFormat="1" ht="12.75">
      <c r="B271" s="361"/>
      <c r="C271" s="361"/>
      <c r="D271" s="144"/>
      <c r="E271" s="361"/>
      <c r="F271" s="361"/>
      <c r="G271" s="144"/>
      <c r="H271" s="144"/>
      <c r="I271" s="144"/>
      <c r="J271" s="361"/>
      <c r="K271" s="361"/>
    </row>
    <row r="272" spans="2:11" s="5" customFormat="1" ht="12.75">
      <c r="B272" s="361"/>
      <c r="C272" s="361"/>
      <c r="D272" s="144"/>
      <c r="E272" s="361"/>
      <c r="F272" s="361"/>
      <c r="G272" s="144"/>
      <c r="H272" s="144"/>
      <c r="I272" s="144"/>
      <c r="J272" s="361"/>
      <c r="K272" s="361"/>
    </row>
    <row r="273" spans="2:11" s="5" customFormat="1" ht="12.75">
      <c r="B273" s="361"/>
      <c r="C273" s="361"/>
      <c r="D273" s="144"/>
      <c r="E273" s="361"/>
      <c r="F273" s="361"/>
      <c r="G273" s="144"/>
      <c r="H273" s="144"/>
      <c r="I273" s="144"/>
      <c r="J273" s="361"/>
      <c r="K273" s="361"/>
    </row>
    <row r="274" spans="2:11" s="5" customFormat="1" ht="12.75">
      <c r="B274" s="361"/>
      <c r="C274" s="361"/>
      <c r="D274" s="144"/>
      <c r="E274" s="361"/>
      <c r="F274" s="361"/>
      <c r="G274" s="144"/>
      <c r="H274" s="144"/>
      <c r="I274" s="144"/>
      <c r="J274" s="361"/>
      <c r="K274" s="361"/>
    </row>
    <row r="275" spans="2:11" s="5" customFormat="1" ht="12.75">
      <c r="B275" s="364" t="str">
        <f>IF(AND(nama_sekolah&lt;&gt;"",npsn&lt;&gt;"",nss&lt;&gt;"",nama_ket_komite&lt;&gt;""),UPPER(nama_ket_komite),"....................................")</f>
        <v>SUMARYO</v>
      </c>
      <c r="C275" s="364"/>
      <c r="D275" s="144"/>
      <c r="E275" s="364" t="str">
        <f>IF(AND(nama_sekolah&lt;&gt;"",npsn&lt;&gt;"",nss&lt;&gt;"",nama_ks&lt;&gt;""),UPPER(nama_ks),"........................................")</f>
        <v>EKO WAHYONO, S.PD., M.M.</v>
      </c>
      <c r="F275" s="364"/>
      <c r="G275" s="144"/>
      <c r="H275" s="144"/>
      <c r="I275" s="144"/>
      <c r="J275" s="364" t="str">
        <f>IF(AND(nama_sekolah&lt;&gt;"",npsn&lt;&gt;"",nss&lt;&gt;"",nama_bend&lt;&gt;""),UPPER(nama_bend),"......................................")</f>
        <v>MISMUN, S.PD.I.</v>
      </c>
      <c r="K275" s="364"/>
    </row>
    <row r="276" spans="2:11" s="5" customFormat="1" ht="12.75">
      <c r="B276" s="363"/>
      <c r="C276" s="363"/>
      <c r="D276" s="144"/>
      <c r="E276" s="362" t="str">
        <f>"NIP "&amp;IF(AND(nama_sekolah&lt;&gt;"",npsn&lt;&gt;"",nss&lt;&gt;"",nama_ks&lt;&gt;"",nip_ks&lt;&gt;""),nip_ks,"...................................")</f>
        <v>NIP 19650321 198608 1 001</v>
      </c>
      <c r="F276" s="362"/>
      <c r="G276" s="144"/>
      <c r="H276" s="144"/>
      <c r="I276" s="144"/>
      <c r="J276" s="362" t="str">
        <f>"NIP "&amp;IF(AND(nama_sekolah&lt;&gt;"",npsn&lt;&gt;"",nss&lt;&gt;"",nama_bend&lt;&gt;"",nip_bend&lt;&gt;""),nip_bend,".................................")</f>
        <v>NIP 19540212 198304 1 001</v>
      </c>
      <c r="K276" s="362"/>
    </row>
    <row r="277" spans="2:11"/>
    <row r="278" spans="2:11" hidden="1"/>
    <row r="279" spans="2:11" hidden="1"/>
    <row r="280" spans="2:11" hidden="1"/>
    <row r="281" spans="2:11" hidden="1"/>
    <row r="282" spans="2:11" hidden="1"/>
    <row r="283" spans="2:11" hidden="1"/>
    <row r="284" spans="2:11" hidden="1"/>
    <row r="285" spans="2:11"/>
    <row r="286" spans="2:11"/>
  </sheetData>
  <sheetProtection password="CAE2" sheet="1" objects="1" scenarios="1" autoFilter="0"/>
  <autoFilter ref="B14:K266"/>
  <mergeCells count="44">
    <mergeCell ref="B2:K2"/>
    <mergeCell ref="B3:K3"/>
    <mergeCell ref="B4:K4"/>
    <mergeCell ref="B6:C6"/>
    <mergeCell ref="J269:K269"/>
    <mergeCell ref="C11:C13"/>
    <mergeCell ref="D11:D13"/>
    <mergeCell ref="E11:E13"/>
    <mergeCell ref="B7:C7"/>
    <mergeCell ref="B8:C8"/>
    <mergeCell ref="B9:C9"/>
    <mergeCell ref="B11:B13"/>
    <mergeCell ref="J268:K268"/>
    <mergeCell ref="I7:K7"/>
    <mergeCell ref="I8:K8"/>
    <mergeCell ref="I9:K9"/>
    <mergeCell ref="J275:K275"/>
    <mergeCell ref="J12:J13"/>
    <mergeCell ref="K12:K13"/>
    <mergeCell ref="G12:I12"/>
    <mergeCell ref="F11:K11"/>
    <mergeCell ref="F12:F13"/>
    <mergeCell ref="E269:F269"/>
    <mergeCell ref="E270:F270"/>
    <mergeCell ref="J270:K270"/>
    <mergeCell ref="J271:K271"/>
    <mergeCell ref="J273:K273"/>
    <mergeCell ref="J274:K274"/>
    <mergeCell ref="B272:C272"/>
    <mergeCell ref="E272:F272"/>
    <mergeCell ref="J272:K272"/>
    <mergeCell ref="J276:K276"/>
    <mergeCell ref="B269:C269"/>
    <mergeCell ref="B270:C270"/>
    <mergeCell ref="B271:C271"/>
    <mergeCell ref="B273:C273"/>
    <mergeCell ref="B274:C274"/>
    <mergeCell ref="B275:C275"/>
    <mergeCell ref="B276:C276"/>
    <mergeCell ref="E271:F271"/>
    <mergeCell ref="E273:F273"/>
    <mergeCell ref="E274:F274"/>
    <mergeCell ref="E275:F275"/>
    <mergeCell ref="E276:F276"/>
  </mergeCells>
  <conditionalFormatting sqref="E265:K265">
    <cfRule type="cellIs" dxfId="1" priority="2" operator="equal">
      <formula>$E$15</formula>
    </cfRule>
  </conditionalFormatting>
  <conditionalFormatting sqref="E266:K266">
    <cfRule type="cellIs" dxfId="0" priority="1" operator="notEqual">
      <formula>0</formula>
    </cfRule>
  </conditionalFormatting>
  <pageMargins left="0.59055118110236227" right="1.3779527559055118" top="0.59055118110236227" bottom="0.78740157480314965" header="0.39370078740157483" footer="0.39370078740157483"/>
  <pageSetup paperSize="5" orientation="landscape" horizontalDpi="4294967293" verticalDpi="0" r:id="rId1"/>
  <drawing r:id="rId2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R42"/>
  <sheetViews>
    <sheetView showGridLines="0" showRowColHeaders="0" topLeftCell="A11" workbookViewId="0">
      <pane xSplit="3" ySplit="4" topLeftCell="D15" activePane="bottomRight" state="frozen"/>
      <selection activeCell="A11" sqref="A11"/>
      <selection pane="topRight" activeCell="D11" sqref="D11"/>
      <selection pane="bottomLeft" activeCell="A15" sqref="A15"/>
      <selection pane="bottomRight" activeCell="D16" sqref="D16"/>
    </sheetView>
  </sheetViews>
  <sheetFormatPr defaultColWidth="0" defaultRowHeight="10.5" zeroHeight="1"/>
  <cols>
    <col min="1" max="1" width="1.7109375" style="174" customWidth="1"/>
    <col min="2" max="2" width="6.85546875" style="174" bestFit="1" customWidth="1"/>
    <col min="3" max="3" width="36.42578125" style="174" bestFit="1" customWidth="1"/>
    <col min="4" max="17" width="12.7109375" style="174" customWidth="1"/>
    <col min="18" max="18" width="1.7109375" style="174" customWidth="1"/>
    <col min="19" max="16384" width="9.140625" style="174" hidden="1"/>
  </cols>
  <sheetData>
    <row r="1" spans="2:17"/>
    <row r="2" spans="2:17" s="220" customFormat="1" ht="12.75">
      <c r="B2" s="373" t="s">
        <v>677</v>
      </c>
      <c r="C2" s="373"/>
      <c r="D2" s="373"/>
      <c r="E2" s="373"/>
      <c r="F2" s="373"/>
      <c r="G2" s="373"/>
      <c r="H2" s="373"/>
      <c r="I2" s="373"/>
    </row>
    <row r="3" spans="2:17" s="220" customFormat="1" ht="12.75">
      <c r="B3" s="374" t="str">
        <f>"Periode Tanggal "&amp;periode_dari&amp;" s.d. "&amp;periode_sampai&amp;" (Triwulan ke "&amp;triwulan</f>
        <v>Periode Tanggal 01 Januari 2013 s.d. 31 Maret 2013 (Triwulan ke I (satu)</v>
      </c>
      <c r="C3" s="374"/>
      <c r="D3" s="374"/>
      <c r="E3" s="374"/>
      <c r="F3" s="374"/>
      <c r="G3" s="374"/>
      <c r="H3" s="374"/>
      <c r="I3" s="374"/>
      <c r="J3" s="210"/>
      <c r="K3" s="210"/>
      <c r="L3" s="210"/>
      <c r="M3" s="210"/>
      <c r="N3" s="210"/>
      <c r="O3" s="210"/>
      <c r="P3" s="210"/>
      <c r="Q3" s="210"/>
    </row>
    <row r="4" spans="2:17" s="220" customFormat="1" ht="12.75">
      <c r="B4" s="374" t="str">
        <f>"Tahun Anggaran "&amp;tahun_anggaran</f>
        <v>Tahun Anggaran 2013</v>
      </c>
      <c r="C4" s="374"/>
      <c r="D4" s="374"/>
      <c r="E4" s="374"/>
      <c r="F4" s="374"/>
      <c r="G4" s="374"/>
      <c r="H4" s="374"/>
      <c r="I4" s="374"/>
      <c r="J4" s="210"/>
      <c r="K4" s="210"/>
      <c r="L4" s="210"/>
      <c r="M4" s="210"/>
      <c r="N4" s="210"/>
      <c r="O4" s="210"/>
      <c r="P4" s="210"/>
      <c r="Q4" s="210"/>
    </row>
    <row r="5" spans="2:17" s="173" customFormat="1" ht="12.75"/>
    <row r="6" spans="2:17" s="173" customFormat="1" ht="12.75">
      <c r="B6" s="345" t="s">
        <v>53</v>
      </c>
      <c r="C6" s="345"/>
      <c r="D6" s="375" t="str">
        <f>": "&amp;IF(nama_sekolah&lt;&gt;"",nama_sekolah,"")</f>
        <v>: SD Negeri 3 Slatri</v>
      </c>
      <c r="E6" s="375"/>
      <c r="F6" s="375"/>
    </row>
    <row r="7" spans="2:17" s="173" customFormat="1" ht="12.75">
      <c r="B7" s="345" t="s">
        <v>208</v>
      </c>
      <c r="C7" s="345"/>
      <c r="D7" s="375" t="str">
        <f>": "&amp;IF(AND(nama_sekolah&lt;&gt;"",desa_kel&lt;&gt;""),desa_kel,"")</f>
        <v>: Slatri</v>
      </c>
      <c r="E7" s="375"/>
      <c r="F7" s="375"/>
    </row>
    <row r="8" spans="2:17" s="173" customFormat="1" ht="12.75">
      <c r="B8" s="345" t="s">
        <v>8</v>
      </c>
      <c r="C8" s="345"/>
      <c r="D8" s="375" t="str">
        <f>": "&amp;IF(AND(nama_sekolah&lt;&gt;"",desa_kel&lt;&gt;"",kec&lt;&gt;""),kec,"")</f>
        <v>: Karangkobar</v>
      </c>
      <c r="E8" s="375"/>
      <c r="F8" s="375"/>
    </row>
    <row r="9" spans="2:17" s="173" customFormat="1" ht="12.75">
      <c r="B9" s="345" t="s">
        <v>678</v>
      </c>
      <c r="C9" s="345"/>
      <c r="D9" s="375" t="str">
        <f>": "&amp;IF(AND(nama_sekolah&lt;&gt;"",desa_kel&lt;&gt;"",kec&lt;&gt;"",kab_kota&lt;&gt;""),kab_kota,"")</f>
        <v>: Kab. Banjarnegara</v>
      </c>
      <c r="E9" s="375"/>
      <c r="F9" s="375"/>
    </row>
    <row r="10" spans="2:17" s="173" customFormat="1" ht="12.75">
      <c r="B10" s="345" t="s">
        <v>10</v>
      </c>
      <c r="C10" s="345"/>
      <c r="D10" s="375" t="str">
        <f>": "&amp;IF(AND(nama_sekolah&lt;&gt;"",desa_kel&lt;&gt;"",kec&lt;&gt;"",kab_kota&lt;&gt;"",provinsi&lt;&gt;""),provinsi,"")</f>
        <v>: Jawa Tengah</v>
      </c>
      <c r="E10" s="375"/>
      <c r="F10" s="375"/>
    </row>
    <row r="11" spans="2:17" ht="11.25" thickBot="1"/>
    <row r="12" spans="2:17" s="178" customFormat="1" ht="11.25" thickTop="1">
      <c r="B12" s="376" t="s">
        <v>210</v>
      </c>
      <c r="C12" s="376" t="s">
        <v>679</v>
      </c>
      <c r="D12" s="376" t="s">
        <v>680</v>
      </c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</row>
    <row r="13" spans="2:17" s="178" customFormat="1" ht="31.5">
      <c r="B13" s="377"/>
      <c r="C13" s="377"/>
      <c r="D13" s="221" t="s">
        <v>681</v>
      </c>
      <c r="E13" s="221" t="s">
        <v>682</v>
      </c>
      <c r="F13" s="221" t="s">
        <v>683</v>
      </c>
      <c r="G13" s="221" t="s">
        <v>684</v>
      </c>
      <c r="H13" s="221" t="s">
        <v>685</v>
      </c>
      <c r="I13" s="221" t="s">
        <v>686</v>
      </c>
      <c r="J13" s="221" t="s">
        <v>687</v>
      </c>
      <c r="K13" s="221" t="s">
        <v>693</v>
      </c>
      <c r="L13" s="221" t="s">
        <v>688</v>
      </c>
      <c r="M13" s="221" t="s">
        <v>689</v>
      </c>
      <c r="N13" s="221" t="s">
        <v>691</v>
      </c>
      <c r="O13" s="221" t="s">
        <v>690</v>
      </c>
      <c r="P13" s="221" t="s">
        <v>692</v>
      </c>
      <c r="Q13" s="222" t="s">
        <v>57</v>
      </c>
    </row>
    <row r="14" spans="2:17" s="224" customFormat="1" ht="11.25" thickBot="1">
      <c r="B14" s="223" t="s">
        <v>64</v>
      </c>
      <c r="C14" s="223" t="s">
        <v>65</v>
      </c>
      <c r="D14" s="223" t="s">
        <v>66</v>
      </c>
      <c r="E14" s="223" t="s">
        <v>67</v>
      </c>
      <c r="F14" s="223" t="s">
        <v>68</v>
      </c>
      <c r="G14" s="223" t="s">
        <v>160</v>
      </c>
      <c r="H14" s="223" t="s">
        <v>161</v>
      </c>
      <c r="I14" s="223" t="s">
        <v>162</v>
      </c>
      <c r="J14" s="223" t="s">
        <v>214</v>
      </c>
      <c r="K14" s="223" t="s">
        <v>215</v>
      </c>
      <c r="L14" s="223" t="s">
        <v>694</v>
      </c>
      <c r="M14" s="223" t="s">
        <v>695</v>
      </c>
      <c r="N14" s="223" t="s">
        <v>696</v>
      </c>
      <c r="O14" s="223" t="s">
        <v>697</v>
      </c>
      <c r="P14" s="223" t="s">
        <v>698</v>
      </c>
      <c r="Q14" s="223" t="s">
        <v>699</v>
      </c>
    </row>
    <row r="15" spans="2:17" s="227" customFormat="1" ht="11.25" thickTop="1">
      <c r="B15" s="225">
        <v>1</v>
      </c>
      <c r="C15" s="226" t="s">
        <v>700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>
        <f>SUM(D15:P15)</f>
        <v>0</v>
      </c>
    </row>
    <row r="16" spans="2:17" s="212" customFormat="1">
      <c r="B16" s="213" t="s">
        <v>217</v>
      </c>
      <c r="C16" s="214" t="s">
        <v>347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>
        <f t="shared" ref="Q16:Q23" si="0">SUM(D16:P16)</f>
        <v>0</v>
      </c>
    </row>
    <row r="17" spans="2:17" s="212" customFormat="1">
      <c r="B17" s="213" t="s">
        <v>304</v>
      </c>
      <c r="C17" s="214" t="s">
        <v>348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>
        <f t="shared" si="0"/>
        <v>0</v>
      </c>
    </row>
    <row r="18" spans="2:17" s="212" customFormat="1">
      <c r="B18" s="213" t="s">
        <v>306</v>
      </c>
      <c r="C18" s="214" t="s">
        <v>349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>
        <f t="shared" si="0"/>
        <v>0</v>
      </c>
    </row>
    <row r="19" spans="2:17" s="212" customFormat="1">
      <c r="B19" s="213" t="s">
        <v>307</v>
      </c>
      <c r="C19" s="214" t="s">
        <v>353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6">
        <f t="shared" si="0"/>
        <v>0</v>
      </c>
    </row>
    <row r="20" spans="2:17" s="212" customFormat="1">
      <c r="B20" s="213" t="s">
        <v>308</v>
      </c>
      <c r="C20" s="214" t="s">
        <v>354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>
        <f t="shared" si="0"/>
        <v>0</v>
      </c>
    </row>
    <row r="21" spans="2:17" s="212" customFormat="1">
      <c r="B21" s="213" t="s">
        <v>371</v>
      </c>
      <c r="C21" s="214" t="s">
        <v>350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>
        <f t="shared" si="0"/>
        <v>0</v>
      </c>
    </row>
    <row r="22" spans="2:17" s="212" customFormat="1">
      <c r="B22" s="213" t="s">
        <v>463</v>
      </c>
      <c r="C22" s="214" t="s">
        <v>351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6">
        <f t="shared" si="0"/>
        <v>0</v>
      </c>
    </row>
    <row r="23" spans="2:17" s="212" customFormat="1">
      <c r="B23" s="213" t="s">
        <v>619</v>
      </c>
      <c r="C23" s="214" t="s">
        <v>352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>
        <f t="shared" si="0"/>
        <v>0</v>
      </c>
    </row>
    <row r="24" spans="2:17" s="63" customFormat="1">
      <c r="B24" s="228"/>
      <c r="C24" s="229" t="s">
        <v>701</v>
      </c>
      <c r="D24" s="230">
        <f>SUM(D16:D23)</f>
        <v>0</v>
      </c>
      <c r="E24" s="230">
        <f t="shared" ref="E24:Q24" si="1">SUM(E16:E23)</f>
        <v>0</v>
      </c>
      <c r="F24" s="230">
        <f t="shared" si="1"/>
        <v>0</v>
      </c>
      <c r="G24" s="230">
        <f t="shared" si="1"/>
        <v>0</v>
      </c>
      <c r="H24" s="230">
        <f t="shared" si="1"/>
        <v>0</v>
      </c>
      <c r="I24" s="230">
        <f t="shared" si="1"/>
        <v>0</v>
      </c>
      <c r="J24" s="230">
        <f t="shared" si="1"/>
        <v>0</v>
      </c>
      <c r="K24" s="230">
        <f t="shared" si="1"/>
        <v>0</v>
      </c>
      <c r="L24" s="230">
        <f t="shared" si="1"/>
        <v>0</v>
      </c>
      <c r="M24" s="230">
        <f t="shared" si="1"/>
        <v>0</v>
      </c>
      <c r="N24" s="230">
        <f t="shared" si="1"/>
        <v>0</v>
      </c>
      <c r="O24" s="230">
        <f t="shared" si="1"/>
        <v>0</v>
      </c>
      <c r="P24" s="230">
        <f t="shared" si="1"/>
        <v>0</v>
      </c>
      <c r="Q24" s="230">
        <f t="shared" si="1"/>
        <v>0</v>
      </c>
    </row>
    <row r="25" spans="2:17">
      <c r="B25" s="231"/>
      <c r="C25" s="181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2:17" s="63" customFormat="1">
      <c r="B26" s="232">
        <v>2</v>
      </c>
      <c r="C26" s="233" t="s">
        <v>702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2:17" s="212" customFormat="1">
      <c r="B27" s="217" t="s">
        <v>76</v>
      </c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>
        <f>SUM(D27:P27)</f>
        <v>0</v>
      </c>
    </row>
    <row r="28" spans="2:17" s="212" customFormat="1">
      <c r="B28" s="217" t="s">
        <v>77</v>
      </c>
      <c r="C28" s="218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>
        <f t="shared" ref="Q28:Q29" si="2">SUM(D28:P28)</f>
        <v>0</v>
      </c>
    </row>
    <row r="29" spans="2:17" s="212" customFormat="1">
      <c r="B29" s="217" t="s">
        <v>79</v>
      </c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>
        <f t="shared" si="2"/>
        <v>0</v>
      </c>
    </row>
    <row r="30" spans="2:17" s="63" customFormat="1">
      <c r="B30" s="228"/>
      <c r="C30" s="229" t="s">
        <v>703</v>
      </c>
      <c r="D30" s="230">
        <f>SUM(D27:D29)</f>
        <v>0</v>
      </c>
      <c r="E30" s="230">
        <f t="shared" ref="E30:Q30" si="3">SUM(E27:E29)</f>
        <v>0</v>
      </c>
      <c r="F30" s="230">
        <f t="shared" si="3"/>
        <v>0</v>
      </c>
      <c r="G30" s="230">
        <f t="shared" si="3"/>
        <v>0</v>
      </c>
      <c r="H30" s="230">
        <f t="shared" si="3"/>
        <v>0</v>
      </c>
      <c r="I30" s="230">
        <f t="shared" si="3"/>
        <v>0</v>
      </c>
      <c r="J30" s="230">
        <f t="shared" si="3"/>
        <v>0</v>
      </c>
      <c r="K30" s="230">
        <f t="shared" si="3"/>
        <v>0</v>
      </c>
      <c r="L30" s="230">
        <f t="shared" si="3"/>
        <v>0</v>
      </c>
      <c r="M30" s="230">
        <f t="shared" si="3"/>
        <v>0</v>
      </c>
      <c r="N30" s="230">
        <f t="shared" si="3"/>
        <v>0</v>
      </c>
      <c r="O30" s="230">
        <f t="shared" si="3"/>
        <v>0</v>
      </c>
      <c r="P30" s="230">
        <f t="shared" si="3"/>
        <v>0</v>
      </c>
      <c r="Q30" s="230">
        <f t="shared" si="3"/>
        <v>0</v>
      </c>
    </row>
    <row r="31" spans="2:17" ht="11.25" thickBot="1">
      <c r="B31" s="231"/>
      <c r="C31" s="181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2:17" s="63" customFormat="1" ht="12" thickTop="1" thickBot="1">
      <c r="B32" s="235"/>
      <c r="C32" s="235" t="s">
        <v>57</v>
      </c>
      <c r="D32" s="236">
        <f>D24+D30</f>
        <v>0</v>
      </c>
      <c r="E32" s="236">
        <f t="shared" ref="E32:Q32" si="4">E24+E30</f>
        <v>0</v>
      </c>
      <c r="F32" s="236">
        <f t="shared" si="4"/>
        <v>0</v>
      </c>
      <c r="G32" s="236">
        <f t="shared" si="4"/>
        <v>0</v>
      </c>
      <c r="H32" s="236">
        <f t="shared" si="4"/>
        <v>0</v>
      </c>
      <c r="I32" s="236">
        <f t="shared" si="4"/>
        <v>0</v>
      </c>
      <c r="J32" s="236">
        <f t="shared" si="4"/>
        <v>0</v>
      </c>
      <c r="K32" s="236">
        <f t="shared" si="4"/>
        <v>0</v>
      </c>
      <c r="L32" s="236">
        <f t="shared" si="4"/>
        <v>0</v>
      </c>
      <c r="M32" s="236">
        <f t="shared" si="4"/>
        <v>0</v>
      </c>
      <c r="N32" s="236">
        <f t="shared" si="4"/>
        <v>0</v>
      </c>
      <c r="O32" s="236">
        <f t="shared" si="4"/>
        <v>0</v>
      </c>
      <c r="P32" s="236">
        <f t="shared" si="4"/>
        <v>0</v>
      </c>
      <c r="Q32" s="236">
        <f t="shared" si="4"/>
        <v>0</v>
      </c>
    </row>
    <row r="33" spans="3:8" s="252" customFormat="1" ht="13.5" thickTop="1"/>
    <row r="34" spans="3:8" s="252" customFormat="1" ht="12.75">
      <c r="C34" s="257" t="s">
        <v>143</v>
      </c>
    </row>
    <row r="35" spans="3:8" s="252" customFormat="1" ht="12.75">
      <c r="C35" s="257" t="s">
        <v>144</v>
      </c>
      <c r="H35" s="257" t="s">
        <v>87</v>
      </c>
    </row>
    <row r="36" spans="3:8" s="252" customFormat="1" ht="12.75">
      <c r="C36" s="257"/>
      <c r="H36" s="257"/>
    </row>
    <row r="37" spans="3:8" s="252" customFormat="1" ht="12.75">
      <c r="C37" s="257"/>
      <c r="H37" s="257"/>
    </row>
    <row r="38" spans="3:8" s="252" customFormat="1" ht="12.75">
      <c r="C38" s="257"/>
      <c r="H38" s="257"/>
    </row>
    <row r="39" spans="3:8" s="252" customFormat="1" ht="12.75">
      <c r="C39" s="257"/>
      <c r="H39" s="257"/>
    </row>
    <row r="40" spans="3:8" s="252" customFormat="1" ht="12.75">
      <c r="C40" s="258" t="str">
        <f>IF(AND(nama_sekolah&lt;&gt;"",nama_ks&lt;&gt;""),nama_ks,"...............................")</f>
        <v>Eko Wahyono, S.Pd., M.M.</v>
      </c>
      <c r="H40" s="258" t="str">
        <f>IF(AND(nama_sekolah&lt;&gt;"",nama_bend&lt;&gt;""),nama_bend,"...............................")</f>
        <v>Mismun, S.Pd.I.</v>
      </c>
    </row>
    <row r="41" spans="3:8" s="252" customFormat="1" ht="12.75">
      <c r="C41" s="259" t="str">
        <f>"NIP "&amp;IF(AND(nama_sekolah&lt;&gt;"",nama_ks&lt;&gt;"",nip_ks&lt;&gt;""),nip_ks,"...............................")</f>
        <v>NIP 19650321 198608 1 001</v>
      </c>
      <c r="H41" s="259" t="str">
        <f>"NIP "&amp;IF(AND(nama_sekolah&lt;&gt;"",nama_bend&lt;&gt;"",nip_bend&lt;&gt;""),nip_bend,"...............................")</f>
        <v>NIP 19540212 198304 1 001</v>
      </c>
    </row>
    <row r="42" spans="3:8" s="252" customFormat="1" ht="12.75">
      <c r="H42" s="254"/>
    </row>
  </sheetData>
  <sheetProtection password="CAE2" sheet="1" objects="1" scenarios="1" selectLockedCells="1"/>
  <mergeCells count="16">
    <mergeCell ref="D12:Q12"/>
    <mergeCell ref="C12:C13"/>
    <mergeCell ref="B12:B13"/>
    <mergeCell ref="B6:C6"/>
    <mergeCell ref="B7:C7"/>
    <mergeCell ref="B8:C8"/>
    <mergeCell ref="B9:C9"/>
    <mergeCell ref="B2:I2"/>
    <mergeCell ref="B3:I3"/>
    <mergeCell ref="B4:I4"/>
    <mergeCell ref="B10:C10"/>
    <mergeCell ref="D6:F6"/>
    <mergeCell ref="D7:F7"/>
    <mergeCell ref="D8:F8"/>
    <mergeCell ref="D9:F9"/>
    <mergeCell ref="D10:F10"/>
  </mergeCells>
  <pageMargins left="0.59055118110236227" right="0.59055118110236227" top="0.59055118110236227" bottom="0.78740157480314965" header="0.39370078740157483" footer="0.39370078740157483"/>
  <pageSetup paperSize="9" orientation="landscape" horizontalDpi="4294967293" verticalDpi="0" r:id="rId1"/>
  <drawing r:id="rId2"/>
  <picture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H69"/>
  <sheetViews>
    <sheetView showGridLines="0" showRowColHeaders="0" workbookViewId="0">
      <selection activeCell="E21" sqref="E21"/>
    </sheetView>
  </sheetViews>
  <sheetFormatPr defaultColWidth="0" defaultRowHeight="12.75" customHeight="1" zeroHeight="1"/>
  <cols>
    <col min="1" max="1" width="1.7109375" style="17" customWidth="1"/>
    <col min="2" max="3" width="4.7109375" style="17" customWidth="1"/>
    <col min="4" max="4" width="35.7109375" style="17" customWidth="1"/>
    <col min="5" max="7" width="14.7109375" style="17" customWidth="1"/>
    <col min="8" max="8" width="1.7109375" style="17" customWidth="1"/>
    <col min="9" max="16384" width="9.140625" style="17" hidden="1"/>
  </cols>
  <sheetData>
    <row r="1" spans="2:7">
      <c r="B1" s="380"/>
      <c r="C1" s="380"/>
      <c r="D1" s="380"/>
      <c r="E1" s="380"/>
      <c r="F1" s="380"/>
      <c r="G1" s="380"/>
    </row>
    <row r="2" spans="2:7" s="18" customFormat="1">
      <c r="B2" s="381" t="str">
        <f>"PEMERINTAH "&amp;UPPER(kab_kota)</f>
        <v>PEMERINTAH KAB. BANJARNEGARA</v>
      </c>
      <c r="C2" s="381"/>
      <c r="D2" s="381"/>
      <c r="E2" s="381"/>
      <c r="F2" s="381"/>
      <c r="G2" s="381"/>
    </row>
    <row r="3" spans="2:7" s="18" customFormat="1">
      <c r="B3" s="381" t="s">
        <v>130</v>
      </c>
      <c r="C3" s="381"/>
      <c r="D3" s="381"/>
      <c r="E3" s="381"/>
      <c r="F3" s="381"/>
      <c r="G3" s="381"/>
    </row>
    <row r="4" spans="2:7" s="18" customFormat="1">
      <c r="B4" s="381" t="str">
        <f>"UPT DINDIKPORA KECAMATAN "&amp;IF(AND(nama_sekolah&lt;&gt;"",kec&lt;&gt;""),UPPER(kec),"...........................................")</f>
        <v>UPT DINDIKPORA KECAMATAN KARANGKOBAR</v>
      </c>
      <c r="C4" s="381"/>
      <c r="D4" s="381"/>
      <c r="E4" s="381"/>
      <c r="F4" s="381"/>
      <c r="G4" s="381"/>
    </row>
    <row r="5" spans="2:7" s="18" customFormat="1">
      <c r="B5" s="381" t="str">
        <f>IF(nama_sekolah&lt;&gt;"",UPPER(nama_sekolah),"...............................................................................")</f>
        <v>SD NEGERI 3 SLATRI</v>
      </c>
      <c r="C5" s="381"/>
      <c r="D5" s="381"/>
      <c r="E5" s="381"/>
      <c r="F5" s="381"/>
      <c r="G5" s="381"/>
    </row>
    <row r="6" spans="2:7">
      <c r="B6" s="380" t="str">
        <f>"Alamat: "&amp;IF(AND(nama_sekolah&lt;&gt;"",desa_kel&lt;&gt;"",kec&lt;&gt;""),desa_kel&amp;", Kec. "&amp;kec&amp;", "&amp;kab_kota&amp;" "&amp;kode_pos,"...................................................................................")</f>
        <v>Alamat: Slatri, Kec. Karangkobar, Kab. Banjarnegara 53453</v>
      </c>
      <c r="C6" s="380"/>
      <c r="D6" s="380"/>
      <c r="E6" s="380"/>
      <c r="F6" s="380"/>
      <c r="G6" s="380"/>
    </row>
    <row r="7" spans="2:7" s="19" customFormat="1" ht="3.95" customHeight="1" thickBot="1">
      <c r="B7" s="382"/>
      <c r="C7" s="382"/>
      <c r="D7" s="382"/>
      <c r="E7" s="382"/>
      <c r="F7" s="382"/>
      <c r="G7" s="382"/>
    </row>
    <row r="8" spans="2:7" ht="12.75" customHeight="1"/>
    <row r="9" spans="2:7">
      <c r="F9" s="384" t="str">
        <f>IF(AND(nama_sekolah&lt;&gt;"",desa_kel&lt;&gt;""),desa_kel&amp;", "&amp;periode_sampai,"................., ....................")</f>
        <v>Slatri, 31 Maret 2013</v>
      </c>
      <c r="G9" s="384"/>
    </row>
    <row r="10" spans="2:7" ht="12.75" customHeight="1">
      <c r="F10" s="384"/>
      <c r="G10" s="384"/>
    </row>
    <row r="11" spans="2:7">
      <c r="F11" s="384" t="s">
        <v>91</v>
      </c>
      <c r="G11" s="384"/>
    </row>
    <row r="12" spans="2:7">
      <c r="E12" s="20" t="s">
        <v>92</v>
      </c>
      <c r="F12" s="385" t="s">
        <v>93</v>
      </c>
      <c r="G12" s="385"/>
    </row>
    <row r="13" spans="2:7">
      <c r="E13" s="20" t="s">
        <v>94</v>
      </c>
      <c r="F13" s="385" t="s">
        <v>95</v>
      </c>
      <c r="G13" s="385"/>
    </row>
    <row r="14" spans="2:7">
      <c r="F14" s="385" t="s">
        <v>96</v>
      </c>
      <c r="G14" s="385"/>
    </row>
    <row r="15" spans="2:7">
      <c r="F15" s="385" t="s">
        <v>97</v>
      </c>
      <c r="G15" s="385"/>
    </row>
    <row r="16" spans="2:7" ht="12.75" customHeight="1"/>
    <row r="17" spans="2:7" s="21" customFormat="1" ht="11.25">
      <c r="B17" s="387" t="s">
        <v>98</v>
      </c>
      <c r="C17" s="387"/>
      <c r="D17" s="387"/>
      <c r="E17" s="387"/>
      <c r="F17" s="387"/>
      <c r="G17" s="387"/>
    </row>
    <row r="18" spans="2:7" s="21" customFormat="1" ht="11.25">
      <c r="B18" s="388" t="s">
        <v>391</v>
      </c>
      <c r="C18" s="388"/>
      <c r="D18" s="388"/>
      <c r="E18" s="388"/>
      <c r="F18" s="388"/>
      <c r="G18" s="388"/>
    </row>
    <row r="19" spans="2:7" ht="13.5" thickBot="1"/>
    <row r="20" spans="2:7" s="21" customFormat="1" thickTop="1" thickBot="1">
      <c r="B20" s="378" t="s">
        <v>99</v>
      </c>
      <c r="C20" s="379"/>
      <c r="D20" s="16" t="s">
        <v>100</v>
      </c>
      <c r="E20" s="16" t="s">
        <v>70</v>
      </c>
      <c r="F20" s="16" t="s">
        <v>131</v>
      </c>
      <c r="G20" s="16" t="s">
        <v>101</v>
      </c>
    </row>
    <row r="21" spans="2:7" ht="13.5" thickTop="1">
      <c r="B21" s="7" t="s">
        <v>102</v>
      </c>
      <c r="C21" s="8"/>
      <c r="D21" s="9" t="s">
        <v>45</v>
      </c>
      <c r="E21" s="280"/>
      <c r="F21" s="280"/>
      <c r="G21" s="280"/>
    </row>
    <row r="22" spans="2:7">
      <c r="B22" s="10"/>
      <c r="C22" s="11" t="s">
        <v>32</v>
      </c>
      <c r="D22" s="12" t="s">
        <v>103</v>
      </c>
      <c r="E22" s="281"/>
      <c r="F22" s="281"/>
      <c r="G22" s="281"/>
    </row>
    <row r="23" spans="2:7">
      <c r="B23" s="10"/>
      <c r="C23" s="11" t="s">
        <v>33</v>
      </c>
      <c r="D23" s="12" t="s">
        <v>104</v>
      </c>
      <c r="E23" s="281"/>
      <c r="F23" s="281"/>
      <c r="G23" s="281"/>
    </row>
    <row r="24" spans="2:7">
      <c r="B24" s="10"/>
      <c r="C24" s="11"/>
      <c r="D24" s="12"/>
      <c r="E24" s="281"/>
      <c r="F24" s="281"/>
      <c r="G24" s="281"/>
    </row>
    <row r="25" spans="2:7">
      <c r="B25" s="10" t="s">
        <v>105</v>
      </c>
      <c r="C25" s="11"/>
      <c r="D25" s="12" t="s">
        <v>106</v>
      </c>
      <c r="E25" s="282"/>
      <c r="F25" s="281"/>
      <c r="G25" s="281"/>
    </row>
    <row r="26" spans="2:7">
      <c r="B26" s="10"/>
      <c r="C26" s="11" t="s">
        <v>32</v>
      </c>
      <c r="D26" s="12" t="s">
        <v>107</v>
      </c>
      <c r="E26" s="281"/>
      <c r="F26" s="281"/>
      <c r="G26" s="281"/>
    </row>
    <row r="27" spans="2:7">
      <c r="B27" s="10"/>
      <c r="C27" s="11" t="s">
        <v>33</v>
      </c>
      <c r="D27" s="12" t="s">
        <v>108</v>
      </c>
      <c r="E27" s="281"/>
      <c r="F27" s="281"/>
      <c r="G27" s="281"/>
    </row>
    <row r="28" spans="2:7">
      <c r="B28" s="10"/>
      <c r="C28" s="11" t="s">
        <v>109</v>
      </c>
      <c r="D28" s="12" t="s">
        <v>110</v>
      </c>
      <c r="E28" s="281"/>
      <c r="F28" s="281"/>
      <c r="G28" s="281"/>
    </row>
    <row r="29" spans="2:7">
      <c r="B29" s="10"/>
      <c r="C29" s="11" t="s">
        <v>111</v>
      </c>
      <c r="D29" s="12" t="s">
        <v>112</v>
      </c>
      <c r="E29" s="281"/>
      <c r="F29" s="281"/>
      <c r="G29" s="281"/>
    </row>
    <row r="30" spans="2:7">
      <c r="B30" s="10"/>
      <c r="C30" s="11" t="s">
        <v>42</v>
      </c>
      <c r="D30" s="12" t="s">
        <v>113</v>
      </c>
      <c r="E30" s="281"/>
      <c r="F30" s="281"/>
      <c r="G30" s="281"/>
    </row>
    <row r="31" spans="2:7">
      <c r="B31" s="10"/>
      <c r="C31" s="11" t="s">
        <v>114</v>
      </c>
      <c r="D31" s="12" t="s">
        <v>115</v>
      </c>
      <c r="E31" s="281"/>
      <c r="F31" s="281"/>
      <c r="G31" s="281"/>
    </row>
    <row r="32" spans="2:7">
      <c r="B32" s="10"/>
      <c r="C32" s="11" t="s">
        <v>116</v>
      </c>
      <c r="D32" s="12" t="s">
        <v>117</v>
      </c>
      <c r="E32" s="281"/>
      <c r="F32" s="281"/>
      <c r="G32" s="281"/>
    </row>
    <row r="33" spans="2:7">
      <c r="B33" s="10"/>
      <c r="C33" s="11" t="s">
        <v>118</v>
      </c>
      <c r="D33" s="12" t="s">
        <v>119</v>
      </c>
      <c r="E33" s="281"/>
      <c r="F33" s="281"/>
      <c r="G33" s="281"/>
    </row>
    <row r="34" spans="2:7">
      <c r="B34" s="10"/>
      <c r="C34" s="11" t="s">
        <v>120</v>
      </c>
      <c r="D34" s="12" t="s">
        <v>121</v>
      </c>
      <c r="E34" s="281"/>
      <c r="F34" s="281"/>
      <c r="G34" s="281"/>
    </row>
    <row r="35" spans="2:7">
      <c r="B35" s="10"/>
      <c r="C35" s="11" t="s">
        <v>122</v>
      </c>
      <c r="D35" s="12" t="s">
        <v>123</v>
      </c>
      <c r="E35" s="281"/>
      <c r="F35" s="281"/>
      <c r="G35" s="281"/>
    </row>
    <row r="36" spans="2:7">
      <c r="B36" s="10"/>
      <c r="C36" s="11" t="s">
        <v>124</v>
      </c>
      <c r="D36" s="12" t="s">
        <v>125</v>
      </c>
      <c r="E36" s="281"/>
      <c r="F36" s="281"/>
      <c r="G36" s="281"/>
    </row>
    <row r="37" spans="2:7">
      <c r="B37" s="10"/>
      <c r="C37" s="11"/>
      <c r="D37" s="12"/>
      <c r="E37" s="281"/>
      <c r="F37" s="281"/>
      <c r="G37" s="281"/>
    </row>
    <row r="38" spans="2:7">
      <c r="B38" s="10" t="s">
        <v>126</v>
      </c>
      <c r="C38" s="11"/>
      <c r="D38" s="12" t="s">
        <v>78</v>
      </c>
      <c r="E38" s="281"/>
      <c r="F38" s="282"/>
      <c r="G38" s="281"/>
    </row>
    <row r="39" spans="2:7">
      <c r="B39" s="10"/>
      <c r="C39" s="11" t="s">
        <v>32</v>
      </c>
      <c r="D39" s="12" t="s">
        <v>737</v>
      </c>
      <c r="E39" s="281"/>
      <c r="F39" s="281"/>
      <c r="G39" s="281"/>
    </row>
    <row r="40" spans="2:7">
      <c r="B40" s="10"/>
      <c r="C40" s="11" t="s">
        <v>33</v>
      </c>
      <c r="D40" s="12" t="s">
        <v>390</v>
      </c>
      <c r="E40" s="281"/>
      <c r="F40" s="281"/>
      <c r="G40" s="281"/>
    </row>
    <row r="41" spans="2:7">
      <c r="B41" s="10"/>
      <c r="C41" s="11" t="s">
        <v>109</v>
      </c>
      <c r="D41" s="12" t="s">
        <v>127</v>
      </c>
      <c r="E41" s="281"/>
      <c r="F41" s="281"/>
      <c r="G41" s="281"/>
    </row>
    <row r="42" spans="2:7">
      <c r="B42" s="10"/>
      <c r="C42" s="11"/>
      <c r="D42" s="12"/>
      <c r="E42" s="281"/>
      <c r="F42" s="281"/>
      <c r="G42" s="281"/>
    </row>
    <row r="43" spans="2:7">
      <c r="B43" s="10"/>
      <c r="C43" s="11"/>
      <c r="D43" s="12"/>
      <c r="E43" s="281"/>
      <c r="F43" s="281"/>
      <c r="G43" s="281"/>
    </row>
    <row r="44" spans="2:7" ht="13.5" thickBot="1">
      <c r="B44" s="13"/>
      <c r="C44" s="14"/>
      <c r="D44" s="15"/>
      <c r="E44" s="283"/>
      <c r="F44" s="283"/>
      <c r="G44" s="283"/>
    </row>
    <row r="45" spans="2:7" s="21" customFormat="1" thickTop="1" thickBot="1">
      <c r="B45" s="22"/>
      <c r="C45" s="23"/>
      <c r="D45" s="16" t="s">
        <v>35</v>
      </c>
      <c r="E45" s="284">
        <f>SUM(E21:E44)</f>
        <v>0</v>
      </c>
      <c r="F45" s="284">
        <f>SUM(F21:F44)</f>
        <v>0</v>
      </c>
      <c r="G45" s="284">
        <f>E45-F45</f>
        <v>0</v>
      </c>
    </row>
    <row r="46" spans="2:7" ht="13.5" thickTop="1">
      <c r="E46" s="24"/>
    </row>
    <row r="47" spans="2:7" s="26" customFormat="1" ht="15">
      <c r="B47" s="26" t="s">
        <v>128</v>
      </c>
    </row>
    <row r="48" spans="2:7" s="26" customFormat="1" ht="15">
      <c r="F48" s="383" t="str">
        <f>"Kepala "&amp;IF(nama_sekolah&lt;&gt;"",nama_sekolah,"...................................")</f>
        <v>Kepala SD Negeri 3 Slatri</v>
      </c>
      <c r="G48" s="383"/>
    </row>
    <row r="49" spans="6:7" s="26" customFormat="1" ht="15">
      <c r="F49" s="383" t="s">
        <v>129</v>
      </c>
      <c r="G49" s="383"/>
    </row>
    <row r="50" spans="6:7" s="26" customFormat="1" ht="15">
      <c r="F50" s="383"/>
      <c r="G50" s="383"/>
    </row>
    <row r="51" spans="6:7" s="26" customFormat="1" ht="15">
      <c r="F51" s="383"/>
      <c r="G51" s="383"/>
    </row>
    <row r="52" spans="6:7" s="26" customFormat="1" ht="15">
      <c r="F52" s="383"/>
      <c r="G52" s="383"/>
    </row>
    <row r="53" spans="6:7" s="26" customFormat="1" ht="15">
      <c r="F53" s="386" t="str">
        <f>IF(nama_ks&lt;&gt;"",UPPER(nama_ks),"(.........................................)")</f>
        <v>EKO WAHYONO, S.PD., M.M.</v>
      </c>
      <c r="G53" s="386"/>
    </row>
    <row r="54" spans="6:7" s="26" customFormat="1" ht="15">
      <c r="F54" s="383" t="str">
        <f>"NIP "&amp;IF(nip_ks&lt;&gt;"",nip_ks,"....................................")</f>
        <v>NIP 19650321 198608 1 001</v>
      </c>
      <c r="G54" s="383"/>
    </row>
    <row r="55" spans="6:7" s="26" customFormat="1" ht="15"/>
    <row r="56" spans="6:7" s="26" customFormat="1" ht="15"/>
    <row r="57" spans="6:7" s="26" customFormat="1" ht="15"/>
    <row r="58" spans="6:7" s="26" customFormat="1" ht="15"/>
    <row r="59" spans="6:7" s="26" customFormat="1" ht="15"/>
    <row r="60" spans="6:7" s="26" customFormat="1" ht="15"/>
    <row r="61" spans="6:7" s="25" customFormat="1"/>
    <row r="62" spans="6:7" s="25" customFormat="1"/>
    <row r="63" spans="6:7" s="25" customFormat="1"/>
    <row r="64" spans="6:7" s="25" customFormat="1"/>
    <row r="65" ht="12.75" customHeight="1"/>
    <row r="66" ht="12.75" customHeight="1"/>
    <row r="67" ht="12.75" hidden="1" customHeight="1"/>
    <row r="68" ht="12.75" hidden="1" customHeight="1"/>
    <row r="69" ht="12.75" hidden="1" customHeight="1"/>
  </sheetData>
  <sheetProtection password="CAE2" sheet="1" objects="1" scenarios="1" selectLockedCells="1"/>
  <mergeCells count="24">
    <mergeCell ref="F54:G54"/>
    <mergeCell ref="F9:G9"/>
    <mergeCell ref="F10:G10"/>
    <mergeCell ref="F11:G11"/>
    <mergeCell ref="F12:G12"/>
    <mergeCell ref="F13:G13"/>
    <mergeCell ref="F14:G14"/>
    <mergeCell ref="F15:G15"/>
    <mergeCell ref="F48:G48"/>
    <mergeCell ref="F49:G49"/>
    <mergeCell ref="F50:G50"/>
    <mergeCell ref="F51:G51"/>
    <mergeCell ref="F52:G52"/>
    <mergeCell ref="F53:G53"/>
    <mergeCell ref="B17:G17"/>
    <mergeCell ref="B18:G18"/>
    <mergeCell ref="B20:C20"/>
    <mergeCell ref="B1:G1"/>
    <mergeCell ref="B2:G2"/>
    <mergeCell ref="B3:G3"/>
    <mergeCell ref="B4:G4"/>
    <mergeCell ref="B5:G5"/>
    <mergeCell ref="B6:G6"/>
    <mergeCell ref="B7:G7"/>
  </mergeCells>
  <pageMargins left="0.59055118110236227" right="0.59055118110236227" top="0.78740157480314965" bottom="1.5748031496062993" header="0.39370078740157483" footer="1.1811023622047245"/>
  <pageSetup paperSize="5" orientation="portrait" horizontalDpi="4294967293" verticalDpi="0" r:id="rId1"/>
  <drawing r:id="rId2"/>
  <picture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AI59"/>
  <sheetViews>
    <sheetView showGridLines="0" showRowColHeaders="0" workbookViewId="0">
      <selection activeCell="M26" sqref="M26:U26"/>
    </sheetView>
  </sheetViews>
  <sheetFormatPr defaultColWidth="0" defaultRowHeight="15" zeroHeight="1"/>
  <cols>
    <col min="1" max="34" width="2.7109375" style="287" customWidth="1"/>
    <col min="35" max="35" width="2.7109375" style="287" hidden="1" customWidth="1"/>
    <col min="36" max="16384" width="9.140625" style="287" hidden="1"/>
  </cols>
  <sheetData>
    <row r="1" spans="2:33"/>
    <row r="2" spans="2:33" s="285" customFormat="1" ht="15.75">
      <c r="S2" s="390" t="s">
        <v>738</v>
      </c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</row>
    <row r="3" spans="2:33" s="285" customFormat="1" ht="15.75">
      <c r="S3" s="390" t="s">
        <v>739</v>
      </c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</row>
    <row r="4" spans="2:33" s="285" customFormat="1" ht="15.75">
      <c r="S4" s="390" t="s">
        <v>51</v>
      </c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</row>
    <row r="5" spans="2:33"/>
    <row r="6" spans="2:33" s="286" customFormat="1" ht="15.75">
      <c r="B6" s="391" t="s">
        <v>740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</row>
    <row r="7" spans="2:33" ht="15.75" thickBot="1"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</row>
    <row r="8" spans="2:33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</row>
    <row r="9" spans="2:33">
      <c r="B9" s="287" t="s">
        <v>741</v>
      </c>
    </row>
    <row r="10" spans="2:33"/>
    <row r="11" spans="2:33">
      <c r="B11" s="392" t="s">
        <v>742</v>
      </c>
      <c r="C11" s="392"/>
      <c r="D11" s="392"/>
      <c r="E11" s="392"/>
      <c r="F11" s="392"/>
      <c r="G11" s="392"/>
      <c r="H11" s="392"/>
      <c r="I11" s="287" t="s">
        <v>13</v>
      </c>
      <c r="J11" s="392" t="str">
        <f>IF(AND(nama_sekolah&lt;&gt;"",nama_ks&lt;&gt;""),UPPER(nama_ks),"..............................................................................................")</f>
        <v>EKO WAHYONO, S.PD., M.M.</v>
      </c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</row>
    <row r="12" spans="2:33"/>
    <row r="13" spans="2:33">
      <c r="B13" s="392" t="s">
        <v>743</v>
      </c>
      <c r="C13" s="392"/>
      <c r="D13" s="392"/>
      <c r="E13" s="392"/>
      <c r="F13" s="392"/>
      <c r="G13" s="392"/>
      <c r="H13" s="392"/>
      <c r="I13" s="287" t="s">
        <v>13</v>
      </c>
      <c r="J13" s="392" t="str">
        <f>"Kepala Sekolah "&amp;IF(AND(nama_sekolah&lt;&gt;"",nama_ks&lt;&gt;""),nama_sekolah,"..................................................................")</f>
        <v>Kepala Sekolah SD Negeri 3 Slatri</v>
      </c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</row>
    <row r="14" spans="2:33"/>
    <row r="15" spans="2:33">
      <c r="B15" s="392" t="s">
        <v>3</v>
      </c>
      <c r="C15" s="392"/>
      <c r="D15" s="392"/>
      <c r="E15" s="392"/>
      <c r="F15" s="392"/>
      <c r="G15" s="392"/>
      <c r="H15" s="392"/>
      <c r="I15" s="287" t="s">
        <v>13</v>
      </c>
      <c r="J15" s="392" t="str">
        <f>IF(AND(nama_sekolah&lt;&gt;"",nama_ks&lt;&gt;"",desa_kel&lt;&gt;""),desa_kel&amp;", "&amp;kec&amp;", "&amp;kab_kota,"..............................................................................................")</f>
        <v>Slatri, Karangkobar, Kab. Banjarnegara</v>
      </c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</row>
    <row r="16" spans="2:33"/>
    <row r="17" spans="2:33">
      <c r="B17" s="287" t="s">
        <v>744</v>
      </c>
    </row>
    <row r="18" spans="2:33"/>
    <row r="19" spans="2:33">
      <c r="B19" s="287" t="s">
        <v>32</v>
      </c>
      <c r="C19" s="393" t="s">
        <v>745</v>
      </c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</row>
    <row r="20" spans="2:33"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</row>
    <row r="21" spans="2:33"/>
    <row r="22" spans="2:33">
      <c r="B22" s="287" t="s">
        <v>33</v>
      </c>
      <c r="C22" s="287" t="s">
        <v>746</v>
      </c>
    </row>
    <row r="23" spans="2:33"/>
    <row r="24" spans="2:33" ht="15.75" thickBot="1"/>
    <row r="25" spans="2:33" ht="17.25" thickTop="1" thickBot="1">
      <c r="C25" s="394" t="s">
        <v>747</v>
      </c>
      <c r="D25" s="394"/>
      <c r="E25" s="394"/>
      <c r="F25" s="394" t="s">
        <v>748</v>
      </c>
      <c r="G25" s="394"/>
      <c r="H25" s="394"/>
      <c r="I25" s="394"/>
      <c r="J25" s="394"/>
      <c r="K25" s="394"/>
      <c r="L25" s="394"/>
      <c r="M25" s="394" t="s">
        <v>70</v>
      </c>
      <c r="N25" s="394"/>
      <c r="O25" s="394"/>
      <c r="P25" s="394"/>
      <c r="Q25" s="394"/>
      <c r="R25" s="394"/>
      <c r="S25" s="394"/>
      <c r="T25" s="394"/>
      <c r="U25" s="394"/>
      <c r="V25" s="394" t="s">
        <v>749</v>
      </c>
      <c r="W25" s="394"/>
      <c r="X25" s="394"/>
      <c r="Y25" s="394"/>
      <c r="Z25" s="394"/>
      <c r="AA25" s="394"/>
      <c r="AB25" s="394"/>
      <c r="AC25" s="394"/>
      <c r="AD25" s="394"/>
      <c r="AE25" s="394"/>
    </row>
    <row r="26" spans="2:33" ht="15.75" thickTop="1">
      <c r="C26" s="397">
        <v>1</v>
      </c>
      <c r="D26" s="397"/>
      <c r="E26" s="397"/>
      <c r="F26" s="389" t="s">
        <v>753</v>
      </c>
      <c r="G26" s="389"/>
      <c r="H26" s="389"/>
      <c r="I26" s="389"/>
      <c r="J26" s="389"/>
      <c r="K26" s="389"/>
      <c r="L26" s="389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</row>
    <row r="27" spans="2:33">
      <c r="C27" s="398">
        <v>2</v>
      </c>
      <c r="D27" s="398"/>
      <c r="E27" s="398"/>
      <c r="F27" s="395" t="s">
        <v>754</v>
      </c>
      <c r="G27" s="395"/>
      <c r="H27" s="395"/>
      <c r="I27" s="395"/>
      <c r="J27" s="395"/>
      <c r="K27" s="395"/>
      <c r="L27" s="395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</row>
    <row r="28" spans="2:33">
      <c r="C28" s="398">
        <v>3</v>
      </c>
      <c r="D28" s="398"/>
      <c r="E28" s="398"/>
      <c r="F28" s="395" t="s">
        <v>755</v>
      </c>
      <c r="G28" s="395"/>
      <c r="H28" s="395"/>
      <c r="I28" s="395"/>
      <c r="J28" s="395"/>
      <c r="K28" s="395"/>
      <c r="L28" s="395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</row>
    <row r="29" spans="2:33" ht="15.75" thickBot="1">
      <c r="C29" s="399">
        <v>4</v>
      </c>
      <c r="D29" s="399"/>
      <c r="E29" s="399"/>
      <c r="F29" s="396" t="s">
        <v>756</v>
      </c>
      <c r="G29" s="396"/>
      <c r="H29" s="396"/>
      <c r="I29" s="396"/>
      <c r="J29" s="396"/>
      <c r="K29" s="396"/>
      <c r="L29" s="396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</row>
    <row r="30" spans="2:33" ht="16.5" thickTop="1" thickBot="1">
      <c r="C30" s="405"/>
      <c r="D30" s="405"/>
      <c r="E30" s="405"/>
      <c r="F30" s="404" t="s">
        <v>57</v>
      </c>
      <c r="G30" s="404"/>
      <c r="H30" s="404"/>
      <c r="I30" s="404"/>
      <c r="J30" s="404"/>
      <c r="K30" s="404"/>
      <c r="L30" s="404"/>
      <c r="M30" s="403">
        <f>SUM(M26:U29)</f>
        <v>0</v>
      </c>
      <c r="N30" s="403"/>
      <c r="O30" s="403"/>
      <c r="P30" s="403"/>
      <c r="Q30" s="403"/>
      <c r="R30" s="403"/>
      <c r="S30" s="403"/>
      <c r="T30" s="403"/>
      <c r="U30" s="403"/>
      <c r="V30" s="403">
        <f>SUM(V26:AE29)</f>
        <v>0</v>
      </c>
      <c r="W30" s="403"/>
      <c r="X30" s="403"/>
      <c r="Y30" s="403"/>
      <c r="Z30" s="403"/>
      <c r="AA30" s="403"/>
      <c r="AB30" s="403"/>
      <c r="AC30" s="403"/>
      <c r="AD30" s="403"/>
      <c r="AE30" s="403"/>
    </row>
    <row r="31" spans="2:33" ht="15.75" thickTop="1"/>
    <row r="32" spans="2:33">
      <c r="B32" s="287" t="s">
        <v>109</v>
      </c>
      <c r="C32" s="407" t="s">
        <v>750</v>
      </c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</row>
    <row r="33" spans="3:33"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</row>
    <row r="34" spans="3:33"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</row>
    <row r="35" spans="3:33"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</row>
    <row r="36" spans="3:33"/>
    <row r="37" spans="3:33">
      <c r="C37" s="407" t="s">
        <v>751</v>
      </c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</row>
    <row r="38" spans="3:33"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</row>
    <row r="39" spans="3:33"/>
    <row r="40" spans="3:33">
      <c r="R40" s="392" t="str">
        <f>IF(AND(kab_kota&lt;&gt;"",periode_sampai&lt;&gt;""),kab_kota&amp;", "&amp;periode_sampai,"..................................., ....................................")</f>
        <v>Kab. Banjarnegara, 31 Maret 2013</v>
      </c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</row>
    <row r="41" spans="3:33"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</row>
    <row r="42" spans="3:33">
      <c r="R42" s="392" t="str">
        <f>"Kepala Sekolah "&amp;IF(nama_sekolah&lt;&gt;"",nama_sekolah,"...................................")</f>
        <v>Kepala Sekolah SD Negeri 3 Slatri</v>
      </c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</row>
    <row r="43" spans="3:33"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</row>
    <row r="44" spans="3:33"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</row>
    <row r="45" spans="3:33"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</row>
    <row r="46" spans="3:33">
      <c r="R46" s="392" t="s">
        <v>752</v>
      </c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</row>
    <row r="47" spans="3:33"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</row>
    <row r="48" spans="3:33"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</row>
    <row r="49" spans="18:33">
      <c r="R49" s="406" t="str">
        <f>IF(AND(nama_sekolah&lt;&gt;"",nama_ks&lt;&gt;""),UPPER(nama_ks),"........................................................")</f>
        <v>EKO WAHYONO, S.PD., M.M.</v>
      </c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</row>
    <row r="50" spans="18:33">
      <c r="R50" s="392" t="str">
        <f>"NIP "&amp;IF(AND(nama_sekolah&lt;&gt;"",nama_ks&lt;&gt;"",nip_ks&lt;&gt;""),nip_ks,".......................................................")</f>
        <v>NIP 19650321 198608 1 001</v>
      </c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</row>
    <row r="51" spans="18:33"/>
    <row r="52" spans="18:33"/>
    <row r="53" spans="18:33"/>
    <row r="54" spans="18:33"/>
    <row r="55" spans="18:33"/>
    <row r="56" spans="18:33"/>
    <row r="57" spans="18:33"/>
    <row r="58" spans="18:33"/>
    <row r="59" spans="18:33"/>
  </sheetData>
  <sheetProtection password="CAE2" sheet="1" objects="1" scenarios="1" selectLockedCells="1"/>
  <mergeCells count="48">
    <mergeCell ref="R50:AG50"/>
    <mergeCell ref="V30:AE30"/>
    <mergeCell ref="M30:U30"/>
    <mergeCell ref="F30:L30"/>
    <mergeCell ref="C30:E30"/>
    <mergeCell ref="R44:AG44"/>
    <mergeCell ref="R45:AG45"/>
    <mergeCell ref="R46:AG46"/>
    <mergeCell ref="R47:AG47"/>
    <mergeCell ref="R48:AG48"/>
    <mergeCell ref="R49:AG49"/>
    <mergeCell ref="C32:AG35"/>
    <mergeCell ref="C37:AG38"/>
    <mergeCell ref="R40:AG40"/>
    <mergeCell ref="R41:AG41"/>
    <mergeCell ref="R42:AG42"/>
    <mergeCell ref="R43:AG43"/>
    <mergeCell ref="F27:L27"/>
    <mergeCell ref="F28:L28"/>
    <mergeCell ref="F29:L29"/>
    <mergeCell ref="C26:E26"/>
    <mergeCell ref="C27:E27"/>
    <mergeCell ref="C28:E28"/>
    <mergeCell ref="C29:E29"/>
    <mergeCell ref="V27:AE27"/>
    <mergeCell ref="V28:AE28"/>
    <mergeCell ref="V29:AE29"/>
    <mergeCell ref="M26:U26"/>
    <mergeCell ref="M27:U27"/>
    <mergeCell ref="M28:U28"/>
    <mergeCell ref="M29:U29"/>
    <mergeCell ref="V26:AE26"/>
    <mergeCell ref="F26:L26"/>
    <mergeCell ref="S2:AG2"/>
    <mergeCell ref="S3:AG3"/>
    <mergeCell ref="S4:AG4"/>
    <mergeCell ref="B6:AG6"/>
    <mergeCell ref="B15:H15"/>
    <mergeCell ref="B13:H13"/>
    <mergeCell ref="B11:H11"/>
    <mergeCell ref="J15:AG15"/>
    <mergeCell ref="J13:AG13"/>
    <mergeCell ref="J11:AG11"/>
    <mergeCell ref="C19:AG20"/>
    <mergeCell ref="V25:AE25"/>
    <mergeCell ref="M25:U25"/>
    <mergeCell ref="F25:L25"/>
    <mergeCell ref="C25:E25"/>
  </mergeCells>
  <pageMargins left="0.59055118110236227" right="0.59055118110236227" top="0.59055118110236227" bottom="1.3779527559055118" header="0.39370078740157483" footer="0.39370078740157483"/>
  <pageSetup paperSize="5" orientation="portrait" horizontalDpi="4294967293" verticalDpi="0" r:id="rId1"/>
  <drawing r:id="rId2"/>
  <picture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AX30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0.5" zeroHeight="1"/>
  <cols>
    <col min="1" max="1" width="8.85546875" style="128" bestFit="1" customWidth="1"/>
    <col min="2" max="2" width="7.5703125" style="122" bestFit="1" customWidth="1"/>
    <col min="3" max="3" width="30.85546875" style="122" bestFit="1" customWidth="1"/>
    <col min="4" max="4" width="35.140625" style="122" bestFit="1" customWidth="1"/>
    <col min="5" max="5" width="10" style="245" bestFit="1" customWidth="1"/>
    <col min="6" max="6" width="25.140625" style="122" bestFit="1" customWidth="1"/>
    <col min="7" max="7" width="10" style="245" bestFit="1" customWidth="1"/>
    <col min="8" max="8" width="19" style="122" bestFit="1" customWidth="1"/>
    <col min="9" max="9" width="10" style="245" bestFit="1" customWidth="1"/>
    <col min="10" max="10" width="19" style="122" bestFit="1" customWidth="1"/>
    <col min="11" max="11" width="10" style="245" bestFit="1" customWidth="1"/>
    <col min="12" max="12" width="19" style="122" bestFit="1" customWidth="1"/>
    <col min="13" max="13" width="10" style="245" bestFit="1" customWidth="1"/>
    <col min="14" max="14" width="19" style="122" bestFit="1" customWidth="1"/>
    <col min="15" max="15" width="10" style="245" bestFit="1" customWidth="1"/>
    <col min="16" max="16" width="19" style="122" bestFit="1" customWidth="1"/>
    <col min="17" max="17" width="10" style="245" bestFit="1" customWidth="1"/>
    <col min="18" max="18" width="19" style="122" bestFit="1" customWidth="1"/>
    <col min="19" max="19" width="10" style="245" bestFit="1" customWidth="1"/>
    <col min="20" max="20" width="19" style="122" bestFit="1" customWidth="1"/>
    <col min="21" max="21" width="10" style="245" bestFit="1" customWidth="1"/>
    <col min="22" max="22" width="19.85546875" style="122" bestFit="1" customWidth="1"/>
    <col min="23" max="23" width="10.85546875" style="245" bestFit="1" customWidth="1"/>
    <col min="24" max="24" width="19.85546875" style="122" bestFit="1" customWidth="1"/>
    <col min="25" max="25" width="10.85546875" style="245" bestFit="1" customWidth="1"/>
    <col min="26" max="26" width="19.85546875" style="122" bestFit="1" customWidth="1"/>
    <col min="27" max="27" width="10.85546875" style="245" bestFit="1" customWidth="1"/>
    <col min="28" max="28" width="19.85546875" style="122" bestFit="1" customWidth="1"/>
    <col min="29" max="29" width="10.85546875" style="245" bestFit="1" customWidth="1"/>
    <col min="30" max="30" width="19.85546875" style="122" bestFit="1" customWidth="1"/>
    <col min="31" max="31" width="10.85546875" style="245" bestFit="1" customWidth="1"/>
    <col min="32" max="32" width="19.85546875" style="122" bestFit="1" customWidth="1"/>
    <col min="33" max="33" width="10.85546875" style="245" bestFit="1" customWidth="1"/>
    <col min="34" max="34" width="8.85546875" style="245" bestFit="1" customWidth="1"/>
    <col min="35" max="35" width="11.42578125" style="122" bestFit="1" customWidth="1"/>
    <col min="36" max="36" width="7.5703125" style="245" bestFit="1" customWidth="1"/>
    <col min="37" max="37" width="7.85546875" style="245" bestFit="1" customWidth="1"/>
    <col min="38" max="38" width="6.85546875" style="245" bestFit="1" customWidth="1"/>
    <col min="39" max="42" width="10.5703125" style="122" bestFit="1" customWidth="1"/>
    <col min="43" max="43" width="11.42578125" style="122" bestFit="1" customWidth="1"/>
    <col min="44" max="44" width="12.140625" style="122" bestFit="1" customWidth="1"/>
    <col min="45" max="46" width="13.85546875" style="122" bestFit="1" customWidth="1"/>
    <col min="47" max="47" width="30.42578125" style="122" bestFit="1" customWidth="1"/>
    <col min="48" max="48" width="2.85546875" style="122" bestFit="1" customWidth="1"/>
    <col min="49" max="50" width="0" style="122" hidden="1" customWidth="1"/>
    <col min="51" max="16384" width="9.140625" style="122" hidden="1"/>
  </cols>
  <sheetData>
    <row r="1" spans="1:48" s="128" customFormat="1">
      <c r="A1" s="125" t="s">
        <v>266</v>
      </c>
      <c r="B1" s="125" t="s">
        <v>248</v>
      </c>
      <c r="C1" s="125" t="s">
        <v>47</v>
      </c>
      <c r="D1" s="126" t="s">
        <v>645</v>
      </c>
      <c r="E1" s="243" t="s">
        <v>294</v>
      </c>
      <c r="F1" s="126" t="s">
        <v>646</v>
      </c>
      <c r="G1" s="243" t="s">
        <v>295</v>
      </c>
      <c r="H1" s="126" t="s">
        <v>647</v>
      </c>
      <c r="I1" s="243" t="s">
        <v>642</v>
      </c>
      <c r="J1" s="126" t="s">
        <v>648</v>
      </c>
      <c r="K1" s="243" t="s">
        <v>643</v>
      </c>
      <c r="L1" s="126" t="s">
        <v>649</v>
      </c>
      <c r="M1" s="243" t="s">
        <v>644</v>
      </c>
      <c r="N1" s="126" t="s">
        <v>650</v>
      </c>
      <c r="O1" s="243" t="s">
        <v>651</v>
      </c>
      <c r="P1" s="126" t="s">
        <v>652</v>
      </c>
      <c r="Q1" s="246" t="s">
        <v>653</v>
      </c>
      <c r="R1" s="126" t="s">
        <v>654</v>
      </c>
      <c r="S1" s="243" t="s">
        <v>655</v>
      </c>
      <c r="T1" s="126" t="s">
        <v>656</v>
      </c>
      <c r="U1" s="243" t="s">
        <v>657</v>
      </c>
      <c r="V1" s="126" t="s">
        <v>658</v>
      </c>
      <c r="W1" s="243" t="s">
        <v>659</v>
      </c>
      <c r="X1" s="126" t="s">
        <v>660</v>
      </c>
      <c r="Y1" s="243" t="s">
        <v>661</v>
      </c>
      <c r="Z1" s="126" t="s">
        <v>662</v>
      </c>
      <c r="AA1" s="243" t="s">
        <v>663</v>
      </c>
      <c r="AB1" s="126" t="s">
        <v>664</v>
      </c>
      <c r="AC1" s="243" t="s">
        <v>665</v>
      </c>
      <c r="AD1" s="126" t="s">
        <v>666</v>
      </c>
      <c r="AE1" s="243" t="s">
        <v>667</v>
      </c>
      <c r="AF1" s="126" t="s">
        <v>668</v>
      </c>
      <c r="AG1" s="243" t="s">
        <v>669</v>
      </c>
      <c r="AH1" s="243" t="s">
        <v>249</v>
      </c>
      <c r="AI1" s="127" t="s">
        <v>250</v>
      </c>
      <c r="AJ1" s="243" t="s">
        <v>251</v>
      </c>
      <c r="AK1" s="243" t="s">
        <v>252</v>
      </c>
      <c r="AL1" s="243" t="s">
        <v>253</v>
      </c>
      <c r="AM1" s="125" t="s">
        <v>254</v>
      </c>
      <c r="AN1" s="125" t="s">
        <v>255</v>
      </c>
      <c r="AO1" s="125" t="s">
        <v>256</v>
      </c>
      <c r="AP1" s="125" t="s">
        <v>257</v>
      </c>
      <c r="AQ1" s="127" t="s">
        <v>293</v>
      </c>
      <c r="AR1" s="125" t="s">
        <v>258</v>
      </c>
      <c r="AS1" s="125" t="s">
        <v>259</v>
      </c>
      <c r="AT1" s="125" t="s">
        <v>260</v>
      </c>
      <c r="AU1" s="125" t="s">
        <v>261</v>
      </c>
      <c r="AV1" s="125" t="s">
        <v>262</v>
      </c>
    </row>
    <row r="2" spans="1:48">
      <c r="A2" s="125">
        <v>1</v>
      </c>
      <c r="B2" s="119"/>
      <c r="C2" s="242" t="s">
        <v>705</v>
      </c>
      <c r="D2" s="124" t="s">
        <v>263</v>
      </c>
      <c r="E2" s="244">
        <v>210000</v>
      </c>
      <c r="F2" s="124"/>
      <c r="G2" s="244"/>
      <c r="H2" s="124"/>
      <c r="I2" s="244"/>
      <c r="J2" s="124"/>
      <c r="K2" s="244"/>
      <c r="L2" s="124"/>
      <c r="M2" s="244"/>
      <c r="N2" s="124"/>
      <c r="O2" s="244"/>
      <c r="P2" s="120"/>
      <c r="Q2" s="244"/>
      <c r="R2" s="120"/>
      <c r="S2" s="244"/>
      <c r="T2" s="120"/>
      <c r="U2" s="244"/>
      <c r="V2" s="120"/>
      <c r="W2" s="244"/>
      <c r="X2" s="120"/>
      <c r="Y2" s="244"/>
      <c r="Z2" s="120"/>
      <c r="AA2" s="244"/>
      <c r="AB2" s="120"/>
      <c r="AC2" s="244"/>
      <c r="AD2" s="120"/>
      <c r="AE2" s="244"/>
      <c r="AF2" s="120"/>
      <c r="AG2" s="244"/>
      <c r="AH2" s="244">
        <f>SUM(E2:AG2)</f>
        <v>210000</v>
      </c>
      <c r="AI2" s="121">
        <v>40617</v>
      </c>
      <c r="AJ2" s="244">
        <f>AH2</f>
        <v>210000</v>
      </c>
      <c r="AK2" s="244">
        <v>0</v>
      </c>
      <c r="AL2" s="244">
        <f>AJ2-AK2</f>
        <v>210000</v>
      </c>
      <c r="AM2" s="119" t="s">
        <v>264</v>
      </c>
      <c r="AN2" s="119" t="s">
        <v>264</v>
      </c>
      <c r="AO2" s="119" t="s">
        <v>264</v>
      </c>
      <c r="AP2" s="119" t="s">
        <v>264</v>
      </c>
      <c r="AQ2" s="121">
        <v>41348</v>
      </c>
      <c r="AR2" s="123" t="s">
        <v>265</v>
      </c>
      <c r="AS2" s="123"/>
      <c r="AT2" s="123"/>
      <c r="AU2" s="123" t="s">
        <v>709</v>
      </c>
      <c r="AV2" s="119"/>
    </row>
    <row r="3" spans="1:48">
      <c r="A3" s="128">
        <v>2</v>
      </c>
      <c r="C3" s="242" t="s">
        <v>706</v>
      </c>
      <c r="D3" s="122" t="s">
        <v>707</v>
      </c>
      <c r="E3" s="245">
        <f>5*10000</f>
        <v>50000</v>
      </c>
      <c r="F3" s="122" t="s">
        <v>708</v>
      </c>
      <c r="G3" s="245">
        <f>6*7500</f>
        <v>45000</v>
      </c>
      <c r="AH3" s="244">
        <f t="shared" ref="AH3:AH26" si="0">SUM(E3:AG3)</f>
        <v>95000</v>
      </c>
      <c r="AJ3" s="244">
        <f t="shared" ref="AJ3:AJ26" si="1">AH3</f>
        <v>95000</v>
      </c>
      <c r="AL3" s="244">
        <f t="shared" ref="AL3:AL26" si="2">AJ3-AK3</f>
        <v>95000</v>
      </c>
      <c r="AU3" s="122" t="s">
        <v>709</v>
      </c>
    </row>
    <row r="4" spans="1:48">
      <c r="A4" s="128">
        <v>3</v>
      </c>
      <c r="C4" s="242"/>
      <c r="AH4" s="244">
        <f t="shared" si="0"/>
        <v>0</v>
      </c>
      <c r="AJ4" s="244">
        <f t="shared" si="1"/>
        <v>0</v>
      </c>
      <c r="AL4" s="244">
        <f t="shared" si="2"/>
        <v>0</v>
      </c>
      <c r="AU4" s="122" t="s">
        <v>709</v>
      </c>
    </row>
    <row r="5" spans="1:48">
      <c r="A5" s="128">
        <v>4</v>
      </c>
      <c r="C5" s="242"/>
      <c r="AH5" s="244">
        <f t="shared" si="0"/>
        <v>0</v>
      </c>
      <c r="AJ5" s="244">
        <f t="shared" si="1"/>
        <v>0</v>
      </c>
      <c r="AL5" s="244">
        <f t="shared" si="2"/>
        <v>0</v>
      </c>
      <c r="AU5" s="122" t="s">
        <v>709</v>
      </c>
    </row>
    <row r="6" spans="1:48">
      <c r="A6" s="128">
        <v>5</v>
      </c>
      <c r="C6" s="242"/>
      <c r="AH6" s="244">
        <f t="shared" si="0"/>
        <v>0</v>
      </c>
      <c r="AJ6" s="244">
        <f t="shared" si="1"/>
        <v>0</v>
      </c>
      <c r="AL6" s="244">
        <f t="shared" si="2"/>
        <v>0</v>
      </c>
      <c r="AU6" s="122" t="s">
        <v>709</v>
      </c>
    </row>
    <row r="7" spans="1:48">
      <c r="A7" s="128">
        <v>6</v>
      </c>
      <c r="C7" s="242"/>
      <c r="AH7" s="244">
        <f t="shared" si="0"/>
        <v>0</v>
      </c>
      <c r="AJ7" s="244">
        <f t="shared" si="1"/>
        <v>0</v>
      </c>
      <c r="AL7" s="244">
        <f t="shared" si="2"/>
        <v>0</v>
      </c>
      <c r="AU7" s="122" t="s">
        <v>709</v>
      </c>
    </row>
    <row r="8" spans="1:48">
      <c r="A8" s="128">
        <v>7</v>
      </c>
      <c r="C8" s="242"/>
      <c r="AH8" s="244">
        <f t="shared" si="0"/>
        <v>0</v>
      </c>
      <c r="AJ8" s="244">
        <f t="shared" si="1"/>
        <v>0</v>
      </c>
      <c r="AL8" s="244">
        <f t="shared" si="2"/>
        <v>0</v>
      </c>
      <c r="AU8" s="122" t="s">
        <v>709</v>
      </c>
    </row>
    <row r="9" spans="1:48">
      <c r="A9" s="128">
        <v>8</v>
      </c>
      <c r="C9" s="242"/>
      <c r="AH9" s="244">
        <f t="shared" si="0"/>
        <v>0</v>
      </c>
      <c r="AJ9" s="244">
        <f t="shared" si="1"/>
        <v>0</v>
      </c>
      <c r="AL9" s="244">
        <f t="shared" si="2"/>
        <v>0</v>
      </c>
      <c r="AU9" s="122" t="s">
        <v>709</v>
      </c>
    </row>
    <row r="10" spans="1:48">
      <c r="A10" s="128">
        <v>9</v>
      </c>
      <c r="AH10" s="244">
        <f t="shared" si="0"/>
        <v>0</v>
      </c>
      <c r="AJ10" s="244">
        <f t="shared" si="1"/>
        <v>0</v>
      </c>
      <c r="AL10" s="244">
        <f t="shared" si="2"/>
        <v>0</v>
      </c>
      <c r="AU10" s="122" t="s">
        <v>709</v>
      </c>
    </row>
    <row r="11" spans="1:48">
      <c r="A11" s="128">
        <v>10</v>
      </c>
      <c r="AH11" s="244">
        <f t="shared" si="0"/>
        <v>0</v>
      </c>
      <c r="AJ11" s="244">
        <f t="shared" si="1"/>
        <v>0</v>
      </c>
      <c r="AL11" s="244">
        <f t="shared" si="2"/>
        <v>0</v>
      </c>
      <c r="AU11" s="122" t="s">
        <v>709</v>
      </c>
    </row>
    <row r="12" spans="1:48">
      <c r="A12" s="128">
        <v>11</v>
      </c>
      <c r="AH12" s="244">
        <f t="shared" si="0"/>
        <v>0</v>
      </c>
      <c r="AJ12" s="244">
        <f t="shared" si="1"/>
        <v>0</v>
      </c>
      <c r="AL12" s="244">
        <f t="shared" si="2"/>
        <v>0</v>
      </c>
      <c r="AU12" s="122" t="s">
        <v>709</v>
      </c>
    </row>
    <row r="13" spans="1:48">
      <c r="A13" s="128">
        <v>12</v>
      </c>
      <c r="AH13" s="244">
        <f t="shared" si="0"/>
        <v>0</v>
      </c>
      <c r="AJ13" s="244">
        <f t="shared" si="1"/>
        <v>0</v>
      </c>
      <c r="AL13" s="244">
        <f t="shared" si="2"/>
        <v>0</v>
      </c>
      <c r="AU13" s="122" t="s">
        <v>709</v>
      </c>
    </row>
    <row r="14" spans="1:48">
      <c r="A14" s="128">
        <v>13</v>
      </c>
      <c r="AH14" s="244">
        <f t="shared" si="0"/>
        <v>0</v>
      </c>
      <c r="AJ14" s="244">
        <f t="shared" si="1"/>
        <v>0</v>
      </c>
      <c r="AL14" s="244">
        <f t="shared" si="2"/>
        <v>0</v>
      </c>
      <c r="AU14" s="122" t="s">
        <v>709</v>
      </c>
    </row>
    <row r="15" spans="1:48">
      <c r="A15" s="128">
        <v>14</v>
      </c>
      <c r="AH15" s="244">
        <f t="shared" si="0"/>
        <v>0</v>
      </c>
      <c r="AJ15" s="244">
        <f t="shared" si="1"/>
        <v>0</v>
      </c>
      <c r="AL15" s="244">
        <f t="shared" si="2"/>
        <v>0</v>
      </c>
      <c r="AU15" s="122" t="s">
        <v>709</v>
      </c>
    </row>
    <row r="16" spans="1:48">
      <c r="A16" s="128">
        <v>15</v>
      </c>
      <c r="AH16" s="244">
        <f t="shared" si="0"/>
        <v>0</v>
      </c>
      <c r="AJ16" s="244">
        <f t="shared" si="1"/>
        <v>0</v>
      </c>
      <c r="AL16" s="244">
        <f t="shared" si="2"/>
        <v>0</v>
      </c>
      <c r="AU16" s="122" t="s">
        <v>709</v>
      </c>
    </row>
    <row r="17" spans="1:47">
      <c r="A17" s="128">
        <v>16</v>
      </c>
      <c r="AH17" s="244">
        <f t="shared" si="0"/>
        <v>0</v>
      </c>
      <c r="AJ17" s="244">
        <f t="shared" si="1"/>
        <v>0</v>
      </c>
      <c r="AL17" s="244">
        <f t="shared" si="2"/>
        <v>0</v>
      </c>
      <c r="AU17" s="122" t="s">
        <v>709</v>
      </c>
    </row>
    <row r="18" spans="1:47">
      <c r="A18" s="128">
        <v>17</v>
      </c>
      <c r="AH18" s="244">
        <f t="shared" si="0"/>
        <v>0</v>
      </c>
      <c r="AJ18" s="244">
        <f t="shared" si="1"/>
        <v>0</v>
      </c>
      <c r="AL18" s="244">
        <f t="shared" si="2"/>
        <v>0</v>
      </c>
      <c r="AU18" s="122" t="s">
        <v>709</v>
      </c>
    </row>
    <row r="19" spans="1:47">
      <c r="A19" s="128">
        <v>18</v>
      </c>
      <c r="AH19" s="244">
        <f t="shared" si="0"/>
        <v>0</v>
      </c>
      <c r="AJ19" s="244">
        <f t="shared" si="1"/>
        <v>0</v>
      </c>
      <c r="AL19" s="244">
        <f t="shared" si="2"/>
        <v>0</v>
      </c>
      <c r="AU19" s="122" t="s">
        <v>709</v>
      </c>
    </row>
    <row r="20" spans="1:47">
      <c r="A20" s="128">
        <v>19</v>
      </c>
      <c r="AH20" s="244">
        <f t="shared" si="0"/>
        <v>0</v>
      </c>
      <c r="AJ20" s="244">
        <f t="shared" si="1"/>
        <v>0</v>
      </c>
      <c r="AL20" s="244">
        <f t="shared" si="2"/>
        <v>0</v>
      </c>
      <c r="AU20" s="122" t="s">
        <v>709</v>
      </c>
    </row>
    <row r="21" spans="1:47">
      <c r="A21" s="128">
        <v>20</v>
      </c>
      <c r="AH21" s="244">
        <f t="shared" si="0"/>
        <v>0</v>
      </c>
      <c r="AJ21" s="244">
        <f t="shared" si="1"/>
        <v>0</v>
      </c>
      <c r="AL21" s="244">
        <f t="shared" si="2"/>
        <v>0</v>
      </c>
      <c r="AU21" s="122" t="s">
        <v>709</v>
      </c>
    </row>
    <row r="22" spans="1:47">
      <c r="A22" s="128">
        <v>21</v>
      </c>
      <c r="AH22" s="244">
        <f t="shared" si="0"/>
        <v>0</v>
      </c>
      <c r="AJ22" s="244">
        <f t="shared" si="1"/>
        <v>0</v>
      </c>
      <c r="AL22" s="244">
        <f t="shared" si="2"/>
        <v>0</v>
      </c>
      <c r="AU22" s="122" t="s">
        <v>709</v>
      </c>
    </row>
    <row r="23" spans="1:47">
      <c r="A23" s="128">
        <v>22</v>
      </c>
      <c r="AH23" s="244">
        <f t="shared" si="0"/>
        <v>0</v>
      </c>
      <c r="AJ23" s="244">
        <f t="shared" si="1"/>
        <v>0</v>
      </c>
      <c r="AL23" s="244">
        <f t="shared" si="2"/>
        <v>0</v>
      </c>
      <c r="AU23" s="122" t="s">
        <v>709</v>
      </c>
    </row>
    <row r="24" spans="1:47">
      <c r="A24" s="128">
        <v>23</v>
      </c>
      <c r="AH24" s="244">
        <f t="shared" si="0"/>
        <v>0</v>
      </c>
      <c r="AJ24" s="244">
        <f t="shared" si="1"/>
        <v>0</v>
      </c>
      <c r="AL24" s="244">
        <f t="shared" si="2"/>
        <v>0</v>
      </c>
      <c r="AU24" s="122" t="s">
        <v>709</v>
      </c>
    </row>
    <row r="25" spans="1:47">
      <c r="A25" s="128">
        <v>24</v>
      </c>
      <c r="AH25" s="244">
        <f t="shared" si="0"/>
        <v>0</v>
      </c>
      <c r="AJ25" s="244">
        <f t="shared" si="1"/>
        <v>0</v>
      </c>
      <c r="AL25" s="244">
        <f t="shared" si="2"/>
        <v>0</v>
      </c>
      <c r="AU25" s="122" t="s">
        <v>709</v>
      </c>
    </row>
    <row r="26" spans="1:47">
      <c r="A26" s="128">
        <v>25</v>
      </c>
      <c r="AH26" s="244">
        <f t="shared" si="0"/>
        <v>0</v>
      </c>
      <c r="AJ26" s="244">
        <f t="shared" si="1"/>
        <v>0</v>
      </c>
      <c r="AL26" s="244">
        <f t="shared" si="2"/>
        <v>0</v>
      </c>
      <c r="AU26" s="122" t="s">
        <v>709</v>
      </c>
    </row>
    <row r="27" spans="1:47"/>
    <row r="28" spans="1:47"/>
    <row r="29" spans="1:47"/>
    <row r="30" spans="1:47"/>
  </sheetData>
  <sheetProtection password="CAE2" sheet="1" objects="1" scenarios="1"/>
  <dataValidations count="1">
    <dataValidation type="list" allowBlank="1" showInputMessage="1" showErrorMessage="1" prompt="Please select of one" sqref="C2:C26">
      <formula1>"Pengembangan Kompetensi Lulusan,Pengembangan Standar Isi,Pengembangan Standar Proses,Pengembangan Pendidik dan Tendik,Pengembangan Sarana dan Prasarana,Pengembangan Standar Pengelolaan,Pengembangan Standar Pembiayaan,Pengembangan dan Implement. Penilaian"</formula1>
    </dataValidation>
  </dataValidations>
  <pageMargins left="0.7" right="0.7" top="0.75" bottom="0.75" header="0.3" footer="0.3"/>
  <drawing r:id="rId1"/>
  <picture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tabColor rgb="FF00B0F0"/>
    <pageSetUpPr fitToPage="1"/>
  </sheetPr>
  <dimension ref="A1:BM61"/>
  <sheetViews>
    <sheetView showGridLines="0" showRowColHeaders="0" showZeros="0" workbookViewId="0">
      <selection activeCell="N2" sqref="N2:P2"/>
    </sheetView>
  </sheetViews>
  <sheetFormatPr defaultColWidth="0" defaultRowHeight="15.75" zeroHeight="1"/>
  <cols>
    <col min="1" max="65" width="1.7109375" style="88" customWidth="1"/>
    <col min="66" max="16384" width="9.140625" style="88" hidden="1"/>
  </cols>
  <sheetData>
    <row r="1" spans="2:63">
      <c r="B1" s="415"/>
      <c r="C1" s="415"/>
    </row>
    <row r="2" spans="2:63" s="103" customFormat="1">
      <c r="B2" s="419" t="s">
        <v>344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>
        <v>5</v>
      </c>
      <c r="O2" s="420"/>
      <c r="P2" s="420"/>
      <c r="AM2" s="90" t="s">
        <v>292</v>
      </c>
      <c r="AN2" s="90"/>
      <c r="AO2" s="90"/>
      <c r="AP2" s="90"/>
      <c r="AQ2" s="90"/>
      <c r="AR2" s="90"/>
      <c r="AS2" s="90" t="s">
        <v>291</v>
      </c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s="103" customForma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 t="str">
        <f>IF(AND(nama_sekolah&lt;&gt;"",no_a2&lt;&gt;""),nama_sekolah&amp;", Triwulan "&amp;triwulan,"")</f>
        <v>SD Negeri 3 Slatri, Triwulan I (satu)</v>
      </c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</row>
    <row r="4" spans="2:63" s="103" customFormat="1">
      <c r="B4" s="104" t="str">
        <f>"PEMERINTAH "&amp;IF(no_a2&lt;&gt;"",UPPER(kab_kota),"")</f>
        <v>PEMERINTAH KAB. BANJARNEGARA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 t="s">
        <v>267</v>
      </c>
      <c r="BA4" s="90"/>
      <c r="BB4" s="90"/>
      <c r="BC4" s="90"/>
      <c r="BD4" s="90"/>
      <c r="BE4" s="90"/>
      <c r="BF4" s="90"/>
      <c r="BG4" s="90"/>
      <c r="BH4" s="416" t="s">
        <v>69</v>
      </c>
      <c r="BI4" s="416"/>
      <c r="BJ4" s="90"/>
      <c r="BK4" s="90"/>
    </row>
    <row r="5" spans="2:63" s="103" customFormat="1">
      <c r="B5" s="90" t="s">
        <v>268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 t="s">
        <v>13</v>
      </c>
      <c r="T5" s="90"/>
      <c r="U5" s="417" t="str">
        <f>IF(no_a2&lt;&gt;"",tahun_anggaran,"")</f>
        <v>2013</v>
      </c>
      <c r="V5" s="417" t="e">
        <f t="shared" ref="V5:AE6" si="0">VLOOKUP($AS$2,form_a2,2,FALSE)</f>
        <v>#N/A</v>
      </c>
      <c r="W5" s="417" t="e">
        <f t="shared" si="0"/>
        <v>#N/A</v>
      </c>
      <c r="X5" s="417" t="e">
        <f t="shared" si="0"/>
        <v>#N/A</v>
      </c>
      <c r="Y5" s="417" t="e">
        <f t="shared" si="0"/>
        <v>#N/A</v>
      </c>
      <c r="Z5" s="417" t="e">
        <f t="shared" si="0"/>
        <v>#N/A</v>
      </c>
      <c r="AA5" s="417" t="e">
        <f t="shared" si="0"/>
        <v>#N/A</v>
      </c>
      <c r="AB5" s="417" t="e">
        <f t="shared" si="0"/>
        <v>#N/A</v>
      </c>
      <c r="AC5" s="417" t="e">
        <f t="shared" si="0"/>
        <v>#N/A</v>
      </c>
      <c r="AD5" s="417" t="e">
        <f t="shared" si="0"/>
        <v>#N/A</v>
      </c>
      <c r="AE5" s="417" t="e">
        <f t="shared" si="0"/>
        <v>#N/A</v>
      </c>
      <c r="AF5" s="417" t="e">
        <f t="shared" ref="AF5:AM6" si="1">VLOOKUP($AS$2,form_a2,2,FALSE)</f>
        <v>#N/A</v>
      </c>
      <c r="AG5" s="417" t="e">
        <f t="shared" si="1"/>
        <v>#N/A</v>
      </c>
      <c r="AH5" s="417" t="e">
        <f t="shared" si="1"/>
        <v>#N/A</v>
      </c>
      <c r="AI5" s="417" t="e">
        <f t="shared" si="1"/>
        <v>#N/A</v>
      </c>
      <c r="AJ5" s="417" t="e">
        <f t="shared" si="1"/>
        <v>#N/A</v>
      </c>
      <c r="AK5" s="417" t="e">
        <f t="shared" si="1"/>
        <v>#N/A</v>
      </c>
      <c r="AL5" s="417" t="e">
        <f t="shared" si="1"/>
        <v>#N/A</v>
      </c>
      <c r="AM5" s="417" t="e">
        <f t="shared" si="1"/>
        <v>#N/A</v>
      </c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411" t="s">
        <v>71</v>
      </c>
      <c r="BI5" s="411"/>
      <c r="BJ5" s="90"/>
      <c r="BK5" s="90"/>
    </row>
    <row r="6" spans="2:63" s="103" customFormat="1">
      <c r="B6" s="90" t="s">
        <v>269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 t="s">
        <v>13</v>
      </c>
      <c r="T6" s="90"/>
      <c r="U6" s="410">
        <f>IF(no_a2&lt;&gt;"",VLOOKUP(no_a2,data_a2,2,FALSE),"")</f>
        <v>0</v>
      </c>
      <c r="V6" s="410" t="e">
        <f t="shared" si="0"/>
        <v>#N/A</v>
      </c>
      <c r="W6" s="410" t="e">
        <f t="shared" si="0"/>
        <v>#N/A</v>
      </c>
      <c r="X6" s="410" t="e">
        <f t="shared" si="0"/>
        <v>#N/A</v>
      </c>
      <c r="Y6" s="410" t="e">
        <f t="shared" si="0"/>
        <v>#N/A</v>
      </c>
      <c r="Z6" s="410" t="e">
        <f t="shared" si="0"/>
        <v>#N/A</v>
      </c>
      <c r="AA6" s="410" t="e">
        <f t="shared" si="0"/>
        <v>#N/A</v>
      </c>
      <c r="AB6" s="410" t="e">
        <f t="shared" si="0"/>
        <v>#N/A</v>
      </c>
      <c r="AC6" s="410" t="e">
        <f t="shared" si="0"/>
        <v>#N/A</v>
      </c>
      <c r="AD6" s="410" t="e">
        <f t="shared" si="0"/>
        <v>#N/A</v>
      </c>
      <c r="AE6" s="410" t="e">
        <f t="shared" si="0"/>
        <v>#N/A</v>
      </c>
      <c r="AF6" s="410" t="e">
        <f t="shared" si="1"/>
        <v>#N/A</v>
      </c>
      <c r="AG6" s="410" t="e">
        <f t="shared" si="1"/>
        <v>#N/A</v>
      </c>
      <c r="AH6" s="410" t="e">
        <f t="shared" si="1"/>
        <v>#N/A</v>
      </c>
      <c r="AI6" s="410" t="e">
        <f t="shared" si="1"/>
        <v>#N/A</v>
      </c>
      <c r="AJ6" s="410" t="e">
        <f t="shared" si="1"/>
        <v>#N/A</v>
      </c>
      <c r="AK6" s="410" t="e">
        <f t="shared" si="1"/>
        <v>#N/A</v>
      </c>
      <c r="AL6" s="410" t="e">
        <f t="shared" si="1"/>
        <v>#N/A</v>
      </c>
      <c r="AM6" s="410" t="e">
        <f t="shared" si="1"/>
        <v>#N/A</v>
      </c>
      <c r="AN6" s="410" t="e">
        <f>VLOOKUP($AS$2,form_a2,2,FALSE)</f>
        <v>#N/A</v>
      </c>
      <c r="AO6" s="410" t="e">
        <f>VLOOKUP($AS$2,form_a2,2,FALSE)</f>
        <v>#N/A</v>
      </c>
      <c r="AP6" s="410" t="e">
        <f>VLOOKUP($AS$2,form_a2,2,FALSE)</f>
        <v>#N/A</v>
      </c>
      <c r="AQ6" s="410" t="e">
        <f>VLOOKUP($AS$2,form_a2,2,FALSE)</f>
        <v>#N/A</v>
      </c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411" t="s">
        <v>82</v>
      </c>
      <c r="BI6" s="411"/>
      <c r="BJ6" s="90"/>
      <c r="BK6" s="90"/>
    </row>
    <row r="7" spans="2:63" s="103" customForma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411" t="s">
        <v>179</v>
      </c>
      <c r="BI7" s="411"/>
      <c r="BJ7" s="90"/>
      <c r="BK7" s="90"/>
    </row>
    <row r="8" spans="2:63" s="103" customFormat="1" ht="16.5" thickBo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412" t="s">
        <v>189</v>
      </c>
      <c r="BI8" s="412"/>
      <c r="BJ8" s="105"/>
      <c r="BK8" s="105"/>
    </row>
    <row r="9" spans="2:63" ht="16.5" thickTop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1"/>
      <c r="AM9" s="92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2:63">
      <c r="B10" s="413" t="s">
        <v>270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93"/>
      <c r="AL10" s="94"/>
      <c r="AM10" s="95"/>
      <c r="AN10" s="89"/>
      <c r="AO10" s="89" t="s">
        <v>271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</row>
    <row r="11" spans="2:63"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89"/>
      <c r="AL11" s="94"/>
      <c r="AM11" s="95"/>
      <c r="AN11" s="89"/>
      <c r="AO11" s="89" t="s">
        <v>272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</row>
    <row r="12" spans="2:63">
      <c r="B12" s="89" t="s">
        <v>296</v>
      </c>
      <c r="C12" s="89"/>
      <c r="D12" s="89"/>
      <c r="E12" s="89"/>
      <c r="F12" s="89"/>
      <c r="G12" s="89"/>
      <c r="H12" s="89"/>
      <c r="I12" s="89"/>
      <c r="J12" s="89"/>
      <c r="K12" s="89"/>
      <c r="L12" s="89" t="s">
        <v>13</v>
      </c>
      <c r="M12" s="418" t="str">
        <f>IF(AND(nama_sekolah&lt;&gt;"",no_a2&lt;&gt;""),"Bendahara BOS "&amp;nama_sekolah,"")</f>
        <v>Bendahara BOS SD Negeri 3 Slatri</v>
      </c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96"/>
      <c r="AL12" s="94"/>
      <c r="AM12" s="95"/>
      <c r="AN12" s="89"/>
      <c r="AO12" s="89" t="s">
        <v>273</v>
      </c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414">
        <f>IF(no_a2&lt;&gt;"",VLOOKUP(no_a2,data_a2,37,FALSE),"")</f>
        <v>0</v>
      </c>
      <c r="BD12" s="414"/>
      <c r="BE12" s="414"/>
      <c r="BF12" s="414"/>
      <c r="BG12" s="414"/>
      <c r="BH12" s="414"/>
      <c r="BI12" s="414"/>
      <c r="BJ12" s="414"/>
      <c r="BK12" s="414"/>
    </row>
    <row r="13" spans="2:63">
      <c r="B13" s="99" t="s">
        <v>297</v>
      </c>
      <c r="C13" s="99"/>
      <c r="D13" s="99"/>
      <c r="E13" s="99"/>
      <c r="F13" s="99"/>
      <c r="G13" s="99"/>
      <c r="H13" s="99"/>
      <c r="I13" s="99"/>
      <c r="J13" s="99"/>
      <c r="K13" s="99"/>
      <c r="L13" s="99" t="s">
        <v>13</v>
      </c>
      <c r="M13" s="421" t="str">
        <f>IF(AND(nama_sekolah&lt;&gt;"",no_a2&lt;&gt;"",nama_bend&lt;&gt;""),nama_bend,"")</f>
        <v>Mismun, S.Pd.I.</v>
      </c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96"/>
      <c r="AL13" s="94"/>
      <c r="AM13" s="95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</row>
    <row r="14" spans="2:63">
      <c r="B14" s="409" t="s">
        <v>298</v>
      </c>
      <c r="C14" s="409"/>
      <c r="D14" s="409"/>
      <c r="E14" s="409"/>
      <c r="F14" s="409"/>
      <c r="G14" s="409"/>
      <c r="H14" s="409"/>
      <c r="I14" s="409"/>
      <c r="J14" s="409"/>
      <c r="K14" s="409"/>
      <c r="L14" s="89" t="s">
        <v>13</v>
      </c>
      <c r="M14" s="422">
        <f>IF(no_a2&lt;&gt;"",VLOOKUP(no_a2,data_a2,34,FALSE),"")</f>
        <v>0</v>
      </c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96"/>
      <c r="AL14" s="94"/>
      <c r="AM14" s="95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</row>
    <row r="15" spans="2:63">
      <c r="B15" s="426" t="str">
        <f>"Terbilang: "&amp;IF(AND(no_a2&lt;&gt;"",M14&lt;&gt;0),[2]!terbilang(M14,"rupiah"),"")</f>
        <v xml:space="preserve">Terbilang: </v>
      </c>
      <c r="C15" s="426" t="e">
        <f t="shared" ref="C15:O15" si="2">VLOOKUP($AS$2,form_a2,2,FALSE)</f>
        <v>#N/A</v>
      </c>
      <c r="D15" s="426" t="e">
        <f t="shared" si="2"/>
        <v>#N/A</v>
      </c>
      <c r="E15" s="426" t="e">
        <f t="shared" si="2"/>
        <v>#N/A</v>
      </c>
      <c r="F15" s="426" t="e">
        <f t="shared" si="2"/>
        <v>#N/A</v>
      </c>
      <c r="G15" s="426" t="e">
        <f t="shared" si="2"/>
        <v>#N/A</v>
      </c>
      <c r="H15" s="426" t="e">
        <f t="shared" si="2"/>
        <v>#N/A</v>
      </c>
      <c r="I15" s="426" t="e">
        <f t="shared" si="2"/>
        <v>#N/A</v>
      </c>
      <c r="J15" s="426" t="e">
        <f t="shared" si="2"/>
        <v>#N/A</v>
      </c>
      <c r="K15" s="426" t="e">
        <f t="shared" si="2"/>
        <v>#N/A</v>
      </c>
      <c r="L15" s="426" t="e">
        <f t="shared" si="2"/>
        <v>#N/A</v>
      </c>
      <c r="M15" s="426" t="e">
        <f t="shared" si="2"/>
        <v>#N/A</v>
      </c>
      <c r="N15" s="426" t="e">
        <f t="shared" si="2"/>
        <v>#N/A</v>
      </c>
      <c r="O15" s="426" t="e">
        <f t="shared" si="2"/>
        <v>#N/A</v>
      </c>
      <c r="P15" s="426" t="e">
        <f t="shared" ref="P15:Z15" si="3">VLOOKUP($AS$2,form_a2,2,FALSE)</f>
        <v>#N/A</v>
      </c>
      <c r="Q15" s="426" t="e">
        <f t="shared" si="3"/>
        <v>#N/A</v>
      </c>
      <c r="R15" s="426" t="e">
        <f t="shared" si="3"/>
        <v>#N/A</v>
      </c>
      <c r="S15" s="426" t="e">
        <f t="shared" si="3"/>
        <v>#N/A</v>
      </c>
      <c r="T15" s="426" t="e">
        <f t="shared" si="3"/>
        <v>#N/A</v>
      </c>
      <c r="U15" s="426" t="e">
        <f t="shared" si="3"/>
        <v>#N/A</v>
      </c>
      <c r="V15" s="426" t="e">
        <f t="shared" si="3"/>
        <v>#N/A</v>
      </c>
      <c r="W15" s="426" t="e">
        <f t="shared" si="3"/>
        <v>#N/A</v>
      </c>
      <c r="X15" s="426" t="e">
        <f t="shared" si="3"/>
        <v>#N/A</v>
      </c>
      <c r="Y15" s="426" t="e">
        <f t="shared" si="3"/>
        <v>#N/A</v>
      </c>
      <c r="Z15" s="426" t="e">
        <f t="shared" si="3"/>
        <v>#N/A</v>
      </c>
      <c r="AA15" s="426" t="e">
        <f t="shared" ref="AA15:AJ15" si="4">VLOOKUP($AS$2,form_a2,2,FALSE)</f>
        <v>#N/A</v>
      </c>
      <c r="AB15" s="426" t="e">
        <f t="shared" si="4"/>
        <v>#N/A</v>
      </c>
      <c r="AC15" s="426" t="e">
        <f t="shared" si="4"/>
        <v>#N/A</v>
      </c>
      <c r="AD15" s="426" t="e">
        <f t="shared" si="4"/>
        <v>#N/A</v>
      </c>
      <c r="AE15" s="426" t="e">
        <f t="shared" si="4"/>
        <v>#N/A</v>
      </c>
      <c r="AF15" s="426" t="e">
        <f t="shared" si="4"/>
        <v>#N/A</v>
      </c>
      <c r="AG15" s="426" t="e">
        <f t="shared" si="4"/>
        <v>#N/A</v>
      </c>
      <c r="AH15" s="426" t="e">
        <f t="shared" si="4"/>
        <v>#N/A</v>
      </c>
      <c r="AI15" s="426" t="e">
        <f t="shared" si="4"/>
        <v>#N/A</v>
      </c>
      <c r="AJ15" s="426" t="e">
        <f t="shared" si="4"/>
        <v>#N/A</v>
      </c>
      <c r="AK15" s="96"/>
      <c r="AL15" s="94"/>
      <c r="AM15" s="95"/>
      <c r="AN15" s="89"/>
      <c r="AO15" s="89" t="s">
        <v>274</v>
      </c>
      <c r="AP15" s="89"/>
      <c r="AQ15" s="89"/>
      <c r="AR15" s="89"/>
      <c r="AS15" s="89"/>
      <c r="AT15" s="89"/>
      <c r="AU15" s="89"/>
      <c r="AV15" s="89"/>
      <c r="AW15" s="89"/>
      <c r="AX15" s="89" t="s">
        <v>275</v>
      </c>
      <c r="AY15" s="89"/>
      <c r="AZ15" s="89"/>
      <c r="BA15" s="424">
        <f>IF(no_a2&lt;&gt;"",VLOOKUP(no_a2,data_a2,36,FALSE),"")</f>
        <v>0</v>
      </c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</row>
    <row r="16" spans="2:63"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89"/>
      <c r="AL16" s="94"/>
      <c r="AM16" s="95"/>
      <c r="AN16" s="89"/>
      <c r="AO16" s="89" t="s">
        <v>276</v>
      </c>
      <c r="AP16" s="89"/>
      <c r="AQ16" s="89"/>
      <c r="AR16" s="89"/>
      <c r="AS16" s="89"/>
      <c r="AT16" s="89"/>
      <c r="AU16" s="89"/>
      <c r="AV16" s="89"/>
      <c r="AW16" s="89"/>
      <c r="AX16" s="89" t="s">
        <v>275</v>
      </c>
      <c r="AY16" s="89"/>
      <c r="AZ16" s="89"/>
      <c r="BA16" s="408">
        <f>IF(no_a2&lt;&gt;"",VLOOKUP(no_a2,data_a2,37,FALSE),"")</f>
        <v>0</v>
      </c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</row>
    <row r="17" spans="2:63">
      <c r="B17" s="409" t="s">
        <v>277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96"/>
      <c r="AL17" s="94"/>
      <c r="AM17" s="95"/>
      <c r="AN17" s="89"/>
      <c r="AO17" s="89" t="s">
        <v>278</v>
      </c>
      <c r="AP17" s="89"/>
      <c r="AQ17" s="89"/>
      <c r="AR17" s="89"/>
      <c r="AS17" s="89"/>
      <c r="AT17" s="89"/>
      <c r="AU17" s="89"/>
      <c r="AV17" s="89"/>
      <c r="AW17" s="89"/>
      <c r="AX17" s="89" t="s">
        <v>275</v>
      </c>
      <c r="AY17" s="89"/>
      <c r="AZ17" s="89"/>
      <c r="BA17" s="408">
        <f>IF(no_a2&lt;&gt;"",VLOOKUP(no_a2,data_a2,38,FALSE),"")</f>
        <v>0</v>
      </c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</row>
    <row r="18" spans="2:63">
      <c r="B18" s="423">
        <f>IF(no_a2&lt;&gt;"",VLOOKUP(no_a2,data_a2,4,FALSE),"")</f>
        <v>0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>
        <f>IF(no_a2&lt;&gt;"",VLOOKUP(no_a2,data_a2,5,FALSE),"")</f>
        <v>0</v>
      </c>
      <c r="AD18" s="424"/>
      <c r="AE18" s="424"/>
      <c r="AF18" s="424"/>
      <c r="AG18" s="424"/>
      <c r="AH18" s="424"/>
      <c r="AI18" s="424"/>
      <c r="AJ18" s="424"/>
      <c r="AK18" s="96"/>
      <c r="AL18" s="94"/>
      <c r="AM18" s="95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</row>
    <row r="19" spans="2:63">
      <c r="B19" s="425">
        <f>IF(no_a2&lt;&gt;"",VLOOKUP(no_a2,data_a2,6,FALSE),"")</f>
        <v>0</v>
      </c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08">
        <f>IF(no_a2&lt;&gt;"",VLOOKUP(no_a2,data_a2,7,FALSE),"")</f>
        <v>0</v>
      </c>
      <c r="AD19" s="408"/>
      <c r="AE19" s="408"/>
      <c r="AF19" s="408"/>
      <c r="AG19" s="408"/>
      <c r="AH19" s="408"/>
      <c r="AI19" s="408"/>
      <c r="AJ19" s="408"/>
      <c r="AK19" s="96"/>
      <c r="AL19" s="94"/>
      <c r="AM19" s="95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</row>
    <row r="20" spans="2:63">
      <c r="B20" s="425">
        <f>IF(no_a2&lt;&gt;"",VLOOKUP(no_a2,data_a2,8,FALSE),"")</f>
        <v>0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08">
        <f>IF(no_a2&lt;&gt;"",VLOOKUP(no_a2,data_a2,9,FALSE),"")</f>
        <v>0</v>
      </c>
      <c r="AD20" s="408"/>
      <c r="AE20" s="408"/>
      <c r="AF20" s="408"/>
      <c r="AG20" s="408"/>
      <c r="AH20" s="408"/>
      <c r="AI20" s="408"/>
      <c r="AJ20" s="408"/>
      <c r="AK20" s="96"/>
      <c r="AL20" s="94"/>
      <c r="AM20" s="95"/>
      <c r="AN20" s="89"/>
      <c r="AO20" s="89" t="s">
        <v>279</v>
      </c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</row>
    <row r="21" spans="2:63">
      <c r="B21" s="425">
        <f>IF(no_a2&lt;&gt;"",VLOOKUP(no_a2,data_a2,10,FALSE),"")</f>
        <v>0</v>
      </c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08">
        <f>IF(no_a2&lt;&gt;"",VLOOKUP(no_a2,data_a2,11,FALSE),"")</f>
        <v>0</v>
      </c>
      <c r="AD21" s="408"/>
      <c r="AE21" s="408"/>
      <c r="AF21" s="408"/>
      <c r="AG21" s="408"/>
      <c r="AH21" s="408"/>
      <c r="AI21" s="408"/>
      <c r="AJ21" s="408"/>
      <c r="AK21" s="96"/>
      <c r="AL21" s="94"/>
      <c r="AM21" s="95"/>
      <c r="AN21" s="89"/>
      <c r="AO21" s="89" t="s">
        <v>32</v>
      </c>
      <c r="AP21" s="89"/>
      <c r="AQ21" s="423">
        <f>IF(no_a2&lt;&gt;"",VLOOKUP(no_a2,data_a2,39,FALSE),"")</f>
        <v>0</v>
      </c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</row>
    <row r="22" spans="2:63">
      <c r="B22" s="425">
        <f>IF(no_a2&lt;&gt;"",VLOOKUP(no_a2,data_a2,12,FALSE),"")</f>
        <v>0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08">
        <f>IF(no_a2&lt;&gt;"",VLOOKUP(no_a2,data_a2,13,FALSE),"")</f>
        <v>0</v>
      </c>
      <c r="AD22" s="408"/>
      <c r="AE22" s="408"/>
      <c r="AF22" s="408"/>
      <c r="AG22" s="408"/>
      <c r="AH22" s="408"/>
      <c r="AI22" s="408"/>
      <c r="AJ22" s="408"/>
      <c r="AK22" s="96"/>
      <c r="AL22" s="94"/>
      <c r="AM22" s="95"/>
      <c r="AN22" s="89"/>
      <c r="AO22" s="89" t="s">
        <v>33</v>
      </c>
      <c r="AP22" s="89"/>
      <c r="AQ22" s="425">
        <f>IF(no_a2&lt;&gt;"",VLOOKUP(no_a2,data_a2,40,FALSE),"")</f>
        <v>0</v>
      </c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</row>
    <row r="23" spans="2:63">
      <c r="B23" s="425">
        <f>IF(no_a2&lt;&gt;"",VLOOKUP(no_a2,data_a2,14,FALSE),"")</f>
        <v>0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08">
        <f>IF(no_a2&lt;&gt;"",VLOOKUP(no_a2,data_a2,15,FALSE),"")</f>
        <v>0</v>
      </c>
      <c r="AD23" s="408"/>
      <c r="AE23" s="408"/>
      <c r="AF23" s="408"/>
      <c r="AG23" s="408"/>
      <c r="AH23" s="408"/>
      <c r="AI23" s="408"/>
      <c r="AJ23" s="408"/>
      <c r="AK23" s="96"/>
      <c r="AL23" s="94"/>
      <c r="AM23" s="95"/>
      <c r="AN23" s="89"/>
      <c r="AO23" s="89" t="s">
        <v>109</v>
      </c>
      <c r="AP23" s="89"/>
      <c r="AQ23" s="425">
        <f>IF(no_a2&lt;&gt;"",VLOOKUP(no_a2,data_a2,41,FALSE),"")</f>
        <v>0</v>
      </c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</row>
    <row r="24" spans="2:63">
      <c r="B24" s="425">
        <f>IF(no_a2&lt;&gt;"",VLOOKUP(no_a2,data_a2,16,FALSE),"")</f>
        <v>0</v>
      </c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08">
        <f>IF(no_a2&lt;&gt;"",VLOOKUP(no_a2,data_a2,17,FALSE),"")</f>
        <v>0</v>
      </c>
      <c r="AD24" s="408"/>
      <c r="AE24" s="408"/>
      <c r="AF24" s="408"/>
      <c r="AG24" s="408"/>
      <c r="AH24" s="408"/>
      <c r="AI24" s="408"/>
      <c r="AJ24" s="408"/>
      <c r="AK24" s="96"/>
      <c r="AL24" s="94"/>
      <c r="AM24" s="95"/>
      <c r="AN24" s="89"/>
      <c r="AO24" s="89" t="s">
        <v>111</v>
      </c>
      <c r="AP24" s="89"/>
      <c r="AQ24" s="425">
        <f>IF(no_a2&lt;&gt;"",VLOOKUP(no_a2,data_a2,42,FALSE),"")</f>
        <v>0</v>
      </c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pans="2:63">
      <c r="B25" s="425">
        <f>IF(no_a2&lt;&gt;"",VLOOKUP(no_a2,data_a2,18,FALSE),"")</f>
        <v>0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08">
        <f>IF(no_a2&lt;&gt;"",VLOOKUP(no_a2,data_a2,19,FALSE),"")</f>
        <v>0</v>
      </c>
      <c r="AD25" s="408"/>
      <c r="AE25" s="408"/>
      <c r="AF25" s="408"/>
      <c r="AG25" s="408"/>
      <c r="AH25" s="408"/>
      <c r="AI25" s="408"/>
      <c r="AJ25" s="408"/>
      <c r="AK25" s="96"/>
      <c r="AL25" s="94"/>
      <c r="AM25" s="95"/>
      <c r="AN25" s="89"/>
      <c r="AO25" s="89"/>
      <c r="AP25" s="89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</row>
    <row r="26" spans="2:63">
      <c r="B26" s="425">
        <f>IF(no_a2&lt;&gt;"",VLOOKUP(no_a2,data_a2,20,FALSE),"")</f>
        <v>0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08">
        <f>IF(no_a2&lt;&gt;"",VLOOKUP(no_a2,data_a2,21,FALSE),"")</f>
        <v>0</v>
      </c>
      <c r="AD26" s="408"/>
      <c r="AE26" s="408"/>
      <c r="AF26" s="408"/>
      <c r="AG26" s="408"/>
      <c r="AH26" s="408"/>
      <c r="AI26" s="408"/>
      <c r="AJ26" s="408"/>
      <c r="AK26" s="96"/>
      <c r="AL26" s="94"/>
      <c r="AM26" s="95"/>
      <c r="AN26" s="89"/>
      <c r="AO26" s="89"/>
      <c r="AP26" s="89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</row>
    <row r="27" spans="2:63">
      <c r="B27" s="425">
        <f>IF(no_a2&lt;&gt;"",VLOOKUP(no_a2,data_a2,22,FALSE),"")</f>
        <v>0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08">
        <f>IF(no_a2&lt;&gt;"",VLOOKUP(no_a2,data_a2,23,FALSE),"")</f>
        <v>0</v>
      </c>
      <c r="AD27" s="408"/>
      <c r="AE27" s="408"/>
      <c r="AF27" s="408"/>
      <c r="AG27" s="408"/>
      <c r="AH27" s="408"/>
      <c r="AI27" s="408"/>
      <c r="AJ27" s="408"/>
      <c r="AK27" s="96"/>
      <c r="AL27" s="94"/>
      <c r="AM27" s="95"/>
      <c r="AN27" s="89"/>
      <c r="AO27" s="89"/>
      <c r="AP27" s="89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</row>
    <row r="28" spans="2:63">
      <c r="B28" s="425">
        <f>IF(no_a2&lt;&gt;"",VLOOKUP(no_a2,data_a2,24,FALSE),"")</f>
        <v>0</v>
      </c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08">
        <f>IF(no_a2&lt;&gt;"",VLOOKUP(no_a2,data_a2,25,FALSE),"")</f>
        <v>0</v>
      </c>
      <c r="AD28" s="408"/>
      <c r="AE28" s="408"/>
      <c r="AF28" s="408"/>
      <c r="AG28" s="408"/>
      <c r="AH28" s="408"/>
      <c r="AI28" s="408"/>
      <c r="AJ28" s="408"/>
      <c r="AK28" s="96"/>
      <c r="AL28" s="94"/>
      <c r="AM28" s="95"/>
      <c r="AN28" s="89"/>
      <c r="AO28" s="89"/>
      <c r="AP28" s="89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</row>
    <row r="29" spans="2:63">
      <c r="B29" s="425">
        <f>IF(no_a2&lt;&gt;"",VLOOKUP(no_a2,data_a2,26,FALSE),"")</f>
        <v>0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08">
        <f>IF(no_a2&lt;&gt;"",VLOOKUP(no_a2,data_a2,27,FALSE),"")</f>
        <v>0</v>
      </c>
      <c r="AD29" s="408"/>
      <c r="AE29" s="408"/>
      <c r="AF29" s="408"/>
      <c r="AG29" s="408"/>
      <c r="AH29" s="408"/>
      <c r="AI29" s="408"/>
      <c r="AJ29" s="408"/>
      <c r="AK29" s="96"/>
      <c r="AL29" s="94"/>
      <c r="AM29" s="95"/>
      <c r="AN29" s="89"/>
      <c r="AO29" s="89"/>
      <c r="AP29" s="89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</row>
    <row r="30" spans="2:63">
      <c r="B30" s="425">
        <f>IF(no_a2&lt;&gt;"",VLOOKUP(no_a2,data_a2,28,FALSE),"")</f>
        <v>0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08">
        <f>IF(no_a2&lt;&gt;"",VLOOKUP(no_a2,data_a2,29,FALSE),"")</f>
        <v>0</v>
      </c>
      <c r="AD30" s="408"/>
      <c r="AE30" s="408"/>
      <c r="AF30" s="408"/>
      <c r="AG30" s="408"/>
      <c r="AH30" s="408"/>
      <c r="AI30" s="408"/>
      <c r="AJ30" s="408"/>
      <c r="AK30" s="96"/>
      <c r="AL30" s="94"/>
      <c r="AM30" s="95"/>
      <c r="AN30" s="89"/>
      <c r="AO30" s="89"/>
      <c r="AP30" s="96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</row>
    <row r="31" spans="2:63">
      <c r="B31" s="425">
        <f>IF(no_a2&lt;&gt;"",VLOOKUP(no_a2,data_a2,30,FALSE),"")</f>
        <v>0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08">
        <f>IF(no_a2&lt;&gt;"",VLOOKUP(no_a2,data_a2,31,FALSE),"")</f>
        <v>0</v>
      </c>
      <c r="AD31" s="408"/>
      <c r="AE31" s="408"/>
      <c r="AF31" s="408"/>
      <c r="AG31" s="408"/>
      <c r="AH31" s="408"/>
      <c r="AI31" s="408"/>
      <c r="AJ31" s="408"/>
      <c r="AK31" s="96"/>
      <c r="AL31" s="94"/>
      <c r="AM31" s="95"/>
      <c r="AN31" s="89"/>
      <c r="AO31" s="89"/>
      <c r="AP31" s="96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</row>
    <row r="32" spans="2:63">
      <c r="B32" s="425">
        <f>IF(no_a2&lt;&gt;"",VLOOKUP(no_a2,data_a2,32,FALSE),"")</f>
        <v>0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08">
        <f>IF(no_a2&lt;&gt;"",VLOOKUP(no_a2,data_a2,33,FALSE),"")</f>
        <v>0</v>
      </c>
      <c r="AD32" s="408"/>
      <c r="AE32" s="408"/>
      <c r="AF32" s="408"/>
      <c r="AG32" s="408"/>
      <c r="AH32" s="408"/>
      <c r="AI32" s="408"/>
      <c r="AJ32" s="408"/>
      <c r="AK32" s="96"/>
      <c r="AL32" s="94"/>
      <c r="AM32" s="95"/>
      <c r="AN32" s="89"/>
      <c r="AO32" s="89"/>
      <c r="AP32" s="96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</row>
    <row r="33" spans="2:63"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100"/>
      <c r="AD33" s="100"/>
      <c r="AE33" s="100"/>
      <c r="AF33" s="100"/>
      <c r="AG33" s="100"/>
      <c r="AH33" s="100"/>
      <c r="AI33" s="100"/>
      <c r="AJ33" s="100"/>
      <c r="AK33" s="96"/>
      <c r="AL33" s="94"/>
      <c r="AM33" s="95"/>
      <c r="AN33" s="89"/>
      <c r="AO33" s="89"/>
      <c r="AP33" s="96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</row>
    <row r="34" spans="2:63"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100"/>
      <c r="AD34" s="100"/>
      <c r="AE34" s="100"/>
      <c r="AF34" s="100"/>
      <c r="AG34" s="100"/>
      <c r="AH34" s="100"/>
      <c r="AI34" s="100"/>
      <c r="AJ34" s="100"/>
      <c r="AK34" s="96"/>
      <c r="AL34" s="94"/>
      <c r="AM34" s="95"/>
      <c r="AN34" s="89"/>
      <c r="AO34" s="89"/>
      <c r="AP34" s="96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</row>
    <row r="35" spans="2:63"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100"/>
      <c r="AD35" s="100"/>
      <c r="AE35" s="100"/>
      <c r="AF35" s="100"/>
      <c r="AG35" s="100"/>
      <c r="AH35" s="100"/>
      <c r="AI35" s="100"/>
      <c r="AJ35" s="100"/>
      <c r="AK35" s="96"/>
      <c r="AL35" s="94"/>
      <c r="AM35" s="95"/>
      <c r="AN35" s="89"/>
      <c r="AO35" s="89"/>
      <c r="AP35" s="96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27"/>
      <c r="BK35" s="427"/>
    </row>
    <row r="36" spans="2:63"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100"/>
      <c r="AD36" s="100"/>
      <c r="AE36" s="100"/>
      <c r="AF36" s="100"/>
      <c r="AG36" s="100"/>
      <c r="AH36" s="100"/>
      <c r="AI36" s="100"/>
      <c r="AJ36" s="100"/>
      <c r="AK36" s="96"/>
      <c r="AL36" s="94"/>
      <c r="AM36" s="95"/>
      <c r="AN36" s="89"/>
      <c r="AO36" s="89"/>
      <c r="AP36" s="96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</row>
    <row r="37" spans="2:63"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100"/>
      <c r="AD37" s="100"/>
      <c r="AE37" s="100"/>
      <c r="AF37" s="100"/>
      <c r="AG37" s="100"/>
      <c r="AH37" s="100"/>
      <c r="AI37" s="100"/>
      <c r="AJ37" s="100"/>
      <c r="AK37" s="96"/>
      <c r="AL37" s="94"/>
      <c r="AM37" s="95"/>
      <c r="AN37" s="89"/>
      <c r="AO37" s="89"/>
      <c r="AP37" s="96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</row>
    <row r="38" spans="2:63"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100"/>
      <c r="AD38" s="100"/>
      <c r="AE38" s="100"/>
      <c r="AF38" s="100"/>
      <c r="AG38" s="100"/>
      <c r="AH38" s="100"/>
      <c r="AI38" s="100"/>
      <c r="AJ38" s="100"/>
      <c r="AK38" s="96"/>
      <c r="AL38" s="94"/>
      <c r="AM38" s="95"/>
      <c r="AN38" s="89"/>
      <c r="AO38" s="89"/>
      <c r="AP38" s="96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</row>
    <row r="39" spans="2:63"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96"/>
      <c r="AL39" s="94"/>
      <c r="AM39" s="95"/>
      <c r="AN39" s="89"/>
      <c r="AO39" s="89"/>
      <c r="AP39" s="96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</row>
    <row r="40" spans="2:63">
      <c r="B40" s="89" t="s">
        <v>280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96"/>
      <c r="AL40" s="94"/>
      <c r="AM40" s="95"/>
      <c r="AN40" s="89"/>
      <c r="AO40" s="89"/>
      <c r="AP40" s="96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</row>
    <row r="41" spans="2:63">
      <c r="B41" s="417">
        <f>IF(no_a2&lt;&gt;"",VLOOKUP(no_a2,data_a2,3,FALSE),"")</f>
        <v>0</v>
      </c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96"/>
      <c r="AL41" s="94"/>
      <c r="AM41" s="95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</row>
    <row r="42" spans="2:63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101"/>
      <c r="AM42" s="102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</row>
    <row r="43" spans="2:63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</row>
    <row r="44" spans="2:63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 t="s">
        <v>281</v>
      </c>
      <c r="AG44" s="89"/>
      <c r="AH44" s="89"/>
      <c r="AI44" s="89"/>
      <c r="AJ44" s="89"/>
      <c r="AK44" s="89"/>
      <c r="AL44" s="89"/>
      <c r="AM44" s="89"/>
      <c r="AN44" s="89"/>
      <c r="AO44" s="429">
        <f>IF(no_a2&lt;&gt;"",VLOOKUP(no_a2,data_a2,43,FALSE),"")</f>
        <v>0</v>
      </c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</row>
    <row r="45" spans="2:63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430" t="s">
        <v>282</v>
      </c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430"/>
      <c r="BE45" s="430"/>
      <c r="BF45" s="430"/>
      <c r="BG45" s="430"/>
      <c r="BH45" s="430"/>
      <c r="BI45" s="430"/>
      <c r="BJ45" s="430"/>
      <c r="BK45" s="430"/>
    </row>
    <row r="46" spans="2:63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 t="s">
        <v>283</v>
      </c>
      <c r="AG46" s="89"/>
      <c r="AH46" s="89"/>
      <c r="AI46" s="89"/>
      <c r="AJ46" s="89"/>
      <c r="AK46" s="89"/>
      <c r="AL46" s="89"/>
      <c r="AM46" s="89"/>
      <c r="AN46" s="89"/>
      <c r="AO46" s="89" t="s">
        <v>13</v>
      </c>
      <c r="AP46" s="417">
        <f>IF(no_a2&lt;&gt;"",VLOOKUP(no_a2,data_a2,44,FALSE),"")</f>
        <v>0</v>
      </c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</row>
    <row r="47" spans="2:63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 t="s">
        <v>284</v>
      </c>
      <c r="AG47" s="89"/>
      <c r="AH47" s="89"/>
      <c r="AI47" s="89"/>
      <c r="AJ47" s="89"/>
      <c r="AK47" s="89"/>
      <c r="AL47" s="89"/>
      <c r="AM47" s="89"/>
      <c r="AN47" s="89"/>
      <c r="AO47" s="89" t="s">
        <v>13</v>
      </c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</row>
    <row r="48" spans="2:63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 t="s">
        <v>285</v>
      </c>
      <c r="AG48" s="89"/>
      <c r="AH48" s="89"/>
      <c r="AI48" s="89"/>
      <c r="AJ48" s="89"/>
      <c r="AK48" s="89"/>
      <c r="AL48" s="89"/>
      <c r="AM48" s="89"/>
      <c r="AN48" s="89"/>
      <c r="AO48" s="89" t="s">
        <v>13</v>
      </c>
      <c r="AP48" s="431">
        <f>IF(no_a2&lt;&gt;"",VLOOKUP(no_a2,data_a2,45,FALSE),"")</f>
        <v>0</v>
      </c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</row>
    <row r="49" spans="2:63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431">
        <f>IF(no_a2&lt;&gt;"",VLOOKUP(no_a2,data_a2,46,FALSE),"")</f>
        <v>0</v>
      </c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</row>
    <row r="50" spans="2:63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</row>
    <row r="51" spans="2:63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</row>
    <row r="52" spans="2:63">
      <c r="B52" s="439" t="s">
        <v>86</v>
      </c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40"/>
      <c r="AJ52" s="441" t="s">
        <v>286</v>
      </c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</row>
    <row r="53" spans="2:63">
      <c r="B53" s="435" t="str">
        <f>IF(no_a2&lt;&gt;"",nama_sekolah,"")</f>
        <v>SD Negeri 3 Slatri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3"/>
      <c r="AJ53" s="434"/>
      <c r="AK53" s="435"/>
      <c r="AL53" s="435"/>
      <c r="AM53" s="435"/>
      <c r="AN53" s="435"/>
      <c r="AO53" s="435"/>
      <c r="AP53" s="435"/>
      <c r="AQ53" s="435"/>
      <c r="AR53" s="435"/>
      <c r="AS53" s="435"/>
      <c r="AT53" s="435"/>
      <c r="AU53" s="435"/>
      <c r="AV53" s="435"/>
      <c r="AW53" s="435"/>
      <c r="AX53" s="435"/>
      <c r="AY53" s="435"/>
      <c r="AZ53" s="435"/>
      <c r="BA53" s="435"/>
      <c r="BB53" s="435"/>
      <c r="BC53" s="435"/>
      <c r="BD53" s="435"/>
      <c r="BE53" s="435"/>
      <c r="BF53" s="435"/>
      <c r="BG53" s="435"/>
      <c r="BH53" s="435"/>
      <c r="BI53" s="435"/>
      <c r="BJ53" s="435"/>
      <c r="BK53" s="435"/>
    </row>
    <row r="54" spans="2:63"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3"/>
      <c r="AJ54" s="434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  <c r="AW54" s="435"/>
      <c r="AX54" s="435"/>
      <c r="AY54" s="435"/>
      <c r="AZ54" s="435"/>
      <c r="BA54" s="435"/>
      <c r="BB54" s="435"/>
      <c r="BC54" s="435"/>
      <c r="BD54" s="435"/>
      <c r="BE54" s="435"/>
      <c r="BF54" s="435"/>
      <c r="BG54" s="435"/>
      <c r="BH54" s="435"/>
      <c r="BI54" s="435"/>
      <c r="BJ54" s="435"/>
      <c r="BK54" s="435"/>
    </row>
    <row r="55" spans="2:63"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3"/>
      <c r="AJ55" s="434" t="str">
        <f>IF(BA15&gt;=1000000,"Meterai Rp 6.000",IF(BA15&gt;=250000,"Meterai Rp 3.000",""))</f>
        <v/>
      </c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5"/>
      <c r="BF55" s="435"/>
      <c r="BG55" s="435"/>
      <c r="BH55" s="435"/>
      <c r="BI55" s="435"/>
      <c r="BJ55" s="435"/>
      <c r="BK55" s="435"/>
    </row>
    <row r="56" spans="2:63"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3"/>
      <c r="AJ56" s="434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</row>
    <row r="57" spans="2:63"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3"/>
      <c r="AJ57" s="434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</row>
    <row r="58" spans="2:63">
      <c r="B58" s="436" t="str">
        <f>IF(AND(nama_sekolah&lt;&gt;"",nama_ks&lt;&gt;"",no_a2&lt;&gt;""),nama_ks,"(.....................................)")</f>
        <v>Eko Wahyono, S.Pd., M.M.</v>
      </c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7"/>
      <c r="AJ58" s="438" t="str">
        <f>IF(AND(nama_sekolah&lt;&gt;"",nama_bend&lt;&gt;"",no_a2&lt;&gt;""),nama_bend,"(............................)")</f>
        <v>Mismun, S.Pd.I.</v>
      </c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</row>
    <row r="59" spans="2:63">
      <c r="B59" s="430" t="str">
        <f>"NIP "&amp;IF(AND(nama_sekolah&lt;&gt;"",nama_ks&lt;&gt;"",nip_ks&lt;&gt;"",no_a2&lt;&gt;""),nip_ks,".................................................")</f>
        <v>NIP 19650321 198608 1 001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3"/>
      <c r="AJ59" s="434" t="str">
        <f>"NIP "&amp;IF(AND(nama_sekolah&lt;&gt;"",nama_bend&lt;&gt;"",nip_bend&lt;&gt;"",no_a2&lt;&gt;""),nip_bend,"...........................................")</f>
        <v>NIP 19540212 198304 1 001</v>
      </c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</row>
    <row r="60" spans="2:63"/>
    <row r="61" spans="2:63"/>
  </sheetData>
  <sheetProtection password="CAE2" sheet="1" objects="1" scenarios="1" selectLockedCells="1"/>
  <mergeCells count="103">
    <mergeCell ref="B59:AI59"/>
    <mergeCell ref="AJ59:BK59"/>
    <mergeCell ref="B56:AI56"/>
    <mergeCell ref="AJ56:BK56"/>
    <mergeCell ref="B57:AI57"/>
    <mergeCell ref="AJ57:BK57"/>
    <mergeCell ref="B58:AI58"/>
    <mergeCell ref="AJ58:BK58"/>
    <mergeCell ref="B52:AI52"/>
    <mergeCell ref="AJ52:BK52"/>
    <mergeCell ref="B53:AI53"/>
    <mergeCell ref="AJ53:BK53"/>
    <mergeCell ref="B54:AI54"/>
    <mergeCell ref="AJ54:BK54"/>
    <mergeCell ref="B55:AI55"/>
    <mergeCell ref="AJ55:BK55"/>
    <mergeCell ref="AO44:BK44"/>
    <mergeCell ref="AF45:BK45"/>
    <mergeCell ref="AP46:BK46"/>
    <mergeCell ref="AP47:BK47"/>
    <mergeCell ref="AP48:BK48"/>
    <mergeCell ref="AP49:BK49"/>
    <mergeCell ref="B39:X39"/>
    <mergeCell ref="Y39:AJ39"/>
    <mergeCell ref="AQ39:BK39"/>
    <mergeCell ref="Q40:AJ40"/>
    <mergeCell ref="AQ40:BK40"/>
    <mergeCell ref="B41:AJ41"/>
    <mergeCell ref="B36:AB36"/>
    <mergeCell ref="AQ36:BK36"/>
    <mergeCell ref="B37:AB37"/>
    <mergeCell ref="AQ37:BK37"/>
    <mergeCell ref="B38:AB38"/>
    <mergeCell ref="AQ38:BK38"/>
    <mergeCell ref="B33:AB33"/>
    <mergeCell ref="AQ33:BK33"/>
    <mergeCell ref="B34:AB34"/>
    <mergeCell ref="AQ34:BK34"/>
    <mergeCell ref="B35:AB35"/>
    <mergeCell ref="AQ35:BK35"/>
    <mergeCell ref="B31:AB31"/>
    <mergeCell ref="AC31:AJ31"/>
    <mergeCell ref="AQ31:BK31"/>
    <mergeCell ref="B32:AB32"/>
    <mergeCell ref="AC32:AJ32"/>
    <mergeCell ref="AQ32:BK32"/>
    <mergeCell ref="B29:AB29"/>
    <mergeCell ref="AC29:AJ29"/>
    <mergeCell ref="AQ29:BK29"/>
    <mergeCell ref="B30:AB30"/>
    <mergeCell ref="AC30:AJ30"/>
    <mergeCell ref="AQ30:BK30"/>
    <mergeCell ref="B28:AB28"/>
    <mergeCell ref="AC28:AJ28"/>
    <mergeCell ref="AQ28:BK28"/>
    <mergeCell ref="B25:AB25"/>
    <mergeCell ref="AC25:AJ25"/>
    <mergeCell ref="AQ25:BK25"/>
    <mergeCell ref="B26:AB26"/>
    <mergeCell ref="AC26:AJ26"/>
    <mergeCell ref="AQ26:BK26"/>
    <mergeCell ref="B18:AB18"/>
    <mergeCell ref="AC18:AJ18"/>
    <mergeCell ref="B19:AB19"/>
    <mergeCell ref="AC19:AJ19"/>
    <mergeCell ref="B15:AJ16"/>
    <mergeCell ref="BA15:BK15"/>
    <mergeCell ref="B27:AB27"/>
    <mergeCell ref="AC27:AJ27"/>
    <mergeCell ref="AQ27:BK27"/>
    <mergeCell ref="B23:AB23"/>
    <mergeCell ref="AC23:AJ23"/>
    <mergeCell ref="AQ23:BK23"/>
    <mergeCell ref="B24:AB24"/>
    <mergeCell ref="AC24:AJ24"/>
    <mergeCell ref="AQ24:BK24"/>
    <mergeCell ref="B20:AB20"/>
    <mergeCell ref="AC20:AJ20"/>
    <mergeCell ref="B21:AB21"/>
    <mergeCell ref="AC21:AJ21"/>
    <mergeCell ref="AQ21:BK21"/>
    <mergeCell ref="B22:AB22"/>
    <mergeCell ref="AC22:AJ22"/>
    <mergeCell ref="AQ22:BK22"/>
    <mergeCell ref="B17:AJ17"/>
    <mergeCell ref="B1:C1"/>
    <mergeCell ref="BH4:BI4"/>
    <mergeCell ref="U5:AM5"/>
    <mergeCell ref="BH5:BI5"/>
    <mergeCell ref="M12:AJ12"/>
    <mergeCell ref="B2:M2"/>
    <mergeCell ref="N2:P2"/>
    <mergeCell ref="M13:AJ13"/>
    <mergeCell ref="M14:AJ14"/>
    <mergeCell ref="BA17:BK17"/>
    <mergeCell ref="B14:K14"/>
    <mergeCell ref="BA16:BK16"/>
    <mergeCell ref="U6:AQ6"/>
    <mergeCell ref="BH6:BI6"/>
    <mergeCell ref="BH7:BI7"/>
    <mergeCell ref="BH8:BI8"/>
    <mergeCell ref="B10:AJ11"/>
    <mergeCell ref="BC12:BK12"/>
  </mergeCells>
  <dataValidations count="1">
    <dataValidation type="whole" showInputMessage="1" showErrorMessage="1" error="Isikan angka, minimal 1 maksimal 25" prompt="Ketik No A2 dan tekan Enter" sqref="N2:P2">
      <formula1>1</formula1>
      <formula2>25</formula2>
    </dataValidation>
  </dataValidations>
  <pageMargins left="0.39370078740157483" right="0.39370078740157483" top="0.78740157480314965" bottom="1.7716535433070868" header="0.39370078740157483" footer="1.1811023622047245"/>
  <pageSetup paperSize="5" scale="90" orientation="portrait" horizontalDpi="4294967293" verticalDpi="0" r:id="rId1"/>
  <drawing r:id="rId2"/>
  <picture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34"/>
  <sheetViews>
    <sheetView showGridLines="0" showRowColHeaders="0" zoomScaleNormal="100" workbookViewId="0">
      <pane xSplit="6" ySplit="34" topLeftCell="XFD35" activePane="bottomRight" state="frozen"/>
      <selection pane="topRight" activeCell="G1" sqref="G1"/>
      <selection pane="bottomLeft" activeCell="A35" sqref="A35"/>
      <selection pane="bottomRight" activeCell="E10" sqref="E10"/>
    </sheetView>
  </sheetViews>
  <sheetFormatPr defaultColWidth="0" defaultRowHeight="12.75" zeroHeight="1"/>
  <cols>
    <col min="1" max="1" width="2.7109375" style="299" customWidth="1"/>
    <col min="2" max="2" width="4.7109375" style="299" customWidth="1"/>
    <col min="3" max="3" width="25.7109375" style="299" customWidth="1"/>
    <col min="4" max="4" width="30.7109375" style="299" customWidth="1"/>
    <col min="5" max="5" width="25.7109375" style="299" customWidth="1"/>
    <col min="6" max="6" width="2.7109375" style="299" customWidth="1"/>
    <col min="7" max="7" width="2.7109375" style="299" hidden="1" customWidth="1"/>
    <col min="8" max="16384" width="9.140625" style="299" hidden="1"/>
  </cols>
  <sheetData>
    <row r="1" spans="2:5"/>
    <row r="2" spans="2:5" s="304" customFormat="1">
      <c r="E2" s="306" t="s">
        <v>771</v>
      </c>
    </row>
    <row r="3" spans="2:5"/>
    <row r="4" spans="2:5" s="300" customFormat="1">
      <c r="B4" s="444" t="str">
        <f>"RENCANA PENGGUNAAN DANA BOS PERIODE "&amp;IF(AND(periode_dari&lt;&gt;"",periode_sampai&lt;&gt;""),UPPER(periode_dari)&amp;" s.d. "&amp;UPPER(periode_sampai),".... s.d. ....")</f>
        <v>RENCANA PENGGUNAAN DANA BOS PERIODE 01 JANUARI 2013 s.d. 31 MARET 2013</v>
      </c>
      <c r="C4" s="444"/>
      <c r="D4" s="444"/>
      <c r="E4" s="444"/>
    </row>
    <row r="5" spans="2:5" s="300" customFormat="1">
      <c r="B5" s="444" t="str">
        <f>"Jumlah siswa: "&amp;jml_siswa&amp;" siswa"</f>
        <v>Jumlah siswa: 48 siswa</v>
      </c>
      <c r="C5" s="444"/>
      <c r="D5" s="444"/>
      <c r="E5" s="444"/>
    </row>
    <row r="6" spans="2:5" s="300" customFormat="1">
      <c r="B6" s="444" t="str">
        <f>"Jumlah Dana BOS: Rp "&amp;jml_siswa*besar_dana</f>
        <v>Jumlah Dana BOS: Rp 6960000</v>
      </c>
      <c r="C6" s="444"/>
      <c r="D6" s="444"/>
      <c r="E6" s="444"/>
    </row>
    <row r="7" spans="2:5"/>
    <row r="8" spans="2:5" ht="13.5" thickBot="1">
      <c r="B8" s="445" t="s">
        <v>767</v>
      </c>
      <c r="C8" s="445"/>
      <c r="D8" s="445"/>
      <c r="E8" s="445"/>
    </row>
    <row r="9" spans="2:5" s="300" customFormat="1" ht="14.25" thickTop="1" thickBot="1">
      <c r="B9" s="301" t="s">
        <v>747</v>
      </c>
      <c r="C9" s="446" t="s">
        <v>768</v>
      </c>
      <c r="D9" s="447"/>
      <c r="E9" s="301" t="s">
        <v>769</v>
      </c>
    </row>
    <row r="10" spans="2:5" ht="13.5" thickTop="1">
      <c r="B10" s="310">
        <v>1</v>
      </c>
      <c r="C10" s="448" t="s">
        <v>772</v>
      </c>
      <c r="D10" s="449"/>
      <c r="E10" s="307">
        <v>100000</v>
      </c>
    </row>
    <row r="11" spans="2:5">
      <c r="B11" s="310">
        <v>2</v>
      </c>
      <c r="C11" s="450" t="s">
        <v>773</v>
      </c>
      <c r="D11" s="443"/>
      <c r="E11" s="308">
        <v>250000</v>
      </c>
    </row>
    <row r="12" spans="2:5">
      <c r="B12" s="310">
        <v>3</v>
      </c>
      <c r="C12" s="442" t="s">
        <v>774</v>
      </c>
      <c r="D12" s="443"/>
      <c r="E12" s="308"/>
    </row>
    <row r="13" spans="2:5">
      <c r="B13" s="310">
        <v>4</v>
      </c>
      <c r="C13" s="442" t="s">
        <v>775</v>
      </c>
      <c r="D13" s="443"/>
      <c r="E13" s="308"/>
    </row>
    <row r="14" spans="2:5">
      <c r="B14" s="310">
        <v>5</v>
      </c>
      <c r="C14" s="442" t="s">
        <v>776</v>
      </c>
      <c r="D14" s="443"/>
      <c r="E14" s="308"/>
    </row>
    <row r="15" spans="2:5">
      <c r="B15" s="310">
        <v>6</v>
      </c>
      <c r="C15" s="442" t="s">
        <v>777</v>
      </c>
      <c r="D15" s="443"/>
      <c r="E15" s="308"/>
    </row>
    <row r="16" spans="2:5">
      <c r="B16" s="310">
        <v>7</v>
      </c>
      <c r="C16" s="442" t="s">
        <v>778</v>
      </c>
      <c r="D16" s="443"/>
      <c r="E16" s="308"/>
    </row>
    <row r="17" spans="2:5">
      <c r="B17" s="310">
        <v>8</v>
      </c>
      <c r="C17" s="442" t="s">
        <v>779</v>
      </c>
      <c r="D17" s="443"/>
      <c r="E17" s="308"/>
    </row>
    <row r="18" spans="2:5">
      <c r="B18" s="310">
        <v>9</v>
      </c>
      <c r="C18" s="442" t="s">
        <v>780</v>
      </c>
      <c r="D18" s="443"/>
      <c r="E18" s="308"/>
    </row>
    <row r="19" spans="2:5">
      <c r="B19" s="310">
        <v>10</v>
      </c>
      <c r="C19" s="442" t="s">
        <v>781</v>
      </c>
      <c r="D19" s="443"/>
      <c r="E19" s="308"/>
    </row>
    <row r="20" spans="2:5">
      <c r="B20" s="310">
        <v>11</v>
      </c>
      <c r="C20" s="442" t="s">
        <v>782</v>
      </c>
      <c r="D20" s="443"/>
      <c r="E20" s="308"/>
    </row>
    <row r="21" spans="2:5">
      <c r="B21" s="310">
        <v>12</v>
      </c>
      <c r="C21" s="442" t="s">
        <v>783</v>
      </c>
      <c r="D21" s="443"/>
      <c r="E21" s="308"/>
    </row>
    <row r="22" spans="2:5">
      <c r="B22" s="310">
        <v>13</v>
      </c>
      <c r="C22" s="442" t="s">
        <v>784</v>
      </c>
      <c r="D22" s="443"/>
      <c r="E22" s="308"/>
    </row>
    <row r="23" spans="2:5" ht="13.5" thickBot="1">
      <c r="B23" s="302"/>
      <c r="C23" s="451"/>
      <c r="D23" s="452"/>
      <c r="E23" s="309"/>
    </row>
    <row r="24" spans="2:5" s="304" customFormat="1" ht="14.25" thickTop="1" thickBot="1">
      <c r="B24" s="303"/>
      <c r="C24" s="446" t="s">
        <v>770</v>
      </c>
      <c r="D24" s="447"/>
      <c r="E24" s="305">
        <f>SUM(E10:E23)</f>
        <v>350000</v>
      </c>
    </row>
    <row r="25" spans="2:5" ht="13.5" thickTop="1"/>
    <row r="26" spans="2:5">
      <c r="C26" s="298" t="s">
        <v>785</v>
      </c>
      <c r="D26" s="298" t="s">
        <v>86</v>
      </c>
      <c r="E26" s="298" t="s">
        <v>145</v>
      </c>
    </row>
    <row r="27" spans="2:5">
      <c r="C27" s="298"/>
      <c r="D27" s="298"/>
      <c r="E27" s="298"/>
    </row>
    <row r="28" spans="2:5">
      <c r="C28" s="298"/>
      <c r="D28" s="298"/>
      <c r="E28" s="298"/>
    </row>
    <row r="29" spans="2:5">
      <c r="C29" s="298"/>
      <c r="D29" s="298"/>
      <c r="E29" s="298"/>
    </row>
    <row r="30" spans="2:5">
      <c r="C30" s="298"/>
      <c r="D30" s="298"/>
      <c r="E30" s="298"/>
    </row>
    <row r="31" spans="2:5">
      <c r="C31" s="298"/>
      <c r="D31" s="298"/>
      <c r="E31" s="298"/>
    </row>
    <row r="32" spans="2:5">
      <c r="C32" s="298" t="str">
        <f>IF(nama_ket_komite&lt;&gt;"",nama_ket_komite,"(..............................)")</f>
        <v>Sumaryo</v>
      </c>
      <c r="D32" s="298" t="str">
        <f>IF(nama_ks&lt;&gt;"",nama_ks,"(.................................)")</f>
        <v>Eko Wahyono, S.Pd., M.M.</v>
      </c>
      <c r="E32" s="298" t="str">
        <f>IF(nama_bend&lt;&gt;"",nama_bend,"(.................................)")</f>
        <v>Mismun, S.Pd.I.</v>
      </c>
    </row>
    <row r="33" spans="3:5">
      <c r="C33" s="298"/>
      <c r="D33" s="298" t="str">
        <f>"NIP "&amp;IF(AND(nama_ks&lt;&gt;"",nip_ks&lt;&gt;""),nip_ks,".............................")</f>
        <v>NIP 19650321 198608 1 001</v>
      </c>
      <c r="E33" s="298" t="str">
        <f>"NIP "&amp;IF(AND(nama_bend&lt;&gt;"",nip_bend&lt;&gt;""),nip_bend,".............................")</f>
        <v>NIP 19540212 198304 1 001</v>
      </c>
    </row>
    <row r="34" spans="3:5"/>
  </sheetData>
  <mergeCells count="20">
    <mergeCell ref="C23:D23"/>
    <mergeCell ref="C24:D24"/>
    <mergeCell ref="C17:D17"/>
    <mergeCell ref="C18:D18"/>
    <mergeCell ref="C19:D19"/>
    <mergeCell ref="C20:D20"/>
    <mergeCell ref="C21:D21"/>
    <mergeCell ref="C22:D22"/>
    <mergeCell ref="C16:D16"/>
    <mergeCell ref="B4:E4"/>
    <mergeCell ref="B5:E5"/>
    <mergeCell ref="B6:E6"/>
    <mergeCell ref="B8:E8"/>
    <mergeCell ref="C9:D9"/>
    <mergeCell ref="C10:D10"/>
    <mergeCell ref="C11:D11"/>
    <mergeCell ref="C12:D12"/>
    <mergeCell ref="C13:D13"/>
    <mergeCell ref="C14:D14"/>
    <mergeCell ref="C15:D15"/>
  </mergeCells>
  <pageMargins left="0.59055118110236227" right="0.59055118110236227" top="0.59055118110236227" bottom="1.3779527559055118" header="0.39370078740157483" footer="0.39370078740157483"/>
  <pageSetup paperSize="5" orientation="portrait" horizontalDpi="4294967293" verticalDpi="0" r:id="rId1"/>
  <drawing r:id="rId2"/>
  <picture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06"/>
  <sheetViews>
    <sheetView showGridLines="0" workbookViewId="0">
      <selection activeCell="D17" sqref="D17:E17"/>
    </sheetView>
  </sheetViews>
  <sheetFormatPr defaultColWidth="0" defaultRowHeight="10.5"/>
  <cols>
    <col min="1" max="2" width="2.7109375" style="64" customWidth="1"/>
    <col min="3" max="3" width="8.7109375" style="64" customWidth="1"/>
    <col min="4" max="5" width="22.7109375" style="64" customWidth="1"/>
    <col min="6" max="7" width="14.7109375" style="64" customWidth="1"/>
    <col min="8" max="8" width="2.7109375" style="64" customWidth="1"/>
    <col min="9" max="9" width="2.7109375" style="64" hidden="1" customWidth="1"/>
    <col min="10" max="16384" width="9.140625" style="64" hidden="1"/>
  </cols>
  <sheetData>
    <row r="2" spans="2:7">
      <c r="G2" s="322" t="s">
        <v>814</v>
      </c>
    </row>
    <row r="4" spans="2:7" s="68" customFormat="1">
      <c r="B4" s="458" t="s">
        <v>809</v>
      </c>
      <c r="C4" s="458"/>
      <c r="D4" s="458"/>
      <c r="E4" s="458"/>
      <c r="F4" s="458"/>
      <c r="G4" s="458"/>
    </row>
    <row r="5" spans="2:7" s="68" customFormat="1">
      <c r="B5" s="458" t="str">
        <f>"PERIODE "&amp;UPPER(periode_dari)&amp;" s.d. "&amp;UPPER(periode_sampai)</f>
        <v>PERIODE 01 JANUARI 2013 s.d. 31 MARET 2013</v>
      </c>
      <c r="C5" s="458"/>
      <c r="D5" s="458"/>
      <c r="E5" s="458"/>
      <c r="F5" s="458"/>
      <c r="G5" s="458"/>
    </row>
    <row r="7" spans="2:7" s="84" customFormat="1" ht="11.25" thickBot="1">
      <c r="B7" s="84" t="s">
        <v>102</v>
      </c>
      <c r="C7" s="459" t="s">
        <v>810</v>
      </c>
      <c r="D7" s="459"/>
      <c r="E7" s="459"/>
      <c r="F7" s="459"/>
      <c r="G7" s="459"/>
    </row>
    <row r="8" spans="2:7" s="291" customFormat="1" ht="22.5" thickTop="1" thickBot="1">
      <c r="C8" s="324" t="s">
        <v>747</v>
      </c>
      <c r="D8" s="460" t="s">
        <v>812</v>
      </c>
      <c r="E8" s="461"/>
      <c r="F8" s="325" t="s">
        <v>817</v>
      </c>
      <c r="G8" s="324" t="s">
        <v>813</v>
      </c>
    </row>
    <row r="9" spans="2:7" s="326" customFormat="1" ht="11.25" thickTop="1">
      <c r="C9" s="327"/>
      <c r="D9" s="462"/>
      <c r="E9" s="463"/>
      <c r="F9" s="27"/>
      <c r="G9" s="296"/>
    </row>
    <row r="10" spans="2:7" s="326" customFormat="1">
      <c r="C10" s="106">
        <v>1</v>
      </c>
      <c r="D10" s="456"/>
      <c r="E10" s="457"/>
      <c r="F10" s="30"/>
      <c r="G10" s="59"/>
    </row>
    <row r="11" spans="2:7" s="326" customFormat="1">
      <c r="C11" s="106"/>
      <c r="D11" s="456"/>
      <c r="E11" s="457"/>
      <c r="F11" s="30">
        <v>40909</v>
      </c>
      <c r="G11" s="59"/>
    </row>
    <row r="12" spans="2:7" s="326" customFormat="1">
      <c r="C12" s="106"/>
      <c r="D12" s="456"/>
      <c r="E12" s="457"/>
      <c r="F12" s="30"/>
      <c r="G12" s="59"/>
    </row>
    <row r="13" spans="2:7" s="326" customFormat="1">
      <c r="C13" s="106"/>
      <c r="D13" s="456"/>
      <c r="E13" s="457"/>
      <c r="F13" s="30"/>
      <c r="G13" s="59"/>
    </row>
    <row r="14" spans="2:7" s="326" customFormat="1">
      <c r="C14" s="106"/>
      <c r="D14" s="456"/>
      <c r="E14" s="457"/>
      <c r="F14" s="30"/>
      <c r="G14" s="59"/>
    </row>
    <row r="15" spans="2:7" s="326" customFormat="1">
      <c r="C15" s="106"/>
      <c r="D15" s="456"/>
      <c r="E15" s="457"/>
      <c r="F15" s="30"/>
      <c r="G15" s="59"/>
    </row>
    <row r="16" spans="2:7" s="326" customFormat="1">
      <c r="C16" s="106"/>
      <c r="D16" s="456"/>
      <c r="E16" s="457"/>
      <c r="F16" s="30"/>
      <c r="G16" s="59"/>
    </row>
    <row r="17" spans="3:7" s="326" customFormat="1">
      <c r="C17" s="106"/>
      <c r="D17" s="456"/>
      <c r="E17" s="457"/>
      <c r="F17" s="30"/>
      <c r="G17" s="59"/>
    </row>
    <row r="18" spans="3:7" s="326" customFormat="1">
      <c r="C18" s="106"/>
      <c r="D18" s="456"/>
      <c r="E18" s="457"/>
      <c r="F18" s="30"/>
      <c r="G18" s="59"/>
    </row>
    <row r="19" spans="3:7" s="326" customFormat="1">
      <c r="C19" s="106"/>
      <c r="D19" s="456"/>
      <c r="E19" s="457"/>
      <c r="F19" s="30"/>
      <c r="G19" s="59"/>
    </row>
    <row r="20" spans="3:7" s="326" customFormat="1">
      <c r="C20" s="106"/>
      <c r="D20" s="456"/>
      <c r="E20" s="457"/>
      <c r="F20" s="30"/>
      <c r="G20" s="59"/>
    </row>
    <row r="21" spans="3:7" s="326" customFormat="1">
      <c r="C21" s="106"/>
      <c r="D21" s="456"/>
      <c r="E21" s="457"/>
      <c r="F21" s="30"/>
      <c r="G21" s="59"/>
    </row>
    <row r="22" spans="3:7" s="326" customFormat="1">
      <c r="C22" s="106"/>
      <c r="D22" s="456"/>
      <c r="E22" s="457"/>
      <c r="F22" s="30"/>
      <c r="G22" s="59"/>
    </row>
    <row r="23" spans="3:7" s="326" customFormat="1">
      <c r="C23" s="106"/>
      <c r="D23" s="456"/>
      <c r="E23" s="457"/>
      <c r="F23" s="30"/>
      <c r="G23" s="59"/>
    </row>
    <row r="24" spans="3:7" s="326" customFormat="1">
      <c r="C24" s="106"/>
      <c r="D24" s="456"/>
      <c r="E24" s="457"/>
      <c r="F24" s="30"/>
      <c r="G24" s="59"/>
    </row>
    <row r="25" spans="3:7" s="326" customFormat="1">
      <c r="C25" s="106"/>
      <c r="D25" s="456"/>
      <c r="E25" s="457"/>
      <c r="F25" s="30"/>
      <c r="G25" s="59"/>
    </row>
    <row r="26" spans="3:7" s="326" customFormat="1">
      <c r="C26" s="106"/>
      <c r="D26" s="456"/>
      <c r="E26" s="457"/>
      <c r="F26" s="30"/>
      <c r="G26" s="59"/>
    </row>
    <row r="27" spans="3:7" s="326" customFormat="1">
      <c r="C27" s="106"/>
      <c r="D27" s="456"/>
      <c r="E27" s="457"/>
      <c r="F27" s="30"/>
      <c r="G27" s="59"/>
    </row>
    <row r="28" spans="3:7" s="326" customFormat="1">
      <c r="C28" s="106"/>
      <c r="D28" s="456"/>
      <c r="E28" s="457"/>
      <c r="F28" s="30"/>
      <c r="G28" s="59"/>
    </row>
    <row r="29" spans="3:7" s="326" customFormat="1">
      <c r="C29" s="106"/>
      <c r="D29" s="456"/>
      <c r="E29" s="457"/>
      <c r="F29" s="30"/>
      <c r="G29" s="59"/>
    </row>
    <row r="30" spans="3:7" s="326" customFormat="1">
      <c r="C30" s="106"/>
      <c r="D30" s="456"/>
      <c r="E30" s="457"/>
      <c r="F30" s="30"/>
      <c r="G30" s="59"/>
    </row>
    <row r="31" spans="3:7" s="326" customFormat="1">
      <c r="C31" s="106"/>
      <c r="D31" s="456"/>
      <c r="E31" s="457"/>
      <c r="F31" s="30"/>
      <c r="G31" s="59"/>
    </row>
    <row r="32" spans="3:7" s="326" customFormat="1">
      <c r="C32" s="106"/>
      <c r="D32" s="456"/>
      <c r="E32" s="457"/>
      <c r="F32" s="30"/>
      <c r="G32" s="59"/>
    </row>
    <row r="33" spans="3:7" s="326" customFormat="1">
      <c r="C33" s="106"/>
      <c r="D33" s="456"/>
      <c r="E33" s="457"/>
      <c r="F33" s="30"/>
      <c r="G33" s="59"/>
    </row>
    <row r="34" spans="3:7" s="326" customFormat="1">
      <c r="C34" s="106"/>
      <c r="D34" s="456"/>
      <c r="E34" s="457"/>
      <c r="F34" s="30"/>
      <c r="G34" s="59"/>
    </row>
    <row r="35" spans="3:7" s="326" customFormat="1">
      <c r="C35" s="106"/>
      <c r="D35" s="456"/>
      <c r="E35" s="457"/>
      <c r="F35" s="30"/>
      <c r="G35" s="59"/>
    </row>
    <row r="36" spans="3:7" s="326" customFormat="1">
      <c r="C36" s="106"/>
      <c r="D36" s="456"/>
      <c r="E36" s="457"/>
      <c r="F36" s="30"/>
      <c r="G36" s="59"/>
    </row>
    <row r="37" spans="3:7" s="326" customFormat="1">
      <c r="C37" s="106"/>
      <c r="D37" s="456"/>
      <c r="E37" s="457"/>
      <c r="F37" s="30"/>
      <c r="G37" s="59"/>
    </row>
    <row r="38" spans="3:7" s="326" customFormat="1">
      <c r="C38" s="106"/>
      <c r="D38" s="456"/>
      <c r="E38" s="457"/>
      <c r="F38" s="30"/>
      <c r="G38" s="59"/>
    </row>
    <row r="39" spans="3:7" s="326" customFormat="1">
      <c r="C39" s="106"/>
      <c r="D39" s="456"/>
      <c r="E39" s="457"/>
      <c r="F39" s="30"/>
      <c r="G39" s="59"/>
    </row>
    <row r="40" spans="3:7" s="326" customFormat="1">
      <c r="C40" s="106"/>
      <c r="D40" s="456"/>
      <c r="E40" s="457"/>
      <c r="F40" s="30"/>
      <c r="G40" s="59"/>
    </row>
    <row r="41" spans="3:7" s="326" customFormat="1">
      <c r="C41" s="106"/>
      <c r="D41" s="456"/>
      <c r="E41" s="457"/>
      <c r="F41" s="30"/>
      <c r="G41" s="59"/>
    </row>
    <row r="42" spans="3:7" s="326" customFormat="1">
      <c r="C42" s="106"/>
      <c r="D42" s="456"/>
      <c r="E42" s="457"/>
      <c r="F42" s="30"/>
      <c r="G42" s="59"/>
    </row>
    <row r="43" spans="3:7" s="326" customFormat="1">
      <c r="C43" s="106"/>
      <c r="D43" s="456"/>
      <c r="E43" s="457"/>
      <c r="F43" s="30"/>
      <c r="G43" s="59"/>
    </row>
    <row r="44" spans="3:7" s="326" customFormat="1">
      <c r="C44" s="106"/>
      <c r="D44" s="456"/>
      <c r="E44" s="457"/>
      <c r="F44" s="30"/>
      <c r="G44" s="59"/>
    </row>
    <row r="45" spans="3:7" s="326" customFormat="1">
      <c r="C45" s="106"/>
      <c r="D45" s="456"/>
      <c r="E45" s="457"/>
      <c r="F45" s="30"/>
      <c r="G45" s="59"/>
    </row>
    <row r="46" spans="3:7" s="326" customFormat="1">
      <c r="C46" s="106"/>
      <c r="D46" s="456"/>
      <c r="E46" s="457"/>
      <c r="F46" s="30"/>
      <c r="G46" s="59"/>
    </row>
    <row r="47" spans="3:7" s="326" customFormat="1">
      <c r="C47" s="106"/>
      <c r="D47" s="456"/>
      <c r="E47" s="457"/>
      <c r="F47" s="30"/>
      <c r="G47" s="59"/>
    </row>
    <row r="48" spans="3:7" s="326" customFormat="1">
      <c r="C48" s="106"/>
      <c r="D48" s="456"/>
      <c r="E48" s="457"/>
      <c r="F48" s="30"/>
      <c r="G48" s="59"/>
    </row>
    <row r="49" spans="3:7" s="326" customFormat="1">
      <c r="C49" s="106"/>
      <c r="D49" s="456"/>
      <c r="E49" s="457"/>
      <c r="F49" s="30"/>
      <c r="G49" s="59"/>
    </row>
    <row r="50" spans="3:7" s="326" customFormat="1">
      <c r="C50" s="106"/>
      <c r="D50" s="456"/>
      <c r="E50" s="457"/>
      <c r="F50" s="30"/>
      <c r="G50" s="59"/>
    </row>
    <row r="51" spans="3:7" s="326" customFormat="1">
      <c r="C51" s="106"/>
      <c r="D51" s="456"/>
      <c r="E51" s="457"/>
      <c r="F51" s="30"/>
      <c r="G51" s="59"/>
    </row>
    <row r="52" spans="3:7" s="326" customFormat="1">
      <c r="C52" s="106"/>
      <c r="D52" s="456"/>
      <c r="E52" s="457"/>
      <c r="F52" s="30"/>
      <c r="G52" s="59"/>
    </row>
    <row r="53" spans="3:7" s="326" customFormat="1">
      <c r="C53" s="106"/>
      <c r="D53" s="456"/>
      <c r="E53" s="457"/>
      <c r="F53" s="30"/>
      <c r="G53" s="59"/>
    </row>
    <row r="54" spans="3:7" s="326" customFormat="1">
      <c r="C54" s="106"/>
      <c r="D54" s="456"/>
      <c r="E54" s="457"/>
      <c r="F54" s="30"/>
      <c r="G54" s="59"/>
    </row>
    <row r="55" spans="3:7" s="326" customFormat="1">
      <c r="C55" s="106"/>
      <c r="D55" s="456"/>
      <c r="E55" s="457"/>
      <c r="F55" s="30"/>
      <c r="G55" s="59"/>
    </row>
    <row r="56" spans="3:7" s="326" customFormat="1">
      <c r="C56" s="106"/>
      <c r="D56" s="456"/>
      <c r="E56" s="457"/>
      <c r="F56" s="30"/>
      <c r="G56" s="59"/>
    </row>
    <row r="57" spans="3:7" s="326" customFormat="1">
      <c r="C57" s="106"/>
      <c r="D57" s="456"/>
      <c r="E57" s="457"/>
      <c r="F57" s="30"/>
      <c r="G57" s="59"/>
    </row>
    <row r="58" spans="3:7" s="326" customFormat="1">
      <c r="C58" s="106"/>
      <c r="D58" s="456"/>
      <c r="E58" s="457"/>
      <c r="F58" s="30"/>
      <c r="G58" s="59"/>
    </row>
    <row r="59" spans="3:7" s="326" customFormat="1">
      <c r="C59" s="106"/>
      <c r="D59" s="456"/>
      <c r="E59" s="457"/>
      <c r="F59" s="30"/>
      <c r="G59" s="59"/>
    </row>
    <row r="60" spans="3:7" s="326" customFormat="1">
      <c r="C60" s="106"/>
      <c r="D60" s="456"/>
      <c r="E60" s="457"/>
      <c r="F60" s="30"/>
      <c r="G60" s="59"/>
    </row>
    <row r="61" spans="3:7" s="326" customFormat="1">
      <c r="C61" s="106"/>
      <c r="D61" s="456"/>
      <c r="E61" s="457"/>
      <c r="F61" s="30"/>
      <c r="G61" s="59"/>
    </row>
    <row r="62" spans="3:7" s="326" customFormat="1">
      <c r="C62" s="106"/>
      <c r="D62" s="456"/>
      <c r="E62" s="457"/>
      <c r="F62" s="30"/>
      <c r="G62" s="59"/>
    </row>
    <row r="63" spans="3:7" s="326" customFormat="1">
      <c r="C63" s="106"/>
      <c r="D63" s="456"/>
      <c r="E63" s="457"/>
      <c r="F63" s="30"/>
      <c r="G63" s="59"/>
    </row>
    <row r="64" spans="3:7" s="326" customFormat="1">
      <c r="C64" s="106"/>
      <c r="D64" s="456"/>
      <c r="E64" s="457"/>
      <c r="F64" s="30"/>
      <c r="G64" s="59"/>
    </row>
    <row r="65" spans="3:7" s="326" customFormat="1">
      <c r="C65" s="106"/>
      <c r="D65" s="456"/>
      <c r="E65" s="457"/>
      <c r="F65" s="30"/>
      <c r="G65" s="59"/>
    </row>
    <row r="66" spans="3:7" s="326" customFormat="1">
      <c r="C66" s="106"/>
      <c r="D66" s="456"/>
      <c r="E66" s="457"/>
      <c r="F66" s="30"/>
      <c r="G66" s="59"/>
    </row>
    <row r="67" spans="3:7" s="326" customFormat="1">
      <c r="C67" s="106"/>
      <c r="D67" s="456"/>
      <c r="E67" s="457"/>
      <c r="F67" s="30"/>
      <c r="G67" s="59"/>
    </row>
    <row r="68" spans="3:7" s="326" customFormat="1">
      <c r="C68" s="106"/>
      <c r="D68" s="456"/>
      <c r="E68" s="457"/>
      <c r="F68" s="30"/>
      <c r="G68" s="59"/>
    </row>
    <row r="69" spans="3:7" s="326" customFormat="1">
      <c r="C69" s="106"/>
      <c r="D69" s="456"/>
      <c r="E69" s="457"/>
      <c r="F69" s="30"/>
      <c r="G69" s="59"/>
    </row>
    <row r="70" spans="3:7" s="326" customFormat="1">
      <c r="C70" s="106"/>
      <c r="D70" s="456"/>
      <c r="E70" s="457"/>
      <c r="F70" s="30"/>
      <c r="G70" s="59"/>
    </row>
    <row r="71" spans="3:7" s="326" customFormat="1">
      <c r="C71" s="106"/>
      <c r="D71" s="456"/>
      <c r="E71" s="457"/>
      <c r="F71" s="30"/>
      <c r="G71" s="59"/>
    </row>
    <row r="72" spans="3:7" s="326" customFormat="1">
      <c r="C72" s="106"/>
      <c r="D72" s="456"/>
      <c r="E72" s="457"/>
      <c r="F72" s="30"/>
      <c r="G72" s="59"/>
    </row>
    <row r="73" spans="3:7" s="326" customFormat="1">
      <c r="C73" s="106"/>
      <c r="D73" s="456"/>
      <c r="E73" s="457"/>
      <c r="F73" s="30"/>
      <c r="G73" s="59"/>
    </row>
    <row r="74" spans="3:7" s="326" customFormat="1">
      <c r="C74" s="106"/>
      <c r="D74" s="456"/>
      <c r="E74" s="457"/>
      <c r="F74" s="30"/>
      <c r="G74" s="59"/>
    </row>
    <row r="75" spans="3:7" s="326" customFormat="1">
      <c r="C75" s="106"/>
      <c r="D75" s="456"/>
      <c r="E75" s="457"/>
      <c r="F75" s="30"/>
      <c r="G75" s="59"/>
    </row>
    <row r="76" spans="3:7" s="326" customFormat="1">
      <c r="C76" s="106"/>
      <c r="D76" s="456"/>
      <c r="E76" s="457"/>
      <c r="F76" s="30"/>
      <c r="G76" s="59"/>
    </row>
    <row r="77" spans="3:7" s="326" customFormat="1">
      <c r="C77" s="106"/>
      <c r="D77" s="456"/>
      <c r="E77" s="457"/>
      <c r="F77" s="30"/>
      <c r="G77" s="59"/>
    </row>
    <row r="78" spans="3:7" s="326" customFormat="1">
      <c r="C78" s="106"/>
      <c r="D78" s="456"/>
      <c r="E78" s="457"/>
      <c r="F78" s="30"/>
      <c r="G78" s="59"/>
    </row>
    <row r="79" spans="3:7" s="326" customFormat="1">
      <c r="C79" s="106"/>
      <c r="D79" s="456"/>
      <c r="E79" s="457"/>
      <c r="F79" s="30"/>
      <c r="G79" s="59"/>
    </row>
    <row r="80" spans="3:7" s="326" customFormat="1">
      <c r="C80" s="106"/>
      <c r="D80" s="456"/>
      <c r="E80" s="457"/>
      <c r="F80" s="30"/>
      <c r="G80" s="59"/>
    </row>
    <row r="82" spans="2:7" s="84" customFormat="1" ht="11.25" thickBot="1">
      <c r="B82" s="84" t="s">
        <v>105</v>
      </c>
      <c r="C82" s="459" t="s">
        <v>811</v>
      </c>
      <c r="D82" s="459"/>
      <c r="E82" s="459"/>
      <c r="F82" s="459"/>
      <c r="G82" s="459"/>
    </row>
    <row r="83" spans="2:7" s="291" customFormat="1" ht="22.5" thickTop="1" thickBot="1">
      <c r="C83" s="324" t="s">
        <v>747</v>
      </c>
      <c r="D83" s="325" t="s">
        <v>815</v>
      </c>
      <c r="E83" s="325" t="s">
        <v>816</v>
      </c>
      <c r="F83" s="325" t="s">
        <v>817</v>
      </c>
      <c r="G83" s="324" t="s">
        <v>813</v>
      </c>
    </row>
    <row r="84" spans="2:7" s="326" customFormat="1" ht="11.25" thickTop="1">
      <c r="C84" s="327"/>
      <c r="D84" s="28"/>
      <c r="E84" s="28"/>
      <c r="F84" s="27"/>
      <c r="G84" s="296">
        <v>10000000</v>
      </c>
    </row>
    <row r="85" spans="2:7" s="326" customFormat="1">
      <c r="C85" s="106"/>
      <c r="D85" s="31"/>
      <c r="E85" s="31"/>
      <c r="F85" s="30"/>
      <c r="G85" s="59"/>
    </row>
    <row r="86" spans="2:7" s="326" customFormat="1">
      <c r="C86" s="106"/>
      <c r="D86" s="31"/>
      <c r="E86" s="31"/>
      <c r="F86" s="30"/>
      <c r="G86" s="59"/>
    </row>
    <row r="87" spans="2:7" s="326" customFormat="1">
      <c r="C87" s="106"/>
      <c r="D87" s="31"/>
      <c r="E87" s="31"/>
      <c r="F87" s="30"/>
      <c r="G87" s="59"/>
    </row>
    <row r="88" spans="2:7" s="326" customFormat="1">
      <c r="C88" s="106"/>
      <c r="D88" s="31"/>
      <c r="E88" s="31"/>
      <c r="F88" s="30"/>
      <c r="G88" s="59"/>
    </row>
    <row r="89" spans="2:7" s="326" customFormat="1">
      <c r="C89" s="106"/>
      <c r="D89" s="31"/>
      <c r="E89" s="31"/>
      <c r="F89" s="30"/>
      <c r="G89" s="59"/>
    </row>
    <row r="90" spans="2:7" s="326" customFormat="1">
      <c r="C90" s="106"/>
      <c r="D90" s="31"/>
      <c r="E90" s="31"/>
      <c r="F90" s="30"/>
      <c r="G90" s="59"/>
    </row>
    <row r="91" spans="2:7" s="326" customFormat="1">
      <c r="C91" s="106"/>
      <c r="D91" s="31"/>
      <c r="E91" s="31"/>
      <c r="F91" s="30"/>
      <c r="G91" s="59"/>
    </row>
    <row r="92" spans="2:7" s="326" customFormat="1">
      <c r="C92" s="106"/>
      <c r="D92" s="31"/>
      <c r="E92" s="31"/>
      <c r="F92" s="30"/>
      <c r="G92" s="59"/>
    </row>
    <row r="93" spans="2:7" s="326" customFormat="1">
      <c r="C93" s="106"/>
      <c r="D93" s="31"/>
      <c r="E93" s="31"/>
      <c r="F93" s="30"/>
      <c r="G93" s="59"/>
    </row>
    <row r="94" spans="2:7" s="326" customFormat="1">
      <c r="C94" s="106"/>
      <c r="D94" s="31"/>
      <c r="E94" s="31"/>
      <c r="F94" s="30"/>
      <c r="G94" s="59"/>
    </row>
    <row r="95" spans="2:7" s="326" customFormat="1">
      <c r="C95" s="106"/>
      <c r="D95" s="31"/>
      <c r="E95" s="31"/>
      <c r="F95" s="30"/>
      <c r="G95" s="59"/>
    </row>
    <row r="96" spans="2:7" s="326" customFormat="1">
      <c r="C96" s="106"/>
      <c r="D96" s="31"/>
      <c r="E96" s="31"/>
      <c r="F96" s="30"/>
      <c r="G96" s="59"/>
    </row>
    <row r="97" spans="3:7" s="326" customFormat="1">
      <c r="C97" s="106"/>
      <c r="D97" s="31"/>
      <c r="E97" s="31"/>
      <c r="F97" s="30"/>
      <c r="G97" s="59"/>
    </row>
    <row r="98" spans="3:7" s="326" customFormat="1">
      <c r="C98" s="106"/>
      <c r="D98" s="31"/>
      <c r="E98" s="31"/>
      <c r="F98" s="30"/>
      <c r="G98" s="59"/>
    </row>
    <row r="99" spans="3:7" s="326" customFormat="1">
      <c r="C99" s="106"/>
      <c r="D99" s="31"/>
      <c r="E99" s="31"/>
      <c r="F99" s="30"/>
      <c r="G99" s="59"/>
    </row>
    <row r="100" spans="3:7" s="326" customFormat="1">
      <c r="C100" s="106"/>
      <c r="D100" s="31"/>
      <c r="E100" s="31"/>
      <c r="F100" s="30"/>
      <c r="G100" s="59"/>
    </row>
    <row r="101" spans="3:7" s="326" customFormat="1">
      <c r="C101" s="106"/>
      <c r="D101" s="31"/>
      <c r="E101" s="31"/>
      <c r="F101" s="30"/>
      <c r="G101" s="59"/>
    </row>
    <row r="102" spans="3:7" s="326" customFormat="1">
      <c r="C102" s="106"/>
      <c r="D102" s="31"/>
      <c r="E102" s="31"/>
      <c r="F102" s="30"/>
      <c r="G102" s="59"/>
    </row>
    <row r="103" spans="3:7" s="326" customFormat="1">
      <c r="C103" s="106"/>
      <c r="D103" s="31"/>
      <c r="E103" s="31"/>
      <c r="F103" s="30"/>
      <c r="G103" s="59"/>
    </row>
    <row r="104" spans="3:7" s="326" customFormat="1">
      <c r="C104" s="106"/>
      <c r="D104" s="31"/>
      <c r="E104" s="31"/>
      <c r="F104" s="30"/>
      <c r="G104" s="59"/>
    </row>
    <row r="105" spans="3:7" s="326" customFormat="1">
      <c r="C105" s="106"/>
      <c r="D105" s="31"/>
      <c r="E105" s="31"/>
      <c r="F105" s="30"/>
      <c r="G105" s="59"/>
    </row>
    <row r="106" spans="3:7" s="326" customFormat="1">
      <c r="C106" s="106"/>
      <c r="D106" s="31"/>
      <c r="E106" s="31"/>
      <c r="F106" s="30"/>
      <c r="G106" s="59"/>
    </row>
    <row r="107" spans="3:7" s="326" customFormat="1">
      <c r="C107" s="106"/>
      <c r="D107" s="31"/>
      <c r="E107" s="31"/>
      <c r="F107" s="30"/>
      <c r="G107" s="59"/>
    </row>
    <row r="108" spans="3:7" s="326" customFormat="1">
      <c r="C108" s="106"/>
      <c r="D108" s="31"/>
      <c r="E108" s="31"/>
      <c r="F108" s="30"/>
      <c r="G108" s="59"/>
    </row>
    <row r="109" spans="3:7" s="326" customFormat="1">
      <c r="C109" s="106"/>
      <c r="D109" s="31"/>
      <c r="E109" s="31"/>
      <c r="F109" s="30"/>
      <c r="G109" s="59"/>
    </row>
    <row r="110" spans="3:7" s="326" customFormat="1">
      <c r="C110" s="106"/>
      <c r="D110" s="31"/>
      <c r="E110" s="31"/>
      <c r="F110" s="30"/>
      <c r="G110" s="59"/>
    </row>
    <row r="111" spans="3:7" s="326" customFormat="1">
      <c r="C111" s="106"/>
      <c r="D111" s="31"/>
      <c r="E111" s="31"/>
      <c r="F111" s="30"/>
      <c r="G111" s="59"/>
    </row>
    <row r="112" spans="3:7" s="326" customFormat="1">
      <c r="C112" s="106"/>
      <c r="D112" s="31"/>
      <c r="E112" s="31"/>
      <c r="F112" s="30"/>
      <c r="G112" s="59"/>
    </row>
    <row r="113" spans="3:7" s="326" customFormat="1">
      <c r="C113" s="106"/>
      <c r="D113" s="31"/>
      <c r="E113" s="31"/>
      <c r="F113" s="30"/>
      <c r="G113" s="59"/>
    </row>
    <row r="114" spans="3:7" s="326" customFormat="1">
      <c r="C114" s="106"/>
      <c r="D114" s="31"/>
      <c r="E114" s="31"/>
      <c r="F114" s="30"/>
      <c r="G114" s="59"/>
    </row>
    <row r="115" spans="3:7" s="326" customFormat="1">
      <c r="C115" s="106"/>
      <c r="D115" s="31"/>
      <c r="E115" s="31"/>
      <c r="F115" s="30"/>
      <c r="G115" s="59"/>
    </row>
    <row r="116" spans="3:7" s="326" customFormat="1">
      <c r="C116" s="106"/>
      <c r="D116" s="31"/>
      <c r="E116" s="31"/>
      <c r="F116" s="30"/>
      <c r="G116" s="59"/>
    </row>
    <row r="117" spans="3:7" s="326" customFormat="1">
      <c r="C117" s="106"/>
      <c r="D117" s="31"/>
      <c r="E117" s="31"/>
      <c r="F117" s="30"/>
      <c r="G117" s="59"/>
    </row>
    <row r="118" spans="3:7" s="326" customFormat="1">
      <c r="C118" s="106"/>
      <c r="D118" s="31"/>
      <c r="E118" s="31"/>
      <c r="F118" s="30"/>
      <c r="G118" s="59"/>
    </row>
    <row r="119" spans="3:7" s="326" customFormat="1">
      <c r="C119" s="106"/>
      <c r="D119" s="31"/>
      <c r="E119" s="31"/>
      <c r="F119" s="30"/>
      <c r="G119" s="59"/>
    </row>
    <row r="120" spans="3:7" s="326" customFormat="1">
      <c r="C120" s="106"/>
      <c r="D120" s="31"/>
      <c r="E120" s="31"/>
      <c r="F120" s="30"/>
      <c r="G120" s="59"/>
    </row>
    <row r="121" spans="3:7" s="326" customFormat="1">
      <c r="C121" s="106"/>
      <c r="D121" s="31"/>
      <c r="E121" s="31"/>
      <c r="F121" s="30"/>
      <c r="G121" s="59"/>
    </row>
    <row r="122" spans="3:7" s="326" customFormat="1">
      <c r="C122" s="106"/>
      <c r="D122" s="31"/>
      <c r="E122" s="31"/>
      <c r="F122" s="30"/>
      <c r="G122" s="59"/>
    </row>
    <row r="123" spans="3:7" s="326" customFormat="1">
      <c r="C123" s="106"/>
      <c r="D123" s="31"/>
      <c r="E123" s="31"/>
      <c r="F123" s="30"/>
      <c r="G123" s="59"/>
    </row>
    <row r="124" spans="3:7" s="326" customFormat="1">
      <c r="C124" s="106"/>
      <c r="D124" s="31"/>
      <c r="E124" s="31"/>
      <c r="F124" s="30"/>
      <c r="G124" s="59"/>
    </row>
    <row r="125" spans="3:7" s="326" customFormat="1">
      <c r="C125" s="106"/>
      <c r="D125" s="31"/>
      <c r="E125" s="31"/>
      <c r="F125" s="30"/>
      <c r="G125" s="59"/>
    </row>
    <row r="126" spans="3:7" s="326" customFormat="1">
      <c r="C126" s="106"/>
      <c r="D126" s="31"/>
      <c r="E126" s="31"/>
      <c r="F126" s="30"/>
      <c r="G126" s="59"/>
    </row>
    <row r="127" spans="3:7" s="326" customFormat="1">
      <c r="C127" s="106"/>
      <c r="D127" s="31"/>
      <c r="E127" s="31"/>
      <c r="F127" s="30"/>
      <c r="G127" s="59"/>
    </row>
    <row r="128" spans="3:7" s="326" customFormat="1">
      <c r="C128" s="106"/>
      <c r="D128" s="31"/>
      <c r="E128" s="31"/>
      <c r="F128" s="30"/>
      <c r="G128" s="59"/>
    </row>
    <row r="129" spans="3:7" s="326" customFormat="1">
      <c r="C129" s="106"/>
      <c r="D129" s="31"/>
      <c r="E129" s="31"/>
      <c r="F129" s="30"/>
      <c r="G129" s="59"/>
    </row>
    <row r="130" spans="3:7" s="326" customFormat="1">
      <c r="C130" s="106"/>
      <c r="D130" s="31"/>
      <c r="E130" s="31"/>
      <c r="F130" s="30"/>
      <c r="G130" s="59"/>
    </row>
    <row r="131" spans="3:7" s="326" customFormat="1">
      <c r="C131" s="106"/>
      <c r="D131" s="31"/>
      <c r="E131" s="31"/>
      <c r="F131" s="30"/>
      <c r="G131" s="59"/>
    </row>
    <row r="132" spans="3:7" s="326" customFormat="1">
      <c r="C132" s="106"/>
      <c r="D132" s="31"/>
      <c r="E132" s="31"/>
      <c r="F132" s="30"/>
      <c r="G132" s="59"/>
    </row>
    <row r="133" spans="3:7" s="326" customFormat="1">
      <c r="C133" s="106"/>
      <c r="D133" s="31"/>
      <c r="E133" s="31"/>
      <c r="F133" s="30"/>
      <c r="G133" s="59"/>
    </row>
    <row r="134" spans="3:7" s="326" customFormat="1">
      <c r="C134" s="106"/>
      <c r="D134" s="31"/>
      <c r="E134" s="31"/>
      <c r="F134" s="30"/>
      <c r="G134" s="59"/>
    </row>
    <row r="135" spans="3:7" s="326" customFormat="1">
      <c r="C135" s="106"/>
      <c r="D135" s="31"/>
      <c r="E135" s="31"/>
      <c r="F135" s="30"/>
      <c r="G135" s="59"/>
    </row>
    <row r="136" spans="3:7" s="326" customFormat="1">
      <c r="C136" s="106"/>
      <c r="D136" s="31"/>
      <c r="E136" s="31"/>
      <c r="F136" s="30"/>
      <c r="G136" s="59"/>
    </row>
    <row r="137" spans="3:7" s="326" customFormat="1">
      <c r="C137" s="106"/>
      <c r="D137" s="31"/>
      <c r="E137" s="31"/>
      <c r="F137" s="30"/>
      <c r="G137" s="59"/>
    </row>
    <row r="138" spans="3:7" s="326" customFormat="1">
      <c r="C138" s="106"/>
      <c r="D138" s="31"/>
      <c r="E138" s="31"/>
      <c r="F138" s="30"/>
      <c r="G138" s="59"/>
    </row>
    <row r="139" spans="3:7" s="326" customFormat="1">
      <c r="C139" s="106"/>
      <c r="D139" s="31"/>
      <c r="E139" s="31"/>
      <c r="F139" s="30"/>
      <c r="G139" s="59"/>
    </row>
    <row r="140" spans="3:7" s="326" customFormat="1">
      <c r="C140" s="106"/>
      <c r="D140" s="31"/>
      <c r="E140" s="31"/>
      <c r="F140" s="30"/>
      <c r="G140" s="59"/>
    </row>
    <row r="141" spans="3:7" s="326" customFormat="1">
      <c r="C141" s="106"/>
      <c r="D141" s="31"/>
      <c r="E141" s="31"/>
      <c r="F141" s="30"/>
      <c r="G141" s="59"/>
    </row>
    <row r="142" spans="3:7" s="326" customFormat="1">
      <c r="C142" s="106"/>
      <c r="D142" s="31"/>
      <c r="E142" s="31"/>
      <c r="F142" s="30"/>
      <c r="G142" s="59"/>
    </row>
    <row r="143" spans="3:7" s="326" customFormat="1">
      <c r="C143" s="106"/>
      <c r="D143" s="31"/>
      <c r="E143" s="31"/>
      <c r="F143" s="30"/>
      <c r="G143" s="59"/>
    </row>
    <row r="144" spans="3:7" s="326" customFormat="1">
      <c r="C144" s="106"/>
      <c r="D144" s="31"/>
      <c r="E144" s="31"/>
      <c r="F144" s="30"/>
      <c r="G144" s="59"/>
    </row>
    <row r="145" spans="3:7" s="326" customFormat="1">
      <c r="C145" s="106"/>
      <c r="D145" s="31"/>
      <c r="E145" s="31"/>
      <c r="F145" s="30"/>
      <c r="G145" s="59"/>
    </row>
    <row r="146" spans="3:7" s="326" customFormat="1">
      <c r="C146" s="106"/>
      <c r="D146" s="31"/>
      <c r="E146" s="31"/>
      <c r="F146" s="30"/>
      <c r="G146" s="59"/>
    </row>
    <row r="147" spans="3:7" s="326" customFormat="1">
      <c r="C147" s="106"/>
      <c r="D147" s="31"/>
      <c r="E147" s="31"/>
      <c r="F147" s="30"/>
      <c r="G147" s="59"/>
    </row>
    <row r="148" spans="3:7" s="326" customFormat="1">
      <c r="C148" s="106"/>
      <c r="D148" s="31"/>
      <c r="E148" s="31"/>
      <c r="F148" s="30"/>
      <c r="G148" s="59"/>
    </row>
    <row r="149" spans="3:7" s="326" customFormat="1">
      <c r="C149" s="106"/>
      <c r="D149" s="31"/>
      <c r="E149" s="31"/>
      <c r="F149" s="30"/>
      <c r="G149" s="59"/>
    </row>
    <row r="150" spans="3:7" s="326" customFormat="1">
      <c r="C150" s="106"/>
      <c r="D150" s="31"/>
      <c r="E150" s="31"/>
      <c r="F150" s="30"/>
      <c r="G150" s="59"/>
    </row>
    <row r="151" spans="3:7" s="326" customFormat="1">
      <c r="C151" s="106"/>
      <c r="D151" s="31"/>
      <c r="E151" s="31"/>
      <c r="F151" s="30"/>
      <c r="G151" s="59"/>
    </row>
    <row r="152" spans="3:7" s="326" customFormat="1">
      <c r="C152" s="106"/>
      <c r="D152" s="31"/>
      <c r="E152" s="31"/>
      <c r="F152" s="30"/>
      <c r="G152" s="59"/>
    </row>
    <row r="153" spans="3:7" s="326" customFormat="1">
      <c r="C153" s="106"/>
      <c r="D153" s="31"/>
      <c r="E153" s="31"/>
      <c r="F153" s="30"/>
      <c r="G153" s="59"/>
    </row>
    <row r="154" spans="3:7" s="326" customFormat="1">
      <c r="C154" s="106"/>
      <c r="D154" s="31"/>
      <c r="E154" s="31"/>
      <c r="F154" s="30"/>
      <c r="G154" s="59"/>
    </row>
    <row r="155" spans="3:7" s="326" customFormat="1">
      <c r="C155" s="106"/>
      <c r="D155" s="31"/>
      <c r="E155" s="31"/>
      <c r="F155" s="30"/>
      <c r="G155" s="59"/>
    </row>
    <row r="156" spans="3:7" s="326" customFormat="1">
      <c r="C156" s="106"/>
      <c r="D156" s="31"/>
      <c r="E156" s="31"/>
      <c r="F156" s="30"/>
      <c r="G156" s="59"/>
    </row>
    <row r="157" spans="3:7" s="326" customFormat="1">
      <c r="C157" s="106"/>
      <c r="D157" s="31"/>
      <c r="E157" s="31"/>
      <c r="F157" s="30"/>
      <c r="G157" s="59"/>
    </row>
    <row r="158" spans="3:7" s="326" customFormat="1">
      <c r="C158" s="106"/>
      <c r="D158" s="31"/>
      <c r="E158" s="31"/>
      <c r="F158" s="30"/>
      <c r="G158" s="59"/>
    </row>
    <row r="159" spans="3:7" s="326" customFormat="1">
      <c r="C159" s="106"/>
      <c r="D159" s="31"/>
      <c r="E159" s="31"/>
      <c r="F159" s="30"/>
      <c r="G159" s="59"/>
    </row>
    <row r="160" spans="3:7" s="326" customFormat="1">
      <c r="C160" s="106"/>
      <c r="D160" s="31"/>
      <c r="E160" s="31"/>
      <c r="F160" s="30"/>
      <c r="G160" s="59"/>
    </row>
    <row r="161" spans="3:7" s="326" customFormat="1">
      <c r="C161" s="106"/>
      <c r="D161" s="31"/>
      <c r="E161" s="31"/>
      <c r="F161" s="30"/>
      <c r="G161" s="59"/>
    </row>
    <row r="162" spans="3:7" s="326" customFormat="1">
      <c r="C162" s="106"/>
      <c r="D162" s="31"/>
      <c r="E162" s="31"/>
      <c r="F162" s="30"/>
      <c r="G162" s="59"/>
    </row>
    <row r="163" spans="3:7" s="326" customFormat="1">
      <c r="C163" s="106"/>
      <c r="D163" s="31"/>
      <c r="E163" s="31"/>
      <c r="F163" s="30"/>
      <c r="G163" s="59"/>
    </row>
    <row r="164" spans="3:7" s="326" customFormat="1">
      <c r="C164" s="106"/>
      <c r="D164" s="31"/>
      <c r="E164" s="31"/>
      <c r="F164" s="30"/>
      <c r="G164" s="59"/>
    </row>
    <row r="165" spans="3:7" s="326" customFormat="1">
      <c r="C165" s="106"/>
      <c r="D165" s="31"/>
      <c r="E165" s="31"/>
      <c r="F165" s="30"/>
      <c r="G165" s="59"/>
    </row>
    <row r="166" spans="3:7" s="326" customFormat="1">
      <c r="C166" s="106"/>
      <c r="D166" s="31"/>
      <c r="E166" s="31"/>
      <c r="F166" s="30"/>
      <c r="G166" s="59"/>
    </row>
    <row r="167" spans="3:7" s="326" customFormat="1">
      <c r="C167" s="106"/>
      <c r="D167" s="31"/>
      <c r="E167" s="31"/>
      <c r="F167" s="30"/>
      <c r="G167" s="59"/>
    </row>
    <row r="168" spans="3:7" s="326" customFormat="1">
      <c r="C168" s="106"/>
      <c r="D168" s="31"/>
      <c r="E168" s="31"/>
      <c r="F168" s="30"/>
      <c r="G168" s="59"/>
    </row>
    <row r="169" spans="3:7" s="326" customFormat="1">
      <c r="C169" s="106"/>
      <c r="D169" s="31"/>
      <c r="E169" s="31"/>
      <c r="F169" s="30"/>
      <c r="G169" s="59"/>
    </row>
    <row r="170" spans="3:7" s="326" customFormat="1">
      <c r="C170" s="106"/>
      <c r="D170" s="31"/>
      <c r="E170" s="31"/>
      <c r="F170" s="30"/>
      <c r="G170" s="59"/>
    </row>
    <row r="171" spans="3:7" s="326" customFormat="1">
      <c r="C171" s="106"/>
      <c r="D171" s="31"/>
      <c r="E171" s="31"/>
      <c r="F171" s="30"/>
      <c r="G171" s="59"/>
    </row>
    <row r="172" spans="3:7" s="326" customFormat="1">
      <c r="C172" s="106"/>
      <c r="D172" s="31"/>
      <c r="E172" s="31"/>
      <c r="F172" s="30"/>
      <c r="G172" s="59"/>
    </row>
    <row r="173" spans="3:7" s="326" customFormat="1">
      <c r="C173" s="106"/>
      <c r="D173" s="31"/>
      <c r="E173" s="31"/>
      <c r="F173" s="30"/>
      <c r="G173" s="59"/>
    </row>
    <row r="174" spans="3:7" s="326" customFormat="1">
      <c r="C174" s="106"/>
      <c r="D174" s="31"/>
      <c r="E174" s="31"/>
      <c r="F174" s="30"/>
      <c r="G174" s="59"/>
    </row>
    <row r="175" spans="3:7" s="326" customFormat="1">
      <c r="C175" s="106"/>
      <c r="D175" s="31"/>
      <c r="E175" s="31"/>
      <c r="F175" s="30"/>
      <c r="G175" s="59"/>
    </row>
    <row r="176" spans="3:7" s="326" customFormat="1">
      <c r="C176" s="106"/>
      <c r="D176" s="31"/>
      <c r="E176" s="31"/>
      <c r="F176" s="30"/>
      <c r="G176" s="59"/>
    </row>
    <row r="177" spans="3:7" s="326" customFormat="1">
      <c r="C177" s="106"/>
      <c r="D177" s="31"/>
      <c r="E177" s="31"/>
      <c r="F177" s="30"/>
      <c r="G177" s="59"/>
    </row>
    <row r="178" spans="3:7" s="326" customFormat="1">
      <c r="C178" s="106"/>
      <c r="D178" s="31"/>
      <c r="E178" s="31"/>
      <c r="F178" s="30"/>
      <c r="G178" s="59"/>
    </row>
    <row r="179" spans="3:7" s="326" customFormat="1">
      <c r="C179" s="106"/>
      <c r="D179" s="31"/>
      <c r="E179" s="31"/>
      <c r="F179" s="30"/>
      <c r="G179" s="59"/>
    </row>
    <row r="180" spans="3:7" s="326" customFormat="1">
      <c r="C180" s="106"/>
      <c r="D180" s="31"/>
      <c r="E180" s="31"/>
      <c r="F180" s="30"/>
      <c r="G180" s="59"/>
    </row>
    <row r="181" spans="3:7" s="326" customFormat="1">
      <c r="C181" s="106"/>
      <c r="D181" s="31"/>
      <c r="E181" s="31"/>
      <c r="F181" s="30"/>
      <c r="G181" s="59"/>
    </row>
    <row r="182" spans="3:7" s="326" customFormat="1">
      <c r="C182" s="106"/>
      <c r="D182" s="31"/>
      <c r="E182" s="31"/>
      <c r="F182" s="30"/>
      <c r="G182" s="59"/>
    </row>
    <row r="183" spans="3:7" s="326" customFormat="1">
      <c r="C183" s="106"/>
      <c r="D183" s="31"/>
      <c r="E183" s="31"/>
      <c r="F183" s="30"/>
      <c r="G183" s="59"/>
    </row>
    <row r="184" spans="3:7" s="326" customFormat="1">
      <c r="C184" s="106"/>
      <c r="D184" s="31"/>
      <c r="E184" s="31"/>
      <c r="F184" s="30"/>
      <c r="G184" s="59"/>
    </row>
    <row r="185" spans="3:7" s="326" customFormat="1">
      <c r="C185" s="106"/>
      <c r="D185" s="31"/>
      <c r="E185" s="31"/>
      <c r="F185" s="30"/>
      <c r="G185" s="59"/>
    </row>
    <row r="186" spans="3:7" s="326" customFormat="1">
      <c r="C186" s="106"/>
      <c r="D186" s="31"/>
      <c r="E186" s="31"/>
      <c r="F186" s="30"/>
      <c r="G186" s="59"/>
    </row>
    <row r="187" spans="3:7" s="326" customFormat="1">
      <c r="C187" s="106"/>
      <c r="D187" s="31"/>
      <c r="E187" s="31"/>
      <c r="F187" s="30"/>
      <c r="G187" s="59"/>
    </row>
    <row r="188" spans="3:7" s="326" customFormat="1">
      <c r="C188" s="106"/>
      <c r="D188" s="31"/>
      <c r="E188" s="31"/>
      <c r="F188" s="30"/>
      <c r="G188" s="59"/>
    </row>
    <row r="189" spans="3:7" s="326" customFormat="1">
      <c r="C189" s="106"/>
      <c r="D189" s="31"/>
      <c r="E189" s="31"/>
      <c r="F189" s="30"/>
      <c r="G189" s="59"/>
    </row>
    <row r="190" spans="3:7" s="326" customFormat="1">
      <c r="C190" s="106"/>
      <c r="D190" s="31"/>
      <c r="E190" s="31"/>
      <c r="F190" s="30"/>
      <c r="G190" s="59"/>
    </row>
    <row r="191" spans="3:7" s="326" customFormat="1">
      <c r="C191" s="106"/>
      <c r="D191" s="31"/>
      <c r="E191" s="31"/>
      <c r="F191" s="30"/>
      <c r="G191" s="59"/>
    </row>
    <row r="192" spans="3:7" s="326" customFormat="1">
      <c r="C192" s="106"/>
      <c r="D192" s="31"/>
      <c r="E192" s="31"/>
      <c r="F192" s="30"/>
      <c r="G192" s="59"/>
    </row>
    <row r="193" spans="3:7" s="326" customFormat="1">
      <c r="C193" s="106"/>
      <c r="D193" s="31"/>
      <c r="E193" s="31"/>
      <c r="F193" s="30"/>
      <c r="G193" s="59"/>
    </row>
    <row r="194" spans="3:7" s="326" customFormat="1">
      <c r="C194" s="106"/>
      <c r="D194" s="31"/>
      <c r="E194" s="31"/>
      <c r="F194" s="30"/>
      <c r="G194" s="59"/>
    </row>
    <row r="195" spans="3:7">
      <c r="C195" s="65"/>
      <c r="D195" s="66"/>
      <c r="E195" s="66"/>
      <c r="F195" s="323"/>
      <c r="G195" s="67"/>
    </row>
    <row r="197" spans="3:7" s="321" customFormat="1" ht="15" customHeight="1">
      <c r="C197" s="455" t="s">
        <v>143</v>
      </c>
      <c r="D197" s="455"/>
    </row>
    <row r="198" spans="3:7" s="321" customFormat="1" ht="15" customHeight="1">
      <c r="C198" s="455" t="s">
        <v>818</v>
      </c>
      <c r="D198" s="455"/>
      <c r="E198" s="321" t="s">
        <v>144</v>
      </c>
      <c r="F198" s="455" t="s">
        <v>145</v>
      </c>
      <c r="G198" s="455"/>
    </row>
    <row r="199" spans="3:7">
      <c r="C199" s="454"/>
      <c r="D199" s="454"/>
      <c r="F199" s="454"/>
      <c r="G199" s="454"/>
    </row>
    <row r="200" spans="3:7">
      <c r="C200" s="454"/>
      <c r="D200" s="454"/>
      <c r="F200" s="454"/>
      <c r="G200" s="454"/>
    </row>
    <row r="201" spans="3:7">
      <c r="C201" s="454"/>
      <c r="D201" s="454"/>
      <c r="F201" s="454"/>
      <c r="G201" s="454"/>
    </row>
    <row r="202" spans="3:7">
      <c r="C202" s="454"/>
      <c r="D202" s="454"/>
      <c r="F202" s="454"/>
      <c r="G202" s="454"/>
    </row>
    <row r="203" spans="3:7">
      <c r="C203" s="454"/>
      <c r="D203" s="454"/>
      <c r="F203" s="454"/>
      <c r="G203" s="454"/>
    </row>
    <row r="204" spans="3:7">
      <c r="C204" s="454"/>
      <c r="D204" s="454"/>
      <c r="F204" s="454"/>
      <c r="G204" s="454"/>
    </row>
    <row r="205" spans="3:7" ht="15" customHeight="1">
      <c r="C205" s="453" t="str">
        <f>IF(nama_ket_komite&lt;&gt;"",nama_ket_komite,"................")</f>
        <v>Sumaryo</v>
      </c>
      <c r="D205" s="453"/>
      <c r="E205" s="328" t="str">
        <f>IF(nama_ks&lt;&gt;"",nama_ks,"................................")</f>
        <v>Eko Wahyono, S.Pd., M.M.</v>
      </c>
      <c r="F205" s="453" t="str">
        <f>IF(nama_bend&lt;&gt;"",nama_bend,"................................")</f>
        <v>Mismun, S.Pd.I.</v>
      </c>
      <c r="G205" s="453"/>
    </row>
    <row r="206" spans="3:7">
      <c r="E206" s="64" t="str">
        <f>"NIP "&amp;IF(AND(nama_ks&lt;&gt;"",nip_ks&lt;&gt;""),nip_ks,"")</f>
        <v>NIP 19650321 198608 1 001</v>
      </c>
      <c r="F206" s="454" t="str">
        <f>"NIP "&amp;IF(AND(nama_bend&lt;&gt;"",nip_bend&lt;&gt;""),nip_bend,".....................")</f>
        <v>NIP 19540212 198304 1 001</v>
      </c>
      <c r="G206" s="454"/>
    </row>
  </sheetData>
  <sheetProtection password="CAE2" sheet="1" objects="1" scenarios="1" selectLockedCells="1"/>
  <autoFilter ref="C8:G80">
    <filterColumn colId="1" showButton="0"/>
  </autoFilter>
  <mergeCells count="95">
    <mergeCell ref="D19:E19"/>
    <mergeCell ref="B4:G4"/>
    <mergeCell ref="B5:G5"/>
    <mergeCell ref="C7:G7"/>
    <mergeCell ref="C82:G82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63:E63"/>
    <mergeCell ref="D64:E64"/>
    <mergeCell ref="D65:E65"/>
    <mergeCell ref="D66:E66"/>
    <mergeCell ref="D20:E20"/>
    <mergeCell ref="D21:E21"/>
    <mergeCell ref="D22:E22"/>
    <mergeCell ref="D23:E23"/>
    <mergeCell ref="D59:E59"/>
    <mergeCell ref="D60:E60"/>
    <mergeCell ref="D32:E32"/>
    <mergeCell ref="D33:E33"/>
    <mergeCell ref="D34:E34"/>
    <mergeCell ref="D35:E35"/>
    <mergeCell ref="D41:E41"/>
    <mergeCell ref="D37:E37"/>
    <mergeCell ref="D79:E79"/>
    <mergeCell ref="D80:E80"/>
    <mergeCell ref="D24:E24"/>
    <mergeCell ref="D25:E25"/>
    <mergeCell ref="D26:E26"/>
    <mergeCell ref="D27:E27"/>
    <mergeCell ref="D28:E28"/>
    <mergeCell ref="D29:E29"/>
    <mergeCell ref="D30:E30"/>
    <mergeCell ref="D31:E31"/>
    <mergeCell ref="D73:E73"/>
    <mergeCell ref="D74:E74"/>
    <mergeCell ref="D75:E75"/>
    <mergeCell ref="D76:E76"/>
    <mergeCell ref="D77:E77"/>
    <mergeCell ref="D36:E36"/>
    <mergeCell ref="D38:E38"/>
    <mergeCell ref="D39:E39"/>
    <mergeCell ref="D40:E40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F204:G204"/>
    <mergeCell ref="D54:E54"/>
    <mergeCell ref="D55:E55"/>
    <mergeCell ref="D56:E56"/>
    <mergeCell ref="D57:E57"/>
    <mergeCell ref="D58:E58"/>
    <mergeCell ref="F198:G198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C205:D205"/>
    <mergeCell ref="F205:G205"/>
    <mergeCell ref="F206:G20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F199:G199"/>
    <mergeCell ref="F200:G200"/>
    <mergeCell ref="F201:G201"/>
    <mergeCell ref="F202:G202"/>
    <mergeCell ref="F203:G203"/>
  </mergeCells>
  <pageMargins left="0.59055118110236227" right="0.59055118110236227" top="0.59055118110236227" bottom="1.5748031496062993" header="0.39370078740157483" footer="0.39370078740157483"/>
  <pageSetup paperSize="5" orientation="portrait" horizontalDpi="4294967293" verticalDpi="0" r:id="rId1"/>
  <rowBreaks count="1" manualBreakCount="1">
    <brk id="81" max="16383" man="1"/>
  </rowBreaks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N47"/>
  <sheetViews>
    <sheetView showGridLines="0" showRowColHeaders="0" workbookViewId="0">
      <selection activeCell="H34" sqref="H34"/>
    </sheetView>
  </sheetViews>
  <sheetFormatPr defaultRowHeight="12.75"/>
  <cols>
    <col min="1" max="1" width="2.7109375" style="86" customWidth="1"/>
    <col min="2" max="2" width="4.7109375" style="86" customWidth="1"/>
    <col min="3" max="16384" width="9.140625" style="86"/>
  </cols>
  <sheetData>
    <row r="1" spans="1:14">
      <c r="A1" s="315"/>
    </row>
    <row r="2" spans="1:14" s="85" customFormat="1">
      <c r="B2" s="85" t="s">
        <v>220</v>
      </c>
    </row>
    <row r="3" spans="1:14" s="85" customFormat="1">
      <c r="B3" s="85" t="s">
        <v>223</v>
      </c>
      <c r="C3" s="85" t="s">
        <v>224</v>
      </c>
    </row>
    <row r="4" spans="1:14" ht="15">
      <c r="B4" s="86" t="s">
        <v>32</v>
      </c>
      <c r="C4" s="86" t="s">
        <v>219</v>
      </c>
      <c r="N4" s="311"/>
    </row>
    <row r="5" spans="1:14" ht="15">
      <c r="B5" s="86" t="s">
        <v>33</v>
      </c>
      <c r="C5" s="86" t="s">
        <v>221</v>
      </c>
      <c r="N5" s="311"/>
    </row>
    <row r="6" spans="1:14">
      <c r="B6" s="86" t="s">
        <v>109</v>
      </c>
      <c r="C6" s="86" t="s">
        <v>222</v>
      </c>
    </row>
    <row r="7" spans="1:14">
      <c r="B7" s="86" t="s">
        <v>111</v>
      </c>
      <c r="C7" s="86" t="s">
        <v>243</v>
      </c>
    </row>
    <row r="9" spans="1:14" s="85" customFormat="1">
      <c r="B9" s="85" t="s">
        <v>225</v>
      </c>
      <c r="C9" s="85" t="s">
        <v>226</v>
      </c>
    </row>
    <row r="10" spans="1:14">
      <c r="B10" s="86" t="s">
        <v>32</v>
      </c>
      <c r="C10" s="86" t="s">
        <v>341</v>
      </c>
    </row>
    <row r="11" spans="1:14">
      <c r="B11" s="86" t="s">
        <v>33</v>
      </c>
      <c r="C11" s="86" t="s">
        <v>34</v>
      </c>
    </row>
    <row r="12" spans="1:14">
      <c r="C12" s="86" t="s">
        <v>146</v>
      </c>
    </row>
    <row r="13" spans="1:14">
      <c r="B13" s="86" t="s">
        <v>109</v>
      </c>
      <c r="C13" s="86" t="s">
        <v>241</v>
      </c>
    </row>
    <row r="14" spans="1:14">
      <c r="B14" s="86" t="s">
        <v>111</v>
      </c>
      <c r="C14" s="86" t="s">
        <v>242</v>
      </c>
    </row>
    <row r="15" spans="1:14">
      <c r="B15" s="86" t="s">
        <v>42</v>
      </c>
      <c r="C15" s="86" t="s">
        <v>239</v>
      </c>
    </row>
    <row r="16" spans="1:14">
      <c r="B16" s="86" t="s">
        <v>114</v>
      </c>
      <c r="C16" s="86" t="s">
        <v>238</v>
      </c>
    </row>
    <row r="17" spans="2:3">
      <c r="B17" s="86" t="s">
        <v>116</v>
      </c>
      <c r="C17" s="86" t="s">
        <v>342</v>
      </c>
    </row>
    <row r="18" spans="2:3">
      <c r="B18" s="86" t="s">
        <v>118</v>
      </c>
      <c r="C18" s="86" t="s">
        <v>240</v>
      </c>
    </row>
    <row r="19" spans="2:3">
      <c r="C19" s="86" t="s">
        <v>343</v>
      </c>
    </row>
    <row r="20" spans="2:3">
      <c r="B20" s="86" t="s">
        <v>120</v>
      </c>
      <c r="C20" s="86" t="s">
        <v>244</v>
      </c>
    </row>
    <row r="21" spans="2:3">
      <c r="B21" s="86" t="s">
        <v>122</v>
      </c>
      <c r="C21" s="86" t="s">
        <v>245</v>
      </c>
    </row>
    <row r="23" spans="2:3" s="85" customFormat="1">
      <c r="B23" s="85" t="s">
        <v>246</v>
      </c>
      <c r="C23" s="85" t="s">
        <v>288</v>
      </c>
    </row>
    <row r="24" spans="2:3">
      <c r="B24" s="86" t="s">
        <v>32</v>
      </c>
      <c r="C24" s="86" t="s">
        <v>247</v>
      </c>
    </row>
    <row r="25" spans="2:3">
      <c r="B25" s="86" t="s">
        <v>33</v>
      </c>
      <c r="C25" s="86" t="s">
        <v>289</v>
      </c>
    </row>
    <row r="26" spans="2:3">
      <c r="B26" s="86" t="s">
        <v>109</v>
      </c>
      <c r="C26" s="86" t="s">
        <v>299</v>
      </c>
    </row>
    <row r="28" spans="2:3" s="85" customFormat="1">
      <c r="B28" s="85" t="s">
        <v>227</v>
      </c>
      <c r="C28" s="85" t="s">
        <v>228</v>
      </c>
    </row>
    <row r="29" spans="2:3">
      <c r="B29" s="86" t="s">
        <v>32</v>
      </c>
      <c r="C29" s="86" t="s">
        <v>229</v>
      </c>
    </row>
    <row r="30" spans="2:3">
      <c r="B30" s="86" t="s">
        <v>33</v>
      </c>
      <c r="C30" s="86" t="s">
        <v>290</v>
      </c>
    </row>
    <row r="31" spans="2:3">
      <c r="B31" s="86" t="s">
        <v>109</v>
      </c>
      <c r="C31" s="86" t="s">
        <v>704</v>
      </c>
    </row>
    <row r="33" spans="2:2" s="85" customFormat="1">
      <c r="B33" s="85" t="s">
        <v>230</v>
      </c>
    </row>
    <row r="34" spans="2:2" s="85" customFormat="1">
      <c r="B34" s="85" t="s">
        <v>231</v>
      </c>
    </row>
    <row r="35" spans="2:2" s="85" customFormat="1"/>
    <row r="36" spans="2:2" s="85" customFormat="1"/>
    <row r="37" spans="2:2" s="85" customFormat="1"/>
    <row r="38" spans="2:2" s="85" customFormat="1">
      <c r="B38" s="85" t="s">
        <v>232</v>
      </c>
    </row>
    <row r="39" spans="2:2" s="85" customFormat="1">
      <c r="B39" s="85" t="s">
        <v>236</v>
      </c>
    </row>
    <row r="41" spans="2:2">
      <c r="B41" s="86" t="s">
        <v>237</v>
      </c>
    </row>
    <row r="42" spans="2:2">
      <c r="B42" s="87" t="s">
        <v>233</v>
      </c>
    </row>
    <row r="43" spans="2:2">
      <c r="B43" s="87" t="s">
        <v>234</v>
      </c>
    </row>
    <row r="44" spans="2:2">
      <c r="B44" s="87" t="s">
        <v>235</v>
      </c>
    </row>
    <row r="46" spans="2:2">
      <c r="B46" s="86" t="s">
        <v>807</v>
      </c>
    </row>
    <row r="47" spans="2:2">
      <c r="B47" s="86" t="s">
        <v>766</v>
      </c>
    </row>
  </sheetData>
  <sheetProtection password="CAE2" sheet="1" objects="1" scenarios="1" selectLockedCells="1" selectUnlockedCells="1"/>
  <hyperlinks>
    <hyperlink ref="B42" r:id="rId1"/>
    <hyperlink ref="B43" r:id="rId2"/>
    <hyperlink ref="B44" r:id="rId3"/>
  </hyperlinks>
  <pageMargins left="0.59055118110236227" right="0.59055118110236227" top="0.59055118110236227" bottom="1.3779527559055118" header="0.39370078740157483" footer="0.39370078740157483"/>
  <pageSetup paperSize="5" scale="94" orientation="portrait" horizontalDpi="4294967293" verticalDpi="0" r:id="rId4"/>
  <drawing r:id="rId5"/>
  <picture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E40"/>
  <sheetViews>
    <sheetView showGridLines="0" showRowColHeaders="0" zoomScale="80" zoomScaleNormal="80" workbookViewId="0">
      <pane xSplit="5" ySplit="36" topLeftCell="F37" activePane="bottomRight" state="frozen"/>
      <selection pane="topRight" activeCell="F1" sqref="F1"/>
      <selection pane="bottomLeft" activeCell="A31" sqref="A31"/>
      <selection pane="bottomRight" activeCell="D2" sqref="D2"/>
    </sheetView>
  </sheetViews>
  <sheetFormatPr defaultColWidth="0" defaultRowHeight="15" zeroHeight="1"/>
  <cols>
    <col min="1" max="1" width="4.7109375" customWidth="1"/>
    <col min="2" max="2" width="28.7109375" customWidth="1"/>
    <col min="3" max="3" width="1.5703125" bestFit="1" customWidth="1"/>
    <col min="4" max="4" width="40.7109375" customWidth="1"/>
    <col min="5" max="5" width="4.7109375" customWidth="1"/>
    <col min="6" max="16384" width="9.140625" hidden="1"/>
  </cols>
  <sheetData>
    <row r="1" spans="2:4">
      <c r="D1" s="313"/>
    </row>
    <row r="2" spans="2:4">
      <c r="B2" t="s">
        <v>0</v>
      </c>
      <c r="C2" t="s">
        <v>13</v>
      </c>
      <c r="D2" s="238" t="s">
        <v>819</v>
      </c>
    </row>
    <row r="3" spans="2:4">
      <c r="B3" t="s">
        <v>1</v>
      </c>
      <c r="C3" t="s">
        <v>13</v>
      </c>
      <c r="D3" s="239" t="s">
        <v>820</v>
      </c>
    </row>
    <row r="4" spans="2:4">
      <c r="B4" t="s">
        <v>2</v>
      </c>
      <c r="C4" t="s">
        <v>13</v>
      </c>
      <c r="D4" s="239" t="s">
        <v>821</v>
      </c>
    </row>
    <row r="5" spans="2:4">
      <c r="B5" t="s">
        <v>3</v>
      </c>
      <c r="C5" t="s">
        <v>13</v>
      </c>
      <c r="D5" s="239" t="s">
        <v>822</v>
      </c>
    </row>
    <row r="6" spans="2:4">
      <c r="B6" t="s">
        <v>4</v>
      </c>
      <c r="C6" t="s">
        <v>13</v>
      </c>
      <c r="D6" s="239" t="s">
        <v>823</v>
      </c>
    </row>
    <row r="7" spans="2:4">
      <c r="B7" t="s">
        <v>5</v>
      </c>
      <c r="C7" t="s">
        <v>13</v>
      </c>
      <c r="D7" s="239" t="s">
        <v>824</v>
      </c>
    </row>
    <row r="8" spans="2:4">
      <c r="B8" t="s">
        <v>6</v>
      </c>
      <c r="C8" t="s">
        <v>13</v>
      </c>
      <c r="D8" s="239" t="s">
        <v>825</v>
      </c>
    </row>
    <row r="9" spans="2:4">
      <c r="B9" t="s">
        <v>7</v>
      </c>
      <c r="C9" t="s">
        <v>13</v>
      </c>
      <c r="D9" s="239" t="s">
        <v>825</v>
      </c>
    </row>
    <row r="10" spans="2:4">
      <c r="B10" t="s">
        <v>8</v>
      </c>
      <c r="C10" t="s">
        <v>13</v>
      </c>
      <c r="D10" s="239" t="s">
        <v>826</v>
      </c>
    </row>
    <row r="11" spans="2:4">
      <c r="B11" t="s">
        <v>9</v>
      </c>
      <c r="C11" t="s">
        <v>13</v>
      </c>
      <c r="D11" s="239" t="s">
        <v>827</v>
      </c>
    </row>
    <row r="12" spans="2:4">
      <c r="B12" t="s">
        <v>10</v>
      </c>
      <c r="C12" t="s">
        <v>13</v>
      </c>
      <c r="D12" s="239" t="s">
        <v>828</v>
      </c>
    </row>
    <row r="13" spans="2:4">
      <c r="B13" t="s">
        <v>25</v>
      </c>
      <c r="C13" t="s">
        <v>13</v>
      </c>
      <c r="D13" s="239" t="s">
        <v>829</v>
      </c>
    </row>
    <row r="14" spans="2:4">
      <c r="B14" t="s">
        <v>11</v>
      </c>
      <c r="C14" t="s">
        <v>13</v>
      </c>
      <c r="D14" s="239" t="s">
        <v>830</v>
      </c>
    </row>
    <row r="15" spans="2:4">
      <c r="B15" t="s">
        <v>12</v>
      </c>
      <c r="C15" t="s">
        <v>13</v>
      </c>
      <c r="D15" s="239" t="s">
        <v>831</v>
      </c>
    </row>
    <row r="16" spans="2:4">
      <c r="B16" t="s">
        <v>14</v>
      </c>
      <c r="C16" t="s">
        <v>13</v>
      </c>
      <c r="D16" s="239" t="s">
        <v>832</v>
      </c>
    </row>
    <row r="17" spans="2:4">
      <c r="B17" t="s">
        <v>15</v>
      </c>
      <c r="C17" t="s">
        <v>13</v>
      </c>
      <c r="D17" s="239" t="s">
        <v>819</v>
      </c>
    </row>
    <row r="18" spans="2:4">
      <c r="B18" t="s">
        <v>26</v>
      </c>
      <c r="C18" t="s">
        <v>13</v>
      </c>
      <c r="D18" s="239" t="s">
        <v>833</v>
      </c>
    </row>
    <row r="19" spans="2:4">
      <c r="B19" t="s">
        <v>16</v>
      </c>
      <c r="C19" t="s">
        <v>13</v>
      </c>
      <c r="D19" s="239" t="s">
        <v>834</v>
      </c>
    </row>
    <row r="20" spans="2:4">
      <c r="B20" t="s">
        <v>18</v>
      </c>
      <c r="C20" t="s">
        <v>13</v>
      </c>
      <c r="D20" s="240" t="s">
        <v>835</v>
      </c>
    </row>
    <row r="21" spans="2:4">
      <c r="B21" t="s">
        <v>19</v>
      </c>
      <c r="C21" t="s">
        <v>13</v>
      </c>
      <c r="D21" s="239" t="s">
        <v>842</v>
      </c>
    </row>
    <row r="22" spans="2:4">
      <c r="B22" t="s">
        <v>22</v>
      </c>
      <c r="C22" t="s">
        <v>13</v>
      </c>
      <c r="D22" s="239" t="s">
        <v>808</v>
      </c>
    </row>
    <row r="23" spans="2:4">
      <c r="B23" t="s">
        <v>89</v>
      </c>
      <c r="C23" t="s">
        <v>13</v>
      </c>
      <c r="D23" s="239" t="s">
        <v>836</v>
      </c>
    </row>
    <row r="24" spans="2:4">
      <c r="B24" t="s">
        <v>90</v>
      </c>
      <c r="C24" t="s">
        <v>13</v>
      </c>
      <c r="D24" s="239" t="s">
        <v>837</v>
      </c>
    </row>
    <row r="25" spans="2:4">
      <c r="B25" t="s">
        <v>23</v>
      </c>
      <c r="C25" t="s">
        <v>13</v>
      </c>
      <c r="D25" s="239" t="s">
        <v>838</v>
      </c>
    </row>
    <row r="26" spans="2:4">
      <c r="B26" t="s">
        <v>204</v>
      </c>
      <c r="C26" t="s">
        <v>13</v>
      </c>
      <c r="D26" s="239" t="s">
        <v>839</v>
      </c>
    </row>
    <row r="27" spans="2:4">
      <c r="B27" t="s">
        <v>27</v>
      </c>
      <c r="C27" t="s">
        <v>13</v>
      </c>
      <c r="D27" s="241">
        <v>48</v>
      </c>
    </row>
    <row r="28" spans="2:4">
      <c r="B28" t="s">
        <v>786</v>
      </c>
      <c r="C28" t="s">
        <v>13</v>
      </c>
      <c r="D28" s="241">
        <v>145000</v>
      </c>
    </row>
    <row r="29" spans="2:4">
      <c r="B29" t="s">
        <v>28</v>
      </c>
      <c r="C29" t="s">
        <v>13</v>
      </c>
      <c r="D29" s="239" t="s">
        <v>840</v>
      </c>
    </row>
    <row r="30" spans="2:4">
      <c r="B30" t="s">
        <v>29</v>
      </c>
      <c r="C30" t="s">
        <v>13</v>
      </c>
      <c r="D30" s="239" t="s">
        <v>841</v>
      </c>
    </row>
    <row r="31" spans="2:4">
      <c r="B31" t="s">
        <v>345</v>
      </c>
      <c r="C31" t="s">
        <v>13</v>
      </c>
      <c r="D31" s="239"/>
    </row>
    <row r="32" spans="2:4">
      <c r="B32" t="s">
        <v>30</v>
      </c>
      <c r="C32" t="s">
        <v>13</v>
      </c>
      <c r="D32" s="239" t="s">
        <v>843</v>
      </c>
    </row>
    <row r="33" spans="2:4">
      <c r="B33" t="s">
        <v>31</v>
      </c>
      <c r="C33" t="s">
        <v>13</v>
      </c>
      <c r="D33" s="239" t="s">
        <v>844</v>
      </c>
    </row>
    <row r="34" spans="2:4">
      <c r="B34" t="s">
        <v>346</v>
      </c>
      <c r="C34" t="s">
        <v>13</v>
      </c>
      <c r="D34" s="239"/>
    </row>
    <row r="35" spans="2:4">
      <c r="B35" t="s">
        <v>88</v>
      </c>
      <c r="C35" t="s">
        <v>13</v>
      </c>
      <c r="D35" s="320" t="s">
        <v>806</v>
      </c>
    </row>
    <row r="36" spans="2:4"/>
    <row r="37" spans="2:4" hidden="1"/>
    <row r="38" spans="2:4" hidden="1"/>
    <row r="39" spans="2:4" hidden="1"/>
    <row r="40" spans="2:4" hidden="1"/>
  </sheetData>
  <sheetProtection password="CAE2" sheet="1" objects="1" scenarios="1" selectLockedCells="1"/>
  <dataValidations count="16">
    <dataValidation allowBlank="1" showInputMessage="1" showErrorMessage="1" prompt="Gunakan GPS atau Google Earth untuk mengetahui titik koordinat" sqref="D14:D15"/>
    <dataValidation allowBlank="1" showInputMessage="1" showErrorMessage="1" promptTitle="Nama Sekolah Anda" prompt="Contoh: _x000a_SD Negeri 1 Kenteng" sqref="D2"/>
    <dataValidation type="textLength" operator="equal" allowBlank="1" showInputMessage="1" showErrorMessage="1" error="diisi angka 8 digit" promptTitle="NPSN Sekolah Anda" prompt="Contoh: _x000a_20304050 _x000a_(8 digit angka)" sqref="D3">
      <formula1>8</formula1>
    </dataValidation>
    <dataValidation allowBlank="1" showInputMessage="1" showErrorMessage="1" promptTitle="NPSN Sekolah Anda" prompt="Contoh: _x000a_101030413025" sqref="D4"/>
    <dataValidation allowBlank="1" showInputMessage="1" showErrorMessage="1" promptTitle="Alamat Sekolah Anda" prompt="Contoh: _x000a_Jl. Serayu No. 5" sqref="D5"/>
    <dataValidation allowBlank="1" showInputMessage="1" showErrorMessage="1" prompt="Contoh: 05 atau 005" sqref="D6"/>
    <dataValidation allowBlank="1" showInputMessage="1" showErrorMessage="1" prompt="Contoh: 03 atau 003" sqref="D7"/>
    <dataValidation allowBlank="1" showInputMessage="1" showErrorMessage="1" promptTitle="Nama Kabupaten/Kota" prompt="Contoh: _x000a_Kab. Banjarnegara _x000a_Kota Magelang" sqref="D11"/>
    <dataValidation allowBlank="1" showInputMessage="1" showErrorMessage="1" promptTitle="Nama Provinsi" prompt="Contoh: _x000a_Jawa Tengah" sqref="D12"/>
    <dataValidation allowBlank="1" showInputMessage="1" showErrorMessage="1" promptTitle="Nama Kepala Sekolah" prompt="Contoh: _x000a_Tavip Susilo, S.Pd." sqref="D29"/>
    <dataValidation allowBlank="1" showInputMessage="1" showErrorMessage="1" promptTitle="NIP Kepala Sekolah" prompt="Contoh: _x000a_19680101 198802 2 007" sqref="D30"/>
    <dataValidation allowBlank="1" showInputMessage="1" showErrorMessage="1" promptTitle="No HP Kepala Sekolah" prompt="Contoh: _x000a_+6281327777777" sqref="D31"/>
    <dataValidation allowBlank="1" showInputMessage="1" showErrorMessage="1" promptTitle="Nama Ketua Komite Sekolah" prompt="Contoh: _x000a_Drs. Wijaya Kusuma" sqref="D35"/>
    <dataValidation allowBlank="1" showInputMessage="1" showErrorMessage="1" prompt="Contoh: _x000a_I (satu)" sqref="D22"/>
    <dataValidation allowBlank="1" showInputMessage="1" showErrorMessage="1" promptTitle="Periode dari" prompt="Contoh: _x000a_01 Januari 2013" sqref="D23"/>
    <dataValidation allowBlank="1" showInputMessage="1" showErrorMessage="1" promptTitle="Periode sampai" prompt="Contoh: _x000a_31 Maret 2013" sqref="D24"/>
  </dataValidations>
  <pageMargins left="0.7" right="0.7" top="0.75" bottom="0.75" header="0.3" footer="0.3"/>
  <pageSetup paperSize="9" orientation="portrait" horizontalDpi="4294967293" verticalDpi="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E54"/>
  <sheetViews>
    <sheetView showGridLines="0" showRowColHeaders="0" workbookViewId="0">
      <selection activeCell="B2" sqref="B2"/>
    </sheetView>
  </sheetViews>
  <sheetFormatPr defaultColWidth="0" defaultRowHeight="15" zeroHeight="1"/>
  <cols>
    <col min="1" max="1" width="4.7109375" customWidth="1"/>
    <col min="2" max="2" width="30.7109375" customWidth="1"/>
    <col min="3" max="3" width="1.7109375" customWidth="1"/>
    <col min="4" max="4" width="44.7109375" customWidth="1"/>
    <col min="5" max="5" width="4.7109375" customWidth="1"/>
    <col min="6" max="16384" width="9.140625" hidden="1"/>
  </cols>
  <sheetData>
    <row r="1" spans="2:4"/>
    <row r="2" spans="2:4">
      <c r="B2" s="314"/>
    </row>
    <row r="3" spans="2:4"/>
    <row r="4" spans="2:4"/>
    <row r="5" spans="2:4"/>
    <row r="6" spans="2:4"/>
    <row r="7" spans="2:4"/>
    <row r="8" spans="2:4"/>
    <row r="9" spans="2:4"/>
    <row r="10" spans="2:4"/>
    <row r="11" spans="2:4"/>
    <row r="12" spans="2:4"/>
    <row r="13" spans="2:4"/>
    <row r="14" spans="2:4"/>
    <row r="15" spans="2:4" s="2" customFormat="1" ht="18">
      <c r="B15" s="330" t="s">
        <v>20</v>
      </c>
      <c r="C15" s="330"/>
      <c r="D15" s="330"/>
    </row>
    <row r="16" spans="2:4" s="2" customFormat="1" ht="18">
      <c r="B16" s="330" t="s">
        <v>21</v>
      </c>
      <c r="C16" s="330"/>
      <c r="D16" s="330"/>
    </row>
    <row r="17" spans="2:4" s="2" customFormat="1" ht="18">
      <c r="B17" s="330" t="s">
        <v>17</v>
      </c>
      <c r="C17" s="330"/>
      <c r="D17" s="330"/>
    </row>
    <row r="18" spans="2:4" s="2" customFormat="1" ht="18">
      <c r="B18" s="331" t="str">
        <f>IF(triwulan&lt;&gt;"","TRIWULAN "&amp;UPPER(triwulan),"")</f>
        <v>TRIWULAN I (SATU)</v>
      </c>
      <c r="C18" s="331"/>
      <c r="D18" s="331"/>
    </row>
    <row r="19" spans="2:4" s="2" customFormat="1" ht="18">
      <c r="B19" s="331" t="str">
        <f>IF(tahun_anggaran&lt;&gt;"","TAHUN ANGGARAN "&amp;tahun_anggaran,"")</f>
        <v>TAHUN ANGGARAN 2013</v>
      </c>
      <c r="C19" s="331"/>
      <c r="D19" s="331"/>
    </row>
    <row r="20" spans="2:4" s="3" customFormat="1" ht="18">
      <c r="B20" s="330"/>
      <c r="C20" s="330"/>
      <c r="D20" s="330"/>
    </row>
    <row r="21" spans="2:4"/>
    <row r="22" spans="2:4" s="1" customFormat="1" ht="15.75">
      <c r="B22" s="1" t="s">
        <v>0</v>
      </c>
      <c r="C22" s="1" t="s">
        <v>13</v>
      </c>
      <c r="D22" s="146" t="str">
        <f>IF(nama_sekolah&lt;&gt;"",nama_sekolah,"")</f>
        <v>SD Negeri 3 Slatri</v>
      </c>
    </row>
    <row r="23" spans="2:4" s="1" customFormat="1" ht="15.75">
      <c r="B23" s="1" t="s">
        <v>1</v>
      </c>
      <c r="C23" s="1" t="s">
        <v>13</v>
      </c>
      <c r="D23" s="146" t="str">
        <f>IF(AND(nama_sekolah&lt;&gt;"",npsn&lt;&gt;""),npsn,"")</f>
        <v>20304090</v>
      </c>
    </row>
    <row r="24" spans="2:4" s="1" customFormat="1" ht="15.75">
      <c r="B24" s="1" t="s">
        <v>2</v>
      </c>
      <c r="C24" s="1" t="s">
        <v>13</v>
      </c>
      <c r="D24" s="146" t="str">
        <f>IF(AND(nama_sekolah&lt;&gt;"",npsn&lt;&gt;"",nss&lt;&gt;""),nss,"")</f>
        <v>101030413025</v>
      </c>
    </row>
    <row r="25" spans="2:4" s="1" customFormat="1" ht="15.75">
      <c r="B25" s="1" t="s">
        <v>3</v>
      </c>
      <c r="C25" s="1" t="s">
        <v>13</v>
      </c>
      <c r="D25" s="146" t="str">
        <f>IF(alamat_sek&lt;&gt;"",alamat_sek,"")</f>
        <v>Jl. Raya Slatri - Pagerpelah</v>
      </c>
    </row>
    <row r="26" spans="2:4" s="1" customFormat="1" ht="15.75">
      <c r="B26" s="1" t="s">
        <v>4</v>
      </c>
      <c r="C26" s="1" t="s">
        <v>13</v>
      </c>
      <c r="D26" s="146" t="str">
        <f>IF(rt&lt;&gt;"",rt,"")</f>
        <v>01</v>
      </c>
    </row>
    <row r="27" spans="2:4" s="1" customFormat="1" ht="15.75">
      <c r="B27" s="1" t="s">
        <v>5</v>
      </c>
      <c r="C27" s="1" t="s">
        <v>13</v>
      </c>
      <c r="D27" s="146" t="str">
        <f>IF(rw&lt;&gt;"",rw,"")</f>
        <v>02</v>
      </c>
    </row>
    <row r="28" spans="2:4" s="1" customFormat="1" ht="15.75">
      <c r="B28" s="1" t="s">
        <v>6</v>
      </c>
      <c r="C28" s="1" t="s">
        <v>13</v>
      </c>
      <c r="D28" s="146" t="str">
        <f>IF(dusun&lt;&gt;"",dusun,"")</f>
        <v>Slatri</v>
      </c>
    </row>
    <row r="29" spans="2:4" s="1" customFormat="1" ht="15.75">
      <c r="B29" s="1" t="s">
        <v>7</v>
      </c>
      <c r="C29" s="1" t="s">
        <v>13</v>
      </c>
      <c r="D29" s="146" t="str">
        <f>IF(desa_kel&lt;&gt;"",desa_kel,"")</f>
        <v>Slatri</v>
      </c>
    </row>
    <row r="30" spans="2:4" s="1" customFormat="1" ht="15.75">
      <c r="B30" s="1" t="s">
        <v>8</v>
      </c>
      <c r="C30" s="1" t="s">
        <v>13</v>
      </c>
      <c r="D30" s="146" t="str">
        <f>IF(kec&lt;&gt;"",kec,"")</f>
        <v>Karangkobar</v>
      </c>
    </row>
    <row r="31" spans="2:4" s="1" customFormat="1" ht="15.75">
      <c r="B31" s="1" t="s">
        <v>9</v>
      </c>
      <c r="C31" s="1" t="s">
        <v>13</v>
      </c>
      <c r="D31" s="146" t="str">
        <f>IF(kab_kota&lt;&gt;"",kab_kota,"")</f>
        <v>Kab. Banjarnegara</v>
      </c>
    </row>
    <row r="32" spans="2:4" s="1" customFormat="1" ht="15.75">
      <c r="B32" s="1" t="s">
        <v>10</v>
      </c>
      <c r="C32" s="1" t="s">
        <v>13</v>
      </c>
      <c r="D32" s="146" t="str">
        <f>IF(provinsi&lt;&gt;"",provinsi,"")</f>
        <v>Jawa Tengah</v>
      </c>
    </row>
    <row r="33" spans="2:4" s="1" customFormat="1" ht="15.75">
      <c r="B33" s="1" t="s">
        <v>25</v>
      </c>
      <c r="C33" s="1" t="s">
        <v>13</v>
      </c>
      <c r="D33" s="146" t="str">
        <f>IF(kode_pos&lt;&gt;"",kode_pos,"")</f>
        <v>53453</v>
      </c>
    </row>
    <row r="34" spans="2:4" s="1" customFormat="1" ht="15.75">
      <c r="B34" s="1" t="s">
        <v>11</v>
      </c>
      <c r="C34" s="1" t="s">
        <v>13</v>
      </c>
      <c r="D34" s="146" t="str">
        <f>IF(lintang&lt;&gt;"",lintang,"")</f>
        <v>-7,286308</v>
      </c>
    </row>
    <row r="35" spans="2:4" s="1" customFormat="1" ht="15.75">
      <c r="B35" s="1" t="s">
        <v>12</v>
      </c>
      <c r="C35" s="1" t="s">
        <v>13</v>
      </c>
      <c r="D35" s="146" t="str">
        <f>IF(bujur&lt;&gt;"",bujur,"")</f>
        <v>109,70615</v>
      </c>
    </row>
    <row r="36" spans="2:4" s="1" customFormat="1" ht="15.75">
      <c r="B36" s="1" t="s">
        <v>14</v>
      </c>
      <c r="C36" s="1" t="s">
        <v>13</v>
      </c>
      <c r="D36" s="146" t="str">
        <f>IF(AND(nama_sekolah&lt;&gt;"",npsn&lt;&gt;"",nss&lt;&gt;"",no_rek&lt;&gt;""),no_rek,"")</f>
        <v>3-141-03635-1</v>
      </c>
    </row>
    <row r="37" spans="2:4" s="1" customFormat="1" ht="15.75">
      <c r="B37" s="1" t="s">
        <v>24</v>
      </c>
      <c r="C37" s="1" t="s">
        <v>13</v>
      </c>
      <c r="D37" s="146" t="str">
        <f>IF(AND(nama_sekolah&lt;&gt;"",no_rek&lt;&gt;"",nama_rek&lt;&gt;""),nama_rek,"")</f>
        <v>SD Negeri 3 Slatri</v>
      </c>
    </row>
    <row r="38" spans="2:4" s="1" customFormat="1" ht="15.75">
      <c r="B38" s="1" t="s">
        <v>26</v>
      </c>
      <c r="C38" s="1" t="s">
        <v>13</v>
      </c>
      <c r="D38" s="146" t="str">
        <f>IF(AND(no_rek&lt;&gt;"",nama_rek&lt;&gt;"",nama_bank&lt;&gt;""),nama_bank,"")</f>
        <v>Bank Jateng</v>
      </c>
    </row>
    <row r="39" spans="2:4" s="1" customFormat="1" ht="15.75">
      <c r="B39" s="1" t="s">
        <v>16</v>
      </c>
      <c r="C39" s="1" t="s">
        <v>13</v>
      </c>
      <c r="D39" s="146" t="str">
        <f>IF(AND(nama_sekolah&lt;&gt;"",npsn&lt;&gt;"",nss&lt;&gt;"",npwp&lt;&gt;""),npwp,"")</f>
        <v>20.013.616.6.529.000</v>
      </c>
    </row>
    <row r="40" spans="2:4" s="1" customFormat="1" ht="15.75">
      <c r="B40" s="1" t="s">
        <v>18</v>
      </c>
      <c r="C40" s="1" t="s">
        <v>13</v>
      </c>
      <c r="D40" s="146" t="str">
        <f>IF(AND(nama_sekolah&lt;&gt;"",npsn&lt;&gt;"",nss&lt;&gt;"",email_sek&lt;&gt;""),email_sek,"")</f>
        <v>sdn3slatri.krkb@gmail.com</v>
      </c>
    </row>
    <row r="41" spans="2:4" s="1" customFormat="1" ht="15.75">
      <c r="B41" s="1" t="s">
        <v>19</v>
      </c>
      <c r="C41" s="1" t="s">
        <v>13</v>
      </c>
      <c r="D41" s="464" t="str">
        <f>IF(website&lt;&gt;"",website,"")</f>
        <v>http://k3sdewantarakarangkobar.wordpress.com</v>
      </c>
    </row>
    <row r="42" spans="2:4"/>
    <row r="43" spans="2:4"/>
    <row r="44" spans="2:4"/>
    <row r="45" spans="2:4"/>
    <row r="46" spans="2:4"/>
    <row r="47" spans="2:4"/>
    <row r="48" spans="2:4"/>
    <row r="49" spans="2:5"/>
    <row r="50" spans="2:5"/>
    <row r="51" spans="2:5"/>
    <row r="52" spans="2:5"/>
    <row r="53" spans="2:5">
      <c r="D53" s="312"/>
      <c r="E53" s="311"/>
    </row>
    <row r="54" spans="2:5">
      <c r="B54" s="329" t="str">
        <f>IF(AND(nama_sekolah&lt;&gt;"",npsn&lt;&gt;"",nss&lt;&gt;"",nama_ks&lt;&gt;"",nama_bend&lt;&gt;"",no_rek&lt;&gt;""),"this application created by: eko wahyono","dibuat oleh: "&amp;nama_ks)</f>
        <v>this application created by: eko wahyono</v>
      </c>
      <c r="C54" s="329"/>
      <c r="D54" s="329"/>
    </row>
  </sheetData>
  <sheetProtection password="CAE2" sheet="1" objects="1" scenarios="1" selectLockedCells="1" selectUnlockedCells="1"/>
  <mergeCells count="7">
    <mergeCell ref="B54:D54"/>
    <mergeCell ref="B20:D20"/>
    <mergeCell ref="B15:D15"/>
    <mergeCell ref="B17:D17"/>
    <mergeCell ref="B18:D18"/>
    <mergeCell ref="B19:D19"/>
    <mergeCell ref="B16:D16"/>
  </mergeCells>
  <printOptions horizontalCentered="1" verticalCentered="1"/>
  <pageMargins left="0.78740157480314965" right="0.78740157480314965" top="0.78740157480314965" bottom="1.7716535433070868" header="0.39370078740157483" footer="0.39370078740157483"/>
  <pageSetup paperSize="5" orientation="portrait" horizontalDpi="4294967293" verticalDpi="0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K57"/>
  <sheetViews>
    <sheetView showGridLines="0" showRowColHeaders="0" topLeftCell="A9" zoomScale="90" zoomScaleNormal="90" workbookViewId="0">
      <pane xSplit="10" ySplit="39" topLeftCell="K48" activePane="bottomRight" state="frozen"/>
      <selection activeCell="A9" sqref="A9"/>
      <selection pane="topRight" activeCell="K9" sqref="K9"/>
      <selection pane="bottomLeft" activeCell="A48" sqref="A48"/>
      <selection pane="bottomRight" activeCell="I33" sqref="I33"/>
    </sheetView>
  </sheetViews>
  <sheetFormatPr defaultColWidth="0" defaultRowHeight="10.5" zeroHeight="1"/>
  <cols>
    <col min="1" max="1" width="1.7109375" style="64" customWidth="1"/>
    <col min="2" max="2" width="8.7109375" style="64" customWidth="1"/>
    <col min="3" max="3" width="12.7109375" style="64" customWidth="1"/>
    <col min="4" max="4" width="40.7109375" style="64" customWidth="1"/>
    <col min="5" max="5" width="12.7109375" style="64" customWidth="1"/>
    <col min="6" max="6" width="8.7109375" style="64" customWidth="1"/>
    <col min="7" max="7" width="12.7109375" style="64" customWidth="1"/>
    <col min="8" max="8" width="40.7109375" style="64" customWidth="1"/>
    <col min="9" max="9" width="12.7109375" style="64" customWidth="1"/>
    <col min="10" max="10" width="1.7109375" style="64" customWidth="1"/>
    <col min="11" max="11" width="1.7109375" style="64" hidden="1" customWidth="1"/>
    <col min="12" max="16384" width="9.140625" style="64" hidden="1"/>
  </cols>
  <sheetData>
    <row r="1" spans="2:9"/>
    <row r="2" spans="2:9" s="73" customFormat="1" ht="12.75">
      <c r="B2" s="336" t="s">
        <v>155</v>
      </c>
      <c r="C2" s="336"/>
      <c r="D2" s="336"/>
      <c r="E2" s="336"/>
      <c r="F2" s="336"/>
      <c r="G2" s="336"/>
      <c r="H2" s="336"/>
      <c r="I2" s="336"/>
    </row>
    <row r="3" spans="2:9" s="73" customFormat="1" ht="12.75">
      <c r="B3" s="337" t="str">
        <f>"TAHUN AJARAN "&amp;IF(tahun_ajaran&lt;&gt;"",tahun_ajaran,".........................................")</f>
        <v>TAHUN AJARAN 2012/2013</v>
      </c>
      <c r="C3" s="337"/>
      <c r="D3" s="337"/>
      <c r="E3" s="337"/>
      <c r="F3" s="337"/>
      <c r="G3" s="337"/>
      <c r="H3" s="337"/>
      <c r="I3" s="337"/>
    </row>
    <row r="4" spans="2:9"/>
    <row r="5" spans="2:9" s="209" customFormat="1" ht="12.75">
      <c r="B5" s="209" t="s">
        <v>53</v>
      </c>
      <c r="D5" s="247" t="str">
        <f>": "&amp;UPPER(nama_sekolah)</f>
        <v>: SD NEGERI 3 SLATRI</v>
      </c>
    </row>
    <row r="6" spans="2:9" s="209" customFormat="1" ht="12.75">
      <c r="B6" s="209" t="s">
        <v>156</v>
      </c>
      <c r="D6" s="247" t="str">
        <f>": "&amp;desa_kel&amp;"/"&amp;kec</f>
        <v>: Slatri/Karangkobar</v>
      </c>
      <c r="H6" s="338" t="s">
        <v>197</v>
      </c>
      <c r="I6" s="339"/>
    </row>
    <row r="7" spans="2:9" s="209" customFormat="1" ht="12.75">
      <c r="B7" s="209" t="s">
        <v>157</v>
      </c>
      <c r="D7" s="247" t="str">
        <f>": "&amp;kab_kota</f>
        <v>: Kab. Banjarnegara</v>
      </c>
      <c r="H7" s="340" t="s">
        <v>198</v>
      </c>
      <c r="I7" s="341"/>
    </row>
    <row r="8" spans="2:9" s="209" customFormat="1" ht="12.75">
      <c r="B8" s="209" t="s">
        <v>10</v>
      </c>
      <c r="D8" s="247" t="str">
        <f>": "&amp;provinsi</f>
        <v>: Jawa Tengah</v>
      </c>
      <c r="H8" s="342" t="s">
        <v>51</v>
      </c>
      <c r="I8" s="343"/>
    </row>
    <row r="9" spans="2:9" ht="11.25" thickBot="1"/>
    <row r="10" spans="2:9" s="68" customFormat="1" ht="11.25" thickTop="1">
      <c r="B10" s="332" t="s">
        <v>158</v>
      </c>
      <c r="C10" s="333"/>
      <c r="D10" s="333"/>
      <c r="E10" s="334"/>
      <c r="F10" s="333" t="s">
        <v>159</v>
      </c>
      <c r="G10" s="333"/>
      <c r="H10" s="333"/>
      <c r="I10" s="335"/>
    </row>
    <row r="11" spans="2:9" s="68" customFormat="1" ht="21">
      <c r="B11" s="69" t="s">
        <v>163</v>
      </c>
      <c r="C11" s="69" t="s">
        <v>710</v>
      </c>
      <c r="D11" s="70" t="s">
        <v>140</v>
      </c>
      <c r="E11" s="133" t="s">
        <v>57</v>
      </c>
      <c r="F11" s="130" t="s">
        <v>163</v>
      </c>
      <c r="G11" s="69" t="s">
        <v>710</v>
      </c>
      <c r="H11" s="70" t="s">
        <v>140</v>
      </c>
      <c r="I11" s="70" t="s">
        <v>57</v>
      </c>
    </row>
    <row r="12" spans="2:9" s="72" customFormat="1" ht="11.25" thickBot="1">
      <c r="B12" s="71" t="s">
        <v>64</v>
      </c>
      <c r="C12" s="71" t="s">
        <v>65</v>
      </c>
      <c r="D12" s="71" t="s">
        <v>66</v>
      </c>
      <c r="E12" s="134" t="s">
        <v>67</v>
      </c>
      <c r="F12" s="131" t="s">
        <v>68</v>
      </c>
      <c r="G12" s="71" t="s">
        <v>160</v>
      </c>
      <c r="H12" s="71" t="s">
        <v>161</v>
      </c>
      <c r="I12" s="71" t="s">
        <v>162</v>
      </c>
    </row>
    <row r="13" spans="2:9" ht="11.25" thickTop="1">
      <c r="B13" s="74">
        <v>1</v>
      </c>
      <c r="C13" s="74"/>
      <c r="D13" s="75" t="s">
        <v>300</v>
      </c>
      <c r="E13" s="135">
        <v>0</v>
      </c>
      <c r="F13" s="74">
        <v>1</v>
      </c>
      <c r="G13" s="74"/>
      <c r="H13" s="75" t="s">
        <v>164</v>
      </c>
      <c r="I13" s="76">
        <f>SUM(I14:I26)</f>
        <v>6960000</v>
      </c>
    </row>
    <row r="14" spans="2:9">
      <c r="B14" s="65"/>
      <c r="C14" s="65"/>
      <c r="D14" s="66"/>
      <c r="E14" s="136"/>
      <c r="F14" s="65" t="s">
        <v>147</v>
      </c>
      <c r="G14" s="65"/>
      <c r="H14" s="66" t="s">
        <v>347</v>
      </c>
      <c r="I14" s="59"/>
    </row>
    <row r="15" spans="2:9">
      <c r="B15" s="77">
        <v>2</v>
      </c>
      <c r="C15" s="77"/>
      <c r="D15" s="78" t="s">
        <v>165</v>
      </c>
      <c r="E15" s="137">
        <f>SUM(E16:E20)</f>
        <v>0</v>
      </c>
      <c r="F15" s="65" t="s">
        <v>148</v>
      </c>
      <c r="G15" s="65"/>
      <c r="H15" s="66" t="s">
        <v>348</v>
      </c>
      <c r="I15" s="59">
        <f>E23*20%</f>
        <v>1392000</v>
      </c>
    </row>
    <row r="16" spans="2:9">
      <c r="B16" s="65" t="s">
        <v>76</v>
      </c>
      <c r="C16" s="65"/>
      <c r="D16" s="66" t="s">
        <v>166</v>
      </c>
      <c r="E16" s="138"/>
      <c r="F16" s="65" t="s">
        <v>149</v>
      </c>
      <c r="G16" s="65"/>
      <c r="H16" s="66" t="s">
        <v>349</v>
      </c>
      <c r="I16" s="59">
        <f>E23*15%</f>
        <v>1044000</v>
      </c>
    </row>
    <row r="17" spans="2:9">
      <c r="B17" s="65" t="s">
        <v>77</v>
      </c>
      <c r="C17" s="65"/>
      <c r="D17" s="66" t="s">
        <v>169</v>
      </c>
      <c r="E17" s="138"/>
      <c r="F17" s="65" t="s">
        <v>150</v>
      </c>
      <c r="G17" s="65"/>
      <c r="H17" s="66" t="s">
        <v>353</v>
      </c>
      <c r="I17" s="59">
        <f>E23*20%</f>
        <v>1392000</v>
      </c>
    </row>
    <row r="18" spans="2:9">
      <c r="B18" s="65" t="s">
        <v>79</v>
      </c>
      <c r="C18" s="65"/>
      <c r="D18" s="66" t="s">
        <v>106</v>
      </c>
      <c r="E18" s="138"/>
      <c r="F18" s="65" t="s">
        <v>151</v>
      </c>
      <c r="G18" s="65"/>
      <c r="H18" s="66" t="s">
        <v>354</v>
      </c>
      <c r="I18" s="59">
        <f>E23*15%</f>
        <v>1044000</v>
      </c>
    </row>
    <row r="19" spans="2:9">
      <c r="B19" s="65" t="s">
        <v>167</v>
      </c>
      <c r="C19" s="65"/>
      <c r="D19" s="66" t="s">
        <v>170</v>
      </c>
      <c r="E19" s="138"/>
      <c r="F19" s="65" t="s">
        <v>152</v>
      </c>
      <c r="G19" s="65"/>
      <c r="H19" s="66" t="s">
        <v>350</v>
      </c>
      <c r="I19" s="59">
        <f>E23*10%</f>
        <v>696000</v>
      </c>
    </row>
    <row r="20" spans="2:9">
      <c r="B20" s="65" t="s">
        <v>168</v>
      </c>
      <c r="C20" s="65"/>
      <c r="D20" s="66" t="s">
        <v>171</v>
      </c>
      <c r="E20" s="138"/>
      <c r="F20" s="65" t="s">
        <v>153</v>
      </c>
      <c r="G20" s="65"/>
      <c r="H20" s="66" t="s">
        <v>351</v>
      </c>
      <c r="I20" s="59">
        <f>E23*8%</f>
        <v>556800</v>
      </c>
    </row>
    <row r="21" spans="2:9">
      <c r="B21" s="65"/>
      <c r="C21" s="65"/>
      <c r="D21" s="66"/>
      <c r="E21" s="136"/>
      <c r="F21" s="65" t="s">
        <v>154</v>
      </c>
      <c r="G21" s="65"/>
      <c r="H21" s="66" t="s">
        <v>352</v>
      </c>
      <c r="I21" s="59">
        <f>E23*12%</f>
        <v>835200</v>
      </c>
    </row>
    <row r="22" spans="2:9">
      <c r="B22" s="77">
        <v>3</v>
      </c>
      <c r="C22" s="77"/>
      <c r="D22" s="78" t="s">
        <v>172</v>
      </c>
      <c r="E22" s="137">
        <f>SUM(E23:E25)</f>
        <v>6960000</v>
      </c>
      <c r="F22" s="65"/>
      <c r="G22" s="65"/>
      <c r="H22" s="66"/>
      <c r="I22" s="59"/>
    </row>
    <row r="23" spans="2:9">
      <c r="B23" s="65" t="s">
        <v>173</v>
      </c>
      <c r="C23" s="65"/>
      <c r="D23" s="66" t="s">
        <v>176</v>
      </c>
      <c r="E23" s="138">
        <f>jml_siswa*besar_dana</f>
        <v>6960000</v>
      </c>
      <c r="F23" s="65"/>
      <c r="G23" s="65"/>
      <c r="H23" s="66"/>
      <c r="I23" s="59"/>
    </row>
    <row r="24" spans="2:9">
      <c r="B24" s="65" t="s">
        <v>174</v>
      </c>
      <c r="C24" s="65"/>
      <c r="D24" s="66" t="s">
        <v>177</v>
      </c>
      <c r="E24" s="138"/>
      <c r="F24" s="65"/>
      <c r="G24" s="65"/>
      <c r="H24" s="66"/>
      <c r="I24" s="59"/>
    </row>
    <row r="25" spans="2:9">
      <c r="B25" s="65" t="s">
        <v>175</v>
      </c>
      <c r="C25" s="65"/>
      <c r="D25" s="66" t="s">
        <v>178</v>
      </c>
      <c r="E25" s="138"/>
      <c r="F25" s="65"/>
      <c r="G25" s="65"/>
      <c r="H25" s="66"/>
      <c r="I25" s="59"/>
    </row>
    <row r="26" spans="2:9">
      <c r="B26" s="65"/>
      <c r="C26" s="65"/>
      <c r="D26" s="66"/>
      <c r="E26" s="136"/>
      <c r="F26" s="65"/>
      <c r="G26" s="65"/>
      <c r="H26" s="66"/>
      <c r="I26" s="59"/>
    </row>
    <row r="27" spans="2:9">
      <c r="B27" s="77">
        <v>4</v>
      </c>
      <c r="C27" s="77"/>
      <c r="D27" s="78" t="s">
        <v>180</v>
      </c>
      <c r="E27" s="137">
        <f>SUM(E28:E31)</f>
        <v>0</v>
      </c>
      <c r="F27" s="65"/>
      <c r="G27" s="65"/>
      <c r="H27" s="66"/>
      <c r="I27" s="67"/>
    </row>
    <row r="28" spans="2:9">
      <c r="B28" s="65" t="s">
        <v>181</v>
      </c>
      <c r="C28" s="65"/>
      <c r="D28" s="66" t="s">
        <v>185</v>
      </c>
      <c r="E28" s="138"/>
      <c r="F28" s="77">
        <v>2</v>
      </c>
      <c r="G28" s="77"/>
      <c r="H28" s="78" t="s">
        <v>196</v>
      </c>
      <c r="I28" s="79">
        <f>SUM(I29:I34)</f>
        <v>0</v>
      </c>
    </row>
    <row r="29" spans="2:9">
      <c r="B29" s="65" t="s">
        <v>182</v>
      </c>
      <c r="C29" s="65"/>
      <c r="D29" s="66" t="s">
        <v>186</v>
      </c>
      <c r="E29" s="138"/>
      <c r="F29" s="65" t="s">
        <v>76</v>
      </c>
      <c r="G29" s="65"/>
      <c r="H29" s="66" t="s">
        <v>357</v>
      </c>
      <c r="I29" s="59"/>
    </row>
    <row r="30" spans="2:9">
      <c r="B30" s="65" t="s">
        <v>183</v>
      </c>
      <c r="C30" s="65"/>
      <c r="D30" s="66" t="s">
        <v>187</v>
      </c>
      <c r="E30" s="138"/>
      <c r="F30" s="65" t="s">
        <v>77</v>
      </c>
      <c r="G30" s="65"/>
      <c r="H30" s="66" t="s">
        <v>356</v>
      </c>
      <c r="I30" s="59"/>
    </row>
    <row r="31" spans="2:9">
      <c r="B31" s="65" t="s">
        <v>184</v>
      </c>
      <c r="C31" s="65"/>
      <c r="D31" s="66" t="s">
        <v>188</v>
      </c>
      <c r="E31" s="138"/>
      <c r="F31" s="65" t="s">
        <v>79</v>
      </c>
      <c r="G31" s="65"/>
      <c r="H31" s="66" t="s">
        <v>355</v>
      </c>
      <c r="I31" s="59"/>
    </row>
    <row r="32" spans="2:9">
      <c r="B32" s="65"/>
      <c r="C32" s="65"/>
      <c r="D32" s="66"/>
      <c r="E32" s="136"/>
      <c r="F32" s="117"/>
      <c r="G32" s="65"/>
      <c r="H32" s="66"/>
      <c r="I32" s="59"/>
    </row>
    <row r="33" spans="2:9">
      <c r="B33" s="77">
        <v>5</v>
      </c>
      <c r="C33" s="77"/>
      <c r="D33" s="78" t="s">
        <v>190</v>
      </c>
      <c r="E33" s="137">
        <f>SUM(E34:E36)</f>
        <v>0</v>
      </c>
      <c r="F33" s="117"/>
      <c r="G33" s="65"/>
      <c r="H33" s="66"/>
      <c r="I33" s="59"/>
    </row>
    <row r="34" spans="2:9">
      <c r="B34" s="106" t="s">
        <v>191</v>
      </c>
      <c r="C34" s="106"/>
      <c r="D34" s="31" t="s">
        <v>193</v>
      </c>
      <c r="E34" s="138"/>
      <c r="F34" s="117"/>
      <c r="G34" s="65"/>
      <c r="H34" s="66"/>
      <c r="I34" s="67"/>
    </row>
    <row r="35" spans="2:9">
      <c r="B35" s="106" t="s">
        <v>43</v>
      </c>
      <c r="C35" s="106"/>
      <c r="D35" s="31" t="s">
        <v>194</v>
      </c>
      <c r="E35" s="138"/>
      <c r="F35" s="117"/>
      <c r="G35" s="65"/>
      <c r="H35" s="66"/>
      <c r="I35" s="67"/>
    </row>
    <row r="36" spans="2:9">
      <c r="B36" s="106" t="s">
        <v>192</v>
      </c>
      <c r="C36" s="106"/>
      <c r="D36" s="31" t="s">
        <v>301</v>
      </c>
      <c r="E36" s="138"/>
      <c r="F36" s="117"/>
      <c r="G36" s="65"/>
      <c r="H36" s="66"/>
      <c r="I36" s="67"/>
    </row>
    <row r="37" spans="2:9">
      <c r="B37" s="106" t="s">
        <v>302</v>
      </c>
      <c r="C37" s="106"/>
      <c r="D37" s="31" t="s">
        <v>303</v>
      </c>
      <c r="E37" s="138"/>
      <c r="F37" s="117"/>
      <c r="G37" s="65"/>
      <c r="H37" s="66"/>
      <c r="I37" s="67"/>
    </row>
    <row r="38" spans="2:9" ht="11.25" thickBot="1">
      <c r="B38" s="80"/>
      <c r="C38" s="107"/>
      <c r="D38" s="34"/>
      <c r="E38" s="139"/>
      <c r="F38" s="118"/>
      <c r="G38" s="80"/>
      <c r="H38" s="81"/>
      <c r="I38" s="82"/>
    </row>
    <row r="39" spans="2:9" s="84" customFormat="1" ht="12" thickTop="1" thickBot="1">
      <c r="B39" s="83"/>
      <c r="C39" s="83"/>
      <c r="D39" s="83" t="s">
        <v>195</v>
      </c>
      <c r="E39" s="140">
        <f>E13+E15+E22+E27+E33</f>
        <v>6960000</v>
      </c>
      <c r="F39" s="132"/>
      <c r="G39" s="83"/>
      <c r="H39" s="83" t="s">
        <v>199</v>
      </c>
      <c r="I39" s="129">
        <f>I13+I28</f>
        <v>6960000</v>
      </c>
    </row>
    <row r="40" spans="2:9" ht="11.25" thickTop="1"/>
    <row r="41" spans="2:9" s="209" customFormat="1" ht="12.75">
      <c r="C41" s="248" t="s">
        <v>143</v>
      </c>
      <c r="E41" s="248" t="s">
        <v>201</v>
      </c>
      <c r="H41" s="248" t="s">
        <v>202</v>
      </c>
    </row>
    <row r="42" spans="2:9" s="209" customFormat="1" ht="12.75">
      <c r="C42" s="248" t="s">
        <v>200</v>
      </c>
      <c r="E42" s="248" t="s">
        <v>144</v>
      </c>
      <c r="H42" s="248" t="s">
        <v>203</v>
      </c>
    </row>
    <row r="43" spans="2:9" s="209" customFormat="1" ht="12.75">
      <c r="C43" s="248"/>
      <c r="E43" s="248"/>
      <c r="H43" s="248"/>
    </row>
    <row r="44" spans="2:9" s="209" customFormat="1" ht="12.75">
      <c r="C44" s="248"/>
      <c r="E44" s="248"/>
      <c r="H44" s="248"/>
    </row>
    <row r="45" spans="2:9" s="209" customFormat="1" ht="12.75">
      <c r="C45" s="249" t="str">
        <f>IF(AND(nama_sekolah&lt;&gt;"",nama_bend&lt;&gt;"",nama_ks&lt;&gt;"",nama_ket_komite&lt;&gt;""),UPPER(nama_ket_komite),"(.......................................)")</f>
        <v>SUMARYO</v>
      </c>
      <c r="E45" s="249" t="str">
        <f>IF(nama_ks&lt;&gt;"",UPPER(nama_ks),"(........................................)")</f>
        <v>EKO WAHYONO, S.PD., M.M.</v>
      </c>
      <c r="H45" s="249" t="str">
        <f>IF(nama_bend&lt;&gt;"",UPPER(nama_bend),"(.................................)")</f>
        <v>MISMUN, S.PD.I.</v>
      </c>
    </row>
    <row r="46" spans="2:9" s="209" customFormat="1" ht="12.75">
      <c r="E46" s="250" t="str">
        <f>"NIP "&amp;IF(nip_ks&lt;&gt;"",nip_ks,"....................................")</f>
        <v>NIP 19650321 198608 1 001</v>
      </c>
      <c r="H46" s="250" t="str">
        <f>"NIP "&amp;IF(nip_bend&lt;&gt;"",nip_bend,"....................................")</f>
        <v>NIP 19540212 198304 1 001</v>
      </c>
    </row>
    <row r="47" spans="2:9"/>
    <row r="48" spans="2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</sheetData>
  <sheetProtection password="CAE2" sheet="1" objects="1" scenarios="1" selectLockedCells="1"/>
  <mergeCells count="7">
    <mergeCell ref="B10:E10"/>
    <mergeCell ref="F10:I10"/>
    <mergeCell ref="B2:I2"/>
    <mergeCell ref="B3:I3"/>
    <mergeCell ref="H6:I6"/>
    <mergeCell ref="H7:I7"/>
    <mergeCell ref="H8:I8"/>
  </mergeCells>
  <conditionalFormatting sqref="I39">
    <cfRule type="cellIs" dxfId="6" priority="1" operator="equal">
      <formula>$E$39</formula>
    </cfRule>
  </conditionalFormatting>
  <pageMargins left="0.59055118110236227" right="1.3779527559055118" top="0.59055118110236227" bottom="0.59055118110236227" header="0.39370078740157483" footer="0.39370078740157483"/>
  <pageSetup paperSize="5" orientation="landscape" horizontalDpi="4294967293" verticalDpi="0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2:L287"/>
  <sheetViews>
    <sheetView showGridLines="0" showRowColHeaders="0" showZeros="0" topLeftCell="A12" workbookViewId="0">
      <pane xSplit="11" ySplit="4" topLeftCell="L16" activePane="bottomRight" state="frozen"/>
      <selection activeCell="A12" sqref="A12"/>
      <selection pane="topRight" activeCell="L12" sqref="L12"/>
      <selection pane="bottomLeft" activeCell="A16" sqref="A16"/>
      <selection pane="bottomRight" activeCell="A16" sqref="A16"/>
    </sheetView>
  </sheetViews>
  <sheetFormatPr defaultColWidth="0" defaultRowHeight="10.5"/>
  <cols>
    <col min="1" max="1" width="1.7109375" style="174" customWidth="1"/>
    <col min="2" max="3" width="8.7109375" style="174" customWidth="1"/>
    <col min="4" max="4" width="12.7109375" style="174" customWidth="1"/>
    <col min="5" max="5" width="44.7109375" style="174" customWidth="1"/>
    <col min="6" max="6" width="14.7109375" style="174" customWidth="1"/>
    <col min="7" max="10" width="10.7109375" style="174" customWidth="1"/>
    <col min="11" max="11" width="16.7109375" style="174" customWidth="1"/>
    <col min="12" max="12" width="1.7109375" style="174" customWidth="1"/>
    <col min="13" max="16384" width="9.140625" style="174" hidden="1"/>
  </cols>
  <sheetData>
    <row r="2" spans="2:11" s="172" customFormat="1" ht="15">
      <c r="B2" s="344" t="s">
        <v>207</v>
      </c>
      <c r="C2" s="344"/>
      <c r="D2" s="344"/>
      <c r="E2" s="344"/>
      <c r="F2" s="344"/>
      <c r="G2" s="344"/>
      <c r="H2" s="344"/>
      <c r="I2" s="344"/>
      <c r="J2" s="344"/>
      <c r="K2" s="344"/>
    </row>
    <row r="3" spans="2:11" s="172" customFormat="1" ht="15">
      <c r="B3" s="344" t="str">
        <f>"TAHUN ANGGARAN "&amp;tahun_anggaran</f>
        <v>TAHUN ANGGARAN 2013</v>
      </c>
      <c r="C3" s="344"/>
      <c r="D3" s="344"/>
      <c r="E3" s="344"/>
      <c r="F3" s="344"/>
      <c r="G3" s="344"/>
      <c r="H3" s="344"/>
      <c r="I3" s="344"/>
      <c r="J3" s="344"/>
      <c r="K3" s="344"/>
    </row>
    <row r="5" spans="2:11" s="173" customFormat="1" ht="12.75">
      <c r="B5" s="345" t="s">
        <v>53</v>
      </c>
      <c r="C5" s="345"/>
      <c r="D5" s="345" t="str">
        <f>": "&amp;IF(nama_sekolah&lt;&gt;"",UPPER(nama_sekolah),"")</f>
        <v>: SD NEGERI 3 SLATRI</v>
      </c>
      <c r="E5" s="345"/>
    </row>
    <row r="6" spans="2:11" s="173" customFormat="1" ht="12.75">
      <c r="B6" s="345" t="s">
        <v>208</v>
      </c>
      <c r="C6" s="345"/>
      <c r="D6" s="345" t="str">
        <f>": "&amp;IF(desa_kel&lt;&gt;"",UPPER(desa_kel),"")</f>
        <v>: SLATRI</v>
      </c>
      <c r="E6" s="345"/>
    </row>
    <row r="7" spans="2:11" s="173" customFormat="1" ht="12.75">
      <c r="B7" s="345" t="s">
        <v>8</v>
      </c>
      <c r="C7" s="345"/>
      <c r="D7" s="345" t="str">
        <f>": "&amp;IF(kec&lt;&gt;"",UPPER(kec),"")</f>
        <v>: KARANGKOBAR</v>
      </c>
      <c r="E7" s="345"/>
    </row>
    <row r="8" spans="2:11" s="173" customFormat="1" ht="12.75">
      <c r="B8" s="345" t="s">
        <v>157</v>
      </c>
      <c r="C8" s="345"/>
      <c r="D8" s="345" t="str">
        <f>": "&amp;IF(kab_kota&lt;&gt;"",UPPER(kab_kota),"")</f>
        <v>: KAB. BANJARNEGARA</v>
      </c>
      <c r="E8" s="345"/>
    </row>
    <row r="9" spans="2:11" s="173" customFormat="1" ht="12.75">
      <c r="B9" s="345" t="s">
        <v>10</v>
      </c>
      <c r="C9" s="345"/>
      <c r="D9" s="345" t="str">
        <f>": "&amp;IF(provinsi&lt;&gt;"",UPPER(provinsi),"")</f>
        <v>: JAWA TENGAH</v>
      </c>
      <c r="E9" s="345"/>
    </row>
    <row r="10" spans="2:11" s="173" customFormat="1" ht="12.75">
      <c r="B10" s="345"/>
      <c r="C10" s="345"/>
      <c r="D10" s="345"/>
      <c r="E10" s="345"/>
    </row>
    <row r="11" spans="2:11" s="173" customFormat="1" ht="12.75">
      <c r="B11" s="345" t="s">
        <v>209</v>
      </c>
      <c r="C11" s="345"/>
      <c r="D11" s="345" t="s">
        <v>287</v>
      </c>
      <c r="E11" s="345"/>
    </row>
    <row r="12" spans="2:11" ht="11.25" thickBot="1"/>
    <row r="13" spans="2:11" s="38" customFormat="1" ht="11.25" thickTop="1">
      <c r="B13" s="346" t="s">
        <v>210</v>
      </c>
      <c r="C13" s="346" t="s">
        <v>211</v>
      </c>
      <c r="D13" s="346" t="s">
        <v>212</v>
      </c>
      <c r="E13" s="346" t="s">
        <v>140</v>
      </c>
      <c r="F13" s="346" t="s">
        <v>57</v>
      </c>
      <c r="G13" s="346" t="s">
        <v>22</v>
      </c>
      <c r="H13" s="346"/>
      <c r="I13" s="346"/>
      <c r="J13" s="346"/>
      <c r="K13" s="346" t="s">
        <v>213</v>
      </c>
    </row>
    <row r="14" spans="2:11" s="38" customFormat="1">
      <c r="B14" s="347"/>
      <c r="C14" s="347"/>
      <c r="D14" s="347"/>
      <c r="E14" s="347"/>
      <c r="F14" s="347"/>
      <c r="G14" s="153" t="s">
        <v>69</v>
      </c>
      <c r="H14" s="153" t="s">
        <v>71</v>
      </c>
      <c r="I14" s="153" t="s">
        <v>82</v>
      </c>
      <c r="J14" s="153" t="s">
        <v>179</v>
      </c>
      <c r="K14" s="347"/>
    </row>
    <row r="15" spans="2:11" s="61" customFormat="1" ht="11.25" thickBot="1">
      <c r="B15" s="60" t="s">
        <v>64</v>
      </c>
      <c r="C15" s="60" t="s">
        <v>65</v>
      </c>
      <c r="D15" s="60" t="s">
        <v>66</v>
      </c>
      <c r="E15" s="60" t="s">
        <v>67</v>
      </c>
      <c r="F15" s="60" t="s">
        <v>68</v>
      </c>
      <c r="G15" s="60" t="s">
        <v>160</v>
      </c>
      <c r="H15" s="60" t="s">
        <v>161</v>
      </c>
      <c r="I15" s="60" t="s">
        <v>162</v>
      </c>
      <c r="J15" s="60" t="s">
        <v>214</v>
      </c>
      <c r="K15" s="60" t="s">
        <v>215</v>
      </c>
    </row>
    <row r="16" spans="2:11" s="268" customFormat="1" ht="11.25" thickTop="1">
      <c r="B16" s="265"/>
      <c r="C16" s="265" t="s">
        <v>674</v>
      </c>
      <c r="D16" s="265"/>
      <c r="E16" s="266" t="s">
        <v>70</v>
      </c>
      <c r="F16" s="202">
        <f>SUM(G16:J16)</f>
        <v>6960000</v>
      </c>
      <c r="G16" s="267">
        <f>jml_siswa*besar_dana</f>
        <v>6960000</v>
      </c>
      <c r="H16" s="267"/>
      <c r="I16" s="267"/>
      <c r="J16" s="267"/>
      <c r="K16" s="265"/>
    </row>
    <row r="17" spans="2:11" s="61" customFormat="1">
      <c r="B17" s="200"/>
      <c r="C17" s="200"/>
      <c r="D17" s="200"/>
      <c r="E17" s="201"/>
      <c r="F17" s="203"/>
      <c r="G17" s="203"/>
      <c r="H17" s="203"/>
      <c r="I17" s="203"/>
      <c r="J17" s="203"/>
      <c r="K17" s="200"/>
    </row>
    <row r="18" spans="2:11" s="63" customFormat="1">
      <c r="B18" s="205"/>
      <c r="C18" s="206" t="s">
        <v>675</v>
      </c>
      <c r="D18" s="205"/>
      <c r="E18" s="207" t="s">
        <v>676</v>
      </c>
      <c r="F18" s="208">
        <f>G18+H18+I18+J18</f>
        <v>0</v>
      </c>
      <c r="G18" s="208"/>
      <c r="H18" s="208"/>
      <c r="I18" s="208"/>
      <c r="J18" s="208"/>
      <c r="K18" s="205"/>
    </row>
    <row r="19" spans="2:11">
      <c r="B19" s="175"/>
      <c r="C19" s="110" t="s">
        <v>69</v>
      </c>
      <c r="D19" s="110"/>
      <c r="E19" s="113" t="s">
        <v>73</v>
      </c>
      <c r="F19" s="187"/>
      <c r="G19" s="195"/>
      <c r="H19" s="187"/>
      <c r="I19" s="187"/>
      <c r="J19" s="187"/>
      <c r="K19" s="175"/>
    </row>
    <row r="20" spans="2:11" s="63" customFormat="1">
      <c r="B20" s="179"/>
      <c r="C20" s="149">
        <v>1</v>
      </c>
      <c r="D20" s="149"/>
      <c r="E20" s="150" t="s">
        <v>216</v>
      </c>
      <c r="F20" s="188">
        <f>SUM(F21:F28)</f>
        <v>0</v>
      </c>
      <c r="G20" s="188">
        <f t="shared" ref="G20:J20" si="0">SUM(G21:G28)</f>
        <v>0</v>
      </c>
      <c r="H20" s="188">
        <f t="shared" si="0"/>
        <v>0</v>
      </c>
      <c r="I20" s="188">
        <f t="shared" si="0"/>
        <v>0</v>
      </c>
      <c r="J20" s="188">
        <f t="shared" si="0"/>
        <v>0</v>
      </c>
      <c r="K20" s="180"/>
    </row>
    <row r="21" spans="2:11" s="212" customFormat="1">
      <c r="B21" s="214"/>
      <c r="C21" s="161" t="s">
        <v>217</v>
      </c>
      <c r="D21" s="161"/>
      <c r="E21" s="162" t="s">
        <v>218</v>
      </c>
      <c r="F21" s="189">
        <f>SUM(G21:J21)</f>
        <v>0</v>
      </c>
      <c r="G21" s="269"/>
      <c r="H21" s="215"/>
      <c r="I21" s="215"/>
      <c r="J21" s="215"/>
      <c r="K21" s="214"/>
    </row>
    <row r="22" spans="2:11" s="212" customFormat="1">
      <c r="B22" s="214"/>
      <c r="C22" s="161" t="s">
        <v>304</v>
      </c>
      <c r="D22" s="161"/>
      <c r="E22" s="162" t="s">
        <v>305</v>
      </c>
      <c r="F22" s="189">
        <f t="shared" ref="F22:F28" si="1">SUM(G22:J22)</f>
        <v>0</v>
      </c>
      <c r="G22" s="269"/>
      <c r="H22" s="215"/>
      <c r="I22" s="215"/>
      <c r="J22" s="215"/>
      <c r="K22" s="214"/>
    </row>
    <row r="23" spans="2:11" s="212" customFormat="1">
      <c r="B23" s="214"/>
      <c r="C23" s="161" t="s">
        <v>306</v>
      </c>
      <c r="D23" s="161"/>
      <c r="E23" s="162" t="s">
        <v>320</v>
      </c>
      <c r="F23" s="189">
        <f t="shared" si="1"/>
        <v>0</v>
      </c>
      <c r="G23" s="269"/>
      <c r="H23" s="215"/>
      <c r="I23" s="215"/>
      <c r="J23" s="215"/>
      <c r="K23" s="214"/>
    </row>
    <row r="24" spans="2:11" s="212" customFormat="1">
      <c r="B24" s="214"/>
      <c r="C24" s="161" t="s">
        <v>307</v>
      </c>
      <c r="D24" s="161"/>
      <c r="E24" s="162" t="s">
        <v>321</v>
      </c>
      <c r="F24" s="189">
        <f t="shared" si="1"/>
        <v>0</v>
      </c>
      <c r="G24" s="269"/>
      <c r="H24" s="215"/>
      <c r="I24" s="215"/>
      <c r="J24" s="215"/>
      <c r="K24" s="214"/>
    </row>
    <row r="25" spans="2:11" s="212" customFormat="1">
      <c r="B25" s="214"/>
      <c r="C25" s="161" t="s">
        <v>308</v>
      </c>
      <c r="D25" s="161"/>
      <c r="E25" s="162" t="s">
        <v>322</v>
      </c>
      <c r="F25" s="189">
        <f t="shared" si="1"/>
        <v>0</v>
      </c>
      <c r="G25" s="269"/>
      <c r="H25" s="215"/>
      <c r="I25" s="215"/>
      <c r="J25" s="215"/>
      <c r="K25" s="214"/>
    </row>
    <row r="26" spans="2:11" s="212" customFormat="1">
      <c r="B26" s="214"/>
      <c r="C26" s="161" t="s">
        <v>371</v>
      </c>
      <c r="D26" s="161"/>
      <c r="E26" s="162" t="s">
        <v>372</v>
      </c>
      <c r="F26" s="189">
        <f t="shared" si="1"/>
        <v>0</v>
      </c>
      <c r="G26" s="269"/>
      <c r="H26" s="215"/>
      <c r="I26" s="215"/>
      <c r="J26" s="215"/>
      <c r="K26" s="214"/>
    </row>
    <row r="27" spans="2:11" s="212" customFormat="1">
      <c r="B27" s="214"/>
      <c r="C27" s="161" t="s">
        <v>463</v>
      </c>
      <c r="D27" s="161"/>
      <c r="E27" s="162" t="s">
        <v>620</v>
      </c>
      <c r="F27" s="189">
        <f t="shared" si="1"/>
        <v>0</v>
      </c>
      <c r="G27" s="269"/>
      <c r="H27" s="215"/>
      <c r="I27" s="215"/>
      <c r="J27" s="215"/>
      <c r="K27" s="214"/>
    </row>
    <row r="28" spans="2:11" s="212" customFormat="1">
      <c r="B28" s="214"/>
      <c r="C28" s="161" t="s">
        <v>619</v>
      </c>
      <c r="D28" s="161"/>
      <c r="E28" s="162" t="s">
        <v>620</v>
      </c>
      <c r="F28" s="189">
        <f t="shared" si="1"/>
        <v>0</v>
      </c>
      <c r="G28" s="269"/>
      <c r="H28" s="215"/>
      <c r="I28" s="215"/>
      <c r="J28" s="215"/>
      <c r="K28" s="214"/>
    </row>
    <row r="29" spans="2:11" s="63" customFormat="1">
      <c r="B29" s="179"/>
      <c r="C29" s="149">
        <v>2</v>
      </c>
      <c r="D29" s="149"/>
      <c r="E29" s="150" t="s">
        <v>309</v>
      </c>
      <c r="F29" s="188">
        <f>SUM(F30:F38)</f>
        <v>555000</v>
      </c>
      <c r="G29" s="188">
        <f t="shared" ref="G29:J29" si="2">SUM(G30:G38)</f>
        <v>555000</v>
      </c>
      <c r="H29" s="188">
        <f t="shared" si="2"/>
        <v>0</v>
      </c>
      <c r="I29" s="188">
        <f t="shared" si="2"/>
        <v>0</v>
      </c>
      <c r="J29" s="188">
        <f t="shared" si="2"/>
        <v>0</v>
      </c>
      <c r="K29" s="180"/>
    </row>
    <row r="30" spans="2:11" s="212" customFormat="1">
      <c r="B30" s="214"/>
      <c r="C30" s="161" t="s">
        <v>76</v>
      </c>
      <c r="D30" s="161"/>
      <c r="E30" s="162" t="s">
        <v>310</v>
      </c>
      <c r="F30" s="189">
        <f>SUM(G30:J30)</f>
        <v>25000</v>
      </c>
      <c r="G30" s="269">
        <f>1*25000</f>
        <v>25000</v>
      </c>
      <c r="H30" s="215"/>
      <c r="I30" s="215"/>
      <c r="J30" s="215"/>
      <c r="K30" s="214"/>
    </row>
    <row r="31" spans="2:11" s="212" customFormat="1">
      <c r="B31" s="214"/>
      <c r="C31" s="161" t="s">
        <v>77</v>
      </c>
      <c r="D31" s="161"/>
      <c r="E31" s="162" t="s">
        <v>311</v>
      </c>
      <c r="F31" s="189">
        <f t="shared" ref="F31:F38" si="3">SUM(G31:J31)</f>
        <v>90000</v>
      </c>
      <c r="G31" s="269">
        <f>6*15000</f>
        <v>90000</v>
      </c>
      <c r="H31" s="215"/>
      <c r="I31" s="215"/>
      <c r="J31" s="215"/>
      <c r="K31" s="214"/>
    </row>
    <row r="32" spans="2:11" s="212" customFormat="1">
      <c r="B32" s="214"/>
      <c r="C32" s="161" t="s">
        <v>79</v>
      </c>
      <c r="D32" s="161"/>
      <c r="E32" s="162" t="s">
        <v>312</v>
      </c>
      <c r="F32" s="189">
        <f t="shared" si="3"/>
        <v>90000</v>
      </c>
      <c r="G32" s="269">
        <f>6*15000</f>
        <v>90000</v>
      </c>
      <c r="H32" s="215"/>
      <c r="I32" s="215"/>
      <c r="J32" s="215"/>
      <c r="K32" s="214"/>
    </row>
    <row r="33" spans="2:11" s="212" customFormat="1">
      <c r="B33" s="214"/>
      <c r="C33" s="161" t="s">
        <v>167</v>
      </c>
      <c r="D33" s="161"/>
      <c r="E33" s="162" t="s">
        <v>313</v>
      </c>
      <c r="F33" s="189">
        <f t="shared" si="3"/>
        <v>175000</v>
      </c>
      <c r="G33" s="269">
        <f>7*25000</f>
        <v>175000</v>
      </c>
      <c r="H33" s="215"/>
      <c r="I33" s="215"/>
      <c r="J33" s="215"/>
      <c r="K33" s="214"/>
    </row>
    <row r="34" spans="2:11" s="212" customFormat="1">
      <c r="B34" s="214"/>
      <c r="C34" s="161" t="s">
        <v>168</v>
      </c>
      <c r="D34" s="161"/>
      <c r="E34" s="162" t="s">
        <v>314</v>
      </c>
      <c r="F34" s="189">
        <f t="shared" si="3"/>
        <v>175000</v>
      </c>
      <c r="G34" s="269">
        <f>7*25000</f>
        <v>175000</v>
      </c>
      <c r="H34" s="215"/>
      <c r="I34" s="215"/>
      <c r="J34" s="215"/>
      <c r="K34" s="214"/>
    </row>
    <row r="35" spans="2:11" s="212" customFormat="1">
      <c r="B35" s="214"/>
      <c r="C35" s="161" t="s">
        <v>315</v>
      </c>
      <c r="D35" s="161"/>
      <c r="E35" s="162" t="s">
        <v>316</v>
      </c>
      <c r="F35" s="189">
        <f t="shared" si="3"/>
        <v>0</v>
      </c>
      <c r="G35" s="269"/>
      <c r="H35" s="215"/>
      <c r="I35" s="215"/>
      <c r="J35" s="215"/>
      <c r="K35" s="214"/>
    </row>
    <row r="36" spans="2:11" s="212" customFormat="1">
      <c r="B36" s="214"/>
      <c r="C36" s="161" t="s">
        <v>317</v>
      </c>
      <c r="D36" s="161"/>
      <c r="E36" s="162" t="s">
        <v>318</v>
      </c>
      <c r="F36" s="189">
        <f t="shared" si="3"/>
        <v>0</v>
      </c>
      <c r="G36" s="269"/>
      <c r="H36" s="215"/>
      <c r="I36" s="215"/>
      <c r="J36" s="215"/>
      <c r="K36" s="214"/>
    </row>
    <row r="37" spans="2:11" s="212" customFormat="1">
      <c r="B37" s="214"/>
      <c r="C37" s="161" t="s">
        <v>319</v>
      </c>
      <c r="D37" s="161"/>
      <c r="E37" s="162" t="s">
        <v>622</v>
      </c>
      <c r="F37" s="189">
        <f t="shared" si="3"/>
        <v>0</v>
      </c>
      <c r="G37" s="269"/>
      <c r="H37" s="215"/>
      <c r="I37" s="215"/>
      <c r="J37" s="215"/>
      <c r="K37" s="214"/>
    </row>
    <row r="38" spans="2:11" s="212" customFormat="1">
      <c r="B38" s="214"/>
      <c r="C38" s="161" t="s">
        <v>621</v>
      </c>
      <c r="D38" s="161"/>
      <c r="E38" s="162" t="s">
        <v>622</v>
      </c>
      <c r="F38" s="189">
        <f t="shared" si="3"/>
        <v>0</v>
      </c>
      <c r="G38" s="269"/>
      <c r="H38" s="215"/>
      <c r="I38" s="215"/>
      <c r="J38" s="215"/>
      <c r="K38" s="214"/>
    </row>
    <row r="39" spans="2:11" s="63" customFormat="1">
      <c r="B39" s="179"/>
      <c r="C39" s="149">
        <v>3</v>
      </c>
      <c r="D39" s="149"/>
      <c r="E39" s="150" t="s">
        <v>323</v>
      </c>
      <c r="F39" s="188">
        <f>F40+F54+F62</f>
        <v>2216000</v>
      </c>
      <c r="G39" s="196">
        <f t="shared" ref="G39" si="4">G40+G54+G62</f>
        <v>2216000</v>
      </c>
      <c r="H39" s="188"/>
      <c r="I39" s="188"/>
      <c r="J39" s="188"/>
      <c r="K39" s="179"/>
    </row>
    <row r="40" spans="2:11">
      <c r="B40" s="176"/>
      <c r="C40" s="115" t="s">
        <v>173</v>
      </c>
      <c r="D40" s="115"/>
      <c r="E40" s="116" t="s">
        <v>324</v>
      </c>
      <c r="F40" s="190">
        <f>F41+F48</f>
        <v>581000</v>
      </c>
      <c r="G40" s="197">
        <f t="shared" ref="G40" si="5">G41+G48</f>
        <v>581000</v>
      </c>
      <c r="H40" s="190"/>
      <c r="I40" s="190"/>
      <c r="J40" s="190"/>
      <c r="K40" s="176"/>
    </row>
    <row r="41" spans="2:11">
      <c r="B41" s="177"/>
      <c r="C41" s="141" t="s">
        <v>325</v>
      </c>
      <c r="D41" s="141"/>
      <c r="E41" s="142" t="s">
        <v>326</v>
      </c>
      <c r="F41" s="191">
        <f>SUM(F42:F47)</f>
        <v>401000</v>
      </c>
      <c r="G41" s="198">
        <f t="shared" ref="G41" si="6">SUM(G42:G47)</f>
        <v>401000</v>
      </c>
      <c r="H41" s="191"/>
      <c r="I41" s="191"/>
      <c r="J41" s="191"/>
      <c r="K41" s="177"/>
    </row>
    <row r="42" spans="2:11" s="212" customFormat="1">
      <c r="B42" s="214"/>
      <c r="C42" s="161"/>
      <c r="D42" s="161"/>
      <c r="E42" s="162" t="s">
        <v>328</v>
      </c>
      <c r="F42" s="189">
        <f>SUM(G42:J42)</f>
        <v>216000</v>
      </c>
      <c r="G42" s="269">
        <f>72*3000</f>
        <v>216000</v>
      </c>
      <c r="H42" s="215"/>
      <c r="I42" s="215"/>
      <c r="J42" s="215"/>
      <c r="K42" s="214"/>
    </row>
    <row r="43" spans="2:11" s="212" customFormat="1">
      <c r="B43" s="214"/>
      <c r="C43" s="161"/>
      <c r="D43" s="161"/>
      <c r="E43" s="162" t="s">
        <v>329</v>
      </c>
      <c r="F43" s="189">
        <f t="shared" ref="F43:F47" si="7">SUM(G43:J43)</f>
        <v>30000</v>
      </c>
      <c r="G43" s="269">
        <f>12*2500</f>
        <v>30000</v>
      </c>
      <c r="H43" s="215"/>
      <c r="I43" s="215"/>
      <c r="J43" s="215"/>
      <c r="K43" s="214"/>
    </row>
    <row r="44" spans="2:11" s="212" customFormat="1">
      <c r="B44" s="214"/>
      <c r="C44" s="161"/>
      <c r="D44" s="161"/>
      <c r="E44" s="162" t="s">
        <v>330</v>
      </c>
      <c r="F44" s="189">
        <f t="shared" si="7"/>
        <v>35000</v>
      </c>
      <c r="G44" s="269">
        <f>10*3500</f>
        <v>35000</v>
      </c>
      <c r="H44" s="215"/>
      <c r="I44" s="215"/>
      <c r="J44" s="215"/>
      <c r="K44" s="214"/>
    </row>
    <row r="45" spans="2:11" s="212" customFormat="1">
      <c r="B45" s="214"/>
      <c r="C45" s="161"/>
      <c r="D45" s="161"/>
      <c r="E45" s="162" t="s">
        <v>334</v>
      </c>
      <c r="F45" s="189">
        <f t="shared" si="7"/>
        <v>60000</v>
      </c>
      <c r="G45" s="269">
        <f>6*10000</f>
        <v>60000</v>
      </c>
      <c r="H45" s="215"/>
      <c r="I45" s="215"/>
      <c r="J45" s="215"/>
      <c r="K45" s="214"/>
    </row>
    <row r="46" spans="2:11" s="212" customFormat="1">
      <c r="B46" s="214"/>
      <c r="C46" s="161"/>
      <c r="D46" s="161"/>
      <c r="E46" s="162" t="s">
        <v>335</v>
      </c>
      <c r="F46" s="189">
        <f t="shared" si="7"/>
        <v>60000</v>
      </c>
      <c r="G46" s="269">
        <f>6*10000</f>
        <v>60000</v>
      </c>
      <c r="H46" s="215"/>
      <c r="I46" s="215"/>
      <c r="J46" s="215"/>
      <c r="K46" s="214"/>
    </row>
    <row r="47" spans="2:11" s="212" customFormat="1">
      <c r="B47" s="214"/>
      <c r="C47" s="161"/>
      <c r="D47" s="161"/>
      <c r="E47" s="162" t="s">
        <v>264</v>
      </c>
      <c r="F47" s="189">
        <f t="shared" si="7"/>
        <v>0</v>
      </c>
      <c r="G47" s="269"/>
      <c r="H47" s="215"/>
      <c r="I47" s="215"/>
      <c r="J47" s="215"/>
      <c r="K47" s="214"/>
    </row>
    <row r="48" spans="2:11">
      <c r="B48" s="177"/>
      <c r="C48" s="141" t="s">
        <v>327</v>
      </c>
      <c r="D48" s="141"/>
      <c r="E48" s="142" t="s">
        <v>333</v>
      </c>
      <c r="F48" s="191">
        <f>SUM(F49:F53)</f>
        <v>180000</v>
      </c>
      <c r="G48" s="198">
        <f t="shared" ref="G48" si="8">SUM(G49:G53)</f>
        <v>180000</v>
      </c>
      <c r="H48" s="191"/>
      <c r="I48" s="191"/>
      <c r="J48" s="191"/>
      <c r="K48" s="177"/>
    </row>
    <row r="49" spans="2:11" s="212" customFormat="1">
      <c r="B49" s="214"/>
      <c r="C49" s="161"/>
      <c r="D49" s="161"/>
      <c r="E49" s="162" t="s">
        <v>331</v>
      </c>
      <c r="F49" s="189">
        <f>SUM(G49:J49)</f>
        <v>50000</v>
      </c>
      <c r="G49" s="269">
        <f>5*10000</f>
        <v>50000</v>
      </c>
      <c r="H49" s="215"/>
      <c r="I49" s="215"/>
      <c r="J49" s="215"/>
      <c r="K49" s="214"/>
    </row>
    <row r="50" spans="2:11" s="212" customFormat="1">
      <c r="B50" s="214"/>
      <c r="C50" s="161"/>
      <c r="D50" s="161"/>
      <c r="E50" s="162" t="s">
        <v>332</v>
      </c>
      <c r="F50" s="189">
        <f>SUM(G50:J50)</f>
        <v>30000</v>
      </c>
      <c r="G50" s="269">
        <f>3*10000</f>
        <v>30000</v>
      </c>
      <c r="H50" s="215"/>
      <c r="I50" s="215"/>
      <c r="J50" s="215"/>
      <c r="K50" s="214"/>
    </row>
    <row r="51" spans="2:11" s="212" customFormat="1">
      <c r="B51" s="214"/>
      <c r="C51" s="161"/>
      <c r="D51" s="161"/>
      <c r="E51" s="162" t="s">
        <v>336</v>
      </c>
      <c r="F51" s="189">
        <f t="shared" ref="F51:F53" si="9">SUM(G51:J51)</f>
        <v>40000</v>
      </c>
      <c r="G51" s="269">
        <f>20*2000</f>
        <v>40000</v>
      </c>
      <c r="H51" s="215"/>
      <c r="I51" s="215"/>
      <c r="J51" s="215"/>
      <c r="K51" s="214"/>
    </row>
    <row r="52" spans="2:11" s="212" customFormat="1">
      <c r="B52" s="214"/>
      <c r="C52" s="161"/>
      <c r="D52" s="161"/>
      <c r="E52" s="162" t="s">
        <v>337</v>
      </c>
      <c r="F52" s="189">
        <f t="shared" si="9"/>
        <v>60000</v>
      </c>
      <c r="G52" s="269">
        <f>6*10000</f>
        <v>60000</v>
      </c>
      <c r="H52" s="215"/>
      <c r="I52" s="215"/>
      <c r="J52" s="215"/>
      <c r="K52" s="214"/>
    </row>
    <row r="53" spans="2:11" s="212" customFormat="1">
      <c r="B53" s="214"/>
      <c r="C53" s="161"/>
      <c r="D53" s="161"/>
      <c r="E53" s="162" t="s">
        <v>264</v>
      </c>
      <c r="F53" s="189">
        <f t="shared" si="9"/>
        <v>0</v>
      </c>
      <c r="G53" s="269"/>
      <c r="H53" s="215"/>
      <c r="I53" s="215"/>
      <c r="J53" s="215"/>
      <c r="K53" s="214"/>
    </row>
    <row r="54" spans="2:11">
      <c r="B54" s="176"/>
      <c r="C54" s="115" t="s">
        <v>174</v>
      </c>
      <c r="D54" s="115"/>
      <c r="E54" s="116" t="s">
        <v>338</v>
      </c>
      <c r="F54" s="190">
        <f>F55+F57</f>
        <v>0</v>
      </c>
      <c r="G54" s="190">
        <f t="shared" ref="G54:J54" si="10">G55+G57</f>
        <v>0</v>
      </c>
      <c r="H54" s="190">
        <f t="shared" si="10"/>
        <v>0</v>
      </c>
      <c r="I54" s="190">
        <f t="shared" si="10"/>
        <v>0</v>
      </c>
      <c r="J54" s="190">
        <f t="shared" si="10"/>
        <v>0</v>
      </c>
      <c r="K54" s="176"/>
    </row>
    <row r="55" spans="2:11">
      <c r="B55" s="177"/>
      <c r="C55" s="141" t="s">
        <v>339</v>
      </c>
      <c r="D55" s="141"/>
      <c r="E55" s="142" t="s">
        <v>340</v>
      </c>
      <c r="F55" s="191">
        <f>F56</f>
        <v>0</v>
      </c>
      <c r="G55" s="191">
        <f t="shared" ref="G55:J55" si="11">G56</f>
        <v>0</v>
      </c>
      <c r="H55" s="191">
        <f t="shared" si="11"/>
        <v>0</v>
      </c>
      <c r="I55" s="191">
        <f t="shared" si="11"/>
        <v>0</v>
      </c>
      <c r="J55" s="191">
        <f t="shared" si="11"/>
        <v>0</v>
      </c>
      <c r="K55" s="177"/>
    </row>
    <row r="56" spans="2:11" s="212" customFormat="1">
      <c r="B56" s="214"/>
      <c r="C56" s="161"/>
      <c r="D56" s="161"/>
      <c r="E56" s="162" t="s">
        <v>361</v>
      </c>
      <c r="F56" s="189">
        <f>SUM(G56:J56)</f>
        <v>0</v>
      </c>
      <c r="G56" s="269"/>
      <c r="H56" s="215"/>
      <c r="I56" s="215"/>
      <c r="J56" s="215"/>
      <c r="K56" s="214"/>
    </row>
    <row r="57" spans="2:11">
      <c r="B57" s="177"/>
      <c r="C57" s="141" t="s">
        <v>358</v>
      </c>
      <c r="D57" s="141"/>
      <c r="E57" s="142" t="s">
        <v>359</v>
      </c>
      <c r="F57" s="191">
        <f>SUM(F58:F61)</f>
        <v>0</v>
      </c>
      <c r="G57" s="198">
        <f t="shared" ref="G57" si="12">SUM(G58:G61)</f>
        <v>0</v>
      </c>
      <c r="H57" s="191"/>
      <c r="I57" s="191"/>
      <c r="J57" s="191"/>
      <c r="K57" s="177"/>
    </row>
    <row r="58" spans="2:11" s="212" customFormat="1">
      <c r="B58" s="214"/>
      <c r="C58" s="161"/>
      <c r="D58" s="161"/>
      <c r="E58" s="162" t="s">
        <v>360</v>
      </c>
      <c r="F58" s="189">
        <f>SUM(G58:J58)</f>
        <v>0</v>
      </c>
      <c r="G58" s="269"/>
      <c r="H58" s="215"/>
      <c r="I58" s="215"/>
      <c r="J58" s="215"/>
      <c r="K58" s="214"/>
    </row>
    <row r="59" spans="2:11" s="212" customFormat="1">
      <c r="B59" s="214"/>
      <c r="C59" s="161"/>
      <c r="D59" s="161"/>
      <c r="E59" s="162" t="s">
        <v>362</v>
      </c>
      <c r="F59" s="189">
        <f t="shared" ref="F59:F61" si="13">SUM(G59:J59)</f>
        <v>0</v>
      </c>
      <c r="G59" s="269"/>
      <c r="H59" s="215"/>
      <c r="I59" s="215"/>
      <c r="J59" s="215"/>
      <c r="K59" s="214"/>
    </row>
    <row r="60" spans="2:11" s="212" customFormat="1">
      <c r="B60" s="214"/>
      <c r="C60" s="161"/>
      <c r="D60" s="161"/>
      <c r="E60" s="162" t="s">
        <v>363</v>
      </c>
      <c r="F60" s="189">
        <f t="shared" si="13"/>
        <v>0</v>
      </c>
      <c r="G60" s="269"/>
      <c r="H60" s="215"/>
      <c r="I60" s="215"/>
      <c r="J60" s="215"/>
      <c r="K60" s="214"/>
    </row>
    <row r="61" spans="2:11" s="212" customFormat="1">
      <c r="B61" s="214"/>
      <c r="C61" s="161"/>
      <c r="D61" s="161"/>
      <c r="E61" s="162" t="s">
        <v>623</v>
      </c>
      <c r="F61" s="189">
        <f t="shared" si="13"/>
        <v>0</v>
      </c>
      <c r="G61" s="269"/>
      <c r="H61" s="215"/>
      <c r="I61" s="215"/>
      <c r="J61" s="215"/>
      <c r="K61" s="214"/>
    </row>
    <row r="62" spans="2:11">
      <c r="B62" s="176"/>
      <c r="C62" s="115" t="s">
        <v>175</v>
      </c>
      <c r="D62" s="115"/>
      <c r="E62" s="116" t="s">
        <v>364</v>
      </c>
      <c r="F62" s="190">
        <f>F63+F71</f>
        <v>1635000</v>
      </c>
      <c r="G62" s="190">
        <f t="shared" ref="G62:J62" si="14">G63+G71</f>
        <v>1635000</v>
      </c>
      <c r="H62" s="190">
        <f t="shared" si="14"/>
        <v>0</v>
      </c>
      <c r="I62" s="190">
        <f t="shared" si="14"/>
        <v>0</v>
      </c>
      <c r="J62" s="190">
        <f t="shared" si="14"/>
        <v>0</v>
      </c>
      <c r="K62" s="176"/>
    </row>
    <row r="63" spans="2:11">
      <c r="B63" s="177"/>
      <c r="C63" s="141" t="s">
        <v>365</v>
      </c>
      <c r="D63" s="141"/>
      <c r="E63" s="142" t="s">
        <v>366</v>
      </c>
      <c r="F63" s="191">
        <f>SUM(F64:F70)</f>
        <v>1235000</v>
      </c>
      <c r="G63" s="191">
        <f t="shared" ref="G63:J63" si="15">SUM(G64:G70)</f>
        <v>1235000</v>
      </c>
      <c r="H63" s="191">
        <f t="shared" si="15"/>
        <v>0</v>
      </c>
      <c r="I63" s="191">
        <f t="shared" si="15"/>
        <v>0</v>
      </c>
      <c r="J63" s="191">
        <f t="shared" si="15"/>
        <v>0</v>
      </c>
      <c r="K63" s="177"/>
    </row>
    <row r="64" spans="2:11" s="212" customFormat="1">
      <c r="B64" s="214"/>
      <c r="C64" s="161"/>
      <c r="D64" s="161"/>
      <c r="E64" s="162" t="s">
        <v>367</v>
      </c>
      <c r="F64" s="189">
        <f>SUM(G64:J64)</f>
        <v>25000</v>
      </c>
      <c r="G64" s="269">
        <f>1*25000</f>
        <v>25000</v>
      </c>
      <c r="H64" s="215"/>
      <c r="I64" s="215"/>
      <c r="J64" s="215"/>
      <c r="K64" s="214"/>
    </row>
    <row r="65" spans="2:11" s="212" customFormat="1">
      <c r="B65" s="214"/>
      <c r="C65" s="161"/>
      <c r="D65" s="161"/>
      <c r="E65" s="162" t="s">
        <v>368</v>
      </c>
      <c r="F65" s="189">
        <f t="shared" ref="F65:F69" si="16">SUM(G65:J65)</f>
        <v>10000</v>
      </c>
      <c r="G65" s="269">
        <f>1*10000</f>
        <v>10000</v>
      </c>
      <c r="H65" s="215"/>
      <c r="I65" s="215"/>
      <c r="J65" s="215"/>
      <c r="K65" s="214"/>
    </row>
    <row r="66" spans="2:11" s="212" customFormat="1">
      <c r="B66" s="214"/>
      <c r="C66" s="161"/>
      <c r="D66" s="161"/>
      <c r="E66" s="162" t="s">
        <v>369</v>
      </c>
      <c r="F66" s="189">
        <f t="shared" si="16"/>
        <v>300000</v>
      </c>
      <c r="G66" s="269">
        <f>4*3*25000</f>
        <v>300000</v>
      </c>
      <c r="H66" s="215"/>
      <c r="I66" s="215"/>
      <c r="J66" s="215"/>
      <c r="K66" s="214"/>
    </row>
    <row r="67" spans="2:11" s="212" customFormat="1">
      <c r="B67" s="214"/>
      <c r="C67" s="161"/>
      <c r="D67" s="161"/>
      <c r="E67" s="162" t="s">
        <v>370</v>
      </c>
      <c r="F67" s="189">
        <f t="shared" si="16"/>
        <v>300000</v>
      </c>
      <c r="G67" s="269">
        <f>4*3*25000</f>
        <v>300000</v>
      </c>
      <c r="H67" s="215"/>
      <c r="I67" s="215"/>
      <c r="J67" s="215"/>
      <c r="K67" s="214"/>
    </row>
    <row r="68" spans="2:11" s="212" customFormat="1">
      <c r="B68" s="214"/>
      <c r="C68" s="161"/>
      <c r="D68" s="161"/>
      <c r="E68" s="162" t="s">
        <v>373</v>
      </c>
      <c r="F68" s="189">
        <f t="shared" si="16"/>
        <v>300000</v>
      </c>
      <c r="G68" s="269">
        <f>4*3*25000</f>
        <v>300000</v>
      </c>
      <c r="H68" s="215"/>
      <c r="I68" s="215"/>
      <c r="J68" s="215"/>
      <c r="K68" s="214"/>
    </row>
    <row r="69" spans="2:11" s="212" customFormat="1">
      <c r="B69" s="214"/>
      <c r="C69" s="161"/>
      <c r="D69" s="161"/>
      <c r="E69" s="162" t="s">
        <v>374</v>
      </c>
      <c r="F69" s="189">
        <f t="shared" si="16"/>
        <v>300000</v>
      </c>
      <c r="G69" s="269">
        <f>4*3*25000</f>
        <v>300000</v>
      </c>
      <c r="H69" s="215"/>
      <c r="I69" s="215"/>
      <c r="J69" s="215"/>
      <c r="K69" s="214"/>
    </row>
    <row r="70" spans="2:11" s="212" customFormat="1">
      <c r="B70" s="214"/>
      <c r="C70" s="161"/>
      <c r="D70" s="161"/>
      <c r="E70" s="162" t="s">
        <v>264</v>
      </c>
      <c r="F70" s="189"/>
      <c r="G70" s="269"/>
      <c r="H70" s="215"/>
      <c r="I70" s="215"/>
      <c r="J70" s="215"/>
      <c r="K70" s="214"/>
    </row>
    <row r="71" spans="2:11">
      <c r="B71" s="177"/>
      <c r="C71" s="141" t="s">
        <v>718</v>
      </c>
      <c r="D71" s="141"/>
      <c r="E71" s="142" t="s">
        <v>719</v>
      </c>
      <c r="F71" s="191">
        <f>SUM(F72:F80)</f>
        <v>400000</v>
      </c>
      <c r="G71" s="191">
        <f t="shared" ref="G71:J71" si="17">SUM(G72:G80)</f>
        <v>400000</v>
      </c>
      <c r="H71" s="191">
        <f t="shared" si="17"/>
        <v>0</v>
      </c>
      <c r="I71" s="191">
        <f t="shared" si="17"/>
        <v>0</v>
      </c>
      <c r="J71" s="191">
        <f t="shared" si="17"/>
        <v>0</v>
      </c>
      <c r="K71" s="177"/>
    </row>
    <row r="72" spans="2:11" s="212" customFormat="1">
      <c r="B72" s="214"/>
      <c r="C72" s="161"/>
      <c r="D72" s="161"/>
      <c r="E72" s="162" t="s">
        <v>720</v>
      </c>
      <c r="F72" s="189">
        <f>SUM(G72:J72)</f>
        <v>0</v>
      </c>
      <c r="G72" s="269"/>
      <c r="H72" s="215"/>
      <c r="I72" s="215"/>
      <c r="J72" s="215"/>
      <c r="K72" s="214"/>
    </row>
    <row r="73" spans="2:11" s="212" customFormat="1">
      <c r="B73" s="214"/>
      <c r="C73" s="161"/>
      <c r="D73" s="161"/>
      <c r="E73" s="162" t="s">
        <v>721</v>
      </c>
      <c r="F73" s="189">
        <f t="shared" ref="F73:F79" si="18">SUM(G73:J73)</f>
        <v>150000</v>
      </c>
      <c r="G73" s="269">
        <v>150000</v>
      </c>
      <c r="H73" s="215"/>
      <c r="I73" s="215"/>
      <c r="J73" s="215"/>
      <c r="K73" s="214"/>
    </row>
    <row r="74" spans="2:11" s="212" customFormat="1">
      <c r="B74" s="214"/>
      <c r="C74" s="161"/>
      <c r="D74" s="161"/>
      <c r="E74" s="162" t="s">
        <v>722</v>
      </c>
      <c r="F74" s="189">
        <f t="shared" si="18"/>
        <v>100000</v>
      </c>
      <c r="G74" s="269">
        <v>100000</v>
      </c>
      <c r="H74" s="215"/>
      <c r="I74" s="215"/>
      <c r="J74" s="215"/>
      <c r="K74" s="214"/>
    </row>
    <row r="75" spans="2:11" s="212" customFormat="1">
      <c r="B75" s="214"/>
      <c r="C75" s="161"/>
      <c r="D75" s="161"/>
      <c r="E75" s="162" t="s">
        <v>723</v>
      </c>
      <c r="F75" s="189">
        <f t="shared" si="18"/>
        <v>0</v>
      </c>
      <c r="G75" s="269"/>
      <c r="H75" s="215"/>
      <c r="I75" s="215"/>
      <c r="J75" s="215"/>
      <c r="K75" s="214"/>
    </row>
    <row r="76" spans="2:11" s="212" customFormat="1">
      <c r="B76" s="214"/>
      <c r="C76" s="161"/>
      <c r="D76" s="161"/>
      <c r="E76" s="162" t="s">
        <v>724</v>
      </c>
      <c r="F76" s="189">
        <f t="shared" si="18"/>
        <v>0</v>
      </c>
      <c r="G76" s="269"/>
      <c r="H76" s="215"/>
      <c r="I76" s="215"/>
      <c r="J76" s="215"/>
      <c r="K76" s="214"/>
    </row>
    <row r="77" spans="2:11" s="212" customFormat="1">
      <c r="B77" s="214"/>
      <c r="C77" s="161"/>
      <c r="D77" s="161"/>
      <c r="E77" s="162" t="s">
        <v>726</v>
      </c>
      <c r="F77" s="189">
        <f t="shared" si="18"/>
        <v>0</v>
      </c>
      <c r="G77" s="269"/>
      <c r="H77" s="215"/>
      <c r="I77" s="215"/>
      <c r="J77" s="215"/>
      <c r="K77" s="214"/>
    </row>
    <row r="78" spans="2:11" s="212" customFormat="1">
      <c r="B78" s="214"/>
      <c r="C78" s="161"/>
      <c r="D78" s="161"/>
      <c r="E78" s="162" t="s">
        <v>727</v>
      </c>
      <c r="F78" s="189">
        <f t="shared" si="18"/>
        <v>0</v>
      </c>
      <c r="G78" s="269"/>
      <c r="H78" s="215"/>
      <c r="I78" s="215"/>
      <c r="J78" s="215"/>
      <c r="K78" s="214"/>
    </row>
    <row r="79" spans="2:11" s="212" customFormat="1">
      <c r="B79" s="214"/>
      <c r="C79" s="161"/>
      <c r="D79" s="161"/>
      <c r="E79" s="162" t="s">
        <v>728</v>
      </c>
      <c r="F79" s="189">
        <f t="shared" si="18"/>
        <v>150000</v>
      </c>
      <c r="G79" s="269">
        <v>150000</v>
      </c>
      <c r="H79" s="215"/>
      <c r="I79" s="215"/>
      <c r="J79" s="215"/>
      <c r="K79" s="214"/>
    </row>
    <row r="80" spans="2:11" s="212" customFormat="1">
      <c r="B80" s="214"/>
      <c r="C80" s="161"/>
      <c r="D80" s="161"/>
      <c r="E80" s="162" t="s">
        <v>725</v>
      </c>
      <c r="F80" s="189">
        <f t="shared" ref="F80" si="19">SUM(G80:J80)</f>
        <v>0</v>
      </c>
      <c r="G80" s="269"/>
      <c r="H80" s="215"/>
      <c r="I80" s="215"/>
      <c r="J80" s="215"/>
      <c r="K80" s="214"/>
    </row>
    <row r="81" spans="2:11" s="63" customFormat="1">
      <c r="B81" s="179"/>
      <c r="C81" s="149" t="s">
        <v>111</v>
      </c>
      <c r="D81" s="149"/>
      <c r="E81" s="150" t="s">
        <v>375</v>
      </c>
      <c r="F81" s="188">
        <f>F82+F93</f>
        <v>480000</v>
      </c>
      <c r="G81" s="188">
        <f t="shared" ref="G81:J81" si="20">G82+G93</f>
        <v>480000</v>
      </c>
      <c r="H81" s="188">
        <f t="shared" si="20"/>
        <v>0</v>
      </c>
      <c r="I81" s="188">
        <f t="shared" si="20"/>
        <v>0</v>
      </c>
      <c r="J81" s="188">
        <f t="shared" si="20"/>
        <v>0</v>
      </c>
      <c r="K81" s="179"/>
    </row>
    <row r="82" spans="2:11">
      <c r="B82" s="176"/>
      <c r="C82" s="115" t="s">
        <v>181</v>
      </c>
      <c r="D82" s="115"/>
      <c r="E82" s="116" t="s">
        <v>376</v>
      </c>
      <c r="F82" s="190">
        <f>F83+F88</f>
        <v>480000</v>
      </c>
      <c r="G82" s="190">
        <f t="shared" ref="G82:J82" si="21">G83+G88</f>
        <v>480000</v>
      </c>
      <c r="H82" s="190">
        <f t="shared" si="21"/>
        <v>0</v>
      </c>
      <c r="I82" s="190">
        <f t="shared" si="21"/>
        <v>0</v>
      </c>
      <c r="J82" s="190">
        <f t="shared" si="21"/>
        <v>0</v>
      </c>
      <c r="K82" s="176"/>
    </row>
    <row r="83" spans="2:11">
      <c r="B83" s="177"/>
      <c r="C83" s="141" t="s">
        <v>377</v>
      </c>
      <c r="D83" s="141"/>
      <c r="E83" s="142" t="s">
        <v>378</v>
      </c>
      <c r="F83" s="191">
        <f>SUM(F84:F87)</f>
        <v>420000</v>
      </c>
      <c r="G83" s="191">
        <f t="shared" ref="G83:J83" si="22">SUM(G84:G87)</f>
        <v>420000</v>
      </c>
      <c r="H83" s="191">
        <f t="shared" si="22"/>
        <v>0</v>
      </c>
      <c r="I83" s="191">
        <f t="shared" si="22"/>
        <v>0</v>
      </c>
      <c r="J83" s="191">
        <f t="shared" si="22"/>
        <v>0</v>
      </c>
      <c r="K83" s="177"/>
    </row>
    <row r="84" spans="2:11" s="212" customFormat="1">
      <c r="B84" s="214"/>
      <c r="C84" s="161"/>
      <c r="D84" s="161"/>
      <c r="E84" s="162" t="s">
        <v>634</v>
      </c>
      <c r="F84" s="189">
        <f t="shared" ref="F84:F92" si="23">G84+H84+I84+J84</f>
        <v>300000</v>
      </c>
      <c r="G84" s="269">
        <f>5*6*10000</f>
        <v>300000</v>
      </c>
      <c r="H84" s="215"/>
      <c r="I84" s="215"/>
      <c r="J84" s="215"/>
      <c r="K84" s="214"/>
    </row>
    <row r="85" spans="2:11" s="212" customFormat="1">
      <c r="B85" s="214"/>
      <c r="C85" s="161"/>
      <c r="D85" s="161"/>
      <c r="E85" s="162" t="s">
        <v>635</v>
      </c>
      <c r="F85" s="189">
        <f t="shared" si="23"/>
        <v>60000</v>
      </c>
      <c r="G85" s="269">
        <f>1*6*10000</f>
        <v>60000</v>
      </c>
      <c r="H85" s="215"/>
      <c r="I85" s="215"/>
      <c r="J85" s="215"/>
      <c r="K85" s="214"/>
    </row>
    <row r="86" spans="2:11" s="212" customFormat="1">
      <c r="B86" s="214"/>
      <c r="C86" s="161"/>
      <c r="D86" s="161"/>
      <c r="E86" s="162" t="s">
        <v>636</v>
      </c>
      <c r="F86" s="189">
        <f t="shared" si="23"/>
        <v>60000</v>
      </c>
      <c r="G86" s="269">
        <f>1*6*10000</f>
        <v>60000</v>
      </c>
      <c r="H86" s="215"/>
      <c r="I86" s="215"/>
      <c r="J86" s="215"/>
      <c r="K86" s="214"/>
    </row>
    <row r="87" spans="2:11" s="212" customFormat="1">
      <c r="B87" s="214"/>
      <c r="C87" s="161"/>
      <c r="D87" s="161"/>
      <c r="E87" s="162"/>
      <c r="F87" s="189">
        <f t="shared" si="23"/>
        <v>0</v>
      </c>
      <c r="G87" s="269"/>
      <c r="H87" s="215"/>
      <c r="I87" s="215"/>
      <c r="J87" s="215"/>
      <c r="K87" s="214"/>
    </row>
    <row r="88" spans="2:11">
      <c r="B88" s="177"/>
      <c r="C88" s="141" t="s">
        <v>379</v>
      </c>
      <c r="D88" s="141"/>
      <c r="E88" s="142" t="s">
        <v>380</v>
      </c>
      <c r="F88" s="191">
        <f>SUM(F89:F92)</f>
        <v>60000</v>
      </c>
      <c r="G88" s="191">
        <f t="shared" ref="G88:J88" si="24">SUM(G89:G92)</f>
        <v>60000</v>
      </c>
      <c r="H88" s="191">
        <f t="shared" si="24"/>
        <v>0</v>
      </c>
      <c r="I88" s="191">
        <f t="shared" si="24"/>
        <v>0</v>
      </c>
      <c r="J88" s="191">
        <f t="shared" si="24"/>
        <v>0</v>
      </c>
      <c r="K88" s="177"/>
    </row>
    <row r="89" spans="2:11" s="212" customFormat="1">
      <c r="B89" s="214"/>
      <c r="C89" s="161"/>
      <c r="D89" s="161"/>
      <c r="E89" s="162" t="s">
        <v>637</v>
      </c>
      <c r="F89" s="189">
        <f t="shared" si="23"/>
        <v>60000</v>
      </c>
      <c r="G89" s="269">
        <f>1*6*10000</f>
        <v>60000</v>
      </c>
      <c r="H89" s="215"/>
      <c r="I89" s="215"/>
      <c r="J89" s="215"/>
      <c r="K89" s="214"/>
    </row>
    <row r="90" spans="2:11" s="212" customFormat="1">
      <c r="B90" s="214"/>
      <c r="C90" s="161"/>
      <c r="D90" s="161"/>
      <c r="E90" s="162" t="s">
        <v>381</v>
      </c>
      <c r="F90" s="189">
        <f t="shared" si="23"/>
        <v>0</v>
      </c>
      <c r="G90" s="269"/>
      <c r="H90" s="215"/>
      <c r="I90" s="215"/>
      <c r="J90" s="215"/>
      <c r="K90" s="214"/>
    </row>
    <row r="91" spans="2:11" s="212" customFormat="1">
      <c r="B91" s="214"/>
      <c r="C91" s="161"/>
      <c r="D91" s="161"/>
      <c r="E91" s="162" t="s">
        <v>382</v>
      </c>
      <c r="F91" s="189">
        <f t="shared" si="23"/>
        <v>0</v>
      </c>
      <c r="G91" s="269"/>
      <c r="H91" s="215"/>
      <c r="I91" s="215"/>
      <c r="J91" s="215"/>
      <c r="K91" s="214"/>
    </row>
    <row r="92" spans="2:11" s="212" customFormat="1">
      <c r="B92" s="214"/>
      <c r="C92" s="161"/>
      <c r="D92" s="161"/>
      <c r="E92" s="162"/>
      <c r="F92" s="189">
        <f t="shared" si="23"/>
        <v>0</v>
      </c>
      <c r="G92" s="269"/>
      <c r="H92" s="215"/>
      <c r="I92" s="215"/>
      <c r="J92" s="215"/>
      <c r="K92" s="214"/>
    </row>
    <row r="93" spans="2:11">
      <c r="B93" s="176"/>
      <c r="C93" s="115" t="s">
        <v>182</v>
      </c>
      <c r="D93" s="115"/>
      <c r="E93" s="116" t="s">
        <v>383</v>
      </c>
      <c r="F93" s="190">
        <f>SUM(F94:F98)</f>
        <v>0</v>
      </c>
      <c r="G93" s="190">
        <f t="shared" ref="G93:J93" si="25">SUM(G94:G98)</f>
        <v>0</v>
      </c>
      <c r="H93" s="190">
        <f t="shared" si="25"/>
        <v>0</v>
      </c>
      <c r="I93" s="190">
        <f t="shared" si="25"/>
        <v>0</v>
      </c>
      <c r="J93" s="190">
        <f t="shared" si="25"/>
        <v>0</v>
      </c>
      <c r="K93" s="176"/>
    </row>
    <row r="94" spans="2:11" s="212" customFormat="1">
      <c r="B94" s="214"/>
      <c r="C94" s="161" t="s">
        <v>384</v>
      </c>
      <c r="D94" s="161"/>
      <c r="E94" s="162" t="s">
        <v>385</v>
      </c>
      <c r="F94" s="189">
        <f>SUM(G94:J94)</f>
        <v>0</v>
      </c>
      <c r="G94" s="269"/>
      <c r="H94" s="215"/>
      <c r="I94" s="215"/>
      <c r="J94" s="215"/>
      <c r="K94" s="214"/>
    </row>
    <row r="95" spans="2:11" s="212" customFormat="1">
      <c r="B95" s="214"/>
      <c r="C95" s="161" t="s">
        <v>386</v>
      </c>
      <c r="D95" s="161"/>
      <c r="E95" s="162" t="s">
        <v>388</v>
      </c>
      <c r="F95" s="189">
        <f t="shared" ref="F95:F98" si="26">SUM(G95:J95)</f>
        <v>0</v>
      </c>
      <c r="G95" s="269"/>
      <c r="H95" s="215"/>
      <c r="I95" s="215"/>
      <c r="J95" s="215"/>
      <c r="K95" s="214"/>
    </row>
    <row r="96" spans="2:11" s="212" customFormat="1">
      <c r="B96" s="214"/>
      <c r="C96" s="161" t="s">
        <v>733</v>
      </c>
      <c r="D96" s="161"/>
      <c r="E96" s="162" t="s">
        <v>736</v>
      </c>
      <c r="F96" s="189">
        <f t="shared" si="26"/>
        <v>0</v>
      </c>
      <c r="G96" s="269"/>
      <c r="H96" s="215"/>
      <c r="I96" s="215"/>
      <c r="J96" s="215"/>
      <c r="K96" s="214"/>
    </row>
    <row r="97" spans="2:11" s="212" customFormat="1">
      <c r="B97" s="214"/>
      <c r="C97" s="161" t="s">
        <v>734</v>
      </c>
      <c r="D97" s="161"/>
      <c r="E97" s="162" t="s">
        <v>389</v>
      </c>
      <c r="F97" s="189">
        <f t="shared" si="26"/>
        <v>0</v>
      </c>
      <c r="G97" s="269"/>
      <c r="H97" s="215"/>
      <c r="I97" s="215"/>
      <c r="J97" s="215"/>
      <c r="K97" s="214"/>
    </row>
    <row r="98" spans="2:11" s="212" customFormat="1">
      <c r="B98" s="214"/>
      <c r="C98" s="161" t="s">
        <v>735</v>
      </c>
      <c r="D98" s="161"/>
      <c r="E98" s="162"/>
      <c r="F98" s="189">
        <f t="shared" si="26"/>
        <v>0</v>
      </c>
      <c r="G98" s="269"/>
      <c r="H98" s="215"/>
      <c r="I98" s="215"/>
      <c r="J98" s="215"/>
      <c r="K98" s="214"/>
    </row>
    <row r="99" spans="2:11" s="63" customFormat="1">
      <c r="B99" s="179"/>
      <c r="C99" s="149" t="s">
        <v>42</v>
      </c>
      <c r="D99" s="149"/>
      <c r="E99" s="150" t="s">
        <v>392</v>
      </c>
      <c r="F99" s="188">
        <f>F100+F121+F133</f>
        <v>435000</v>
      </c>
      <c r="G99" s="188">
        <f t="shared" ref="G99:J99" si="27">G100+G121+G133</f>
        <v>435000</v>
      </c>
      <c r="H99" s="188">
        <f t="shared" si="27"/>
        <v>0</v>
      </c>
      <c r="I99" s="188">
        <f t="shared" si="27"/>
        <v>0</v>
      </c>
      <c r="J99" s="188">
        <f t="shared" si="27"/>
        <v>0</v>
      </c>
      <c r="K99" s="179"/>
    </row>
    <row r="100" spans="2:11">
      <c r="B100" s="176"/>
      <c r="C100" s="115" t="s">
        <v>191</v>
      </c>
      <c r="D100" s="115"/>
      <c r="E100" s="116" t="s">
        <v>393</v>
      </c>
      <c r="F100" s="190">
        <f>F101+F103+F106+F109+F114</f>
        <v>125000</v>
      </c>
      <c r="G100" s="190">
        <f t="shared" ref="G100:J100" si="28">G101+G103+G106+G109+G114</f>
        <v>125000</v>
      </c>
      <c r="H100" s="190">
        <f t="shared" si="28"/>
        <v>0</v>
      </c>
      <c r="I100" s="190">
        <f t="shared" si="28"/>
        <v>0</v>
      </c>
      <c r="J100" s="190">
        <f t="shared" si="28"/>
        <v>0</v>
      </c>
      <c r="K100" s="176"/>
    </row>
    <row r="101" spans="2:11">
      <c r="B101" s="177"/>
      <c r="C101" s="141" t="s">
        <v>394</v>
      </c>
      <c r="D101" s="141"/>
      <c r="E101" s="142" t="s">
        <v>395</v>
      </c>
      <c r="F101" s="191">
        <f>F102</f>
        <v>0</v>
      </c>
      <c r="G101" s="191">
        <f t="shared" ref="G101:J101" si="29">G102</f>
        <v>0</v>
      </c>
      <c r="H101" s="191">
        <f t="shared" si="29"/>
        <v>0</v>
      </c>
      <c r="I101" s="191">
        <f t="shared" si="29"/>
        <v>0</v>
      </c>
      <c r="J101" s="191">
        <f t="shared" si="29"/>
        <v>0</v>
      </c>
      <c r="K101" s="177"/>
    </row>
    <row r="102" spans="2:11" s="212" customFormat="1">
      <c r="B102" s="214"/>
      <c r="C102" s="161"/>
      <c r="D102" s="161"/>
      <c r="E102" s="162" t="s">
        <v>396</v>
      </c>
      <c r="F102" s="189">
        <f>SUM(G102:J102)</f>
        <v>0</v>
      </c>
      <c r="G102" s="269"/>
      <c r="H102" s="215"/>
      <c r="I102" s="215"/>
      <c r="J102" s="215"/>
      <c r="K102" s="214"/>
    </row>
    <row r="103" spans="2:11">
      <c r="B103" s="177"/>
      <c r="C103" s="141" t="s">
        <v>397</v>
      </c>
      <c r="D103" s="141"/>
      <c r="E103" s="142" t="s">
        <v>398</v>
      </c>
      <c r="F103" s="191">
        <f>SUM(F104:F105)</f>
        <v>0</v>
      </c>
      <c r="G103" s="191">
        <f t="shared" ref="G103:J103" si="30">SUM(G104:G105)</f>
        <v>0</v>
      </c>
      <c r="H103" s="191">
        <f t="shared" si="30"/>
        <v>0</v>
      </c>
      <c r="I103" s="191">
        <f t="shared" si="30"/>
        <v>0</v>
      </c>
      <c r="J103" s="191">
        <f t="shared" si="30"/>
        <v>0</v>
      </c>
      <c r="K103" s="177"/>
    </row>
    <row r="104" spans="2:11" s="212" customFormat="1">
      <c r="B104" s="214"/>
      <c r="C104" s="161"/>
      <c r="D104" s="161"/>
      <c r="E104" s="162" t="s">
        <v>399</v>
      </c>
      <c r="F104" s="189">
        <f>SUM(G104:J105)</f>
        <v>0</v>
      </c>
      <c r="G104" s="269"/>
      <c r="H104" s="215"/>
      <c r="I104" s="215"/>
      <c r="J104" s="215"/>
      <c r="K104" s="214"/>
    </row>
    <row r="105" spans="2:11" s="212" customFormat="1">
      <c r="B105" s="214"/>
      <c r="C105" s="161"/>
      <c r="D105" s="161"/>
      <c r="E105" s="162" t="s">
        <v>400</v>
      </c>
      <c r="F105" s="189">
        <f>SUM(G105:J106)</f>
        <v>0</v>
      </c>
      <c r="G105" s="269"/>
      <c r="H105" s="215"/>
      <c r="I105" s="215"/>
      <c r="J105" s="215"/>
      <c r="K105" s="214"/>
    </row>
    <row r="106" spans="2:11">
      <c r="B106" s="177"/>
      <c r="C106" s="141" t="s">
        <v>401</v>
      </c>
      <c r="D106" s="141"/>
      <c r="E106" s="142" t="s">
        <v>402</v>
      </c>
      <c r="F106" s="191">
        <f>SUM(F107:F108)</f>
        <v>0</v>
      </c>
      <c r="G106" s="191">
        <f t="shared" ref="G106:J106" si="31">SUM(G107:G108)</f>
        <v>0</v>
      </c>
      <c r="H106" s="191">
        <f t="shared" si="31"/>
        <v>0</v>
      </c>
      <c r="I106" s="191">
        <f t="shared" si="31"/>
        <v>0</v>
      </c>
      <c r="J106" s="191">
        <f t="shared" si="31"/>
        <v>0</v>
      </c>
      <c r="K106" s="177"/>
    </row>
    <row r="107" spans="2:11" s="212" customFormat="1">
      <c r="B107" s="214"/>
      <c r="C107" s="161"/>
      <c r="D107" s="161"/>
      <c r="E107" s="162" t="s">
        <v>403</v>
      </c>
      <c r="F107" s="189">
        <f>SUM(G107:J107)</f>
        <v>0</v>
      </c>
      <c r="G107" s="269"/>
      <c r="H107" s="215"/>
      <c r="I107" s="215"/>
      <c r="J107" s="215"/>
      <c r="K107" s="214"/>
    </row>
    <row r="108" spans="2:11" s="212" customFormat="1">
      <c r="B108" s="214"/>
      <c r="C108" s="161"/>
      <c r="D108" s="161"/>
      <c r="E108" s="162" t="s">
        <v>404</v>
      </c>
      <c r="F108" s="189">
        <f>SUM(G108:J108)</f>
        <v>0</v>
      </c>
      <c r="G108" s="269"/>
      <c r="H108" s="215"/>
      <c r="I108" s="215"/>
      <c r="J108" s="215"/>
      <c r="K108" s="214"/>
    </row>
    <row r="109" spans="2:11">
      <c r="B109" s="177"/>
      <c r="C109" s="141" t="s">
        <v>405</v>
      </c>
      <c r="D109" s="141"/>
      <c r="E109" s="142" t="s">
        <v>406</v>
      </c>
      <c r="F109" s="191">
        <f>SUM(F110:F113)</f>
        <v>75000</v>
      </c>
      <c r="G109" s="191">
        <f t="shared" ref="G109:J109" si="32">SUM(G110:G113)</f>
        <v>75000</v>
      </c>
      <c r="H109" s="191">
        <f t="shared" si="32"/>
        <v>0</v>
      </c>
      <c r="I109" s="191">
        <f t="shared" si="32"/>
        <v>0</v>
      </c>
      <c r="J109" s="191">
        <f t="shared" si="32"/>
        <v>0</v>
      </c>
      <c r="K109" s="177"/>
    </row>
    <row r="110" spans="2:11" s="212" customFormat="1">
      <c r="B110" s="214"/>
      <c r="C110" s="161"/>
      <c r="D110" s="161"/>
      <c r="E110" s="162" t="s">
        <v>408</v>
      </c>
      <c r="F110" s="189">
        <f>SUM(G110:J110)</f>
        <v>50000</v>
      </c>
      <c r="G110" s="269">
        <f>2*25000</f>
        <v>50000</v>
      </c>
      <c r="H110" s="215"/>
      <c r="I110" s="215"/>
      <c r="J110" s="215"/>
      <c r="K110" s="214"/>
    </row>
    <row r="111" spans="2:11" s="212" customFormat="1">
      <c r="B111" s="214"/>
      <c r="C111" s="161"/>
      <c r="D111" s="161"/>
      <c r="E111" s="162" t="s">
        <v>407</v>
      </c>
      <c r="F111" s="189">
        <f t="shared" ref="F111:F113" si="33">SUM(G111:J111)</f>
        <v>25000</v>
      </c>
      <c r="G111" s="269">
        <f>1*25000</f>
        <v>25000</v>
      </c>
      <c r="H111" s="215"/>
      <c r="I111" s="215"/>
      <c r="J111" s="215"/>
      <c r="K111" s="214"/>
    </row>
    <row r="112" spans="2:11" s="212" customFormat="1">
      <c r="B112" s="214"/>
      <c r="C112" s="161"/>
      <c r="D112" s="161"/>
      <c r="E112" s="162" t="s">
        <v>409</v>
      </c>
      <c r="F112" s="189">
        <f t="shared" si="33"/>
        <v>0</v>
      </c>
      <c r="G112" s="269"/>
      <c r="H112" s="215"/>
      <c r="I112" s="215"/>
      <c r="J112" s="215"/>
      <c r="K112" s="214"/>
    </row>
    <row r="113" spans="2:11" s="212" customFormat="1">
      <c r="B113" s="214"/>
      <c r="C113" s="161"/>
      <c r="D113" s="161"/>
      <c r="E113" s="162" t="s">
        <v>404</v>
      </c>
      <c r="F113" s="189">
        <f t="shared" si="33"/>
        <v>0</v>
      </c>
      <c r="G113" s="269"/>
      <c r="H113" s="215"/>
      <c r="I113" s="215"/>
      <c r="J113" s="215"/>
      <c r="K113" s="214"/>
    </row>
    <row r="114" spans="2:11">
      <c r="B114" s="177"/>
      <c r="C114" s="141" t="s">
        <v>410</v>
      </c>
      <c r="D114" s="141"/>
      <c r="E114" s="142" t="s">
        <v>411</v>
      </c>
      <c r="F114" s="191">
        <f>SUM(F115:F120)</f>
        <v>50000</v>
      </c>
      <c r="G114" s="191">
        <f t="shared" ref="G114:J114" si="34">SUM(G115:G120)</f>
        <v>50000</v>
      </c>
      <c r="H114" s="191">
        <f t="shared" si="34"/>
        <v>0</v>
      </c>
      <c r="I114" s="191">
        <f t="shared" si="34"/>
        <v>0</v>
      </c>
      <c r="J114" s="191">
        <f t="shared" si="34"/>
        <v>0</v>
      </c>
      <c r="K114" s="177"/>
    </row>
    <row r="115" spans="2:11" s="212" customFormat="1">
      <c r="B115" s="214"/>
      <c r="C115" s="161"/>
      <c r="D115" s="161"/>
      <c r="E115" s="162" t="s">
        <v>412</v>
      </c>
      <c r="F115" s="189">
        <f>SUM(G115:J115)</f>
        <v>0</v>
      </c>
      <c r="G115" s="269"/>
      <c r="H115" s="215"/>
      <c r="I115" s="215"/>
      <c r="J115" s="215"/>
      <c r="K115" s="214"/>
    </row>
    <row r="116" spans="2:11" s="212" customFormat="1">
      <c r="B116" s="214"/>
      <c r="C116" s="161"/>
      <c r="D116" s="161"/>
      <c r="E116" s="162" t="s">
        <v>413</v>
      </c>
      <c r="F116" s="189">
        <f t="shared" ref="F116:F120" si="35">SUM(G116:J116)</f>
        <v>0</v>
      </c>
      <c r="G116" s="269"/>
      <c r="H116" s="215"/>
      <c r="I116" s="215"/>
      <c r="J116" s="215"/>
      <c r="K116" s="214"/>
    </row>
    <row r="117" spans="2:11" s="212" customFormat="1">
      <c r="B117" s="214"/>
      <c r="C117" s="161"/>
      <c r="D117" s="161"/>
      <c r="E117" s="162" t="s">
        <v>414</v>
      </c>
      <c r="F117" s="189">
        <f t="shared" si="35"/>
        <v>0</v>
      </c>
      <c r="G117" s="269"/>
      <c r="H117" s="215"/>
      <c r="I117" s="215"/>
      <c r="J117" s="215"/>
      <c r="K117" s="214"/>
    </row>
    <row r="118" spans="2:11" s="212" customFormat="1">
      <c r="B118" s="214"/>
      <c r="C118" s="161"/>
      <c r="D118" s="161"/>
      <c r="E118" s="162" t="s">
        <v>415</v>
      </c>
      <c r="F118" s="189">
        <f t="shared" si="35"/>
        <v>50000</v>
      </c>
      <c r="G118" s="269">
        <f>10*5000</f>
        <v>50000</v>
      </c>
      <c r="H118" s="215"/>
      <c r="I118" s="215"/>
      <c r="J118" s="215"/>
      <c r="K118" s="214"/>
    </row>
    <row r="119" spans="2:11" s="212" customFormat="1">
      <c r="B119" s="214"/>
      <c r="C119" s="161"/>
      <c r="D119" s="161"/>
      <c r="E119" s="162" t="s">
        <v>404</v>
      </c>
      <c r="F119" s="189">
        <f t="shared" si="35"/>
        <v>0</v>
      </c>
      <c r="G119" s="269"/>
      <c r="H119" s="215"/>
      <c r="I119" s="215"/>
      <c r="J119" s="215"/>
      <c r="K119" s="214"/>
    </row>
    <row r="120" spans="2:11" s="212" customFormat="1">
      <c r="B120" s="214"/>
      <c r="C120" s="161"/>
      <c r="D120" s="161"/>
      <c r="E120" s="162" t="s">
        <v>715</v>
      </c>
      <c r="F120" s="189">
        <f t="shared" si="35"/>
        <v>0</v>
      </c>
      <c r="G120" s="269"/>
      <c r="H120" s="215"/>
      <c r="I120" s="215"/>
      <c r="J120" s="215"/>
      <c r="K120" s="214"/>
    </row>
    <row r="121" spans="2:11">
      <c r="B121" s="176"/>
      <c r="C121" s="115" t="s">
        <v>43</v>
      </c>
      <c r="D121" s="115"/>
      <c r="E121" s="116" t="s">
        <v>416</v>
      </c>
      <c r="F121" s="190">
        <f>F122+F125+F128</f>
        <v>45000</v>
      </c>
      <c r="G121" s="190">
        <f t="shared" ref="G121:J121" si="36">G122+G125+G128</f>
        <v>45000</v>
      </c>
      <c r="H121" s="190">
        <f t="shared" si="36"/>
        <v>0</v>
      </c>
      <c r="I121" s="190">
        <f t="shared" si="36"/>
        <v>0</v>
      </c>
      <c r="J121" s="190">
        <f t="shared" si="36"/>
        <v>0</v>
      </c>
      <c r="K121" s="176"/>
    </row>
    <row r="122" spans="2:11">
      <c r="B122" s="177"/>
      <c r="C122" s="141" t="s">
        <v>44</v>
      </c>
      <c r="D122" s="141"/>
      <c r="E122" s="142" t="s">
        <v>417</v>
      </c>
      <c r="F122" s="191">
        <f>SUM(F123:F124)</f>
        <v>0</v>
      </c>
      <c r="G122" s="191">
        <f t="shared" ref="G122:J122" si="37">SUM(G123:G124)</f>
        <v>0</v>
      </c>
      <c r="H122" s="191">
        <f t="shared" si="37"/>
        <v>0</v>
      </c>
      <c r="I122" s="191">
        <f t="shared" si="37"/>
        <v>0</v>
      </c>
      <c r="J122" s="191">
        <f t="shared" si="37"/>
        <v>0</v>
      </c>
      <c r="K122" s="177"/>
    </row>
    <row r="123" spans="2:11" s="212" customFormat="1">
      <c r="B123" s="214"/>
      <c r="C123" s="161"/>
      <c r="D123" s="161"/>
      <c r="E123" s="162" t="s">
        <v>418</v>
      </c>
      <c r="F123" s="189">
        <f>SUM(G123:J123)</f>
        <v>0</v>
      </c>
      <c r="G123" s="269"/>
      <c r="H123" s="215"/>
      <c r="I123" s="215"/>
      <c r="J123" s="215"/>
      <c r="K123" s="214"/>
    </row>
    <row r="124" spans="2:11" s="212" customFormat="1">
      <c r="B124" s="214"/>
      <c r="C124" s="161"/>
      <c r="D124" s="161"/>
      <c r="E124" s="162" t="s">
        <v>419</v>
      </c>
      <c r="F124" s="189">
        <f>SUM(G124:J124)</f>
        <v>0</v>
      </c>
      <c r="G124" s="269"/>
      <c r="H124" s="215"/>
      <c r="I124" s="215"/>
      <c r="J124" s="215"/>
      <c r="K124" s="214"/>
    </row>
    <row r="125" spans="2:11">
      <c r="B125" s="177"/>
      <c r="C125" s="141" t="s">
        <v>46</v>
      </c>
      <c r="D125" s="141"/>
      <c r="E125" s="142" t="s">
        <v>420</v>
      </c>
      <c r="F125" s="191">
        <f>SUM(F126:F127)</f>
        <v>0</v>
      </c>
      <c r="G125" s="191">
        <f t="shared" ref="G125:J125" si="38">SUM(G126:G127)</f>
        <v>0</v>
      </c>
      <c r="H125" s="191">
        <f t="shared" si="38"/>
        <v>0</v>
      </c>
      <c r="I125" s="191">
        <f t="shared" si="38"/>
        <v>0</v>
      </c>
      <c r="J125" s="191">
        <f t="shared" si="38"/>
        <v>0</v>
      </c>
      <c r="K125" s="177"/>
    </row>
    <row r="126" spans="2:11" s="212" customFormat="1">
      <c r="B126" s="214"/>
      <c r="C126" s="161"/>
      <c r="D126" s="161"/>
      <c r="E126" s="162" t="s">
        <v>421</v>
      </c>
      <c r="F126" s="189">
        <f>SUM(G126:J126)</f>
        <v>0</v>
      </c>
      <c r="G126" s="269"/>
      <c r="H126" s="215"/>
      <c r="I126" s="215"/>
      <c r="J126" s="215"/>
      <c r="K126" s="214"/>
    </row>
    <row r="127" spans="2:11" s="212" customFormat="1">
      <c r="B127" s="214"/>
      <c r="C127" s="161"/>
      <c r="D127" s="161"/>
      <c r="E127" s="162" t="s">
        <v>422</v>
      </c>
      <c r="F127" s="189">
        <f>SUM(G127:J127)</f>
        <v>0</v>
      </c>
      <c r="G127" s="269"/>
      <c r="H127" s="215"/>
      <c r="I127" s="215"/>
      <c r="J127" s="215"/>
      <c r="K127" s="214"/>
    </row>
    <row r="128" spans="2:11">
      <c r="B128" s="177"/>
      <c r="C128" s="141" t="s">
        <v>48</v>
      </c>
      <c r="D128" s="141"/>
      <c r="E128" s="142" t="s">
        <v>423</v>
      </c>
      <c r="F128" s="191">
        <f>SUM(F129:F132)</f>
        <v>45000</v>
      </c>
      <c r="G128" s="191">
        <f t="shared" ref="G128:J128" si="39">SUM(G129:G132)</f>
        <v>45000</v>
      </c>
      <c r="H128" s="191">
        <f t="shared" si="39"/>
        <v>0</v>
      </c>
      <c r="I128" s="191">
        <f t="shared" si="39"/>
        <v>0</v>
      </c>
      <c r="J128" s="191">
        <f t="shared" si="39"/>
        <v>0</v>
      </c>
      <c r="K128" s="177"/>
    </row>
    <row r="129" spans="2:11" s="212" customFormat="1">
      <c r="B129" s="214"/>
      <c r="C129" s="161"/>
      <c r="D129" s="161"/>
      <c r="E129" s="162" t="s">
        <v>424</v>
      </c>
      <c r="F129" s="189">
        <f>SUM(G129:J129)</f>
        <v>0</v>
      </c>
      <c r="G129" s="269"/>
      <c r="H129" s="215"/>
      <c r="I129" s="215"/>
      <c r="J129" s="215"/>
      <c r="K129" s="214"/>
    </row>
    <row r="130" spans="2:11" s="212" customFormat="1">
      <c r="B130" s="214"/>
      <c r="C130" s="161"/>
      <c r="D130" s="161"/>
      <c r="E130" s="162" t="s">
        <v>711</v>
      </c>
      <c r="F130" s="189">
        <f>SUM(G130:J130)</f>
        <v>20000</v>
      </c>
      <c r="G130" s="269">
        <f>2*10000</f>
        <v>20000</v>
      </c>
      <c r="H130" s="215"/>
      <c r="I130" s="215"/>
      <c r="J130" s="215"/>
      <c r="K130" s="214"/>
    </row>
    <row r="131" spans="2:11" s="212" customFormat="1">
      <c r="B131" s="214"/>
      <c r="C131" s="161"/>
      <c r="D131" s="161"/>
      <c r="E131" s="162" t="s">
        <v>712</v>
      </c>
      <c r="F131" s="189">
        <f>SUM(G131:J131)</f>
        <v>0</v>
      </c>
      <c r="G131" s="269"/>
      <c r="H131" s="215"/>
      <c r="I131" s="215"/>
      <c r="J131" s="215"/>
      <c r="K131" s="214"/>
    </row>
    <row r="132" spans="2:11" s="212" customFormat="1">
      <c r="B132" s="214"/>
      <c r="C132" s="161"/>
      <c r="D132" s="161"/>
      <c r="E132" s="162" t="s">
        <v>427</v>
      </c>
      <c r="F132" s="189">
        <f>SUM(G132:J132)</f>
        <v>25000</v>
      </c>
      <c r="G132" s="269">
        <f>1*25000</f>
        <v>25000</v>
      </c>
      <c r="H132" s="215"/>
      <c r="I132" s="215"/>
      <c r="J132" s="215"/>
      <c r="K132" s="214"/>
    </row>
    <row r="133" spans="2:11">
      <c r="B133" s="176"/>
      <c r="C133" s="115" t="s">
        <v>192</v>
      </c>
      <c r="D133" s="115"/>
      <c r="E133" s="116" t="s">
        <v>428</v>
      </c>
      <c r="F133" s="190">
        <f>F134+F137+F140+F143+F146+F149+F153+F161+F169</f>
        <v>265000</v>
      </c>
      <c r="G133" s="190">
        <f t="shared" ref="G133:J133" si="40">G134+G137+G140+G143+G146+G149+G153+G161+G169</f>
        <v>265000</v>
      </c>
      <c r="H133" s="190">
        <f t="shared" si="40"/>
        <v>0</v>
      </c>
      <c r="I133" s="190">
        <f t="shared" si="40"/>
        <v>0</v>
      </c>
      <c r="J133" s="190">
        <f t="shared" si="40"/>
        <v>0</v>
      </c>
      <c r="K133" s="176"/>
    </row>
    <row r="134" spans="2:11">
      <c r="B134" s="177"/>
      <c r="C134" s="141" t="s">
        <v>429</v>
      </c>
      <c r="D134" s="141"/>
      <c r="E134" s="142" t="s">
        <v>430</v>
      </c>
      <c r="F134" s="191">
        <f>SUM(F135:F136)</f>
        <v>0</v>
      </c>
      <c r="G134" s="191">
        <f t="shared" ref="G134:J134" si="41">SUM(G135:G136)</f>
        <v>0</v>
      </c>
      <c r="H134" s="191">
        <f t="shared" si="41"/>
        <v>0</v>
      </c>
      <c r="I134" s="191">
        <f t="shared" si="41"/>
        <v>0</v>
      </c>
      <c r="J134" s="191">
        <f t="shared" si="41"/>
        <v>0</v>
      </c>
      <c r="K134" s="177"/>
    </row>
    <row r="135" spans="2:11" s="212" customFormat="1">
      <c r="B135" s="214"/>
      <c r="C135" s="161"/>
      <c r="D135" s="161"/>
      <c r="E135" s="162" t="s">
        <v>713</v>
      </c>
      <c r="F135" s="189">
        <f>SUM(G135:J135)</f>
        <v>0</v>
      </c>
      <c r="G135" s="269"/>
      <c r="H135" s="215"/>
      <c r="I135" s="215"/>
      <c r="J135" s="215"/>
      <c r="K135" s="214"/>
    </row>
    <row r="136" spans="2:11" s="212" customFormat="1">
      <c r="B136" s="214"/>
      <c r="C136" s="161"/>
      <c r="D136" s="161"/>
      <c r="E136" s="162" t="s">
        <v>432</v>
      </c>
      <c r="F136" s="189">
        <f>SUM(G136:J136)</f>
        <v>0</v>
      </c>
      <c r="G136" s="269"/>
      <c r="H136" s="215"/>
      <c r="I136" s="215"/>
      <c r="J136" s="215"/>
      <c r="K136" s="214"/>
    </row>
    <row r="137" spans="2:11">
      <c r="B137" s="177"/>
      <c r="C137" s="141" t="s">
        <v>433</v>
      </c>
      <c r="D137" s="141"/>
      <c r="E137" s="142" t="s">
        <v>434</v>
      </c>
      <c r="F137" s="191">
        <f>SUM(F138:F139)</f>
        <v>0</v>
      </c>
      <c r="G137" s="191">
        <f t="shared" ref="G137:J137" si="42">SUM(G138:G139)</f>
        <v>0</v>
      </c>
      <c r="H137" s="191">
        <f t="shared" si="42"/>
        <v>0</v>
      </c>
      <c r="I137" s="191">
        <f t="shared" si="42"/>
        <v>0</v>
      </c>
      <c r="J137" s="191">
        <f t="shared" si="42"/>
        <v>0</v>
      </c>
      <c r="K137" s="177"/>
    </row>
    <row r="138" spans="2:11" s="212" customFormat="1">
      <c r="B138" s="214"/>
      <c r="C138" s="161"/>
      <c r="D138" s="161"/>
      <c r="E138" s="162" t="s">
        <v>435</v>
      </c>
      <c r="F138" s="189">
        <f>SUM(G138:J138)</f>
        <v>0</v>
      </c>
      <c r="G138" s="269"/>
      <c r="H138" s="215"/>
      <c r="I138" s="215"/>
      <c r="J138" s="215"/>
      <c r="K138" s="214"/>
    </row>
    <row r="139" spans="2:11" s="212" customFormat="1">
      <c r="B139" s="214"/>
      <c r="C139" s="161"/>
      <c r="D139" s="161"/>
      <c r="E139" s="162" t="s">
        <v>436</v>
      </c>
      <c r="F139" s="189">
        <f>SUM(G139:J139)</f>
        <v>0</v>
      </c>
      <c r="G139" s="269"/>
      <c r="H139" s="215"/>
      <c r="I139" s="215"/>
      <c r="J139" s="215"/>
      <c r="K139" s="214"/>
    </row>
    <row r="140" spans="2:11">
      <c r="B140" s="177"/>
      <c r="C140" s="141" t="s">
        <v>437</v>
      </c>
      <c r="D140" s="141"/>
      <c r="E140" s="142" t="s">
        <v>438</v>
      </c>
      <c r="F140" s="191">
        <f>SUM(F141:F142)</f>
        <v>0</v>
      </c>
      <c r="G140" s="191">
        <f t="shared" ref="G140:J140" si="43">SUM(G141:G142)</f>
        <v>0</v>
      </c>
      <c r="H140" s="191">
        <f t="shared" si="43"/>
        <v>0</v>
      </c>
      <c r="I140" s="191">
        <f t="shared" si="43"/>
        <v>0</v>
      </c>
      <c r="J140" s="191">
        <f t="shared" si="43"/>
        <v>0</v>
      </c>
      <c r="K140" s="177"/>
    </row>
    <row r="141" spans="2:11" s="212" customFormat="1">
      <c r="B141" s="214"/>
      <c r="C141" s="161"/>
      <c r="D141" s="161"/>
      <c r="E141" s="162" t="s">
        <v>439</v>
      </c>
      <c r="F141" s="189">
        <f>SUM(G141:J141)</f>
        <v>0</v>
      </c>
      <c r="G141" s="269"/>
      <c r="H141" s="215"/>
      <c r="I141" s="215"/>
      <c r="J141" s="215"/>
      <c r="K141" s="214"/>
    </row>
    <row r="142" spans="2:11" s="212" customFormat="1">
      <c r="B142" s="214"/>
      <c r="C142" s="161"/>
      <c r="D142" s="161"/>
      <c r="E142" s="162" t="s">
        <v>440</v>
      </c>
      <c r="F142" s="189">
        <f>SUM(G142:J142)</f>
        <v>0</v>
      </c>
      <c r="G142" s="269"/>
      <c r="H142" s="215"/>
      <c r="I142" s="215"/>
      <c r="J142" s="215"/>
      <c r="K142" s="214"/>
    </row>
    <row r="143" spans="2:11">
      <c r="B143" s="177"/>
      <c r="C143" s="141" t="s">
        <v>441</v>
      </c>
      <c r="D143" s="141"/>
      <c r="E143" s="142" t="s">
        <v>442</v>
      </c>
      <c r="F143" s="191">
        <f>SUM(F144:F145)</f>
        <v>0</v>
      </c>
      <c r="G143" s="191">
        <f t="shared" ref="G143:J143" si="44">SUM(G144:G145)</f>
        <v>0</v>
      </c>
      <c r="H143" s="191">
        <f t="shared" si="44"/>
        <v>0</v>
      </c>
      <c r="I143" s="191">
        <f t="shared" si="44"/>
        <v>0</v>
      </c>
      <c r="J143" s="191">
        <f t="shared" si="44"/>
        <v>0</v>
      </c>
      <c r="K143" s="177"/>
    </row>
    <row r="144" spans="2:11" s="212" customFormat="1">
      <c r="B144" s="214"/>
      <c r="C144" s="161"/>
      <c r="D144" s="161"/>
      <c r="E144" s="162" t="s">
        <v>443</v>
      </c>
      <c r="F144" s="189">
        <f>SUM(G144:J144)</f>
        <v>0</v>
      </c>
      <c r="G144" s="269"/>
      <c r="H144" s="215"/>
      <c r="I144" s="215"/>
      <c r="J144" s="215"/>
      <c r="K144" s="214"/>
    </row>
    <row r="145" spans="2:11" s="212" customFormat="1">
      <c r="B145" s="214"/>
      <c r="C145" s="161"/>
      <c r="D145" s="161"/>
      <c r="E145" s="162" t="s">
        <v>444</v>
      </c>
      <c r="F145" s="189">
        <f>SUM(G145:J145)</f>
        <v>0</v>
      </c>
      <c r="G145" s="269"/>
      <c r="H145" s="215"/>
      <c r="I145" s="215"/>
      <c r="J145" s="215"/>
      <c r="K145" s="214"/>
    </row>
    <row r="146" spans="2:11">
      <c r="B146" s="177"/>
      <c r="C146" s="141" t="s">
        <v>445</v>
      </c>
      <c r="D146" s="141"/>
      <c r="E146" s="142" t="s">
        <v>446</v>
      </c>
      <c r="F146" s="191">
        <f>SUM(F147:F148)</f>
        <v>0</v>
      </c>
      <c r="G146" s="191">
        <f t="shared" ref="G146:J146" si="45">SUM(G147:G148)</f>
        <v>0</v>
      </c>
      <c r="H146" s="191">
        <f t="shared" si="45"/>
        <v>0</v>
      </c>
      <c r="I146" s="191">
        <f t="shared" si="45"/>
        <v>0</v>
      </c>
      <c r="J146" s="191">
        <f t="shared" si="45"/>
        <v>0</v>
      </c>
      <c r="K146" s="177"/>
    </row>
    <row r="147" spans="2:11" s="212" customFormat="1">
      <c r="B147" s="214"/>
      <c r="C147" s="161"/>
      <c r="D147" s="161"/>
      <c r="E147" s="162" t="s">
        <v>447</v>
      </c>
      <c r="F147" s="189">
        <f>SUM(G147:J147)</f>
        <v>0</v>
      </c>
      <c r="G147" s="269"/>
      <c r="H147" s="215"/>
      <c r="I147" s="215"/>
      <c r="J147" s="215"/>
      <c r="K147" s="214"/>
    </row>
    <row r="148" spans="2:11" s="212" customFormat="1">
      <c r="B148" s="214"/>
      <c r="C148" s="161"/>
      <c r="D148" s="161"/>
      <c r="E148" s="162" t="s">
        <v>448</v>
      </c>
      <c r="F148" s="189">
        <f>SUM(G148:J148)</f>
        <v>0</v>
      </c>
      <c r="G148" s="269"/>
      <c r="H148" s="215"/>
      <c r="I148" s="215"/>
      <c r="J148" s="215"/>
      <c r="K148" s="214"/>
    </row>
    <row r="149" spans="2:11">
      <c r="B149" s="177"/>
      <c r="C149" s="141" t="s">
        <v>449</v>
      </c>
      <c r="D149" s="141"/>
      <c r="E149" s="142" t="s">
        <v>450</v>
      </c>
      <c r="F149" s="191">
        <f>SUM(F150:F152)</f>
        <v>0</v>
      </c>
      <c r="G149" s="191">
        <f t="shared" ref="G149:J149" si="46">SUM(G150:G152)</f>
        <v>0</v>
      </c>
      <c r="H149" s="191">
        <f t="shared" si="46"/>
        <v>0</v>
      </c>
      <c r="I149" s="191">
        <f t="shared" si="46"/>
        <v>0</v>
      </c>
      <c r="J149" s="191">
        <f t="shared" si="46"/>
        <v>0</v>
      </c>
      <c r="K149" s="177"/>
    </row>
    <row r="150" spans="2:11" s="212" customFormat="1">
      <c r="B150" s="214"/>
      <c r="C150" s="161"/>
      <c r="D150" s="161"/>
      <c r="E150" s="162" t="s">
        <v>451</v>
      </c>
      <c r="F150" s="189">
        <f>SUM(G150:J150)</f>
        <v>0</v>
      </c>
      <c r="G150" s="269"/>
      <c r="H150" s="215"/>
      <c r="I150" s="215"/>
      <c r="J150" s="215"/>
      <c r="K150" s="214"/>
    </row>
    <row r="151" spans="2:11" s="212" customFormat="1">
      <c r="B151" s="214"/>
      <c r="C151" s="161"/>
      <c r="D151" s="161"/>
      <c r="E151" s="162" t="s">
        <v>452</v>
      </c>
      <c r="F151" s="189">
        <f>SUM(G151:J151)</f>
        <v>0</v>
      </c>
      <c r="G151" s="269"/>
      <c r="H151" s="215"/>
      <c r="I151" s="215"/>
      <c r="J151" s="215"/>
      <c r="K151" s="214"/>
    </row>
    <row r="152" spans="2:11" s="212" customFormat="1">
      <c r="B152" s="214"/>
      <c r="C152" s="161"/>
      <c r="D152" s="161"/>
      <c r="E152" s="162" t="s">
        <v>453</v>
      </c>
      <c r="F152" s="189">
        <f>SUM(G152:J152)</f>
        <v>0</v>
      </c>
      <c r="G152" s="269"/>
      <c r="H152" s="215"/>
      <c r="I152" s="215"/>
      <c r="J152" s="215"/>
      <c r="K152" s="214"/>
    </row>
    <row r="153" spans="2:11">
      <c r="B153" s="177"/>
      <c r="C153" s="141" t="s">
        <v>454</v>
      </c>
      <c r="D153" s="141"/>
      <c r="E153" s="142" t="s">
        <v>455</v>
      </c>
      <c r="F153" s="191">
        <f>SUM(F154:F160)</f>
        <v>265000</v>
      </c>
      <c r="G153" s="191">
        <f t="shared" ref="G153:J153" si="47">SUM(G154:G160)</f>
        <v>265000</v>
      </c>
      <c r="H153" s="191">
        <f t="shared" si="47"/>
        <v>0</v>
      </c>
      <c r="I153" s="191">
        <f t="shared" si="47"/>
        <v>0</v>
      </c>
      <c r="J153" s="191">
        <f t="shared" si="47"/>
        <v>0</v>
      </c>
      <c r="K153" s="177"/>
    </row>
    <row r="154" spans="2:11" s="212" customFormat="1">
      <c r="B154" s="214"/>
      <c r="C154" s="161"/>
      <c r="D154" s="161"/>
      <c r="E154" s="162" t="s">
        <v>456</v>
      </c>
      <c r="F154" s="189">
        <f>SUM(G154:J154)</f>
        <v>60000</v>
      </c>
      <c r="G154" s="269">
        <f>6*10000</f>
        <v>60000</v>
      </c>
      <c r="H154" s="215"/>
      <c r="I154" s="215"/>
      <c r="J154" s="215"/>
      <c r="K154" s="214"/>
    </row>
    <row r="155" spans="2:11" s="212" customFormat="1">
      <c r="B155" s="214"/>
      <c r="C155" s="161"/>
      <c r="D155" s="161"/>
      <c r="E155" s="162" t="s">
        <v>457</v>
      </c>
      <c r="F155" s="189">
        <f>SUM(G155:J155)</f>
        <v>0</v>
      </c>
      <c r="G155" s="269"/>
      <c r="H155" s="215"/>
      <c r="I155" s="215"/>
      <c r="J155" s="215"/>
      <c r="K155" s="214"/>
    </row>
    <row r="156" spans="2:11" s="212" customFormat="1">
      <c r="B156" s="214"/>
      <c r="C156" s="161"/>
      <c r="D156" s="161"/>
      <c r="E156" s="162" t="s">
        <v>458</v>
      </c>
      <c r="F156" s="189">
        <f>SUM(G156:J156)</f>
        <v>45000</v>
      </c>
      <c r="G156" s="269">
        <f>6*7500</f>
        <v>45000</v>
      </c>
      <c r="H156" s="215"/>
      <c r="I156" s="215"/>
      <c r="J156" s="215"/>
      <c r="K156" s="214"/>
    </row>
    <row r="157" spans="2:11" s="212" customFormat="1">
      <c r="B157" s="214"/>
      <c r="C157" s="161"/>
      <c r="D157" s="161"/>
      <c r="E157" s="162" t="s">
        <v>459</v>
      </c>
      <c r="F157" s="189">
        <f t="shared" ref="F157:F160" si="48">SUM(G157:J157)</f>
        <v>100000</v>
      </c>
      <c r="G157" s="269">
        <f>10*10000</f>
        <v>100000</v>
      </c>
      <c r="H157" s="215"/>
      <c r="I157" s="215"/>
      <c r="J157" s="215"/>
      <c r="K157" s="214"/>
    </row>
    <row r="158" spans="2:11" s="212" customFormat="1">
      <c r="B158" s="214"/>
      <c r="C158" s="161"/>
      <c r="D158" s="161"/>
      <c r="E158" s="162" t="s">
        <v>460</v>
      </c>
      <c r="F158" s="189">
        <f t="shared" si="48"/>
        <v>0</v>
      </c>
      <c r="G158" s="269"/>
      <c r="H158" s="215"/>
      <c r="I158" s="215"/>
      <c r="J158" s="215"/>
      <c r="K158" s="214"/>
    </row>
    <row r="159" spans="2:11" s="212" customFormat="1">
      <c r="B159" s="214"/>
      <c r="C159" s="161"/>
      <c r="D159" s="161"/>
      <c r="E159" s="162" t="s">
        <v>461</v>
      </c>
      <c r="F159" s="189">
        <f t="shared" si="48"/>
        <v>60000</v>
      </c>
      <c r="G159" s="269">
        <f>6*10000</f>
        <v>60000</v>
      </c>
      <c r="H159" s="215"/>
      <c r="I159" s="215"/>
      <c r="J159" s="215"/>
      <c r="K159" s="214"/>
    </row>
    <row r="160" spans="2:11" s="212" customFormat="1">
      <c r="B160" s="214"/>
      <c r="C160" s="161"/>
      <c r="D160" s="161"/>
      <c r="E160" s="162" t="s">
        <v>462</v>
      </c>
      <c r="F160" s="189">
        <f t="shared" si="48"/>
        <v>0</v>
      </c>
      <c r="G160" s="269"/>
      <c r="H160" s="215"/>
      <c r="I160" s="215"/>
      <c r="J160" s="215"/>
      <c r="K160" s="214"/>
    </row>
    <row r="161" spans="2:11">
      <c r="B161" s="177"/>
      <c r="C161" s="141" t="s">
        <v>464</v>
      </c>
      <c r="D161" s="141"/>
      <c r="E161" s="142" t="s">
        <v>465</v>
      </c>
      <c r="F161" s="191">
        <f>SUM(F162:F168)</f>
        <v>0</v>
      </c>
      <c r="G161" s="191">
        <f t="shared" ref="G161:J161" si="49">SUM(G162:G168)</f>
        <v>0</v>
      </c>
      <c r="H161" s="191">
        <f t="shared" si="49"/>
        <v>0</v>
      </c>
      <c r="I161" s="191">
        <f t="shared" si="49"/>
        <v>0</v>
      </c>
      <c r="J161" s="191">
        <f t="shared" si="49"/>
        <v>0</v>
      </c>
      <c r="K161" s="177"/>
    </row>
    <row r="162" spans="2:11" s="212" customFormat="1">
      <c r="B162" s="214"/>
      <c r="C162" s="161"/>
      <c r="D162" s="161"/>
      <c r="E162" s="162" t="s">
        <v>466</v>
      </c>
      <c r="F162" s="189">
        <f>SUM(G162:J162)</f>
        <v>0</v>
      </c>
      <c r="G162" s="269"/>
      <c r="H162" s="215"/>
      <c r="I162" s="215"/>
      <c r="J162" s="215"/>
      <c r="K162" s="214"/>
    </row>
    <row r="163" spans="2:11" s="212" customFormat="1">
      <c r="B163" s="214"/>
      <c r="C163" s="161"/>
      <c r="D163" s="161"/>
      <c r="E163" s="162" t="s">
        <v>467</v>
      </c>
      <c r="F163" s="189">
        <f t="shared" ref="F163:F168" si="50">SUM(G163:J163)</f>
        <v>0</v>
      </c>
      <c r="G163" s="269"/>
      <c r="H163" s="215"/>
      <c r="I163" s="215"/>
      <c r="J163" s="215"/>
      <c r="K163" s="214"/>
    </row>
    <row r="164" spans="2:11" s="212" customFormat="1">
      <c r="B164" s="214"/>
      <c r="C164" s="161"/>
      <c r="D164" s="161"/>
      <c r="E164" s="162" t="s">
        <v>468</v>
      </c>
      <c r="F164" s="189">
        <f t="shared" si="50"/>
        <v>0</v>
      </c>
      <c r="G164" s="269"/>
      <c r="H164" s="215"/>
      <c r="I164" s="215"/>
      <c r="J164" s="215"/>
      <c r="K164" s="214"/>
    </row>
    <row r="165" spans="2:11" s="212" customFormat="1">
      <c r="B165" s="214"/>
      <c r="C165" s="161"/>
      <c r="D165" s="161"/>
      <c r="E165" s="162" t="s">
        <v>472</v>
      </c>
      <c r="F165" s="189">
        <f t="shared" si="50"/>
        <v>0</v>
      </c>
      <c r="G165" s="269"/>
      <c r="H165" s="215"/>
      <c r="I165" s="215"/>
      <c r="J165" s="215"/>
      <c r="K165" s="214"/>
    </row>
    <row r="166" spans="2:11" s="212" customFormat="1">
      <c r="B166" s="214"/>
      <c r="C166" s="161"/>
      <c r="D166" s="161"/>
      <c r="E166" s="162" t="s">
        <v>469</v>
      </c>
      <c r="F166" s="189">
        <f t="shared" si="50"/>
        <v>0</v>
      </c>
      <c r="G166" s="269"/>
      <c r="H166" s="215"/>
      <c r="I166" s="215"/>
      <c r="J166" s="215"/>
      <c r="K166" s="214"/>
    </row>
    <row r="167" spans="2:11" s="212" customFormat="1">
      <c r="B167" s="214"/>
      <c r="C167" s="161"/>
      <c r="D167" s="161"/>
      <c r="E167" s="162" t="s">
        <v>470</v>
      </c>
      <c r="F167" s="189">
        <f t="shared" si="50"/>
        <v>0</v>
      </c>
      <c r="G167" s="269"/>
      <c r="H167" s="215"/>
      <c r="I167" s="215"/>
      <c r="J167" s="215"/>
      <c r="K167" s="214"/>
    </row>
    <row r="168" spans="2:11" s="212" customFormat="1">
      <c r="B168" s="214"/>
      <c r="C168" s="161"/>
      <c r="D168" s="161"/>
      <c r="E168" s="162" t="s">
        <v>471</v>
      </c>
      <c r="F168" s="189">
        <f t="shared" si="50"/>
        <v>0</v>
      </c>
      <c r="G168" s="269"/>
      <c r="H168" s="215"/>
      <c r="I168" s="215"/>
      <c r="J168" s="215"/>
      <c r="K168" s="214"/>
    </row>
    <row r="169" spans="2:11">
      <c r="B169" s="177"/>
      <c r="C169" s="141" t="s">
        <v>473</v>
      </c>
      <c r="D169" s="141"/>
      <c r="E169" s="142" t="s">
        <v>474</v>
      </c>
      <c r="F169" s="191">
        <f>SUM(F170:F176)</f>
        <v>0</v>
      </c>
      <c r="G169" s="191">
        <f t="shared" ref="G169:J169" si="51">SUM(G170:G176)</f>
        <v>0</v>
      </c>
      <c r="H169" s="191">
        <f t="shared" si="51"/>
        <v>0</v>
      </c>
      <c r="I169" s="191">
        <f t="shared" si="51"/>
        <v>0</v>
      </c>
      <c r="J169" s="191">
        <f t="shared" si="51"/>
        <v>0</v>
      </c>
      <c r="K169" s="177"/>
    </row>
    <row r="170" spans="2:11" s="212" customFormat="1">
      <c r="B170" s="214"/>
      <c r="C170" s="161"/>
      <c r="D170" s="161"/>
      <c r="E170" s="162" t="s">
        <v>476</v>
      </c>
      <c r="F170" s="189">
        <f>SUM(G170:J170)</f>
        <v>0</v>
      </c>
      <c r="G170" s="269"/>
      <c r="H170" s="215"/>
      <c r="I170" s="215"/>
      <c r="J170" s="215"/>
      <c r="K170" s="214"/>
    </row>
    <row r="171" spans="2:11" s="275" customFormat="1">
      <c r="B171" s="270"/>
      <c r="C171" s="271"/>
      <c r="D171" s="271"/>
      <c r="E171" s="272" t="s">
        <v>475</v>
      </c>
      <c r="F171" s="204">
        <f t="shared" ref="F171:F176" si="52">SUM(G171:J171)</f>
        <v>0</v>
      </c>
      <c r="G171" s="274"/>
      <c r="H171" s="273"/>
      <c r="I171" s="273"/>
      <c r="J171" s="273"/>
      <c r="K171" s="270"/>
    </row>
    <row r="172" spans="2:11" s="275" customFormat="1">
      <c r="B172" s="270"/>
      <c r="C172" s="271"/>
      <c r="D172" s="271"/>
      <c r="E172" s="272" t="s">
        <v>477</v>
      </c>
      <c r="F172" s="204">
        <f t="shared" si="52"/>
        <v>0</v>
      </c>
      <c r="G172" s="274"/>
      <c r="H172" s="273"/>
      <c r="I172" s="273"/>
      <c r="J172" s="273"/>
      <c r="K172" s="270"/>
    </row>
    <row r="173" spans="2:11" s="275" customFormat="1">
      <c r="B173" s="270"/>
      <c r="C173" s="271"/>
      <c r="D173" s="271"/>
      <c r="E173" s="272" t="s">
        <v>478</v>
      </c>
      <c r="F173" s="204">
        <f t="shared" si="52"/>
        <v>0</v>
      </c>
      <c r="G173" s="274"/>
      <c r="H173" s="273"/>
      <c r="I173" s="273"/>
      <c r="J173" s="273"/>
      <c r="K173" s="270"/>
    </row>
    <row r="174" spans="2:11" s="275" customFormat="1">
      <c r="B174" s="270"/>
      <c r="C174" s="271"/>
      <c r="D174" s="271"/>
      <c r="E174" s="272" t="s">
        <v>479</v>
      </c>
      <c r="F174" s="204">
        <f t="shared" si="52"/>
        <v>0</v>
      </c>
      <c r="G174" s="274"/>
      <c r="H174" s="273"/>
      <c r="I174" s="273"/>
      <c r="J174" s="273"/>
      <c r="K174" s="270"/>
    </row>
    <row r="175" spans="2:11" s="275" customFormat="1">
      <c r="B175" s="270"/>
      <c r="C175" s="271"/>
      <c r="D175" s="271"/>
      <c r="E175" s="272" t="s">
        <v>714</v>
      </c>
      <c r="F175" s="204">
        <f t="shared" si="52"/>
        <v>0</v>
      </c>
      <c r="G175" s="274"/>
      <c r="H175" s="273"/>
      <c r="I175" s="273"/>
      <c r="J175" s="273"/>
      <c r="K175" s="270"/>
    </row>
    <row r="176" spans="2:11" s="212" customFormat="1">
      <c r="B176" s="214"/>
      <c r="C176" s="161"/>
      <c r="D176" s="161"/>
      <c r="E176" s="162" t="s">
        <v>264</v>
      </c>
      <c r="F176" s="189">
        <f t="shared" si="52"/>
        <v>0</v>
      </c>
      <c r="G176" s="269"/>
      <c r="H176" s="215"/>
      <c r="I176" s="215"/>
      <c r="J176" s="215"/>
      <c r="K176" s="214"/>
    </row>
    <row r="177" spans="2:11" s="63" customFormat="1">
      <c r="B177" s="179"/>
      <c r="C177" s="149" t="s">
        <v>114</v>
      </c>
      <c r="D177" s="149"/>
      <c r="E177" s="150" t="s">
        <v>481</v>
      </c>
      <c r="F177" s="188">
        <f>F178+F183+F202+F207</f>
        <v>640500</v>
      </c>
      <c r="G177" s="188">
        <f t="shared" ref="G177:J177" si="53">G178+G183+G202+G207</f>
        <v>640500</v>
      </c>
      <c r="H177" s="188">
        <f t="shared" si="53"/>
        <v>0</v>
      </c>
      <c r="I177" s="188">
        <f t="shared" si="53"/>
        <v>0</v>
      </c>
      <c r="J177" s="188">
        <f t="shared" si="53"/>
        <v>0</v>
      </c>
      <c r="K177" s="179"/>
    </row>
    <row r="178" spans="2:11">
      <c r="B178" s="176"/>
      <c r="C178" s="115" t="s">
        <v>482</v>
      </c>
      <c r="D178" s="115"/>
      <c r="E178" s="116" t="s">
        <v>483</v>
      </c>
      <c r="F178" s="190">
        <f>SUM(F179:F182)</f>
        <v>0</v>
      </c>
      <c r="G178" s="190">
        <f t="shared" ref="G178:J178" si="54">SUM(G179:G182)</f>
        <v>0</v>
      </c>
      <c r="H178" s="190">
        <f t="shared" si="54"/>
        <v>0</v>
      </c>
      <c r="I178" s="190">
        <f t="shared" si="54"/>
        <v>0</v>
      </c>
      <c r="J178" s="190">
        <f t="shared" si="54"/>
        <v>0</v>
      </c>
      <c r="K178" s="176"/>
    </row>
    <row r="179" spans="2:11" s="212" customFormat="1">
      <c r="B179" s="214"/>
      <c r="C179" s="161" t="s">
        <v>484</v>
      </c>
      <c r="D179" s="161"/>
      <c r="E179" s="162" t="s">
        <v>485</v>
      </c>
      <c r="F179" s="189">
        <f>SUM(G179:J179)</f>
        <v>0</v>
      </c>
      <c r="G179" s="269"/>
      <c r="H179" s="215"/>
      <c r="I179" s="215"/>
      <c r="J179" s="215"/>
      <c r="K179" s="214"/>
    </row>
    <row r="180" spans="2:11" s="212" customFormat="1">
      <c r="B180" s="214"/>
      <c r="C180" s="161" t="s">
        <v>486</v>
      </c>
      <c r="D180" s="161"/>
      <c r="E180" s="162" t="s">
        <v>487</v>
      </c>
      <c r="F180" s="189">
        <f t="shared" ref="F180:F182" si="55">SUM(G180:J180)</f>
        <v>0</v>
      </c>
      <c r="G180" s="269"/>
      <c r="H180" s="215"/>
      <c r="I180" s="215"/>
      <c r="J180" s="215"/>
      <c r="K180" s="214"/>
    </row>
    <row r="181" spans="2:11" s="212" customFormat="1">
      <c r="B181" s="214"/>
      <c r="C181" s="161" t="s">
        <v>488</v>
      </c>
      <c r="D181" s="161"/>
      <c r="E181" s="162" t="s">
        <v>489</v>
      </c>
      <c r="F181" s="189">
        <f t="shared" si="55"/>
        <v>0</v>
      </c>
      <c r="G181" s="269"/>
      <c r="H181" s="215"/>
      <c r="I181" s="215"/>
      <c r="J181" s="215"/>
      <c r="K181" s="214"/>
    </row>
    <row r="182" spans="2:11" s="212" customFormat="1">
      <c r="B182" s="214"/>
      <c r="C182" s="161" t="s">
        <v>632</v>
      </c>
      <c r="D182" s="161"/>
      <c r="E182" s="162" t="s">
        <v>716</v>
      </c>
      <c r="F182" s="189">
        <f t="shared" si="55"/>
        <v>0</v>
      </c>
      <c r="G182" s="269"/>
      <c r="H182" s="215"/>
      <c r="I182" s="215"/>
      <c r="J182" s="215"/>
      <c r="K182" s="214"/>
    </row>
    <row r="183" spans="2:11">
      <c r="B183" s="176"/>
      <c r="C183" s="115" t="s">
        <v>490</v>
      </c>
      <c r="D183" s="115"/>
      <c r="E183" s="116" t="s">
        <v>491</v>
      </c>
      <c r="F183" s="190">
        <f>F184+F185</f>
        <v>180000</v>
      </c>
      <c r="G183" s="190">
        <f t="shared" ref="G183:J183" si="56">G184+G185</f>
        <v>180000</v>
      </c>
      <c r="H183" s="190">
        <f t="shared" si="56"/>
        <v>0</v>
      </c>
      <c r="I183" s="190">
        <f t="shared" si="56"/>
        <v>0</v>
      </c>
      <c r="J183" s="190">
        <f t="shared" si="56"/>
        <v>0</v>
      </c>
      <c r="K183" s="176"/>
    </row>
    <row r="184" spans="2:11" s="212" customFormat="1">
      <c r="B184" s="276"/>
      <c r="C184" s="277" t="s">
        <v>492</v>
      </c>
      <c r="D184" s="277"/>
      <c r="E184" s="278" t="s">
        <v>493</v>
      </c>
      <c r="F184" s="191"/>
      <c r="G184" s="279"/>
      <c r="H184" s="279"/>
      <c r="I184" s="279"/>
      <c r="J184" s="279"/>
      <c r="K184" s="276"/>
    </row>
    <row r="185" spans="2:11">
      <c r="B185" s="177"/>
      <c r="C185" s="141" t="s">
        <v>492</v>
      </c>
      <c r="D185" s="141"/>
      <c r="E185" s="142" t="s">
        <v>494</v>
      </c>
      <c r="F185" s="191">
        <f>SUM(F186:F201)</f>
        <v>180000</v>
      </c>
      <c r="G185" s="191">
        <f t="shared" ref="G185:J185" si="57">SUM(G186:G201)</f>
        <v>180000</v>
      </c>
      <c r="H185" s="191">
        <f t="shared" si="57"/>
        <v>0</v>
      </c>
      <c r="I185" s="191">
        <f t="shared" si="57"/>
        <v>0</v>
      </c>
      <c r="J185" s="191">
        <f t="shared" si="57"/>
        <v>0</v>
      </c>
      <c r="K185" s="177"/>
    </row>
    <row r="186" spans="2:11" s="212" customFormat="1">
      <c r="B186" s="214"/>
      <c r="C186" s="161"/>
      <c r="D186" s="161"/>
      <c r="E186" s="162" t="s">
        <v>495</v>
      </c>
      <c r="F186" s="189">
        <f>SUM(G186:J186)</f>
        <v>0</v>
      </c>
      <c r="G186" s="269"/>
      <c r="H186" s="215"/>
      <c r="I186" s="215"/>
      <c r="J186" s="215"/>
      <c r="K186" s="214"/>
    </row>
    <row r="187" spans="2:11" s="212" customFormat="1">
      <c r="B187" s="214"/>
      <c r="C187" s="161"/>
      <c r="D187" s="161"/>
      <c r="E187" s="162" t="s">
        <v>638</v>
      </c>
      <c r="F187" s="189">
        <f t="shared" ref="F187:F201" si="58">SUM(G187:J187)</f>
        <v>40000</v>
      </c>
      <c r="G187" s="269">
        <f>4*10000</f>
        <v>40000</v>
      </c>
      <c r="H187" s="215"/>
      <c r="I187" s="215"/>
      <c r="J187" s="215"/>
      <c r="K187" s="214"/>
    </row>
    <row r="188" spans="2:11" s="212" customFormat="1">
      <c r="B188" s="214"/>
      <c r="C188" s="161"/>
      <c r="D188" s="161"/>
      <c r="E188" s="162" t="s">
        <v>496</v>
      </c>
      <c r="F188" s="189">
        <f t="shared" si="58"/>
        <v>0</v>
      </c>
      <c r="G188" s="269"/>
      <c r="H188" s="215"/>
      <c r="I188" s="215"/>
      <c r="J188" s="215"/>
      <c r="K188" s="214"/>
    </row>
    <row r="189" spans="2:11" s="212" customFormat="1">
      <c r="B189" s="214"/>
      <c r="C189" s="161"/>
      <c r="D189" s="161"/>
      <c r="E189" s="162" t="s">
        <v>497</v>
      </c>
      <c r="F189" s="189">
        <f t="shared" si="58"/>
        <v>0</v>
      </c>
      <c r="G189" s="269"/>
      <c r="H189" s="215"/>
      <c r="I189" s="215"/>
      <c r="J189" s="215"/>
      <c r="K189" s="214"/>
    </row>
    <row r="190" spans="2:11" s="212" customFormat="1">
      <c r="B190" s="214"/>
      <c r="C190" s="161"/>
      <c r="D190" s="161"/>
      <c r="E190" s="162" t="s">
        <v>498</v>
      </c>
      <c r="F190" s="189">
        <f t="shared" si="58"/>
        <v>0</v>
      </c>
      <c r="G190" s="269"/>
      <c r="H190" s="215"/>
      <c r="I190" s="215"/>
      <c r="J190" s="215"/>
      <c r="K190" s="214"/>
    </row>
    <row r="191" spans="2:11" s="212" customFormat="1">
      <c r="B191" s="214"/>
      <c r="C191" s="161"/>
      <c r="D191" s="161"/>
      <c r="E191" s="162" t="s">
        <v>639</v>
      </c>
      <c r="F191" s="189">
        <f t="shared" si="58"/>
        <v>70000</v>
      </c>
      <c r="G191" s="269">
        <f>7*10000</f>
        <v>70000</v>
      </c>
      <c r="H191" s="215"/>
      <c r="I191" s="215"/>
      <c r="J191" s="215"/>
      <c r="K191" s="214"/>
    </row>
    <row r="192" spans="2:11" s="212" customFormat="1">
      <c r="B192" s="214"/>
      <c r="C192" s="161"/>
      <c r="D192" s="161"/>
      <c r="E192" s="162" t="s">
        <v>640</v>
      </c>
      <c r="F192" s="189">
        <f t="shared" si="58"/>
        <v>70000</v>
      </c>
      <c r="G192" s="269">
        <f>7*10000</f>
        <v>70000</v>
      </c>
      <c r="H192" s="215"/>
      <c r="I192" s="215"/>
      <c r="J192" s="215"/>
      <c r="K192" s="214"/>
    </row>
    <row r="193" spans="2:11" s="212" customFormat="1">
      <c r="B193" s="214"/>
      <c r="C193" s="161"/>
      <c r="D193" s="161"/>
      <c r="E193" s="162" t="s">
        <v>499</v>
      </c>
      <c r="F193" s="189">
        <f t="shared" si="58"/>
        <v>0</v>
      </c>
      <c r="G193" s="269"/>
      <c r="H193" s="215"/>
      <c r="I193" s="215"/>
      <c r="J193" s="215"/>
      <c r="K193" s="214"/>
    </row>
    <row r="194" spans="2:11" s="212" customFormat="1">
      <c r="B194" s="214"/>
      <c r="C194" s="161"/>
      <c r="D194" s="161"/>
      <c r="E194" s="162" t="s">
        <v>500</v>
      </c>
      <c r="F194" s="189">
        <f t="shared" si="58"/>
        <v>0</v>
      </c>
      <c r="G194" s="269"/>
      <c r="H194" s="215"/>
      <c r="I194" s="215"/>
      <c r="J194" s="215"/>
      <c r="K194" s="214"/>
    </row>
    <row r="195" spans="2:11" s="212" customFormat="1">
      <c r="B195" s="214"/>
      <c r="C195" s="161"/>
      <c r="D195" s="161"/>
      <c r="E195" s="162" t="s">
        <v>501</v>
      </c>
      <c r="F195" s="189">
        <f t="shared" si="58"/>
        <v>0</v>
      </c>
      <c r="G195" s="269"/>
      <c r="H195" s="215"/>
      <c r="I195" s="215"/>
      <c r="J195" s="215"/>
      <c r="K195" s="214"/>
    </row>
    <row r="196" spans="2:11" s="212" customFormat="1">
      <c r="B196" s="214"/>
      <c r="C196" s="161"/>
      <c r="D196" s="161"/>
      <c r="E196" s="162" t="s">
        <v>502</v>
      </c>
      <c r="F196" s="189">
        <f t="shared" si="58"/>
        <v>0</v>
      </c>
      <c r="G196" s="269"/>
      <c r="H196" s="215"/>
      <c r="I196" s="215"/>
      <c r="J196" s="215"/>
      <c r="K196" s="214"/>
    </row>
    <row r="197" spans="2:11" s="212" customFormat="1">
      <c r="B197" s="214"/>
      <c r="C197" s="161"/>
      <c r="D197" s="161"/>
      <c r="E197" s="162" t="s">
        <v>503</v>
      </c>
      <c r="F197" s="189">
        <f t="shared" si="58"/>
        <v>0</v>
      </c>
      <c r="G197" s="269"/>
      <c r="H197" s="215"/>
      <c r="I197" s="215"/>
      <c r="J197" s="215"/>
      <c r="K197" s="214"/>
    </row>
    <row r="198" spans="2:11" s="212" customFormat="1">
      <c r="B198" s="214"/>
      <c r="C198" s="161"/>
      <c r="D198" s="161"/>
      <c r="E198" s="162" t="s">
        <v>503</v>
      </c>
      <c r="F198" s="189">
        <f t="shared" si="58"/>
        <v>0</v>
      </c>
      <c r="G198" s="269"/>
      <c r="H198" s="215"/>
      <c r="I198" s="215"/>
      <c r="J198" s="215"/>
      <c r="K198" s="214"/>
    </row>
    <row r="199" spans="2:11" s="212" customFormat="1">
      <c r="B199" s="214"/>
      <c r="C199" s="161"/>
      <c r="D199" s="161"/>
      <c r="E199" s="162" t="s">
        <v>503</v>
      </c>
      <c r="F199" s="189">
        <f t="shared" si="58"/>
        <v>0</v>
      </c>
      <c r="G199" s="269"/>
      <c r="H199" s="215"/>
      <c r="I199" s="215"/>
      <c r="J199" s="215"/>
      <c r="K199" s="214"/>
    </row>
    <row r="200" spans="2:11" s="212" customFormat="1">
      <c r="B200" s="214"/>
      <c r="C200" s="161"/>
      <c r="D200" s="161"/>
      <c r="E200" s="162" t="s">
        <v>504</v>
      </c>
      <c r="F200" s="189">
        <f t="shared" si="58"/>
        <v>0</v>
      </c>
      <c r="G200" s="269"/>
      <c r="H200" s="215"/>
      <c r="I200" s="215"/>
      <c r="J200" s="215"/>
      <c r="K200" s="214"/>
    </row>
    <row r="201" spans="2:11" s="212" customFormat="1">
      <c r="B201" s="214"/>
      <c r="C201" s="161"/>
      <c r="D201" s="161"/>
      <c r="E201" s="162" t="s">
        <v>717</v>
      </c>
      <c r="F201" s="189">
        <f t="shared" si="58"/>
        <v>0</v>
      </c>
      <c r="G201" s="269"/>
      <c r="H201" s="215"/>
      <c r="I201" s="215"/>
      <c r="J201" s="215"/>
      <c r="K201" s="214"/>
    </row>
    <row r="202" spans="2:11">
      <c r="B202" s="176"/>
      <c r="C202" s="115" t="s">
        <v>505</v>
      </c>
      <c r="D202" s="115"/>
      <c r="E202" s="116" t="s">
        <v>506</v>
      </c>
      <c r="F202" s="190">
        <f>SUM(F203:F206)</f>
        <v>210000</v>
      </c>
      <c r="G202" s="190">
        <f t="shared" ref="G202:J202" si="59">SUM(G203:G206)</f>
        <v>210000</v>
      </c>
      <c r="H202" s="190">
        <f t="shared" si="59"/>
        <v>0</v>
      </c>
      <c r="I202" s="190">
        <f t="shared" si="59"/>
        <v>0</v>
      </c>
      <c r="J202" s="190">
        <f t="shared" si="59"/>
        <v>0</v>
      </c>
      <c r="K202" s="176"/>
    </row>
    <row r="203" spans="2:11" s="212" customFormat="1">
      <c r="B203" s="214"/>
      <c r="C203" s="161" t="s">
        <v>507</v>
      </c>
      <c r="D203" s="161"/>
      <c r="E203" s="162" t="s">
        <v>510</v>
      </c>
      <c r="F203" s="189">
        <f>SUM(G203:J203)</f>
        <v>60000</v>
      </c>
      <c r="G203" s="269">
        <f>6*10000</f>
        <v>60000</v>
      </c>
      <c r="H203" s="215"/>
      <c r="I203" s="215"/>
      <c r="J203" s="215"/>
      <c r="K203" s="214"/>
    </row>
    <row r="204" spans="2:11" s="212" customFormat="1">
      <c r="B204" s="214"/>
      <c r="C204" s="161" t="s">
        <v>508</v>
      </c>
      <c r="D204" s="161"/>
      <c r="E204" s="162" t="s">
        <v>509</v>
      </c>
      <c r="F204" s="189">
        <f t="shared" ref="F204:F206" si="60">SUM(G204:J204)</f>
        <v>60000</v>
      </c>
      <c r="G204" s="269">
        <f>6*10000</f>
        <v>60000</v>
      </c>
      <c r="H204" s="215"/>
      <c r="I204" s="215"/>
      <c r="J204" s="215"/>
      <c r="K204" s="214"/>
    </row>
    <row r="205" spans="2:11" s="212" customFormat="1">
      <c r="B205" s="214"/>
      <c r="C205" s="161" t="s">
        <v>511</v>
      </c>
      <c r="D205" s="161"/>
      <c r="E205" s="162" t="s">
        <v>512</v>
      </c>
      <c r="F205" s="189">
        <f t="shared" si="60"/>
        <v>90000</v>
      </c>
      <c r="G205" s="269">
        <f>6*3*5000</f>
        <v>90000</v>
      </c>
      <c r="H205" s="215"/>
      <c r="I205" s="215"/>
      <c r="J205" s="215"/>
      <c r="K205" s="214"/>
    </row>
    <row r="206" spans="2:11" s="212" customFormat="1">
      <c r="B206" s="214"/>
      <c r="C206" s="161" t="s">
        <v>631</v>
      </c>
      <c r="D206" s="161"/>
      <c r="E206" s="162"/>
      <c r="F206" s="189">
        <f t="shared" si="60"/>
        <v>0</v>
      </c>
      <c r="G206" s="269"/>
      <c r="H206" s="215"/>
      <c r="I206" s="215"/>
      <c r="J206" s="215"/>
      <c r="K206" s="214"/>
    </row>
    <row r="207" spans="2:11">
      <c r="B207" s="176"/>
      <c r="C207" s="115" t="s">
        <v>513</v>
      </c>
      <c r="D207" s="115"/>
      <c r="E207" s="116" t="s">
        <v>514</v>
      </c>
      <c r="F207" s="190">
        <f>SUM(F208:F213)</f>
        <v>250500</v>
      </c>
      <c r="G207" s="190">
        <f t="shared" ref="G207:J207" si="61">SUM(G208:G213)</f>
        <v>250500</v>
      </c>
      <c r="H207" s="190">
        <f t="shared" si="61"/>
        <v>0</v>
      </c>
      <c r="I207" s="190">
        <f t="shared" si="61"/>
        <v>0</v>
      </c>
      <c r="J207" s="190">
        <f t="shared" si="61"/>
        <v>0</v>
      </c>
      <c r="K207" s="176"/>
    </row>
    <row r="208" spans="2:11" s="212" customFormat="1">
      <c r="B208" s="214"/>
      <c r="C208" s="161" t="s">
        <v>515</v>
      </c>
      <c r="D208" s="161"/>
      <c r="E208" s="162" t="s">
        <v>516</v>
      </c>
      <c r="F208" s="189">
        <f>SUM(G208:J208)</f>
        <v>0</v>
      </c>
      <c r="G208" s="269"/>
      <c r="H208" s="215"/>
      <c r="I208" s="215"/>
      <c r="J208" s="215"/>
      <c r="K208" s="214"/>
    </row>
    <row r="209" spans="2:11" s="212" customFormat="1">
      <c r="B209" s="214"/>
      <c r="C209" s="161" t="s">
        <v>517</v>
      </c>
      <c r="D209" s="161"/>
      <c r="E209" s="162" t="s">
        <v>518</v>
      </c>
      <c r="F209" s="189">
        <f t="shared" ref="F209:F213" si="62">SUM(G209:J209)</f>
        <v>100000</v>
      </c>
      <c r="G209" s="269">
        <v>100000</v>
      </c>
      <c r="H209" s="215"/>
      <c r="I209" s="215"/>
      <c r="J209" s="215"/>
      <c r="K209" s="214"/>
    </row>
    <row r="210" spans="2:11" s="212" customFormat="1">
      <c r="B210" s="214"/>
      <c r="C210" s="161" t="s">
        <v>519</v>
      </c>
      <c r="D210" s="161"/>
      <c r="E210" s="162" t="s">
        <v>520</v>
      </c>
      <c r="F210" s="189">
        <f t="shared" si="62"/>
        <v>0</v>
      </c>
      <c r="G210" s="269"/>
      <c r="H210" s="215"/>
      <c r="I210" s="215"/>
      <c r="J210" s="215"/>
      <c r="K210" s="214"/>
    </row>
    <row r="211" spans="2:11" s="212" customFormat="1">
      <c r="B211" s="214"/>
      <c r="C211" s="161" t="s">
        <v>521</v>
      </c>
      <c r="D211" s="161"/>
      <c r="E211" s="162" t="s">
        <v>522</v>
      </c>
      <c r="F211" s="189">
        <f t="shared" si="62"/>
        <v>150500</v>
      </c>
      <c r="G211" s="269">
        <v>150500</v>
      </c>
      <c r="H211" s="215"/>
      <c r="I211" s="215"/>
      <c r="J211" s="215"/>
      <c r="K211" s="214"/>
    </row>
    <row r="212" spans="2:11" s="212" customFormat="1">
      <c r="B212" s="214"/>
      <c r="C212" s="161" t="s">
        <v>523</v>
      </c>
      <c r="D212" s="161"/>
      <c r="E212" s="162" t="s">
        <v>524</v>
      </c>
      <c r="F212" s="189">
        <f t="shared" si="62"/>
        <v>0</v>
      </c>
      <c r="G212" s="269"/>
      <c r="H212" s="215"/>
      <c r="I212" s="215"/>
      <c r="J212" s="215"/>
      <c r="K212" s="214"/>
    </row>
    <row r="213" spans="2:11" s="212" customFormat="1">
      <c r="B213" s="214"/>
      <c r="C213" s="161" t="s">
        <v>630</v>
      </c>
      <c r="D213" s="161"/>
      <c r="E213" s="162"/>
      <c r="F213" s="189">
        <f t="shared" si="62"/>
        <v>0</v>
      </c>
      <c r="G213" s="269"/>
      <c r="H213" s="215"/>
      <c r="I213" s="215"/>
      <c r="J213" s="215"/>
      <c r="K213" s="214"/>
    </row>
    <row r="214" spans="2:11" s="63" customFormat="1">
      <c r="B214" s="179"/>
      <c r="C214" s="149" t="s">
        <v>116</v>
      </c>
      <c r="D214" s="149"/>
      <c r="E214" s="150" t="s">
        <v>525</v>
      </c>
      <c r="F214" s="188">
        <f>F215</f>
        <v>951000</v>
      </c>
      <c r="G214" s="188">
        <f t="shared" ref="G214:J214" si="63">G215</f>
        <v>951000</v>
      </c>
      <c r="H214" s="188">
        <f t="shared" si="63"/>
        <v>0</v>
      </c>
      <c r="I214" s="188">
        <f t="shared" si="63"/>
        <v>0</v>
      </c>
      <c r="J214" s="188">
        <f t="shared" si="63"/>
        <v>0</v>
      </c>
      <c r="K214" s="179"/>
    </row>
    <row r="215" spans="2:11">
      <c r="B215" s="176"/>
      <c r="C215" s="115" t="s">
        <v>526</v>
      </c>
      <c r="D215" s="115"/>
      <c r="E215" s="116" t="s">
        <v>527</v>
      </c>
      <c r="F215" s="190">
        <f>SUM(F216:F221)</f>
        <v>951000</v>
      </c>
      <c r="G215" s="190">
        <f t="shared" ref="G215:J215" si="64">SUM(G216:G221)</f>
        <v>951000</v>
      </c>
      <c r="H215" s="190">
        <f t="shared" si="64"/>
        <v>0</v>
      </c>
      <c r="I215" s="190">
        <f t="shared" si="64"/>
        <v>0</v>
      </c>
      <c r="J215" s="190">
        <f t="shared" si="64"/>
        <v>0</v>
      </c>
      <c r="K215" s="176"/>
    </row>
    <row r="216" spans="2:11" s="212" customFormat="1">
      <c r="B216" s="214"/>
      <c r="C216" s="161" t="s">
        <v>528</v>
      </c>
      <c r="D216" s="161"/>
      <c r="E216" s="162" t="s">
        <v>529</v>
      </c>
      <c r="F216" s="189">
        <f>SUM(G216:J216)</f>
        <v>540000</v>
      </c>
      <c r="G216" s="269">
        <f>9*2000*30</f>
        <v>540000</v>
      </c>
      <c r="H216" s="215"/>
      <c r="I216" s="215"/>
      <c r="J216" s="215"/>
      <c r="K216" s="214"/>
    </row>
    <row r="217" spans="2:11" s="212" customFormat="1">
      <c r="B217" s="214"/>
      <c r="C217" s="161" t="s">
        <v>530</v>
      </c>
      <c r="D217" s="161"/>
      <c r="E217" s="162" t="s">
        <v>531</v>
      </c>
      <c r="F217" s="189">
        <f t="shared" ref="F217:F221" si="65">SUM(G217:J217)</f>
        <v>75000</v>
      </c>
      <c r="G217" s="269">
        <f>15*5000</f>
        <v>75000</v>
      </c>
      <c r="H217" s="215"/>
      <c r="I217" s="215"/>
      <c r="J217" s="215"/>
      <c r="K217" s="214"/>
    </row>
    <row r="218" spans="2:11" s="212" customFormat="1">
      <c r="B218" s="214"/>
      <c r="C218" s="161" t="s">
        <v>532</v>
      </c>
      <c r="D218" s="161"/>
      <c r="E218" s="162" t="s">
        <v>533</v>
      </c>
      <c r="F218" s="189">
        <f t="shared" si="65"/>
        <v>96000</v>
      </c>
      <c r="G218" s="269">
        <f>6*16000</f>
        <v>96000</v>
      </c>
      <c r="H218" s="215"/>
      <c r="I218" s="215"/>
      <c r="J218" s="215"/>
      <c r="K218" s="214"/>
    </row>
    <row r="219" spans="2:11" s="212" customFormat="1">
      <c r="B219" s="214"/>
      <c r="C219" s="161" t="s">
        <v>534</v>
      </c>
      <c r="D219" s="161"/>
      <c r="E219" s="162" t="s">
        <v>535</v>
      </c>
      <c r="F219" s="189">
        <f t="shared" si="65"/>
        <v>60000</v>
      </c>
      <c r="G219" s="269">
        <f>3*20000</f>
        <v>60000</v>
      </c>
      <c r="H219" s="215"/>
      <c r="I219" s="215"/>
      <c r="J219" s="215"/>
      <c r="K219" s="214"/>
    </row>
    <row r="220" spans="2:11" s="212" customFormat="1">
      <c r="B220" s="214"/>
      <c r="C220" s="161" t="s">
        <v>536</v>
      </c>
      <c r="D220" s="161"/>
      <c r="E220" s="162" t="s">
        <v>537</v>
      </c>
      <c r="F220" s="189">
        <f t="shared" si="65"/>
        <v>180000</v>
      </c>
      <c r="G220" s="269">
        <f>3*60000</f>
        <v>180000</v>
      </c>
      <c r="H220" s="215"/>
      <c r="I220" s="215"/>
      <c r="J220" s="215"/>
      <c r="K220" s="214"/>
    </row>
    <row r="221" spans="2:11" s="212" customFormat="1">
      <c r="B221" s="214"/>
      <c r="C221" s="161" t="s">
        <v>629</v>
      </c>
      <c r="D221" s="161"/>
      <c r="E221" s="162"/>
      <c r="F221" s="189">
        <f t="shared" si="65"/>
        <v>0</v>
      </c>
      <c r="G221" s="269"/>
      <c r="H221" s="215"/>
      <c r="I221" s="215"/>
      <c r="J221" s="215"/>
      <c r="K221" s="214"/>
    </row>
    <row r="222" spans="2:11" s="63" customFormat="1">
      <c r="B222" s="179"/>
      <c r="C222" s="149" t="s">
        <v>118</v>
      </c>
      <c r="D222" s="149"/>
      <c r="E222" s="150" t="s">
        <v>538</v>
      </c>
      <c r="F222" s="188">
        <f>F223+F229+F235+F244+F249+F254+F260+F265</f>
        <v>482500</v>
      </c>
      <c r="G222" s="188">
        <f t="shared" ref="G222:J222" si="66">G223+G229+G235+G244+G249+G254+G260+G265</f>
        <v>482500</v>
      </c>
      <c r="H222" s="188">
        <f t="shared" si="66"/>
        <v>0</v>
      </c>
      <c r="I222" s="188">
        <f t="shared" si="66"/>
        <v>0</v>
      </c>
      <c r="J222" s="188">
        <f t="shared" si="66"/>
        <v>0</v>
      </c>
      <c r="K222" s="179"/>
    </row>
    <row r="223" spans="2:11">
      <c r="B223" s="176"/>
      <c r="C223" s="115" t="s">
        <v>539</v>
      </c>
      <c r="D223" s="115"/>
      <c r="E223" s="116" t="s">
        <v>540</v>
      </c>
      <c r="F223" s="190">
        <f>SUM(F224:F228)</f>
        <v>0</v>
      </c>
      <c r="G223" s="190">
        <f t="shared" ref="G223:J223" si="67">SUM(G224:G228)</f>
        <v>0</v>
      </c>
      <c r="H223" s="190">
        <f t="shared" si="67"/>
        <v>0</v>
      </c>
      <c r="I223" s="190">
        <f t="shared" si="67"/>
        <v>0</v>
      </c>
      <c r="J223" s="190">
        <f t="shared" si="67"/>
        <v>0</v>
      </c>
      <c r="K223" s="176"/>
    </row>
    <row r="224" spans="2:11" s="212" customFormat="1">
      <c r="B224" s="214"/>
      <c r="C224" s="161" t="s">
        <v>541</v>
      </c>
      <c r="D224" s="161"/>
      <c r="E224" s="162" t="s">
        <v>542</v>
      </c>
      <c r="F224" s="189">
        <f>SUM(G224:J224)</f>
        <v>0</v>
      </c>
      <c r="G224" s="269"/>
      <c r="H224" s="215"/>
      <c r="I224" s="215"/>
      <c r="J224" s="215"/>
      <c r="K224" s="214"/>
    </row>
    <row r="225" spans="2:11" s="212" customFormat="1">
      <c r="B225" s="214"/>
      <c r="C225" s="161" t="s">
        <v>545</v>
      </c>
      <c r="D225" s="161"/>
      <c r="E225" s="162" t="s">
        <v>543</v>
      </c>
      <c r="F225" s="189">
        <f t="shared" ref="F225:F228" si="68">SUM(G225:J225)</f>
        <v>0</v>
      </c>
      <c r="G225" s="269"/>
      <c r="H225" s="215"/>
      <c r="I225" s="215"/>
      <c r="J225" s="215"/>
      <c r="K225" s="214"/>
    </row>
    <row r="226" spans="2:11" s="212" customFormat="1">
      <c r="B226" s="214"/>
      <c r="C226" s="161" t="s">
        <v>546</v>
      </c>
      <c r="D226" s="161"/>
      <c r="E226" s="162" t="s">
        <v>544</v>
      </c>
      <c r="F226" s="189">
        <f t="shared" si="68"/>
        <v>0</v>
      </c>
      <c r="G226" s="269"/>
      <c r="H226" s="215"/>
      <c r="I226" s="215"/>
      <c r="J226" s="215"/>
      <c r="K226" s="214"/>
    </row>
    <row r="227" spans="2:11" s="212" customFormat="1">
      <c r="B227" s="214"/>
      <c r="C227" s="161" t="s">
        <v>554</v>
      </c>
      <c r="D227" s="161"/>
      <c r="E227" s="162" t="s">
        <v>555</v>
      </c>
      <c r="F227" s="189">
        <f t="shared" si="68"/>
        <v>0</v>
      </c>
      <c r="G227" s="269"/>
      <c r="H227" s="215"/>
      <c r="I227" s="215"/>
      <c r="J227" s="215"/>
      <c r="K227" s="214"/>
    </row>
    <row r="228" spans="2:11" s="212" customFormat="1">
      <c r="B228" s="214"/>
      <c r="C228" s="161" t="s">
        <v>628</v>
      </c>
      <c r="D228" s="161"/>
      <c r="E228" s="162"/>
      <c r="F228" s="189">
        <f t="shared" si="68"/>
        <v>0</v>
      </c>
      <c r="G228" s="269"/>
      <c r="H228" s="215"/>
      <c r="I228" s="215"/>
      <c r="J228" s="215"/>
      <c r="K228" s="214"/>
    </row>
    <row r="229" spans="2:11">
      <c r="B229" s="176"/>
      <c r="C229" s="115" t="s">
        <v>547</v>
      </c>
      <c r="D229" s="115"/>
      <c r="E229" s="116" t="s">
        <v>548</v>
      </c>
      <c r="F229" s="190">
        <f>SUM(F230:F234)</f>
        <v>112500</v>
      </c>
      <c r="G229" s="190">
        <f t="shared" ref="G229:J229" si="69">SUM(G230:G234)</f>
        <v>112500</v>
      </c>
      <c r="H229" s="190">
        <f t="shared" si="69"/>
        <v>0</v>
      </c>
      <c r="I229" s="190">
        <f t="shared" si="69"/>
        <v>0</v>
      </c>
      <c r="J229" s="190">
        <f t="shared" si="69"/>
        <v>0</v>
      </c>
      <c r="K229" s="176"/>
    </row>
    <row r="230" spans="2:11" s="212" customFormat="1">
      <c r="B230" s="214"/>
      <c r="C230" s="161" t="s">
        <v>549</v>
      </c>
      <c r="D230" s="161"/>
      <c r="E230" s="162" t="s">
        <v>550</v>
      </c>
      <c r="F230" s="189">
        <f>SUM(G230:J230)</f>
        <v>112500</v>
      </c>
      <c r="G230" s="269">
        <f>5*9*2500</f>
        <v>112500</v>
      </c>
      <c r="H230" s="215"/>
      <c r="I230" s="215"/>
      <c r="J230" s="215"/>
      <c r="K230" s="214"/>
    </row>
    <row r="231" spans="2:11" s="212" customFormat="1">
      <c r="B231" s="214"/>
      <c r="C231" s="161" t="s">
        <v>556</v>
      </c>
      <c r="D231" s="161"/>
      <c r="E231" s="162" t="s">
        <v>551</v>
      </c>
      <c r="F231" s="189">
        <f t="shared" ref="F231:F234" si="70">SUM(G231:J231)</f>
        <v>0</v>
      </c>
      <c r="G231" s="269"/>
      <c r="H231" s="215"/>
      <c r="I231" s="215"/>
      <c r="J231" s="215"/>
      <c r="K231" s="214"/>
    </row>
    <row r="232" spans="2:11" s="212" customFormat="1">
      <c r="B232" s="214"/>
      <c r="C232" s="161" t="s">
        <v>557</v>
      </c>
      <c r="D232" s="161"/>
      <c r="E232" s="162" t="s">
        <v>552</v>
      </c>
      <c r="F232" s="189">
        <f t="shared" si="70"/>
        <v>0</v>
      </c>
      <c r="G232" s="269"/>
      <c r="H232" s="215"/>
      <c r="I232" s="215"/>
      <c r="J232" s="215"/>
      <c r="K232" s="214"/>
    </row>
    <row r="233" spans="2:11" s="212" customFormat="1">
      <c r="B233" s="214"/>
      <c r="C233" s="161" t="s">
        <v>558</v>
      </c>
      <c r="D233" s="161"/>
      <c r="E233" s="162" t="s">
        <v>553</v>
      </c>
      <c r="F233" s="189">
        <f t="shared" si="70"/>
        <v>0</v>
      </c>
      <c r="G233" s="269"/>
      <c r="H233" s="215"/>
      <c r="I233" s="215"/>
      <c r="J233" s="215"/>
      <c r="K233" s="214"/>
    </row>
    <row r="234" spans="2:11" s="212" customFormat="1">
      <c r="B234" s="214"/>
      <c r="C234" s="161" t="s">
        <v>627</v>
      </c>
      <c r="D234" s="161"/>
      <c r="E234" s="162"/>
      <c r="F234" s="189">
        <f t="shared" si="70"/>
        <v>0</v>
      </c>
      <c r="G234" s="269"/>
      <c r="H234" s="215"/>
      <c r="I234" s="215"/>
      <c r="J234" s="215"/>
      <c r="K234" s="214"/>
    </row>
    <row r="235" spans="2:11">
      <c r="B235" s="176"/>
      <c r="C235" s="115" t="s">
        <v>559</v>
      </c>
      <c r="D235" s="115"/>
      <c r="E235" s="116" t="s">
        <v>560</v>
      </c>
      <c r="F235" s="190">
        <f>SUM(F236:F243)</f>
        <v>125000</v>
      </c>
      <c r="G235" s="197">
        <f t="shared" ref="G235" si="71">SUM(G236:G243)</f>
        <v>125000</v>
      </c>
      <c r="H235" s="190"/>
      <c r="I235" s="190"/>
      <c r="J235" s="190"/>
      <c r="K235" s="176"/>
    </row>
    <row r="236" spans="2:11" s="212" customFormat="1">
      <c r="B236" s="214"/>
      <c r="C236" s="161" t="s">
        <v>561</v>
      </c>
      <c r="D236" s="161"/>
      <c r="E236" s="162" t="s">
        <v>565</v>
      </c>
      <c r="F236" s="189">
        <f>SUM(G236:J236)</f>
        <v>125000</v>
      </c>
      <c r="G236" s="269">
        <f>5*25000</f>
        <v>125000</v>
      </c>
      <c r="H236" s="215"/>
      <c r="I236" s="215"/>
      <c r="J236" s="215"/>
      <c r="K236" s="214"/>
    </row>
    <row r="237" spans="2:11" s="212" customFormat="1">
      <c r="B237" s="214"/>
      <c r="C237" s="161" t="s">
        <v>562</v>
      </c>
      <c r="D237" s="161"/>
      <c r="E237" s="162" t="s">
        <v>566</v>
      </c>
      <c r="F237" s="189">
        <f t="shared" ref="F237:F243" si="72">SUM(G237:J237)</f>
        <v>0</v>
      </c>
      <c r="G237" s="269"/>
      <c r="H237" s="215"/>
      <c r="I237" s="215"/>
      <c r="J237" s="215"/>
      <c r="K237" s="214"/>
    </row>
    <row r="238" spans="2:11" s="212" customFormat="1">
      <c r="B238" s="214"/>
      <c r="C238" s="161" t="s">
        <v>563</v>
      </c>
      <c r="D238" s="161"/>
      <c r="E238" s="162" t="s">
        <v>567</v>
      </c>
      <c r="F238" s="189">
        <f t="shared" si="72"/>
        <v>0</v>
      </c>
      <c r="G238" s="269"/>
      <c r="H238" s="215"/>
      <c r="I238" s="215"/>
      <c r="J238" s="215"/>
      <c r="K238" s="214"/>
    </row>
    <row r="239" spans="2:11" s="212" customFormat="1">
      <c r="B239" s="214"/>
      <c r="C239" s="161" t="s">
        <v>564</v>
      </c>
      <c r="D239" s="161"/>
      <c r="E239" s="162" t="s">
        <v>568</v>
      </c>
      <c r="F239" s="189">
        <f t="shared" si="72"/>
        <v>0</v>
      </c>
      <c r="G239" s="269"/>
      <c r="H239" s="215"/>
      <c r="I239" s="215"/>
      <c r="J239" s="215"/>
      <c r="K239" s="214"/>
    </row>
    <row r="240" spans="2:11" s="212" customFormat="1">
      <c r="B240" s="214"/>
      <c r="C240" s="161" t="s">
        <v>569</v>
      </c>
      <c r="D240" s="161"/>
      <c r="E240" s="162" t="s">
        <v>572</v>
      </c>
      <c r="F240" s="189">
        <f t="shared" si="72"/>
        <v>0</v>
      </c>
      <c r="G240" s="269"/>
      <c r="H240" s="215"/>
      <c r="I240" s="215"/>
      <c r="J240" s="215"/>
      <c r="K240" s="214"/>
    </row>
    <row r="241" spans="2:11" s="212" customFormat="1">
      <c r="B241" s="214"/>
      <c r="C241" s="161" t="s">
        <v>570</v>
      </c>
      <c r="D241" s="161"/>
      <c r="E241" s="162" t="s">
        <v>573</v>
      </c>
      <c r="F241" s="189">
        <f t="shared" si="72"/>
        <v>0</v>
      </c>
      <c r="G241" s="269"/>
      <c r="H241" s="215"/>
      <c r="I241" s="215"/>
      <c r="J241" s="215"/>
      <c r="K241" s="214"/>
    </row>
    <row r="242" spans="2:11" s="212" customFormat="1">
      <c r="B242" s="214"/>
      <c r="C242" s="161" t="s">
        <v>571</v>
      </c>
      <c r="D242" s="161"/>
      <c r="E242" s="162" t="s">
        <v>574</v>
      </c>
      <c r="F242" s="189">
        <f t="shared" si="72"/>
        <v>0</v>
      </c>
      <c r="G242" s="269"/>
      <c r="H242" s="215"/>
      <c r="I242" s="215"/>
      <c r="J242" s="215"/>
      <c r="K242" s="214"/>
    </row>
    <row r="243" spans="2:11" s="212" customFormat="1">
      <c r="B243" s="214"/>
      <c r="C243" s="161" t="s">
        <v>626</v>
      </c>
      <c r="D243" s="161"/>
      <c r="E243" s="162"/>
      <c r="F243" s="189">
        <f t="shared" si="72"/>
        <v>0</v>
      </c>
      <c r="G243" s="269"/>
      <c r="H243" s="215"/>
      <c r="I243" s="215"/>
      <c r="J243" s="215"/>
      <c r="K243" s="214"/>
    </row>
    <row r="244" spans="2:11">
      <c r="B244" s="176"/>
      <c r="C244" s="115" t="s">
        <v>575</v>
      </c>
      <c r="D244" s="115"/>
      <c r="E244" s="116" t="s">
        <v>576</v>
      </c>
      <c r="F244" s="190">
        <f>SUM(F245:F248)</f>
        <v>245000</v>
      </c>
      <c r="G244" s="190">
        <f t="shared" ref="G244:J244" si="73">SUM(G245:G248)</f>
        <v>245000</v>
      </c>
      <c r="H244" s="190">
        <f t="shared" si="73"/>
        <v>0</v>
      </c>
      <c r="I244" s="190">
        <f t="shared" si="73"/>
        <v>0</v>
      </c>
      <c r="J244" s="190">
        <f t="shared" si="73"/>
        <v>0</v>
      </c>
      <c r="K244" s="176"/>
    </row>
    <row r="245" spans="2:11" s="212" customFormat="1">
      <c r="B245" s="214"/>
      <c r="C245" s="161" t="s">
        <v>577</v>
      </c>
      <c r="D245" s="161"/>
      <c r="E245" s="162" t="s">
        <v>579</v>
      </c>
      <c r="F245" s="189">
        <f>SUM(G245:J245)</f>
        <v>45000</v>
      </c>
      <c r="G245" s="269">
        <f>5*9*1000</f>
        <v>45000</v>
      </c>
      <c r="H245" s="215"/>
      <c r="I245" s="215"/>
      <c r="J245" s="215"/>
      <c r="K245" s="214"/>
    </row>
    <row r="246" spans="2:11" s="212" customFormat="1">
      <c r="B246" s="214"/>
      <c r="C246" s="161" t="s">
        <v>578</v>
      </c>
      <c r="D246" s="161"/>
      <c r="E246" s="162" t="s">
        <v>580</v>
      </c>
      <c r="F246" s="189">
        <f t="shared" ref="F246:F248" si="74">SUM(G246:J246)</f>
        <v>200000</v>
      </c>
      <c r="G246" s="269">
        <f>5*4*10000</f>
        <v>200000</v>
      </c>
      <c r="H246" s="215"/>
      <c r="I246" s="215"/>
      <c r="J246" s="215"/>
      <c r="K246" s="214"/>
    </row>
    <row r="247" spans="2:11" s="212" customFormat="1">
      <c r="B247" s="214"/>
      <c r="C247" s="161" t="s">
        <v>563</v>
      </c>
      <c r="D247" s="161"/>
      <c r="E247" s="162" t="s">
        <v>581</v>
      </c>
      <c r="F247" s="189">
        <f t="shared" si="74"/>
        <v>0</v>
      </c>
      <c r="G247" s="269"/>
      <c r="H247" s="215"/>
      <c r="I247" s="215"/>
      <c r="J247" s="215"/>
      <c r="K247" s="214"/>
    </row>
    <row r="248" spans="2:11" s="212" customFormat="1">
      <c r="B248" s="214"/>
      <c r="C248" s="161" t="s">
        <v>564</v>
      </c>
      <c r="D248" s="161"/>
      <c r="E248" s="162"/>
      <c r="F248" s="189">
        <f t="shared" si="74"/>
        <v>0</v>
      </c>
      <c r="G248" s="269"/>
      <c r="H248" s="215"/>
      <c r="I248" s="215"/>
      <c r="J248" s="215"/>
      <c r="K248" s="214"/>
    </row>
    <row r="249" spans="2:11">
      <c r="B249" s="176"/>
      <c r="C249" s="115" t="s">
        <v>582</v>
      </c>
      <c r="D249" s="115"/>
      <c r="E249" s="116" t="s">
        <v>583</v>
      </c>
      <c r="F249" s="190">
        <f>SUM(F250:F253)</f>
        <v>0</v>
      </c>
      <c r="G249" s="190">
        <f t="shared" ref="G249:J249" si="75">SUM(G250:G253)</f>
        <v>0</v>
      </c>
      <c r="H249" s="190">
        <f t="shared" si="75"/>
        <v>0</v>
      </c>
      <c r="I249" s="190">
        <f t="shared" si="75"/>
        <v>0</v>
      </c>
      <c r="J249" s="190">
        <f t="shared" si="75"/>
        <v>0</v>
      </c>
      <c r="K249" s="176"/>
    </row>
    <row r="250" spans="2:11" s="212" customFormat="1">
      <c r="B250" s="214"/>
      <c r="C250" s="161" t="s">
        <v>584</v>
      </c>
      <c r="D250" s="161"/>
      <c r="E250" s="162" t="s">
        <v>585</v>
      </c>
      <c r="F250" s="189">
        <f>SUM(G250:J250)</f>
        <v>0</v>
      </c>
      <c r="G250" s="269"/>
      <c r="H250" s="215"/>
      <c r="I250" s="215"/>
      <c r="J250" s="215"/>
      <c r="K250" s="214"/>
    </row>
    <row r="251" spans="2:11" s="212" customFormat="1">
      <c r="B251" s="214"/>
      <c r="C251" s="161"/>
      <c r="D251" s="161"/>
      <c r="E251" s="162" t="s">
        <v>586</v>
      </c>
      <c r="F251" s="189">
        <f t="shared" ref="F251:F253" si="76">SUM(G251:J251)</f>
        <v>0</v>
      </c>
      <c r="G251" s="269"/>
      <c r="H251" s="215"/>
      <c r="I251" s="215"/>
      <c r="J251" s="215"/>
      <c r="K251" s="214"/>
    </row>
    <row r="252" spans="2:11" s="212" customFormat="1">
      <c r="B252" s="214"/>
      <c r="C252" s="161" t="s">
        <v>587</v>
      </c>
      <c r="D252" s="161"/>
      <c r="E252" s="162" t="s">
        <v>588</v>
      </c>
      <c r="F252" s="189">
        <f t="shared" si="76"/>
        <v>0</v>
      </c>
      <c r="G252" s="269"/>
      <c r="H252" s="215"/>
      <c r="I252" s="215"/>
      <c r="J252" s="215"/>
      <c r="K252" s="214"/>
    </row>
    <row r="253" spans="2:11" s="212" customFormat="1">
      <c r="B253" s="214"/>
      <c r="C253" s="161" t="s">
        <v>625</v>
      </c>
      <c r="D253" s="161"/>
      <c r="E253" s="162"/>
      <c r="F253" s="189">
        <f t="shared" si="76"/>
        <v>0</v>
      </c>
      <c r="G253" s="269"/>
      <c r="H253" s="215"/>
      <c r="I253" s="215"/>
      <c r="J253" s="215"/>
      <c r="K253" s="214"/>
    </row>
    <row r="254" spans="2:11">
      <c r="B254" s="176"/>
      <c r="C254" s="115" t="s">
        <v>589</v>
      </c>
      <c r="D254" s="115"/>
      <c r="E254" s="116" t="s">
        <v>590</v>
      </c>
      <c r="F254" s="190">
        <f>SUM(F255:F259)</f>
        <v>0</v>
      </c>
      <c r="G254" s="190">
        <f t="shared" ref="G254:J254" si="77">SUM(G255:G259)</f>
        <v>0</v>
      </c>
      <c r="H254" s="190">
        <f t="shared" si="77"/>
        <v>0</v>
      </c>
      <c r="I254" s="190">
        <f t="shared" si="77"/>
        <v>0</v>
      </c>
      <c r="J254" s="190">
        <f t="shared" si="77"/>
        <v>0</v>
      </c>
      <c r="K254" s="176"/>
    </row>
    <row r="255" spans="2:11" s="212" customFormat="1">
      <c r="B255" s="214"/>
      <c r="C255" s="161" t="s">
        <v>591</v>
      </c>
      <c r="D255" s="161"/>
      <c r="E255" s="162" t="s">
        <v>594</v>
      </c>
      <c r="F255" s="189">
        <f>SUM(G255:J255)</f>
        <v>0</v>
      </c>
      <c r="G255" s="269"/>
      <c r="H255" s="215"/>
      <c r="I255" s="215"/>
      <c r="J255" s="215"/>
      <c r="K255" s="214"/>
    </row>
    <row r="256" spans="2:11" s="212" customFormat="1">
      <c r="B256" s="214"/>
      <c r="C256" s="161" t="s">
        <v>592</v>
      </c>
      <c r="D256" s="161"/>
      <c r="E256" s="162" t="s">
        <v>595</v>
      </c>
      <c r="F256" s="189">
        <f t="shared" ref="F256:F259" si="78">SUM(G256:J256)</f>
        <v>0</v>
      </c>
      <c r="G256" s="269"/>
      <c r="H256" s="215"/>
      <c r="I256" s="215"/>
      <c r="J256" s="215"/>
      <c r="K256" s="214"/>
    </row>
    <row r="257" spans="2:11" s="212" customFormat="1">
      <c r="B257" s="214"/>
      <c r="C257" s="161" t="s">
        <v>593</v>
      </c>
      <c r="D257" s="161"/>
      <c r="E257" s="162" t="s">
        <v>596</v>
      </c>
      <c r="F257" s="189">
        <f t="shared" si="78"/>
        <v>0</v>
      </c>
      <c r="G257" s="269"/>
      <c r="H257" s="215"/>
      <c r="I257" s="215"/>
      <c r="J257" s="215"/>
      <c r="K257" s="214"/>
    </row>
    <row r="258" spans="2:11" s="212" customFormat="1">
      <c r="B258" s="214"/>
      <c r="C258" s="161" t="s">
        <v>597</v>
      </c>
      <c r="D258" s="161"/>
      <c r="E258" s="162" t="s">
        <v>598</v>
      </c>
      <c r="F258" s="189">
        <f t="shared" si="78"/>
        <v>0</v>
      </c>
      <c r="G258" s="269"/>
      <c r="H258" s="215"/>
      <c r="I258" s="215"/>
      <c r="J258" s="215"/>
      <c r="K258" s="214"/>
    </row>
    <row r="259" spans="2:11" s="212" customFormat="1">
      <c r="B259" s="214"/>
      <c r="C259" s="161" t="s">
        <v>624</v>
      </c>
      <c r="D259" s="161"/>
      <c r="E259" s="162"/>
      <c r="F259" s="189">
        <f t="shared" si="78"/>
        <v>0</v>
      </c>
      <c r="G259" s="269"/>
      <c r="H259" s="215"/>
      <c r="I259" s="215"/>
      <c r="J259" s="215"/>
      <c r="K259" s="214"/>
    </row>
    <row r="260" spans="2:11">
      <c r="B260" s="176"/>
      <c r="C260" s="115" t="s">
        <v>599</v>
      </c>
      <c r="D260" s="115"/>
      <c r="E260" s="116" t="s">
        <v>600</v>
      </c>
      <c r="F260" s="190">
        <f>SUM(F261:F264)</f>
        <v>0</v>
      </c>
      <c r="G260" s="190">
        <f t="shared" ref="G260:J260" si="79">SUM(G261:G264)</f>
        <v>0</v>
      </c>
      <c r="H260" s="190">
        <f t="shared" si="79"/>
        <v>0</v>
      </c>
      <c r="I260" s="190">
        <f t="shared" si="79"/>
        <v>0</v>
      </c>
      <c r="J260" s="190">
        <f t="shared" si="79"/>
        <v>0</v>
      </c>
      <c r="K260" s="176"/>
    </row>
    <row r="261" spans="2:11" s="212" customFormat="1">
      <c r="B261" s="214"/>
      <c r="C261" s="161" t="s">
        <v>601</v>
      </c>
      <c r="D261" s="161"/>
      <c r="E261" s="162" t="s">
        <v>602</v>
      </c>
      <c r="F261" s="189">
        <f>SUM(G261:J261)</f>
        <v>0</v>
      </c>
      <c r="G261" s="269"/>
      <c r="H261" s="215"/>
      <c r="I261" s="215"/>
      <c r="J261" s="215"/>
      <c r="K261" s="214"/>
    </row>
    <row r="262" spans="2:11" s="212" customFormat="1">
      <c r="B262" s="214"/>
      <c r="C262" s="161" t="s">
        <v>603</v>
      </c>
      <c r="D262" s="161"/>
      <c r="E262" s="162" t="s">
        <v>604</v>
      </c>
      <c r="F262" s="189">
        <f t="shared" ref="F262:F264" si="80">SUM(G262:J262)</f>
        <v>0</v>
      </c>
      <c r="G262" s="269"/>
      <c r="H262" s="215"/>
      <c r="I262" s="215"/>
      <c r="J262" s="215"/>
      <c r="K262" s="214"/>
    </row>
    <row r="263" spans="2:11" s="212" customFormat="1">
      <c r="B263" s="214"/>
      <c r="C263" s="161" t="s">
        <v>605</v>
      </c>
      <c r="D263" s="161"/>
      <c r="E263" s="162" t="s">
        <v>606</v>
      </c>
      <c r="F263" s="189">
        <f t="shared" si="80"/>
        <v>0</v>
      </c>
      <c r="G263" s="269"/>
      <c r="H263" s="215"/>
      <c r="I263" s="215"/>
      <c r="J263" s="215"/>
      <c r="K263" s="214"/>
    </row>
    <row r="264" spans="2:11" s="212" customFormat="1">
      <c r="B264" s="214"/>
      <c r="C264" s="161" t="s">
        <v>618</v>
      </c>
      <c r="D264" s="161"/>
      <c r="E264" s="162"/>
      <c r="F264" s="189">
        <f t="shared" si="80"/>
        <v>0</v>
      </c>
      <c r="G264" s="269"/>
      <c r="H264" s="215"/>
      <c r="I264" s="215"/>
      <c r="J264" s="215"/>
      <c r="K264" s="214"/>
    </row>
    <row r="265" spans="2:11">
      <c r="B265" s="176"/>
      <c r="C265" s="115" t="s">
        <v>607</v>
      </c>
      <c r="D265" s="115"/>
      <c r="E265" s="116" t="s">
        <v>608</v>
      </c>
      <c r="F265" s="190">
        <f>SUM(F266:F269)</f>
        <v>0</v>
      </c>
      <c r="G265" s="190">
        <f t="shared" ref="G265:J265" si="81">SUM(G266:G269)</f>
        <v>0</v>
      </c>
      <c r="H265" s="190">
        <f t="shared" si="81"/>
        <v>0</v>
      </c>
      <c r="I265" s="190">
        <f t="shared" si="81"/>
        <v>0</v>
      </c>
      <c r="J265" s="190">
        <f t="shared" si="81"/>
        <v>0</v>
      </c>
      <c r="K265" s="176"/>
    </row>
    <row r="266" spans="2:11" s="212" customFormat="1">
      <c r="B266" s="214"/>
      <c r="C266" s="161" t="s">
        <v>609</v>
      </c>
      <c r="D266" s="161"/>
      <c r="E266" s="162" t="s">
        <v>610</v>
      </c>
      <c r="F266" s="189">
        <f>SUM(G266:J266)</f>
        <v>0</v>
      </c>
      <c r="G266" s="269"/>
      <c r="H266" s="215"/>
      <c r="I266" s="215"/>
      <c r="J266" s="215"/>
      <c r="K266" s="214"/>
    </row>
    <row r="267" spans="2:11" s="212" customFormat="1">
      <c r="B267" s="214"/>
      <c r="C267" s="161" t="s">
        <v>611</v>
      </c>
      <c r="D267" s="161"/>
      <c r="E267" s="162" t="s">
        <v>612</v>
      </c>
      <c r="F267" s="189">
        <f t="shared" ref="F267:F269" si="82">SUM(G267:J267)</f>
        <v>0</v>
      </c>
      <c r="G267" s="269"/>
      <c r="H267" s="215"/>
      <c r="I267" s="215"/>
      <c r="J267" s="215"/>
      <c r="K267" s="214"/>
    </row>
    <row r="268" spans="2:11" s="212" customFormat="1">
      <c r="B268" s="214"/>
      <c r="C268" s="161" t="s">
        <v>613</v>
      </c>
      <c r="D268" s="161"/>
      <c r="E268" s="162" t="s">
        <v>614</v>
      </c>
      <c r="F268" s="189">
        <f t="shared" si="82"/>
        <v>0</v>
      </c>
      <c r="G268" s="269"/>
      <c r="H268" s="215"/>
      <c r="I268" s="215"/>
      <c r="J268" s="215"/>
      <c r="K268" s="214"/>
    </row>
    <row r="269" spans="2:11" s="212" customFormat="1">
      <c r="B269" s="214"/>
      <c r="C269" s="161" t="s">
        <v>615</v>
      </c>
      <c r="D269" s="161"/>
      <c r="E269" s="162" t="s">
        <v>616</v>
      </c>
      <c r="F269" s="189">
        <f t="shared" si="82"/>
        <v>0</v>
      </c>
      <c r="G269" s="269"/>
      <c r="H269" s="215"/>
      <c r="I269" s="215"/>
      <c r="J269" s="215"/>
      <c r="K269" s="214"/>
    </row>
    <row r="270" spans="2:11" s="63" customFormat="1">
      <c r="B270" s="179"/>
      <c r="C270" s="149"/>
      <c r="D270" s="149"/>
      <c r="E270" s="150" t="s">
        <v>74</v>
      </c>
      <c r="F270" s="188">
        <f>F20+F29+F39+F81+F99+F177+F214+F222</f>
        <v>5760000</v>
      </c>
      <c r="G270" s="188">
        <f t="shared" ref="G270:J270" si="83">G20+G29+G39+G81+G99+G177+G214+G222</f>
        <v>5760000</v>
      </c>
      <c r="H270" s="188">
        <f t="shared" si="83"/>
        <v>0</v>
      </c>
      <c r="I270" s="188">
        <f t="shared" si="83"/>
        <v>0</v>
      </c>
      <c r="J270" s="188">
        <f t="shared" si="83"/>
        <v>0</v>
      </c>
      <c r="K270" s="179"/>
    </row>
    <row r="271" spans="2:11" s="63" customFormat="1">
      <c r="B271" s="62"/>
      <c r="C271" s="110">
        <v>2</v>
      </c>
      <c r="D271" s="110"/>
      <c r="E271" s="113" t="s">
        <v>75</v>
      </c>
      <c r="F271" s="192"/>
      <c r="G271" s="195"/>
      <c r="H271" s="192"/>
      <c r="I271" s="192"/>
      <c r="J271" s="192"/>
      <c r="K271" s="62"/>
    </row>
    <row r="272" spans="2:11" s="212" customFormat="1">
      <c r="B272" s="214"/>
      <c r="C272" s="161" t="s">
        <v>76</v>
      </c>
      <c r="D272" s="161"/>
      <c r="E272" s="162" t="s">
        <v>641</v>
      </c>
      <c r="F272" s="189">
        <f>SUM(G272:J272)</f>
        <v>1200000</v>
      </c>
      <c r="G272" s="269">
        <f>4*3*100000</f>
        <v>1200000</v>
      </c>
      <c r="H272" s="215"/>
      <c r="I272" s="215"/>
      <c r="J272" s="215"/>
      <c r="K272" s="214"/>
    </row>
    <row r="273" spans="2:11" s="212" customFormat="1">
      <c r="B273" s="214"/>
      <c r="C273" s="161" t="s">
        <v>77</v>
      </c>
      <c r="D273" s="161"/>
      <c r="E273" s="162" t="s">
        <v>78</v>
      </c>
      <c r="F273" s="189">
        <f t="shared" ref="F273:F276" si="84">SUM(G273:J273)</f>
        <v>0</v>
      </c>
      <c r="G273" s="269"/>
      <c r="H273" s="215"/>
      <c r="I273" s="215"/>
      <c r="J273" s="215"/>
      <c r="K273" s="214"/>
    </row>
    <row r="274" spans="2:11" s="212" customFormat="1">
      <c r="B274" s="214"/>
      <c r="C274" s="161" t="s">
        <v>79</v>
      </c>
      <c r="D274" s="161"/>
      <c r="E274" s="162" t="s">
        <v>617</v>
      </c>
      <c r="F274" s="189">
        <f t="shared" si="84"/>
        <v>0</v>
      </c>
      <c r="G274" s="269"/>
      <c r="H274" s="215"/>
      <c r="I274" s="215"/>
      <c r="J274" s="215"/>
      <c r="K274" s="214"/>
    </row>
    <row r="275" spans="2:11" s="212" customFormat="1">
      <c r="B275" s="214"/>
      <c r="C275" s="161" t="s">
        <v>167</v>
      </c>
      <c r="D275" s="161"/>
      <c r="E275" s="162" t="s">
        <v>617</v>
      </c>
      <c r="F275" s="189">
        <f t="shared" si="84"/>
        <v>0</v>
      </c>
      <c r="G275" s="269"/>
      <c r="H275" s="215"/>
      <c r="I275" s="215"/>
      <c r="J275" s="215"/>
      <c r="K275" s="214"/>
    </row>
    <row r="276" spans="2:11" s="212" customFormat="1" ht="11.25" thickBot="1">
      <c r="B276" s="218"/>
      <c r="C276" s="218"/>
      <c r="D276" s="218"/>
      <c r="E276" s="218"/>
      <c r="F276" s="189">
        <f t="shared" si="84"/>
        <v>0</v>
      </c>
      <c r="G276" s="219"/>
      <c r="H276" s="219"/>
      <c r="I276" s="219"/>
      <c r="J276" s="219"/>
      <c r="K276" s="218"/>
    </row>
    <row r="277" spans="2:11" s="63" customFormat="1" ht="12" thickTop="1" thickBot="1">
      <c r="B277" s="184"/>
      <c r="C277" s="185"/>
      <c r="D277" s="185"/>
      <c r="E277" s="186" t="s">
        <v>673</v>
      </c>
      <c r="F277" s="194">
        <f>SUM(F272:F276)</f>
        <v>1200000</v>
      </c>
      <c r="G277" s="194">
        <f t="shared" ref="G277:J277" si="85">SUM(G272:G276)</f>
        <v>1200000</v>
      </c>
      <c r="H277" s="194">
        <f t="shared" si="85"/>
        <v>0</v>
      </c>
      <c r="I277" s="194">
        <f t="shared" si="85"/>
        <v>0</v>
      </c>
      <c r="J277" s="194">
        <f t="shared" si="85"/>
        <v>0</v>
      </c>
      <c r="K277" s="184"/>
    </row>
    <row r="278" spans="2:11" s="63" customFormat="1" ht="12" thickTop="1" thickBot="1">
      <c r="B278" s="182"/>
      <c r="C278" s="182"/>
      <c r="D278" s="182"/>
      <c r="E278" s="183" t="s">
        <v>57</v>
      </c>
      <c r="F278" s="199">
        <f>F270+F277</f>
        <v>6960000</v>
      </c>
      <c r="G278" s="199">
        <f t="shared" ref="G278:J278" si="86">G270+G277</f>
        <v>6960000</v>
      </c>
      <c r="H278" s="199">
        <f t="shared" si="86"/>
        <v>0</v>
      </c>
      <c r="I278" s="199">
        <f t="shared" si="86"/>
        <v>0</v>
      </c>
      <c r="J278" s="199">
        <f t="shared" si="86"/>
        <v>0</v>
      </c>
      <c r="K278" s="182"/>
    </row>
    <row r="279" spans="2:11" ht="11.25" thickTop="1"/>
    <row r="280" spans="2:11">
      <c r="C280" s="178" t="s">
        <v>670</v>
      </c>
      <c r="F280" s="178" t="s">
        <v>671</v>
      </c>
    </row>
    <row r="281" spans="2:11">
      <c r="C281" s="178" t="s">
        <v>200</v>
      </c>
      <c r="F281" s="178" t="s">
        <v>86</v>
      </c>
      <c r="J281" s="178" t="s">
        <v>672</v>
      </c>
    </row>
    <row r="282" spans="2:11">
      <c r="C282" s="178"/>
      <c r="F282" s="178"/>
      <c r="J282" s="178"/>
    </row>
    <row r="283" spans="2:11">
      <c r="C283" s="178"/>
      <c r="F283" s="178"/>
      <c r="J283" s="178"/>
    </row>
    <row r="284" spans="2:11">
      <c r="C284" s="178"/>
      <c r="F284" s="178"/>
      <c r="J284" s="178"/>
    </row>
    <row r="285" spans="2:11">
      <c r="C285" s="178"/>
      <c r="F285" s="178"/>
      <c r="J285" s="178"/>
    </row>
    <row r="286" spans="2:11">
      <c r="C286" s="237" t="str">
        <f>IF(AND(nama_sekolah&lt;&gt;"",nama_ket_komite&lt;&gt;""),UPPER(nama_ket_komite),".............................")</f>
        <v>SUMARYO</v>
      </c>
      <c r="F286" s="237" t="str">
        <f>IF(AND(nama_sekolah&lt;&gt;"",nama_ks&lt;&gt;""),UPPER(nama_ks),".............................")</f>
        <v>EKO WAHYONO, S.PD., M.M.</v>
      </c>
      <c r="J286" s="237" t="str">
        <f>IF(AND(nama_sekolah&lt;&gt;"",nama_bend&lt;&gt;""),UPPER(nama_bend),".............................")</f>
        <v>MISMUN, S.PD.I.</v>
      </c>
    </row>
    <row r="287" spans="2:11">
      <c r="C287" s="178"/>
      <c r="F287" s="211" t="str">
        <f>"NIP "&amp;IF(AND(nama_sekolah&lt;&gt;"",nama_ks&lt;&gt;"",nip_ks),nip_ks,".............................")</f>
        <v>NIP 19650321 198608 1 001</v>
      </c>
      <c r="J287" s="211" t="str">
        <f>"NIP "&amp;IF(AND(nama_sekolah&lt;&gt;"",nama_bend&lt;&gt;"",nip_bend),nip_bend,".............................")</f>
        <v>NIP 19540212 198304 1 001</v>
      </c>
    </row>
  </sheetData>
  <sheetProtection password="CAE2" sheet="1" objects="1" scenarios="1" selectLockedCells="1" autoFilter="0"/>
  <autoFilter ref="B15:K278"/>
  <mergeCells count="23">
    <mergeCell ref="K13:K14"/>
    <mergeCell ref="B5:C5"/>
    <mergeCell ref="B6:C6"/>
    <mergeCell ref="G13:J13"/>
    <mergeCell ref="F13:F14"/>
    <mergeCell ref="E13:E14"/>
    <mergeCell ref="D13:D14"/>
    <mergeCell ref="C13:C14"/>
    <mergeCell ref="B13:B14"/>
    <mergeCell ref="D10:E10"/>
    <mergeCell ref="D11:E11"/>
    <mergeCell ref="B10:C10"/>
    <mergeCell ref="B11:C11"/>
    <mergeCell ref="B2:K2"/>
    <mergeCell ref="B3:K3"/>
    <mergeCell ref="B7:C7"/>
    <mergeCell ref="B8:C8"/>
    <mergeCell ref="B9:C9"/>
    <mergeCell ref="D5:E5"/>
    <mergeCell ref="D6:E6"/>
    <mergeCell ref="D7:E7"/>
    <mergeCell ref="D8:E8"/>
    <mergeCell ref="D9:E9"/>
  </mergeCells>
  <conditionalFormatting sqref="F278:J278">
    <cfRule type="cellIs" dxfId="5" priority="4" operator="equal">
      <formula>$F$16</formula>
    </cfRule>
  </conditionalFormatting>
  <conditionalFormatting sqref="H278">
    <cfRule type="cellIs" dxfId="4" priority="3" operator="equal">
      <formula>$H$16</formula>
    </cfRule>
  </conditionalFormatting>
  <conditionalFormatting sqref="I278">
    <cfRule type="cellIs" dxfId="3" priority="2" operator="equal">
      <formula>$H$16</formula>
    </cfRule>
  </conditionalFormatting>
  <conditionalFormatting sqref="J278">
    <cfRule type="cellIs" dxfId="2" priority="1" operator="equal">
      <formula>$J$16</formula>
    </cfRule>
  </conditionalFormatting>
  <pageMargins left="0.59055118110236227" right="1.3779527559055118" top="0.59055118110236227" bottom="0.78740157480314965" header="0.39370078740157483" footer="0.39370078740157483"/>
  <pageSetup paperSize="5" orientation="landscape" horizontalDpi="4294967293" verticalDpi="0" r:id="rId1"/>
  <rowBreaks count="1" manualBreakCount="1">
    <brk id="270" max="16383" man="1"/>
  </rowBreaks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I113"/>
  <sheetViews>
    <sheetView showGridLines="0" showRowColHeaders="0" topLeftCell="A10" workbookViewId="0">
      <pane xSplit="9" ySplit="3" topLeftCell="XFA13" activePane="bottomRight" state="frozen"/>
      <selection activeCell="A10" sqref="A10"/>
      <selection pane="topRight" activeCell="J10" sqref="J10"/>
      <selection pane="bottomLeft" activeCell="A13" sqref="A13"/>
      <selection pane="bottomRight" activeCell="B13" sqref="B13"/>
    </sheetView>
  </sheetViews>
  <sheetFormatPr defaultColWidth="0" defaultRowHeight="10.5" customHeight="1" zeroHeight="1"/>
  <cols>
    <col min="1" max="1" width="1.7109375" style="42" customWidth="1"/>
    <col min="2" max="2" width="12.7109375" style="42" customWidth="1"/>
    <col min="3" max="4" width="14.7109375" style="42" customWidth="1"/>
    <col min="5" max="5" width="60.7109375" style="42" customWidth="1"/>
    <col min="6" max="8" width="14.7109375" style="42" customWidth="1"/>
    <col min="9" max="9" width="1.7109375" style="42" customWidth="1"/>
    <col min="10" max="16384" width="9.140625" style="42" hidden="1"/>
  </cols>
  <sheetData>
    <row r="1" spans="2:8" s="36" customFormat="1" ht="12.75"/>
    <row r="2" spans="2:8" s="253" customFormat="1" ht="12.75">
      <c r="B2" s="348" t="s">
        <v>205</v>
      </c>
      <c r="C2" s="348"/>
      <c r="D2" s="348"/>
      <c r="E2" s="348"/>
      <c r="F2" s="348"/>
      <c r="G2" s="348"/>
      <c r="H2" s="348"/>
    </row>
    <row r="3" spans="2:8" s="253" customFormat="1" ht="12.75">
      <c r="B3" s="337" t="str">
        <f>"TRIWULAN "&amp;UPPER(triwulan)</f>
        <v>TRIWULAN I (SATU)</v>
      </c>
      <c r="C3" s="337"/>
      <c r="D3" s="337"/>
      <c r="E3" s="337"/>
      <c r="F3" s="337"/>
      <c r="G3" s="337"/>
      <c r="H3" s="337"/>
    </row>
    <row r="4" spans="2:8" s="253" customFormat="1" ht="12.75"/>
    <row r="5" spans="2:8" s="255" customFormat="1" ht="12.75">
      <c r="B5" s="349" t="s">
        <v>53</v>
      </c>
      <c r="C5" s="349"/>
      <c r="D5" s="350" t="str">
        <f>": "&amp;IF(nama_sekolah&lt;&gt;"",UPPER(nama_sekolah),"")</f>
        <v>: SD NEGERI 3 SLATRI</v>
      </c>
      <c r="E5" s="350"/>
      <c r="F5" s="256"/>
    </row>
    <row r="6" spans="2:8" s="255" customFormat="1" ht="12.75">
      <c r="B6" s="349" t="s">
        <v>132</v>
      </c>
      <c r="C6" s="349"/>
      <c r="D6" s="350" t="str">
        <f>": "&amp;IF(AND(nama_sekolah&lt;&gt;"",desa_kel&lt;&gt;""),UPPER(desa_kel),"")</f>
        <v>: SLATRI</v>
      </c>
      <c r="E6" s="350"/>
      <c r="F6" s="256"/>
    </row>
    <row r="7" spans="2:8" s="255" customFormat="1" ht="12.75">
      <c r="B7" s="349" t="s">
        <v>8</v>
      </c>
      <c r="C7" s="349"/>
      <c r="D7" s="350" t="str">
        <f>": "&amp;IF(AND(nama_sekolah&lt;&gt;"",desa_kel&lt;&gt;"",kec&lt;&gt;""),UPPER(kec),"")</f>
        <v>: KARANGKOBAR</v>
      </c>
      <c r="E7" s="350"/>
      <c r="F7" s="256"/>
      <c r="G7" s="353" t="s">
        <v>133</v>
      </c>
      <c r="H7" s="354"/>
    </row>
    <row r="8" spans="2:8" s="255" customFormat="1" ht="12.75">
      <c r="B8" s="349" t="s">
        <v>134</v>
      </c>
      <c r="C8" s="349"/>
      <c r="D8" s="350" t="str">
        <f>": "&amp;IF(AND(nama_sekolah&lt;&gt;"",desa_kel&lt;&gt;"",kec&lt;&gt;"",kab_kota&lt;&gt;""),UPPER(kab_kota),"")</f>
        <v>: KAB. BANJARNEGARA</v>
      </c>
      <c r="E8" s="350"/>
      <c r="F8" s="256"/>
      <c r="G8" s="355" t="s">
        <v>135</v>
      </c>
      <c r="H8" s="356"/>
    </row>
    <row r="9" spans="2:8" s="255" customFormat="1" ht="12.75">
      <c r="B9" s="349" t="s">
        <v>136</v>
      </c>
      <c r="C9" s="349"/>
      <c r="D9" s="350" t="str">
        <f>": "&amp;IF(AND(nama_sekolah&lt;&gt;"",desa_kel&lt;&gt;"",kec&lt;&gt;"",kab_kota&lt;&gt;"",provinsi&lt;&gt;""),UPPER(provinsi),"")</f>
        <v>: JAWA TENGAH</v>
      </c>
      <c r="E9" s="350"/>
      <c r="F9" s="256"/>
      <c r="G9" s="351" t="s">
        <v>137</v>
      </c>
      <c r="H9" s="352"/>
    </row>
    <row r="10" spans="2:8" s="36" customFormat="1" ht="13.5" thickBot="1"/>
    <row r="11" spans="2:8" s="38" customFormat="1" ht="21.75" thickTop="1">
      <c r="B11" s="251" t="s">
        <v>138</v>
      </c>
      <c r="C11" s="57" t="s">
        <v>55</v>
      </c>
      <c r="D11" s="57" t="s">
        <v>139</v>
      </c>
      <c r="E11" s="251" t="s">
        <v>140</v>
      </c>
      <c r="F11" s="37" t="s">
        <v>141</v>
      </c>
      <c r="G11" s="37" t="s">
        <v>142</v>
      </c>
      <c r="H11" s="37" t="s">
        <v>206</v>
      </c>
    </row>
    <row r="12" spans="2:8" s="40" customFormat="1" ht="11.25" thickBot="1">
      <c r="B12" s="39" t="s">
        <v>36</v>
      </c>
      <c r="C12" s="58" t="s">
        <v>37</v>
      </c>
      <c r="D12" s="58" t="s">
        <v>38</v>
      </c>
      <c r="E12" s="39" t="s">
        <v>39</v>
      </c>
      <c r="F12" s="39" t="s">
        <v>40</v>
      </c>
      <c r="G12" s="39" t="s">
        <v>41</v>
      </c>
      <c r="H12" s="39" t="s">
        <v>40</v>
      </c>
    </row>
    <row r="13" spans="2:8" ht="11.25" thickTop="1">
      <c r="B13" s="27"/>
      <c r="C13" s="55"/>
      <c r="D13" s="56"/>
      <c r="E13" s="28"/>
      <c r="F13" s="29"/>
      <c r="G13" s="29"/>
      <c r="H13" s="41">
        <f>F13-G13</f>
        <v>0</v>
      </c>
    </row>
    <row r="14" spans="2:8">
      <c r="B14" s="30"/>
      <c r="C14" s="50"/>
      <c r="D14" s="49"/>
      <c r="E14" s="31"/>
      <c r="F14" s="32"/>
      <c r="G14" s="32"/>
      <c r="H14" s="43">
        <f>H13+F14-G14</f>
        <v>0</v>
      </c>
    </row>
    <row r="15" spans="2:8">
      <c r="B15" s="27"/>
      <c r="C15" s="50"/>
      <c r="D15" s="49"/>
      <c r="E15" s="31"/>
      <c r="F15" s="32"/>
      <c r="G15" s="32"/>
      <c r="H15" s="43">
        <f t="shared" ref="H15:H78" si="0">H14+F15-G15</f>
        <v>0</v>
      </c>
    </row>
    <row r="16" spans="2:8">
      <c r="B16" s="30"/>
      <c r="C16" s="50"/>
      <c r="D16" s="49"/>
      <c r="E16" s="31"/>
      <c r="F16" s="32"/>
      <c r="G16" s="32"/>
      <c r="H16" s="43">
        <f t="shared" si="0"/>
        <v>0</v>
      </c>
    </row>
    <row r="17" spans="2:8">
      <c r="B17" s="27"/>
      <c r="C17" s="50"/>
      <c r="D17" s="49"/>
      <c r="E17" s="31"/>
      <c r="F17" s="32"/>
      <c r="G17" s="32"/>
      <c r="H17" s="43">
        <f t="shared" si="0"/>
        <v>0</v>
      </c>
    </row>
    <row r="18" spans="2:8">
      <c r="B18" s="27"/>
      <c r="C18" s="50"/>
      <c r="D18" s="49"/>
      <c r="E18" s="31"/>
      <c r="F18" s="32"/>
      <c r="G18" s="32"/>
      <c r="H18" s="43">
        <f t="shared" si="0"/>
        <v>0</v>
      </c>
    </row>
    <row r="19" spans="2:8">
      <c r="B19" s="27"/>
      <c r="C19" s="50"/>
      <c r="D19" s="49"/>
      <c r="E19" s="31"/>
      <c r="F19" s="32"/>
      <c r="G19" s="32"/>
      <c r="H19" s="43">
        <f t="shared" si="0"/>
        <v>0</v>
      </c>
    </row>
    <row r="20" spans="2:8">
      <c r="B20" s="27"/>
      <c r="C20" s="50"/>
      <c r="D20" s="49"/>
      <c r="E20" s="31"/>
      <c r="F20" s="32"/>
      <c r="G20" s="32"/>
      <c r="H20" s="43">
        <f t="shared" si="0"/>
        <v>0</v>
      </c>
    </row>
    <row r="21" spans="2:8">
      <c r="B21" s="27"/>
      <c r="C21" s="50"/>
      <c r="D21" s="49"/>
      <c r="E21" s="31"/>
      <c r="F21" s="32"/>
      <c r="G21" s="32"/>
      <c r="H21" s="43">
        <f t="shared" si="0"/>
        <v>0</v>
      </c>
    </row>
    <row r="22" spans="2:8">
      <c r="B22" s="27"/>
      <c r="C22" s="50"/>
      <c r="D22" s="49"/>
      <c r="E22" s="31"/>
      <c r="F22" s="32"/>
      <c r="G22" s="32"/>
      <c r="H22" s="43">
        <f t="shared" si="0"/>
        <v>0</v>
      </c>
    </row>
    <row r="23" spans="2:8">
      <c r="B23" s="27"/>
      <c r="C23" s="50"/>
      <c r="D23" s="49"/>
      <c r="E23" s="31"/>
      <c r="F23" s="32"/>
      <c r="G23" s="32"/>
      <c r="H23" s="43">
        <f t="shared" si="0"/>
        <v>0</v>
      </c>
    </row>
    <row r="24" spans="2:8">
      <c r="B24" s="27"/>
      <c r="C24" s="50"/>
      <c r="D24" s="49"/>
      <c r="E24" s="31"/>
      <c r="F24" s="32"/>
      <c r="G24" s="32"/>
      <c r="H24" s="43">
        <f t="shared" si="0"/>
        <v>0</v>
      </c>
    </row>
    <row r="25" spans="2:8">
      <c r="B25" s="27"/>
      <c r="C25" s="50"/>
      <c r="D25" s="49"/>
      <c r="E25" s="31"/>
      <c r="F25" s="32"/>
      <c r="G25" s="32"/>
      <c r="H25" s="43">
        <f t="shared" si="0"/>
        <v>0</v>
      </c>
    </row>
    <row r="26" spans="2:8">
      <c r="B26" s="27"/>
      <c r="C26" s="50"/>
      <c r="D26" s="49"/>
      <c r="E26" s="31"/>
      <c r="F26" s="32"/>
      <c r="G26" s="32"/>
      <c r="H26" s="43">
        <f t="shared" si="0"/>
        <v>0</v>
      </c>
    </row>
    <row r="27" spans="2:8">
      <c r="B27" s="27"/>
      <c r="C27" s="50"/>
      <c r="D27" s="49"/>
      <c r="E27" s="31"/>
      <c r="F27" s="32"/>
      <c r="G27" s="32"/>
      <c r="H27" s="43">
        <f t="shared" si="0"/>
        <v>0</v>
      </c>
    </row>
    <row r="28" spans="2:8">
      <c r="B28" s="27"/>
      <c r="C28" s="50"/>
      <c r="D28" s="49"/>
      <c r="E28" s="31"/>
      <c r="F28" s="32"/>
      <c r="G28" s="32"/>
      <c r="H28" s="43">
        <f t="shared" si="0"/>
        <v>0</v>
      </c>
    </row>
    <row r="29" spans="2:8">
      <c r="B29" s="27"/>
      <c r="C29" s="50"/>
      <c r="D29" s="49"/>
      <c r="E29" s="31"/>
      <c r="F29" s="32"/>
      <c r="G29" s="32"/>
      <c r="H29" s="43">
        <f t="shared" si="0"/>
        <v>0</v>
      </c>
    </row>
    <row r="30" spans="2:8">
      <c r="B30" s="27"/>
      <c r="C30" s="50"/>
      <c r="D30" s="49"/>
      <c r="E30" s="31"/>
      <c r="F30" s="32"/>
      <c r="G30" s="32"/>
      <c r="H30" s="43">
        <f t="shared" si="0"/>
        <v>0</v>
      </c>
    </row>
    <row r="31" spans="2:8">
      <c r="B31" s="27"/>
      <c r="C31" s="50"/>
      <c r="D31" s="49"/>
      <c r="E31" s="31"/>
      <c r="F31" s="32"/>
      <c r="G31" s="32"/>
      <c r="H31" s="43">
        <f t="shared" si="0"/>
        <v>0</v>
      </c>
    </row>
    <row r="32" spans="2:8">
      <c r="B32" s="27"/>
      <c r="C32" s="50"/>
      <c r="D32" s="49"/>
      <c r="E32" s="31"/>
      <c r="F32" s="32"/>
      <c r="G32" s="32"/>
      <c r="H32" s="43">
        <f t="shared" si="0"/>
        <v>0</v>
      </c>
    </row>
    <row r="33" spans="2:8">
      <c r="B33" s="27"/>
      <c r="C33" s="50"/>
      <c r="D33" s="49"/>
      <c r="E33" s="31"/>
      <c r="F33" s="32"/>
      <c r="G33" s="32"/>
      <c r="H33" s="43">
        <f t="shared" si="0"/>
        <v>0</v>
      </c>
    </row>
    <row r="34" spans="2:8">
      <c r="B34" s="27"/>
      <c r="C34" s="50"/>
      <c r="D34" s="49"/>
      <c r="E34" s="31"/>
      <c r="F34" s="32"/>
      <c r="G34" s="32"/>
      <c r="H34" s="43">
        <f t="shared" si="0"/>
        <v>0</v>
      </c>
    </row>
    <row r="35" spans="2:8">
      <c r="B35" s="27"/>
      <c r="C35" s="50"/>
      <c r="D35" s="49"/>
      <c r="E35" s="31"/>
      <c r="F35" s="32"/>
      <c r="G35" s="32"/>
      <c r="H35" s="43">
        <f t="shared" si="0"/>
        <v>0</v>
      </c>
    </row>
    <row r="36" spans="2:8">
      <c r="B36" s="27"/>
      <c r="C36" s="50"/>
      <c r="D36" s="49"/>
      <c r="E36" s="31"/>
      <c r="F36" s="32"/>
      <c r="G36" s="32"/>
      <c r="H36" s="43">
        <f t="shared" si="0"/>
        <v>0</v>
      </c>
    </row>
    <row r="37" spans="2:8">
      <c r="B37" s="27"/>
      <c r="C37" s="50"/>
      <c r="D37" s="49"/>
      <c r="E37" s="31"/>
      <c r="F37" s="32"/>
      <c r="G37" s="32"/>
      <c r="H37" s="43">
        <f t="shared" si="0"/>
        <v>0</v>
      </c>
    </row>
    <row r="38" spans="2:8">
      <c r="B38" s="27"/>
      <c r="C38" s="50"/>
      <c r="D38" s="49"/>
      <c r="E38" s="31"/>
      <c r="F38" s="32"/>
      <c r="G38" s="32"/>
      <c r="H38" s="43">
        <f t="shared" si="0"/>
        <v>0</v>
      </c>
    </row>
    <row r="39" spans="2:8">
      <c r="B39" s="27"/>
      <c r="C39" s="50"/>
      <c r="D39" s="49"/>
      <c r="E39" s="31"/>
      <c r="F39" s="32"/>
      <c r="G39" s="32"/>
      <c r="H39" s="43">
        <f t="shared" si="0"/>
        <v>0</v>
      </c>
    </row>
    <row r="40" spans="2:8">
      <c r="B40" s="27"/>
      <c r="C40" s="50"/>
      <c r="D40" s="49"/>
      <c r="E40" s="31"/>
      <c r="F40" s="32"/>
      <c r="G40" s="32"/>
      <c r="H40" s="43">
        <f t="shared" si="0"/>
        <v>0</v>
      </c>
    </row>
    <row r="41" spans="2:8">
      <c r="B41" s="27"/>
      <c r="C41" s="50"/>
      <c r="D41" s="49"/>
      <c r="E41" s="31"/>
      <c r="F41" s="32"/>
      <c r="G41" s="32"/>
      <c r="H41" s="43">
        <f t="shared" si="0"/>
        <v>0</v>
      </c>
    </row>
    <row r="42" spans="2:8">
      <c r="B42" s="27"/>
      <c r="C42" s="50"/>
      <c r="D42" s="49"/>
      <c r="E42" s="31"/>
      <c r="F42" s="32"/>
      <c r="G42" s="32"/>
      <c r="H42" s="43">
        <f t="shared" si="0"/>
        <v>0</v>
      </c>
    </row>
    <row r="43" spans="2:8">
      <c r="B43" s="27"/>
      <c r="C43" s="50"/>
      <c r="D43" s="49"/>
      <c r="E43" s="31"/>
      <c r="F43" s="32"/>
      <c r="G43" s="32"/>
      <c r="H43" s="43">
        <f t="shared" si="0"/>
        <v>0</v>
      </c>
    </row>
    <row r="44" spans="2:8">
      <c r="B44" s="27"/>
      <c r="C44" s="50"/>
      <c r="D44" s="49"/>
      <c r="E44" s="31"/>
      <c r="F44" s="32"/>
      <c r="G44" s="32"/>
      <c r="H44" s="43">
        <f t="shared" si="0"/>
        <v>0</v>
      </c>
    </row>
    <row r="45" spans="2:8">
      <c r="B45" s="27"/>
      <c r="C45" s="50"/>
      <c r="D45" s="49"/>
      <c r="E45" s="31"/>
      <c r="F45" s="32"/>
      <c r="G45" s="32"/>
      <c r="H45" s="43">
        <f t="shared" si="0"/>
        <v>0</v>
      </c>
    </row>
    <row r="46" spans="2:8">
      <c r="B46" s="27"/>
      <c r="C46" s="50"/>
      <c r="D46" s="49"/>
      <c r="E46" s="31"/>
      <c r="F46" s="32"/>
      <c r="G46" s="32"/>
      <c r="H46" s="43">
        <f t="shared" si="0"/>
        <v>0</v>
      </c>
    </row>
    <row r="47" spans="2:8">
      <c r="B47" s="27"/>
      <c r="C47" s="50"/>
      <c r="D47" s="49"/>
      <c r="E47" s="31"/>
      <c r="F47" s="32"/>
      <c r="G47" s="32"/>
      <c r="H47" s="43">
        <f t="shared" si="0"/>
        <v>0</v>
      </c>
    </row>
    <row r="48" spans="2:8">
      <c r="B48" s="27"/>
      <c r="C48" s="50"/>
      <c r="D48" s="49"/>
      <c r="E48" s="31"/>
      <c r="F48" s="32"/>
      <c r="G48" s="32"/>
      <c r="H48" s="43">
        <f t="shared" si="0"/>
        <v>0</v>
      </c>
    </row>
    <row r="49" spans="2:8">
      <c r="B49" s="27"/>
      <c r="C49" s="50"/>
      <c r="D49" s="49"/>
      <c r="E49" s="31"/>
      <c r="F49" s="32"/>
      <c r="G49" s="32"/>
      <c r="H49" s="43">
        <f t="shared" si="0"/>
        <v>0</v>
      </c>
    </row>
    <row r="50" spans="2:8">
      <c r="B50" s="27"/>
      <c r="C50" s="50"/>
      <c r="D50" s="49"/>
      <c r="E50" s="31"/>
      <c r="F50" s="32"/>
      <c r="G50" s="32"/>
      <c r="H50" s="43">
        <f t="shared" si="0"/>
        <v>0</v>
      </c>
    </row>
    <row r="51" spans="2:8">
      <c r="B51" s="27"/>
      <c r="C51" s="50"/>
      <c r="D51" s="49"/>
      <c r="E51" s="31"/>
      <c r="F51" s="32"/>
      <c r="G51" s="32"/>
      <c r="H51" s="43">
        <f t="shared" si="0"/>
        <v>0</v>
      </c>
    </row>
    <row r="52" spans="2:8">
      <c r="B52" s="27"/>
      <c r="C52" s="50"/>
      <c r="D52" s="49"/>
      <c r="E52" s="31"/>
      <c r="F52" s="32"/>
      <c r="G52" s="32"/>
      <c r="H52" s="43">
        <f t="shared" si="0"/>
        <v>0</v>
      </c>
    </row>
    <row r="53" spans="2:8">
      <c r="B53" s="27"/>
      <c r="C53" s="50"/>
      <c r="D53" s="49"/>
      <c r="E53" s="31"/>
      <c r="F53" s="32"/>
      <c r="G53" s="32"/>
      <c r="H53" s="43">
        <f t="shared" si="0"/>
        <v>0</v>
      </c>
    </row>
    <row r="54" spans="2:8">
      <c r="B54" s="27"/>
      <c r="C54" s="50"/>
      <c r="D54" s="49"/>
      <c r="E54" s="31"/>
      <c r="F54" s="32"/>
      <c r="G54" s="32"/>
      <c r="H54" s="43">
        <f t="shared" si="0"/>
        <v>0</v>
      </c>
    </row>
    <row r="55" spans="2:8">
      <c r="B55" s="27"/>
      <c r="C55" s="50"/>
      <c r="D55" s="49"/>
      <c r="E55" s="31"/>
      <c r="F55" s="32"/>
      <c r="G55" s="32"/>
      <c r="H55" s="43">
        <f t="shared" si="0"/>
        <v>0</v>
      </c>
    </row>
    <row r="56" spans="2:8">
      <c r="B56" s="27"/>
      <c r="C56" s="50"/>
      <c r="D56" s="49"/>
      <c r="E56" s="31"/>
      <c r="F56" s="32"/>
      <c r="G56" s="32"/>
      <c r="H56" s="43">
        <f t="shared" si="0"/>
        <v>0</v>
      </c>
    </row>
    <row r="57" spans="2:8">
      <c r="B57" s="27"/>
      <c r="C57" s="50"/>
      <c r="D57" s="49"/>
      <c r="E57" s="31"/>
      <c r="F57" s="32"/>
      <c r="G57" s="32"/>
      <c r="H57" s="43">
        <f t="shared" si="0"/>
        <v>0</v>
      </c>
    </row>
    <row r="58" spans="2:8">
      <c r="B58" s="27"/>
      <c r="C58" s="50"/>
      <c r="D58" s="49"/>
      <c r="E58" s="31"/>
      <c r="F58" s="32"/>
      <c r="G58" s="32"/>
      <c r="H58" s="43">
        <f t="shared" si="0"/>
        <v>0</v>
      </c>
    </row>
    <row r="59" spans="2:8">
      <c r="B59" s="27"/>
      <c r="C59" s="50"/>
      <c r="D59" s="49"/>
      <c r="E59" s="31"/>
      <c r="F59" s="32"/>
      <c r="G59" s="32"/>
      <c r="H59" s="43">
        <f t="shared" si="0"/>
        <v>0</v>
      </c>
    </row>
    <row r="60" spans="2:8">
      <c r="B60" s="27"/>
      <c r="C60" s="50"/>
      <c r="D60" s="49"/>
      <c r="E60" s="31"/>
      <c r="F60" s="32"/>
      <c r="G60" s="32"/>
      <c r="H60" s="43">
        <f t="shared" si="0"/>
        <v>0</v>
      </c>
    </row>
    <row r="61" spans="2:8">
      <c r="B61" s="27"/>
      <c r="C61" s="50"/>
      <c r="D61" s="49"/>
      <c r="E61" s="31"/>
      <c r="F61" s="32"/>
      <c r="G61" s="32"/>
      <c r="H61" s="43">
        <f t="shared" si="0"/>
        <v>0</v>
      </c>
    </row>
    <row r="62" spans="2:8">
      <c r="B62" s="27"/>
      <c r="C62" s="50"/>
      <c r="D62" s="49"/>
      <c r="E62" s="31"/>
      <c r="F62" s="32"/>
      <c r="G62" s="32"/>
      <c r="H62" s="43">
        <f t="shared" si="0"/>
        <v>0</v>
      </c>
    </row>
    <row r="63" spans="2:8">
      <c r="B63" s="27"/>
      <c r="C63" s="50"/>
      <c r="D63" s="49"/>
      <c r="E63" s="31"/>
      <c r="F63" s="32"/>
      <c r="G63" s="32"/>
      <c r="H63" s="43">
        <f t="shared" si="0"/>
        <v>0</v>
      </c>
    </row>
    <row r="64" spans="2:8">
      <c r="B64" s="27"/>
      <c r="C64" s="50"/>
      <c r="D64" s="49"/>
      <c r="E64" s="31"/>
      <c r="F64" s="32"/>
      <c r="G64" s="32"/>
      <c r="H64" s="43">
        <f t="shared" si="0"/>
        <v>0</v>
      </c>
    </row>
    <row r="65" spans="2:8">
      <c r="B65" s="27"/>
      <c r="C65" s="50"/>
      <c r="D65" s="49"/>
      <c r="E65" s="31"/>
      <c r="F65" s="32"/>
      <c r="G65" s="32"/>
      <c r="H65" s="43">
        <f t="shared" si="0"/>
        <v>0</v>
      </c>
    </row>
    <row r="66" spans="2:8">
      <c r="B66" s="27"/>
      <c r="C66" s="50"/>
      <c r="D66" s="49"/>
      <c r="E66" s="31"/>
      <c r="F66" s="32"/>
      <c r="G66" s="32"/>
      <c r="H66" s="43">
        <f t="shared" si="0"/>
        <v>0</v>
      </c>
    </row>
    <row r="67" spans="2:8">
      <c r="B67" s="27"/>
      <c r="C67" s="50"/>
      <c r="D67" s="49"/>
      <c r="E67" s="31"/>
      <c r="F67" s="32"/>
      <c r="G67" s="32"/>
      <c r="H67" s="43">
        <f t="shared" si="0"/>
        <v>0</v>
      </c>
    </row>
    <row r="68" spans="2:8">
      <c r="B68" s="27"/>
      <c r="C68" s="50"/>
      <c r="D68" s="49"/>
      <c r="E68" s="31"/>
      <c r="F68" s="32"/>
      <c r="G68" s="32"/>
      <c r="H68" s="43">
        <f t="shared" si="0"/>
        <v>0</v>
      </c>
    </row>
    <row r="69" spans="2:8">
      <c r="B69" s="27"/>
      <c r="C69" s="50"/>
      <c r="D69" s="49"/>
      <c r="E69" s="31"/>
      <c r="F69" s="32"/>
      <c r="G69" s="32"/>
      <c r="H69" s="43">
        <f t="shared" si="0"/>
        <v>0</v>
      </c>
    </row>
    <row r="70" spans="2:8">
      <c r="B70" s="27"/>
      <c r="C70" s="50"/>
      <c r="D70" s="49"/>
      <c r="E70" s="31"/>
      <c r="F70" s="32"/>
      <c r="G70" s="32"/>
      <c r="H70" s="43">
        <f t="shared" si="0"/>
        <v>0</v>
      </c>
    </row>
    <row r="71" spans="2:8">
      <c r="B71" s="27"/>
      <c r="C71" s="50"/>
      <c r="D71" s="49"/>
      <c r="E71" s="31"/>
      <c r="F71" s="32"/>
      <c r="G71" s="32"/>
      <c r="H71" s="43">
        <f t="shared" si="0"/>
        <v>0</v>
      </c>
    </row>
    <row r="72" spans="2:8">
      <c r="B72" s="27"/>
      <c r="C72" s="50"/>
      <c r="D72" s="49"/>
      <c r="E72" s="31"/>
      <c r="F72" s="32"/>
      <c r="G72" s="32"/>
      <c r="H72" s="43">
        <f t="shared" si="0"/>
        <v>0</v>
      </c>
    </row>
    <row r="73" spans="2:8">
      <c r="B73" s="27"/>
      <c r="C73" s="50"/>
      <c r="D73" s="49"/>
      <c r="E73" s="31"/>
      <c r="F73" s="32"/>
      <c r="G73" s="32"/>
      <c r="H73" s="43">
        <f t="shared" si="0"/>
        <v>0</v>
      </c>
    </row>
    <row r="74" spans="2:8">
      <c r="B74" s="27"/>
      <c r="C74" s="50"/>
      <c r="D74" s="49"/>
      <c r="E74" s="31"/>
      <c r="F74" s="32"/>
      <c r="G74" s="32"/>
      <c r="H74" s="43">
        <f t="shared" si="0"/>
        <v>0</v>
      </c>
    </row>
    <row r="75" spans="2:8">
      <c r="B75" s="27"/>
      <c r="C75" s="50"/>
      <c r="D75" s="49"/>
      <c r="E75" s="31"/>
      <c r="F75" s="32"/>
      <c r="G75" s="32"/>
      <c r="H75" s="43">
        <f t="shared" si="0"/>
        <v>0</v>
      </c>
    </row>
    <row r="76" spans="2:8">
      <c r="B76" s="27"/>
      <c r="C76" s="50"/>
      <c r="D76" s="49"/>
      <c r="E76" s="31"/>
      <c r="F76" s="32"/>
      <c r="G76" s="32"/>
      <c r="H76" s="43">
        <f t="shared" si="0"/>
        <v>0</v>
      </c>
    </row>
    <row r="77" spans="2:8">
      <c r="B77" s="27"/>
      <c r="C77" s="50"/>
      <c r="D77" s="49"/>
      <c r="E77" s="31"/>
      <c r="F77" s="32"/>
      <c r="G77" s="32"/>
      <c r="H77" s="43">
        <f t="shared" si="0"/>
        <v>0</v>
      </c>
    </row>
    <row r="78" spans="2:8">
      <c r="B78" s="27"/>
      <c r="C78" s="50"/>
      <c r="D78" s="49"/>
      <c r="E78" s="31"/>
      <c r="F78" s="32"/>
      <c r="G78" s="32"/>
      <c r="H78" s="43">
        <f t="shared" si="0"/>
        <v>0</v>
      </c>
    </row>
    <row r="79" spans="2:8">
      <c r="B79" s="27"/>
      <c r="C79" s="50"/>
      <c r="D79" s="49"/>
      <c r="E79" s="31"/>
      <c r="F79" s="32"/>
      <c r="G79" s="32"/>
      <c r="H79" s="43">
        <f t="shared" ref="H79:H98" si="1">H78+F79-G79</f>
        <v>0</v>
      </c>
    </row>
    <row r="80" spans="2:8">
      <c r="B80" s="27"/>
      <c r="C80" s="50"/>
      <c r="D80" s="49"/>
      <c r="E80" s="31"/>
      <c r="F80" s="32"/>
      <c r="G80" s="32"/>
      <c r="H80" s="43">
        <f t="shared" si="1"/>
        <v>0</v>
      </c>
    </row>
    <row r="81" spans="2:8">
      <c r="B81" s="27"/>
      <c r="C81" s="50"/>
      <c r="D81" s="49"/>
      <c r="E81" s="31"/>
      <c r="F81" s="32"/>
      <c r="G81" s="32"/>
      <c r="H81" s="43">
        <f t="shared" si="1"/>
        <v>0</v>
      </c>
    </row>
    <row r="82" spans="2:8">
      <c r="B82" s="27"/>
      <c r="C82" s="50"/>
      <c r="D82" s="49"/>
      <c r="E82" s="31"/>
      <c r="F82" s="32"/>
      <c r="G82" s="32"/>
      <c r="H82" s="43">
        <f t="shared" si="1"/>
        <v>0</v>
      </c>
    </row>
    <row r="83" spans="2:8">
      <c r="B83" s="27"/>
      <c r="C83" s="50"/>
      <c r="D83" s="49"/>
      <c r="E83" s="31"/>
      <c r="F83" s="32"/>
      <c r="G83" s="32"/>
      <c r="H83" s="43">
        <f t="shared" si="1"/>
        <v>0</v>
      </c>
    </row>
    <row r="84" spans="2:8">
      <c r="B84" s="27"/>
      <c r="C84" s="50"/>
      <c r="D84" s="49"/>
      <c r="E84" s="31"/>
      <c r="F84" s="32"/>
      <c r="G84" s="32"/>
      <c r="H84" s="43">
        <f t="shared" si="1"/>
        <v>0</v>
      </c>
    </row>
    <row r="85" spans="2:8">
      <c r="B85" s="27"/>
      <c r="C85" s="50"/>
      <c r="D85" s="49"/>
      <c r="E85" s="31"/>
      <c r="F85" s="32"/>
      <c r="G85" s="32"/>
      <c r="H85" s="43">
        <f t="shared" si="1"/>
        <v>0</v>
      </c>
    </row>
    <row r="86" spans="2:8">
      <c r="B86" s="27"/>
      <c r="C86" s="50"/>
      <c r="D86" s="49"/>
      <c r="E86" s="31"/>
      <c r="F86" s="32"/>
      <c r="G86" s="32"/>
      <c r="H86" s="43">
        <f t="shared" si="1"/>
        <v>0</v>
      </c>
    </row>
    <row r="87" spans="2:8">
      <c r="B87" s="27"/>
      <c r="C87" s="50"/>
      <c r="D87" s="49"/>
      <c r="E87" s="31"/>
      <c r="F87" s="32"/>
      <c r="G87" s="32"/>
      <c r="H87" s="43">
        <f t="shared" si="1"/>
        <v>0</v>
      </c>
    </row>
    <row r="88" spans="2:8">
      <c r="B88" s="27"/>
      <c r="C88" s="50"/>
      <c r="D88" s="49"/>
      <c r="E88" s="31"/>
      <c r="F88" s="32"/>
      <c r="G88" s="32"/>
      <c r="H88" s="43">
        <f t="shared" si="1"/>
        <v>0</v>
      </c>
    </row>
    <row r="89" spans="2:8">
      <c r="B89" s="27"/>
      <c r="C89" s="50"/>
      <c r="D89" s="49"/>
      <c r="E89" s="31"/>
      <c r="F89" s="32"/>
      <c r="G89" s="32"/>
      <c r="H89" s="43">
        <f t="shared" si="1"/>
        <v>0</v>
      </c>
    </row>
    <row r="90" spans="2:8">
      <c r="B90" s="27"/>
      <c r="C90" s="50"/>
      <c r="D90" s="49"/>
      <c r="E90" s="31"/>
      <c r="F90" s="32"/>
      <c r="G90" s="32"/>
      <c r="H90" s="43">
        <f t="shared" si="1"/>
        <v>0</v>
      </c>
    </row>
    <row r="91" spans="2:8">
      <c r="B91" s="27"/>
      <c r="C91" s="50"/>
      <c r="D91" s="49"/>
      <c r="E91" s="31"/>
      <c r="F91" s="32"/>
      <c r="G91" s="32"/>
      <c r="H91" s="43">
        <f t="shared" si="1"/>
        <v>0</v>
      </c>
    </row>
    <row r="92" spans="2:8">
      <c r="B92" s="27"/>
      <c r="C92" s="50"/>
      <c r="D92" s="49"/>
      <c r="E92" s="31"/>
      <c r="F92" s="32"/>
      <c r="G92" s="32"/>
      <c r="H92" s="43">
        <f t="shared" si="1"/>
        <v>0</v>
      </c>
    </row>
    <row r="93" spans="2:8">
      <c r="B93" s="27"/>
      <c r="C93" s="50"/>
      <c r="D93" s="49"/>
      <c r="E93" s="31"/>
      <c r="F93" s="32"/>
      <c r="G93" s="32"/>
      <c r="H93" s="43">
        <f t="shared" si="1"/>
        <v>0</v>
      </c>
    </row>
    <row r="94" spans="2:8">
      <c r="B94" s="27"/>
      <c r="C94" s="50"/>
      <c r="D94" s="49"/>
      <c r="E94" s="31"/>
      <c r="F94" s="32"/>
      <c r="G94" s="32"/>
      <c r="H94" s="43">
        <f t="shared" si="1"/>
        <v>0</v>
      </c>
    </row>
    <row r="95" spans="2:8">
      <c r="B95" s="27"/>
      <c r="C95" s="50"/>
      <c r="D95" s="49"/>
      <c r="E95" s="31"/>
      <c r="F95" s="32"/>
      <c r="G95" s="32"/>
      <c r="H95" s="43">
        <f t="shared" si="1"/>
        <v>0</v>
      </c>
    </row>
    <row r="96" spans="2:8">
      <c r="B96" s="27"/>
      <c r="C96" s="50"/>
      <c r="D96" s="49"/>
      <c r="E96" s="31"/>
      <c r="F96" s="32"/>
      <c r="G96" s="32"/>
      <c r="H96" s="43">
        <f t="shared" si="1"/>
        <v>0</v>
      </c>
    </row>
    <row r="97" spans="2:8">
      <c r="B97" s="30"/>
      <c r="C97" s="50"/>
      <c r="D97" s="49"/>
      <c r="E97" s="31"/>
      <c r="F97" s="32"/>
      <c r="G97" s="32"/>
      <c r="H97" s="43">
        <f t="shared" si="1"/>
        <v>0</v>
      </c>
    </row>
    <row r="98" spans="2:8">
      <c r="B98" s="27"/>
      <c r="C98" s="50"/>
      <c r="D98" s="49"/>
      <c r="E98" s="31"/>
      <c r="F98" s="32"/>
      <c r="G98" s="32"/>
      <c r="H98" s="43">
        <f t="shared" si="1"/>
        <v>0</v>
      </c>
    </row>
    <row r="99" spans="2:8" ht="11.25" thickBot="1">
      <c r="B99" s="33"/>
      <c r="C99" s="51"/>
      <c r="D99" s="52"/>
      <c r="E99" s="34"/>
      <c r="F99" s="35"/>
      <c r="G99" s="35"/>
      <c r="H99" s="35"/>
    </row>
    <row r="100" spans="2:8" s="47" customFormat="1" ht="12" thickTop="1" thickBot="1">
      <c r="B100" s="260"/>
      <c r="C100" s="261"/>
      <c r="D100" s="262"/>
      <c r="E100" s="263" t="s">
        <v>35</v>
      </c>
      <c r="F100" s="264">
        <f>SUM(F13:F99)</f>
        <v>0</v>
      </c>
      <c r="G100" s="264">
        <f>SUM(G13:G99)</f>
        <v>0</v>
      </c>
      <c r="H100" s="264">
        <f>F100-G100</f>
        <v>0</v>
      </c>
    </row>
    <row r="101" spans="2:8" s="36" customFormat="1" ht="13.5" thickTop="1"/>
    <row r="102" spans="2:8" s="36" customFormat="1" ht="12.75">
      <c r="G102" s="48" t="str">
        <f>IF(AND(desa_kel&lt;&gt;"",periode_sampai&lt;&gt;""),desa_kel&amp;", "&amp;periode_sampai,"....................., ................................")</f>
        <v>Slatri, 31 Maret 2013</v>
      </c>
    </row>
    <row r="103" spans="2:8" s="36" customFormat="1" ht="12.75">
      <c r="D103" s="48" t="s">
        <v>143</v>
      </c>
      <c r="G103" s="48"/>
    </row>
    <row r="104" spans="2:8" s="36" customFormat="1" ht="12.75">
      <c r="D104" s="48" t="s">
        <v>144</v>
      </c>
      <c r="G104" s="48" t="s">
        <v>145</v>
      </c>
    </row>
    <row r="105" spans="2:8" s="36" customFormat="1" ht="12.75">
      <c r="D105" s="48"/>
      <c r="G105" s="48"/>
    </row>
    <row r="106" spans="2:8" s="36" customFormat="1" ht="12.75">
      <c r="D106" s="48"/>
      <c r="G106" s="48"/>
    </row>
    <row r="107" spans="2:8" s="36" customFormat="1" ht="12.75">
      <c r="D107" s="48"/>
      <c r="G107" s="48"/>
    </row>
    <row r="108" spans="2:8" s="36" customFormat="1" ht="12.75">
      <c r="D108" s="48"/>
      <c r="G108" s="48"/>
    </row>
    <row r="109" spans="2:8" s="36" customFormat="1" ht="12.75">
      <c r="D109" s="48"/>
      <c r="G109" s="48"/>
    </row>
    <row r="110" spans="2:8" s="36" customFormat="1" ht="12.75">
      <c r="D110" s="258" t="str">
        <f>IF(AND(nama_sekolah&lt;&gt;"",nama_ks&lt;&gt;""),UPPER(nama_ks),".............................")</f>
        <v>EKO WAHYONO, S.PD., M.M.</v>
      </c>
      <c r="G110" s="258" t="str">
        <f>IF(AND(nama_sekolah&lt;&gt;"",nama_bend&lt;&gt;""),UPPER(nama_bend),".............................")</f>
        <v>MISMUN, S.PD.I.</v>
      </c>
    </row>
    <row r="111" spans="2:8" s="36" customFormat="1" ht="12.75">
      <c r="D111" s="259" t="str">
        <f>"NIP "&amp;IF(AND(nama_sekolah&lt;&gt;"",nama_ks&lt;&gt;"",nip_ks),nip_ks,".............................")</f>
        <v>NIP 19650321 198608 1 001</v>
      </c>
      <c r="G111" s="259" t="str">
        <f>"NIP "&amp;IF(AND(nama_sekolah&lt;&gt;"",nama_bend&lt;&gt;"",nip_bend),nip_bend,".............................")</f>
        <v>NIP 19540212 198304 1 001</v>
      </c>
    </row>
    <row r="112" spans="2:8" s="36" customFormat="1" ht="12.75">
      <c r="D112" s="48"/>
    </row>
    <row r="113"/>
  </sheetData>
  <sheetProtection password="CAE2" sheet="1" objects="1" scenarios="1" selectLockedCells="1" autoFilter="0"/>
  <autoFilter ref="B12:H99"/>
  <mergeCells count="15">
    <mergeCell ref="B9:C9"/>
    <mergeCell ref="D9:E9"/>
    <mergeCell ref="G9:H9"/>
    <mergeCell ref="B7:C7"/>
    <mergeCell ref="G7:H7"/>
    <mergeCell ref="B8:C8"/>
    <mergeCell ref="G8:H8"/>
    <mergeCell ref="D7:E7"/>
    <mergeCell ref="D8:E8"/>
    <mergeCell ref="B2:H2"/>
    <mergeCell ref="B5:C5"/>
    <mergeCell ref="B6:C6"/>
    <mergeCell ref="D5:E5"/>
    <mergeCell ref="D6:E6"/>
    <mergeCell ref="B3:H3"/>
  </mergeCells>
  <dataValidations count="1">
    <dataValidation type="date" operator="greaterThan" allowBlank="1" showInputMessage="1" showErrorMessage="1" prompt="Setelah selesai mengisi Buku Kas Umum klik tanda panah dan hilangkan tanda cek pada Blank utk membuang baris kosong." sqref="B13:B99">
      <formula1>40179</formula1>
    </dataValidation>
  </dataValidations>
  <pageMargins left="0.59055118110236227" right="1.3779527559055118" top="0.59055118110236227" bottom="0.78740157480314965" header="0.39370078740157483" footer="0.39370078740157483"/>
  <pageSetup paperSize="5" orientation="landscape" horizontalDpi="4294967293" verticalDpi="0" r:id="rId1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I113"/>
  <sheetViews>
    <sheetView showGridLines="0" showRowColHeaders="0" topLeftCell="A10" workbookViewId="0">
      <pane xSplit="9" ySplit="3" topLeftCell="XFA13" activePane="bottomRight" state="frozen"/>
      <selection activeCell="A10" sqref="A10"/>
      <selection pane="topRight" activeCell="J10" sqref="J10"/>
      <selection pane="bottomLeft" activeCell="A13" sqref="A13"/>
      <selection pane="bottomRight" activeCell="B13" sqref="B13"/>
    </sheetView>
  </sheetViews>
  <sheetFormatPr defaultColWidth="0" defaultRowHeight="10.5" zeroHeight="1"/>
  <cols>
    <col min="1" max="1" width="1.7109375" style="42" customWidth="1"/>
    <col min="2" max="2" width="12.7109375" style="42" customWidth="1"/>
    <col min="3" max="4" width="14.7109375" style="42" customWidth="1"/>
    <col min="5" max="5" width="60.7109375" style="42" customWidth="1"/>
    <col min="6" max="8" width="14.7109375" style="42" customWidth="1"/>
    <col min="9" max="9" width="1.7109375" style="42" customWidth="1"/>
    <col min="10" max="16384" width="9.140625" style="42" hidden="1"/>
  </cols>
  <sheetData>
    <row r="1" spans="2:8" s="36" customFormat="1" ht="12.75"/>
    <row r="2" spans="2:8" s="253" customFormat="1" ht="12.75">
      <c r="B2" s="348" t="s">
        <v>730</v>
      </c>
      <c r="C2" s="348"/>
      <c r="D2" s="348"/>
      <c r="E2" s="348"/>
      <c r="F2" s="348"/>
      <c r="G2" s="348"/>
      <c r="H2" s="348"/>
    </row>
    <row r="3" spans="2:8" s="253" customFormat="1" ht="12.75">
      <c r="B3" s="337" t="str">
        <f>"TRIWULAN "&amp;UPPER(triwulan)</f>
        <v>TRIWULAN I (SATU)</v>
      </c>
      <c r="C3" s="337"/>
      <c r="D3" s="337"/>
      <c r="E3" s="337"/>
      <c r="F3" s="337"/>
      <c r="G3" s="337"/>
      <c r="H3" s="337"/>
    </row>
    <row r="4" spans="2:8" s="253" customFormat="1" ht="12.75"/>
    <row r="5" spans="2:8" s="255" customFormat="1" ht="12.75">
      <c r="B5" s="349" t="s">
        <v>53</v>
      </c>
      <c r="C5" s="349"/>
      <c r="D5" s="350" t="str">
        <f>": "&amp;IF(nama_sekolah&lt;&gt;"",UPPER(nama_sekolah),"")</f>
        <v>: SD NEGERI 3 SLATRI</v>
      </c>
      <c r="E5" s="350"/>
      <c r="F5" s="256"/>
    </row>
    <row r="6" spans="2:8" s="255" customFormat="1" ht="12.75">
      <c r="B6" s="349" t="s">
        <v>132</v>
      </c>
      <c r="C6" s="349"/>
      <c r="D6" s="350" t="str">
        <f>": "&amp;IF(AND(nama_sekolah&lt;&gt;"",desa_kel&lt;&gt;""),UPPER(desa_kel),"")</f>
        <v>: SLATRI</v>
      </c>
      <c r="E6" s="350"/>
      <c r="F6" s="256"/>
    </row>
    <row r="7" spans="2:8" s="255" customFormat="1" ht="12.75">
      <c r="B7" s="349" t="s">
        <v>8</v>
      </c>
      <c r="C7" s="349"/>
      <c r="D7" s="350" t="str">
        <f>": "&amp;IF(AND(nama_sekolah&lt;&gt;"",desa_kel&lt;&gt;"",kec&lt;&gt;""),UPPER(kec),"")</f>
        <v>: KARANGKOBAR</v>
      </c>
      <c r="E7" s="350"/>
      <c r="F7" s="256"/>
      <c r="G7" s="353" t="s">
        <v>729</v>
      </c>
      <c r="H7" s="354"/>
    </row>
    <row r="8" spans="2:8" s="255" customFormat="1" ht="12.75">
      <c r="B8" s="349" t="s">
        <v>134</v>
      </c>
      <c r="C8" s="349"/>
      <c r="D8" s="350" t="str">
        <f>": "&amp;IF(AND(nama_sekolah&lt;&gt;"",desa_kel&lt;&gt;"",kec&lt;&gt;"",kab_kota&lt;&gt;""),UPPER(kab_kota),"")</f>
        <v>: KAB. BANJARNEGARA</v>
      </c>
      <c r="E8" s="350"/>
      <c r="F8" s="256"/>
      <c r="G8" s="355" t="s">
        <v>135</v>
      </c>
      <c r="H8" s="356"/>
    </row>
    <row r="9" spans="2:8" s="255" customFormat="1" ht="12.75">
      <c r="B9" s="349" t="s">
        <v>136</v>
      </c>
      <c r="C9" s="349"/>
      <c r="D9" s="350" t="str">
        <f>": "&amp;IF(AND(nama_sekolah&lt;&gt;"",desa_kel&lt;&gt;"",kec&lt;&gt;"",kab_kota&lt;&gt;"",provinsi&lt;&gt;""),UPPER(provinsi),"")</f>
        <v>: JAWA TENGAH</v>
      </c>
      <c r="E9" s="350"/>
      <c r="F9" s="256"/>
      <c r="G9" s="351" t="s">
        <v>137</v>
      </c>
      <c r="H9" s="352"/>
    </row>
    <row r="10" spans="2:8" s="36" customFormat="1" ht="13.5" thickBot="1"/>
    <row r="11" spans="2:8" s="38" customFormat="1" ht="21.75" thickTop="1">
      <c r="B11" s="251" t="s">
        <v>138</v>
      </c>
      <c r="C11" s="57" t="s">
        <v>55</v>
      </c>
      <c r="D11" s="57" t="s">
        <v>139</v>
      </c>
      <c r="E11" s="251" t="s">
        <v>140</v>
      </c>
      <c r="F11" s="37" t="s">
        <v>141</v>
      </c>
      <c r="G11" s="37" t="s">
        <v>142</v>
      </c>
      <c r="H11" s="37" t="s">
        <v>206</v>
      </c>
    </row>
    <row r="12" spans="2:8" s="40" customFormat="1" ht="11.25" thickBot="1">
      <c r="B12" s="39" t="s">
        <v>36</v>
      </c>
      <c r="C12" s="58" t="s">
        <v>37</v>
      </c>
      <c r="D12" s="58" t="s">
        <v>38</v>
      </c>
      <c r="E12" s="39" t="s">
        <v>39</v>
      </c>
      <c r="F12" s="39" t="s">
        <v>40</v>
      </c>
      <c r="G12" s="39" t="s">
        <v>41</v>
      </c>
      <c r="H12" s="39" t="s">
        <v>40</v>
      </c>
    </row>
    <row r="13" spans="2:8" ht="11.25" thickTop="1">
      <c r="B13" s="27"/>
      <c r="C13" s="55"/>
      <c r="D13" s="56"/>
      <c r="E13" s="28"/>
      <c r="F13" s="29"/>
      <c r="G13" s="29"/>
      <c r="H13" s="41">
        <f>F13-G13</f>
        <v>0</v>
      </c>
    </row>
    <row r="14" spans="2:8">
      <c r="B14" s="30"/>
      <c r="C14" s="50"/>
      <c r="D14" s="49"/>
      <c r="E14" s="31"/>
      <c r="F14" s="32"/>
      <c r="G14" s="32"/>
      <c r="H14" s="43">
        <f>H13+F14-G14</f>
        <v>0</v>
      </c>
    </row>
    <row r="15" spans="2:8">
      <c r="B15" s="27"/>
      <c r="C15" s="50"/>
      <c r="D15" s="49"/>
      <c r="E15" s="31"/>
      <c r="F15" s="32"/>
      <c r="G15" s="32"/>
      <c r="H15" s="43">
        <f t="shared" ref="H15:H98" si="0">H14+F15-G15</f>
        <v>0</v>
      </c>
    </row>
    <row r="16" spans="2:8">
      <c r="B16" s="30"/>
      <c r="C16" s="50"/>
      <c r="D16" s="49"/>
      <c r="E16" s="31"/>
      <c r="F16" s="32"/>
      <c r="G16" s="32"/>
      <c r="H16" s="43">
        <f t="shared" si="0"/>
        <v>0</v>
      </c>
    </row>
    <row r="17" spans="2:8">
      <c r="B17" s="27"/>
      <c r="C17" s="50"/>
      <c r="D17" s="49"/>
      <c r="E17" s="31"/>
      <c r="F17" s="32"/>
      <c r="G17" s="32"/>
      <c r="H17" s="43">
        <f t="shared" si="0"/>
        <v>0</v>
      </c>
    </row>
    <row r="18" spans="2:8">
      <c r="B18" s="27"/>
      <c r="C18" s="50"/>
      <c r="D18" s="49"/>
      <c r="E18" s="31"/>
      <c r="F18" s="32"/>
      <c r="G18" s="32"/>
      <c r="H18" s="43">
        <f t="shared" si="0"/>
        <v>0</v>
      </c>
    </row>
    <row r="19" spans="2:8">
      <c r="B19" s="27"/>
      <c r="C19" s="50"/>
      <c r="D19" s="49"/>
      <c r="E19" s="31"/>
      <c r="F19" s="32"/>
      <c r="G19" s="32"/>
      <c r="H19" s="43">
        <f t="shared" si="0"/>
        <v>0</v>
      </c>
    </row>
    <row r="20" spans="2:8">
      <c r="B20" s="27"/>
      <c r="C20" s="50"/>
      <c r="D20" s="49"/>
      <c r="E20" s="31"/>
      <c r="F20" s="32"/>
      <c r="G20" s="32"/>
      <c r="H20" s="43">
        <f t="shared" si="0"/>
        <v>0</v>
      </c>
    </row>
    <row r="21" spans="2:8">
      <c r="B21" s="27"/>
      <c r="C21" s="50"/>
      <c r="D21" s="49"/>
      <c r="E21" s="31"/>
      <c r="F21" s="32"/>
      <c r="G21" s="32"/>
      <c r="H21" s="43">
        <f t="shared" si="0"/>
        <v>0</v>
      </c>
    </row>
    <row r="22" spans="2:8">
      <c r="B22" s="27"/>
      <c r="C22" s="50"/>
      <c r="D22" s="49"/>
      <c r="E22" s="31"/>
      <c r="F22" s="32"/>
      <c r="G22" s="32"/>
      <c r="H22" s="43">
        <f t="shared" si="0"/>
        <v>0</v>
      </c>
    </row>
    <row r="23" spans="2:8">
      <c r="B23" s="27"/>
      <c r="C23" s="50"/>
      <c r="D23" s="49"/>
      <c r="E23" s="31"/>
      <c r="F23" s="32"/>
      <c r="G23" s="32"/>
      <c r="H23" s="43">
        <f t="shared" si="0"/>
        <v>0</v>
      </c>
    </row>
    <row r="24" spans="2:8">
      <c r="B24" s="27"/>
      <c r="C24" s="50"/>
      <c r="D24" s="49"/>
      <c r="E24" s="31"/>
      <c r="F24" s="32"/>
      <c r="G24" s="32"/>
      <c r="H24" s="43">
        <f t="shared" si="0"/>
        <v>0</v>
      </c>
    </row>
    <row r="25" spans="2:8">
      <c r="B25" s="27"/>
      <c r="C25" s="50"/>
      <c r="D25" s="49"/>
      <c r="E25" s="31"/>
      <c r="F25" s="32"/>
      <c r="G25" s="32"/>
      <c r="H25" s="43">
        <f t="shared" si="0"/>
        <v>0</v>
      </c>
    </row>
    <row r="26" spans="2:8">
      <c r="B26" s="27"/>
      <c r="C26" s="50"/>
      <c r="D26" s="49"/>
      <c r="E26" s="31"/>
      <c r="F26" s="32"/>
      <c r="G26" s="32"/>
      <c r="H26" s="43">
        <f t="shared" si="0"/>
        <v>0</v>
      </c>
    </row>
    <row r="27" spans="2:8">
      <c r="B27" s="27"/>
      <c r="C27" s="50"/>
      <c r="D27" s="49"/>
      <c r="E27" s="31"/>
      <c r="F27" s="32"/>
      <c r="G27" s="32"/>
      <c r="H27" s="43">
        <f t="shared" si="0"/>
        <v>0</v>
      </c>
    </row>
    <row r="28" spans="2:8">
      <c r="B28" s="27"/>
      <c r="C28" s="50"/>
      <c r="D28" s="49"/>
      <c r="E28" s="31"/>
      <c r="F28" s="32"/>
      <c r="G28" s="32"/>
      <c r="H28" s="43">
        <f t="shared" si="0"/>
        <v>0</v>
      </c>
    </row>
    <row r="29" spans="2:8">
      <c r="B29" s="27"/>
      <c r="C29" s="50"/>
      <c r="D29" s="49"/>
      <c r="E29" s="31"/>
      <c r="F29" s="32"/>
      <c r="G29" s="32"/>
      <c r="H29" s="43">
        <f t="shared" si="0"/>
        <v>0</v>
      </c>
    </row>
    <row r="30" spans="2:8">
      <c r="B30" s="27"/>
      <c r="C30" s="50"/>
      <c r="D30" s="49"/>
      <c r="E30" s="31"/>
      <c r="F30" s="32"/>
      <c r="G30" s="32"/>
      <c r="H30" s="43">
        <f t="shared" si="0"/>
        <v>0</v>
      </c>
    </row>
    <row r="31" spans="2:8">
      <c r="B31" s="27"/>
      <c r="C31" s="50"/>
      <c r="D31" s="49"/>
      <c r="E31" s="31"/>
      <c r="F31" s="32"/>
      <c r="G31" s="32"/>
      <c r="H31" s="43">
        <f t="shared" si="0"/>
        <v>0</v>
      </c>
    </row>
    <row r="32" spans="2:8">
      <c r="B32" s="27"/>
      <c r="C32" s="50"/>
      <c r="D32" s="49"/>
      <c r="E32" s="31"/>
      <c r="F32" s="32"/>
      <c r="G32" s="32"/>
      <c r="H32" s="43">
        <f t="shared" si="0"/>
        <v>0</v>
      </c>
    </row>
    <row r="33" spans="2:8">
      <c r="B33" s="27"/>
      <c r="C33" s="50"/>
      <c r="D33" s="49"/>
      <c r="E33" s="31"/>
      <c r="F33" s="32"/>
      <c r="G33" s="32"/>
      <c r="H33" s="43">
        <f t="shared" si="0"/>
        <v>0</v>
      </c>
    </row>
    <row r="34" spans="2:8">
      <c r="B34" s="27"/>
      <c r="C34" s="50"/>
      <c r="D34" s="49"/>
      <c r="E34" s="31"/>
      <c r="F34" s="32"/>
      <c r="G34" s="32"/>
      <c r="H34" s="43">
        <f t="shared" si="0"/>
        <v>0</v>
      </c>
    </row>
    <row r="35" spans="2:8">
      <c r="B35" s="27"/>
      <c r="C35" s="50"/>
      <c r="D35" s="49"/>
      <c r="E35" s="31"/>
      <c r="F35" s="32"/>
      <c r="G35" s="32"/>
      <c r="H35" s="43">
        <f t="shared" si="0"/>
        <v>0</v>
      </c>
    </row>
    <row r="36" spans="2:8">
      <c r="B36" s="27"/>
      <c r="C36" s="50"/>
      <c r="D36" s="49"/>
      <c r="E36" s="31"/>
      <c r="F36" s="32"/>
      <c r="G36" s="32"/>
      <c r="H36" s="43">
        <f t="shared" si="0"/>
        <v>0</v>
      </c>
    </row>
    <row r="37" spans="2:8">
      <c r="B37" s="27"/>
      <c r="C37" s="50"/>
      <c r="D37" s="49"/>
      <c r="E37" s="31"/>
      <c r="F37" s="32"/>
      <c r="G37" s="32"/>
      <c r="H37" s="43">
        <f t="shared" si="0"/>
        <v>0</v>
      </c>
    </row>
    <row r="38" spans="2:8">
      <c r="B38" s="27"/>
      <c r="C38" s="50"/>
      <c r="D38" s="49"/>
      <c r="E38" s="31"/>
      <c r="F38" s="32"/>
      <c r="G38" s="32"/>
      <c r="H38" s="43">
        <f t="shared" si="0"/>
        <v>0</v>
      </c>
    </row>
    <row r="39" spans="2:8">
      <c r="B39" s="27"/>
      <c r="C39" s="50"/>
      <c r="D39" s="49"/>
      <c r="E39" s="31"/>
      <c r="F39" s="32"/>
      <c r="G39" s="32"/>
      <c r="H39" s="43">
        <f t="shared" si="0"/>
        <v>0</v>
      </c>
    </row>
    <row r="40" spans="2:8">
      <c r="B40" s="27"/>
      <c r="C40" s="50"/>
      <c r="D40" s="49"/>
      <c r="E40" s="31"/>
      <c r="F40" s="32"/>
      <c r="G40" s="32"/>
      <c r="H40" s="43">
        <f t="shared" si="0"/>
        <v>0</v>
      </c>
    </row>
    <row r="41" spans="2:8">
      <c r="B41" s="27"/>
      <c r="C41" s="50"/>
      <c r="D41" s="49"/>
      <c r="E41" s="31"/>
      <c r="F41" s="32"/>
      <c r="G41" s="32"/>
      <c r="H41" s="43">
        <f t="shared" si="0"/>
        <v>0</v>
      </c>
    </row>
    <row r="42" spans="2:8">
      <c r="B42" s="27"/>
      <c r="C42" s="50"/>
      <c r="D42" s="49"/>
      <c r="E42" s="31"/>
      <c r="F42" s="32"/>
      <c r="G42" s="32"/>
      <c r="H42" s="43">
        <f t="shared" si="0"/>
        <v>0</v>
      </c>
    </row>
    <row r="43" spans="2:8">
      <c r="B43" s="27"/>
      <c r="C43" s="50"/>
      <c r="D43" s="49"/>
      <c r="E43" s="31"/>
      <c r="F43" s="32"/>
      <c r="G43" s="32"/>
      <c r="H43" s="43">
        <f t="shared" si="0"/>
        <v>0</v>
      </c>
    </row>
    <row r="44" spans="2:8">
      <c r="B44" s="27"/>
      <c r="C44" s="50"/>
      <c r="D44" s="49"/>
      <c r="E44" s="31"/>
      <c r="F44" s="32"/>
      <c r="G44" s="32"/>
      <c r="H44" s="43">
        <f t="shared" si="0"/>
        <v>0</v>
      </c>
    </row>
    <row r="45" spans="2:8">
      <c r="B45" s="27"/>
      <c r="C45" s="50"/>
      <c r="D45" s="49"/>
      <c r="E45" s="31"/>
      <c r="F45" s="32"/>
      <c r="G45" s="32"/>
      <c r="H45" s="43">
        <f t="shared" si="0"/>
        <v>0</v>
      </c>
    </row>
    <row r="46" spans="2:8">
      <c r="B46" s="27"/>
      <c r="C46" s="50"/>
      <c r="D46" s="49"/>
      <c r="E46" s="31"/>
      <c r="F46" s="32"/>
      <c r="G46" s="32"/>
      <c r="H46" s="43">
        <f t="shared" si="0"/>
        <v>0</v>
      </c>
    </row>
    <row r="47" spans="2:8">
      <c r="B47" s="27"/>
      <c r="C47" s="50"/>
      <c r="D47" s="49"/>
      <c r="E47" s="31"/>
      <c r="F47" s="32"/>
      <c r="G47" s="32"/>
      <c r="H47" s="43">
        <f t="shared" si="0"/>
        <v>0</v>
      </c>
    </row>
    <row r="48" spans="2:8">
      <c r="B48" s="27"/>
      <c r="C48" s="50"/>
      <c r="D48" s="49"/>
      <c r="E48" s="31"/>
      <c r="F48" s="32"/>
      <c r="G48" s="32"/>
      <c r="H48" s="43">
        <f t="shared" si="0"/>
        <v>0</v>
      </c>
    </row>
    <row r="49" spans="2:8">
      <c r="B49" s="27"/>
      <c r="C49" s="50"/>
      <c r="D49" s="49"/>
      <c r="E49" s="31"/>
      <c r="F49" s="32"/>
      <c r="G49" s="32"/>
      <c r="H49" s="43">
        <f t="shared" si="0"/>
        <v>0</v>
      </c>
    </row>
    <row r="50" spans="2:8">
      <c r="B50" s="27"/>
      <c r="C50" s="50"/>
      <c r="D50" s="49"/>
      <c r="E50" s="31"/>
      <c r="F50" s="32"/>
      <c r="G50" s="32"/>
      <c r="H50" s="43">
        <f t="shared" si="0"/>
        <v>0</v>
      </c>
    </row>
    <row r="51" spans="2:8">
      <c r="B51" s="27"/>
      <c r="C51" s="50"/>
      <c r="D51" s="49"/>
      <c r="E51" s="31"/>
      <c r="F51" s="32"/>
      <c r="G51" s="32"/>
      <c r="H51" s="43">
        <f t="shared" si="0"/>
        <v>0</v>
      </c>
    </row>
    <row r="52" spans="2:8">
      <c r="B52" s="27"/>
      <c r="C52" s="50"/>
      <c r="D52" s="49"/>
      <c r="E52" s="31"/>
      <c r="F52" s="32"/>
      <c r="G52" s="32"/>
      <c r="H52" s="43">
        <f t="shared" si="0"/>
        <v>0</v>
      </c>
    </row>
    <row r="53" spans="2:8">
      <c r="B53" s="27"/>
      <c r="C53" s="50"/>
      <c r="D53" s="49"/>
      <c r="E53" s="31"/>
      <c r="F53" s="32"/>
      <c r="G53" s="32"/>
      <c r="H53" s="43">
        <f t="shared" si="0"/>
        <v>0</v>
      </c>
    </row>
    <row r="54" spans="2:8">
      <c r="B54" s="27"/>
      <c r="C54" s="50"/>
      <c r="D54" s="49"/>
      <c r="E54" s="31"/>
      <c r="F54" s="32"/>
      <c r="G54" s="32"/>
      <c r="H54" s="43">
        <f t="shared" si="0"/>
        <v>0</v>
      </c>
    </row>
    <row r="55" spans="2:8">
      <c r="B55" s="27"/>
      <c r="C55" s="50"/>
      <c r="D55" s="49"/>
      <c r="E55" s="31"/>
      <c r="F55" s="32"/>
      <c r="G55" s="32"/>
      <c r="H55" s="43">
        <f t="shared" si="0"/>
        <v>0</v>
      </c>
    </row>
    <row r="56" spans="2:8">
      <c r="B56" s="27"/>
      <c r="C56" s="50"/>
      <c r="D56" s="49"/>
      <c r="E56" s="31"/>
      <c r="F56" s="32"/>
      <c r="G56" s="32"/>
      <c r="H56" s="43">
        <f t="shared" si="0"/>
        <v>0</v>
      </c>
    </row>
    <row r="57" spans="2:8">
      <c r="B57" s="27"/>
      <c r="C57" s="50"/>
      <c r="D57" s="49"/>
      <c r="E57" s="31"/>
      <c r="F57" s="32"/>
      <c r="G57" s="32"/>
      <c r="H57" s="43">
        <f t="shared" si="0"/>
        <v>0</v>
      </c>
    </row>
    <row r="58" spans="2:8">
      <c r="B58" s="27"/>
      <c r="C58" s="50"/>
      <c r="D58" s="49"/>
      <c r="E58" s="31"/>
      <c r="F58" s="32"/>
      <c r="G58" s="32"/>
      <c r="H58" s="43">
        <f t="shared" si="0"/>
        <v>0</v>
      </c>
    </row>
    <row r="59" spans="2:8">
      <c r="B59" s="27"/>
      <c r="C59" s="50"/>
      <c r="D59" s="49"/>
      <c r="E59" s="31"/>
      <c r="F59" s="32"/>
      <c r="G59" s="32"/>
      <c r="H59" s="43">
        <f t="shared" si="0"/>
        <v>0</v>
      </c>
    </row>
    <row r="60" spans="2:8">
      <c r="B60" s="27"/>
      <c r="C60" s="50"/>
      <c r="D60" s="49"/>
      <c r="E60" s="31"/>
      <c r="F60" s="32"/>
      <c r="G60" s="32"/>
      <c r="H60" s="43">
        <f t="shared" si="0"/>
        <v>0</v>
      </c>
    </row>
    <row r="61" spans="2:8">
      <c r="B61" s="27"/>
      <c r="C61" s="50"/>
      <c r="D61" s="49"/>
      <c r="E61" s="31"/>
      <c r="F61" s="32"/>
      <c r="G61" s="32"/>
      <c r="H61" s="43">
        <f t="shared" si="0"/>
        <v>0</v>
      </c>
    </row>
    <row r="62" spans="2:8">
      <c r="B62" s="27"/>
      <c r="C62" s="50"/>
      <c r="D62" s="49"/>
      <c r="E62" s="31"/>
      <c r="F62" s="32"/>
      <c r="G62" s="32"/>
      <c r="H62" s="43">
        <f t="shared" si="0"/>
        <v>0</v>
      </c>
    </row>
    <row r="63" spans="2:8">
      <c r="B63" s="27"/>
      <c r="C63" s="50"/>
      <c r="D63" s="49"/>
      <c r="E63" s="31"/>
      <c r="F63" s="32"/>
      <c r="G63" s="32"/>
      <c r="H63" s="43">
        <f t="shared" si="0"/>
        <v>0</v>
      </c>
    </row>
    <row r="64" spans="2:8">
      <c r="B64" s="27"/>
      <c r="C64" s="50"/>
      <c r="D64" s="49"/>
      <c r="E64" s="31"/>
      <c r="F64" s="32"/>
      <c r="G64" s="32"/>
      <c r="H64" s="43">
        <f t="shared" si="0"/>
        <v>0</v>
      </c>
    </row>
    <row r="65" spans="2:8">
      <c r="B65" s="27"/>
      <c r="C65" s="50"/>
      <c r="D65" s="49"/>
      <c r="E65" s="31"/>
      <c r="F65" s="32"/>
      <c r="G65" s="32"/>
      <c r="H65" s="43">
        <f t="shared" si="0"/>
        <v>0</v>
      </c>
    </row>
    <row r="66" spans="2:8">
      <c r="B66" s="27"/>
      <c r="C66" s="50"/>
      <c r="D66" s="49"/>
      <c r="E66" s="31"/>
      <c r="F66" s="32"/>
      <c r="G66" s="32"/>
      <c r="H66" s="43">
        <f t="shared" si="0"/>
        <v>0</v>
      </c>
    </row>
    <row r="67" spans="2:8">
      <c r="B67" s="27"/>
      <c r="C67" s="50"/>
      <c r="D67" s="49"/>
      <c r="E67" s="31"/>
      <c r="F67" s="32"/>
      <c r="G67" s="32"/>
      <c r="H67" s="43">
        <f t="shared" si="0"/>
        <v>0</v>
      </c>
    </row>
    <row r="68" spans="2:8">
      <c r="B68" s="27"/>
      <c r="C68" s="50"/>
      <c r="D68" s="49"/>
      <c r="E68" s="31"/>
      <c r="F68" s="32"/>
      <c r="G68" s="32"/>
      <c r="H68" s="43">
        <f t="shared" si="0"/>
        <v>0</v>
      </c>
    </row>
    <row r="69" spans="2:8">
      <c r="B69" s="27"/>
      <c r="C69" s="50"/>
      <c r="D69" s="49"/>
      <c r="E69" s="31"/>
      <c r="F69" s="32"/>
      <c r="G69" s="32"/>
      <c r="H69" s="43">
        <f t="shared" si="0"/>
        <v>0</v>
      </c>
    </row>
    <row r="70" spans="2:8">
      <c r="B70" s="27"/>
      <c r="C70" s="50"/>
      <c r="D70" s="49"/>
      <c r="E70" s="31"/>
      <c r="F70" s="32"/>
      <c r="G70" s="32"/>
      <c r="H70" s="43">
        <f t="shared" si="0"/>
        <v>0</v>
      </c>
    </row>
    <row r="71" spans="2:8">
      <c r="B71" s="27"/>
      <c r="C71" s="50"/>
      <c r="D71" s="49"/>
      <c r="E71" s="31"/>
      <c r="F71" s="32"/>
      <c r="G71" s="32"/>
      <c r="H71" s="43">
        <f t="shared" si="0"/>
        <v>0</v>
      </c>
    </row>
    <row r="72" spans="2:8">
      <c r="B72" s="27"/>
      <c r="C72" s="50"/>
      <c r="D72" s="49"/>
      <c r="E72" s="31"/>
      <c r="F72" s="32"/>
      <c r="G72" s="32"/>
      <c r="H72" s="43">
        <f t="shared" si="0"/>
        <v>0</v>
      </c>
    </row>
    <row r="73" spans="2:8">
      <c r="B73" s="27"/>
      <c r="C73" s="50"/>
      <c r="D73" s="49"/>
      <c r="E73" s="31"/>
      <c r="F73" s="32"/>
      <c r="G73" s="32"/>
      <c r="H73" s="43">
        <f t="shared" si="0"/>
        <v>0</v>
      </c>
    </row>
    <row r="74" spans="2:8">
      <c r="B74" s="27"/>
      <c r="C74" s="50"/>
      <c r="D74" s="49"/>
      <c r="E74" s="31"/>
      <c r="F74" s="32"/>
      <c r="G74" s="32"/>
      <c r="H74" s="43">
        <f t="shared" si="0"/>
        <v>0</v>
      </c>
    </row>
    <row r="75" spans="2:8">
      <c r="B75" s="27"/>
      <c r="C75" s="50"/>
      <c r="D75" s="49"/>
      <c r="E75" s="31"/>
      <c r="F75" s="32"/>
      <c r="G75" s="32"/>
      <c r="H75" s="43">
        <f t="shared" si="0"/>
        <v>0</v>
      </c>
    </row>
    <row r="76" spans="2:8">
      <c r="B76" s="27"/>
      <c r="C76" s="50"/>
      <c r="D76" s="49"/>
      <c r="E76" s="31"/>
      <c r="F76" s="32"/>
      <c r="G76" s="32"/>
      <c r="H76" s="43">
        <f t="shared" si="0"/>
        <v>0</v>
      </c>
    </row>
    <row r="77" spans="2:8">
      <c r="B77" s="27"/>
      <c r="C77" s="50"/>
      <c r="D77" s="49"/>
      <c r="E77" s="31"/>
      <c r="F77" s="32"/>
      <c r="G77" s="32"/>
      <c r="H77" s="43">
        <f t="shared" si="0"/>
        <v>0</v>
      </c>
    </row>
    <row r="78" spans="2:8">
      <c r="B78" s="27"/>
      <c r="C78" s="50"/>
      <c r="D78" s="49"/>
      <c r="E78" s="31"/>
      <c r="F78" s="32"/>
      <c r="G78" s="32"/>
      <c r="H78" s="43">
        <f t="shared" si="0"/>
        <v>0</v>
      </c>
    </row>
    <row r="79" spans="2:8">
      <c r="B79" s="27"/>
      <c r="C79" s="50"/>
      <c r="D79" s="49"/>
      <c r="E79" s="31"/>
      <c r="F79" s="32"/>
      <c r="G79" s="32"/>
      <c r="H79" s="43">
        <f t="shared" si="0"/>
        <v>0</v>
      </c>
    </row>
    <row r="80" spans="2:8">
      <c r="B80" s="27"/>
      <c r="C80" s="50"/>
      <c r="D80" s="49"/>
      <c r="E80" s="31"/>
      <c r="F80" s="32"/>
      <c r="G80" s="32"/>
      <c r="H80" s="43">
        <f t="shared" si="0"/>
        <v>0</v>
      </c>
    </row>
    <row r="81" spans="2:8">
      <c r="B81" s="27"/>
      <c r="C81" s="50"/>
      <c r="D81" s="49"/>
      <c r="E81" s="31"/>
      <c r="F81" s="32"/>
      <c r="G81" s="32"/>
      <c r="H81" s="43">
        <f t="shared" si="0"/>
        <v>0</v>
      </c>
    </row>
    <row r="82" spans="2:8">
      <c r="B82" s="27"/>
      <c r="C82" s="50"/>
      <c r="D82" s="49"/>
      <c r="E82" s="31"/>
      <c r="F82" s="32"/>
      <c r="G82" s="32"/>
      <c r="H82" s="43">
        <f t="shared" si="0"/>
        <v>0</v>
      </c>
    </row>
    <row r="83" spans="2:8">
      <c r="B83" s="27"/>
      <c r="C83" s="50"/>
      <c r="D83" s="49"/>
      <c r="E83" s="31"/>
      <c r="F83" s="32"/>
      <c r="G83" s="32"/>
      <c r="H83" s="43">
        <f t="shared" si="0"/>
        <v>0</v>
      </c>
    </row>
    <row r="84" spans="2:8">
      <c r="B84" s="27"/>
      <c r="C84" s="50"/>
      <c r="D84" s="49"/>
      <c r="E84" s="31"/>
      <c r="F84" s="32"/>
      <c r="G84" s="32"/>
      <c r="H84" s="43">
        <f t="shared" si="0"/>
        <v>0</v>
      </c>
    </row>
    <row r="85" spans="2:8">
      <c r="B85" s="27"/>
      <c r="C85" s="50"/>
      <c r="D85" s="49"/>
      <c r="E85" s="31"/>
      <c r="F85" s="32"/>
      <c r="G85" s="32"/>
      <c r="H85" s="43">
        <f t="shared" si="0"/>
        <v>0</v>
      </c>
    </row>
    <row r="86" spans="2:8">
      <c r="B86" s="27"/>
      <c r="C86" s="50"/>
      <c r="D86" s="49"/>
      <c r="E86" s="31"/>
      <c r="F86" s="32"/>
      <c r="G86" s="32"/>
      <c r="H86" s="43">
        <f t="shared" si="0"/>
        <v>0</v>
      </c>
    </row>
    <row r="87" spans="2:8">
      <c r="B87" s="27"/>
      <c r="C87" s="50"/>
      <c r="D87" s="49"/>
      <c r="E87" s="31"/>
      <c r="F87" s="32"/>
      <c r="G87" s="32"/>
      <c r="H87" s="43">
        <f t="shared" si="0"/>
        <v>0</v>
      </c>
    </row>
    <row r="88" spans="2:8">
      <c r="B88" s="27"/>
      <c r="C88" s="50"/>
      <c r="D88" s="49"/>
      <c r="E88" s="31"/>
      <c r="F88" s="32"/>
      <c r="G88" s="32"/>
      <c r="H88" s="43">
        <f t="shared" si="0"/>
        <v>0</v>
      </c>
    </row>
    <row r="89" spans="2:8">
      <c r="B89" s="27"/>
      <c r="C89" s="50"/>
      <c r="D89" s="49"/>
      <c r="E89" s="31"/>
      <c r="F89" s="32"/>
      <c r="G89" s="32"/>
      <c r="H89" s="43">
        <f t="shared" si="0"/>
        <v>0</v>
      </c>
    </row>
    <row r="90" spans="2:8">
      <c r="B90" s="27"/>
      <c r="C90" s="50"/>
      <c r="D90" s="49"/>
      <c r="E90" s="31"/>
      <c r="F90" s="32"/>
      <c r="G90" s="32"/>
      <c r="H90" s="43">
        <f t="shared" si="0"/>
        <v>0</v>
      </c>
    </row>
    <row r="91" spans="2:8">
      <c r="B91" s="27"/>
      <c r="C91" s="50"/>
      <c r="D91" s="49"/>
      <c r="E91" s="31"/>
      <c r="F91" s="32"/>
      <c r="G91" s="32"/>
      <c r="H91" s="43">
        <f t="shared" si="0"/>
        <v>0</v>
      </c>
    </row>
    <row r="92" spans="2:8">
      <c r="B92" s="27"/>
      <c r="C92" s="50"/>
      <c r="D92" s="49"/>
      <c r="E92" s="31"/>
      <c r="F92" s="32"/>
      <c r="G92" s="32"/>
      <c r="H92" s="43">
        <f t="shared" si="0"/>
        <v>0</v>
      </c>
    </row>
    <row r="93" spans="2:8">
      <c r="B93" s="27"/>
      <c r="C93" s="50"/>
      <c r="D93" s="49"/>
      <c r="E93" s="31"/>
      <c r="F93" s="32"/>
      <c r="G93" s="32"/>
      <c r="H93" s="43">
        <f t="shared" si="0"/>
        <v>0</v>
      </c>
    </row>
    <row r="94" spans="2:8">
      <c r="B94" s="27"/>
      <c r="C94" s="50"/>
      <c r="D94" s="49"/>
      <c r="E94" s="31"/>
      <c r="F94" s="32"/>
      <c r="G94" s="32"/>
      <c r="H94" s="43">
        <f t="shared" si="0"/>
        <v>0</v>
      </c>
    </row>
    <row r="95" spans="2:8">
      <c r="B95" s="27"/>
      <c r="C95" s="50"/>
      <c r="D95" s="49"/>
      <c r="E95" s="31"/>
      <c r="F95" s="32"/>
      <c r="G95" s="32"/>
      <c r="H95" s="43">
        <f t="shared" si="0"/>
        <v>0</v>
      </c>
    </row>
    <row r="96" spans="2:8">
      <c r="B96" s="27"/>
      <c r="C96" s="50"/>
      <c r="D96" s="49"/>
      <c r="E96" s="31"/>
      <c r="F96" s="32"/>
      <c r="G96" s="32"/>
      <c r="H96" s="43">
        <f t="shared" si="0"/>
        <v>0</v>
      </c>
    </row>
    <row r="97" spans="2:8">
      <c r="B97" s="30"/>
      <c r="C97" s="50"/>
      <c r="D97" s="49"/>
      <c r="E97" s="31"/>
      <c r="F97" s="32"/>
      <c r="G97" s="32"/>
      <c r="H97" s="43">
        <f t="shared" si="0"/>
        <v>0</v>
      </c>
    </row>
    <row r="98" spans="2:8">
      <c r="B98" s="27"/>
      <c r="C98" s="50"/>
      <c r="D98" s="49"/>
      <c r="E98" s="31"/>
      <c r="F98" s="32"/>
      <c r="G98" s="32"/>
      <c r="H98" s="43">
        <f t="shared" si="0"/>
        <v>0</v>
      </c>
    </row>
    <row r="99" spans="2:8" ht="11.25" thickBot="1">
      <c r="B99" s="33"/>
      <c r="C99" s="51"/>
      <c r="D99" s="52"/>
      <c r="E99" s="34"/>
      <c r="F99" s="35"/>
      <c r="G99" s="35"/>
      <c r="H99" s="35"/>
    </row>
    <row r="100" spans="2:8" s="47" customFormat="1" ht="12" thickTop="1" thickBot="1">
      <c r="B100" s="44"/>
      <c r="C100" s="53"/>
      <c r="D100" s="54"/>
      <c r="E100" s="45" t="s">
        <v>35</v>
      </c>
      <c r="F100" s="46">
        <f>SUM(F13:F99)</f>
        <v>0</v>
      </c>
      <c r="G100" s="46">
        <f>SUM(G13:G99)</f>
        <v>0</v>
      </c>
      <c r="H100" s="46">
        <f>F100-G100</f>
        <v>0</v>
      </c>
    </row>
    <row r="101" spans="2:8" s="36" customFormat="1" ht="13.5" thickTop="1"/>
    <row r="102" spans="2:8" s="36" customFormat="1" ht="12.75">
      <c r="G102" s="48" t="str">
        <f>IF(AND(desa_kel&lt;&gt;"",periode_sampai&lt;&gt;""),desa_kel&amp;", "&amp;periode_sampai,"....................., ................................")</f>
        <v>Slatri, 31 Maret 2013</v>
      </c>
    </row>
    <row r="103" spans="2:8" s="36" customFormat="1" ht="12.75">
      <c r="D103" s="48" t="s">
        <v>143</v>
      </c>
      <c r="G103" s="48"/>
    </row>
    <row r="104" spans="2:8" s="36" customFormat="1" ht="12.75">
      <c r="D104" s="48" t="s">
        <v>144</v>
      </c>
      <c r="G104" s="48" t="s">
        <v>145</v>
      </c>
    </row>
    <row r="105" spans="2:8" s="36" customFormat="1" ht="12.75">
      <c r="D105" s="48"/>
      <c r="G105" s="48"/>
    </row>
    <row r="106" spans="2:8" s="36" customFormat="1" ht="12.75">
      <c r="D106" s="48"/>
      <c r="G106" s="48"/>
    </row>
    <row r="107" spans="2:8" s="36" customFormat="1" ht="12.75">
      <c r="D107" s="48"/>
      <c r="G107" s="48"/>
    </row>
    <row r="108" spans="2:8" s="36" customFormat="1" ht="12.75">
      <c r="D108" s="48"/>
      <c r="G108" s="48"/>
    </row>
    <row r="109" spans="2:8" s="36" customFormat="1" ht="12.75">
      <c r="D109" s="48"/>
      <c r="G109" s="48"/>
    </row>
    <row r="110" spans="2:8" s="36" customFormat="1" ht="12.75">
      <c r="D110" s="258" t="str">
        <f>IF(AND(nama_sekolah&lt;&gt;"",nama_ks&lt;&gt;""),UPPER(nama_ks),".............................")</f>
        <v>EKO WAHYONO, S.PD., M.M.</v>
      </c>
      <c r="G110" s="258" t="str">
        <f>IF(AND(nama_sekolah&lt;&gt;"",nama_bend&lt;&gt;""),UPPER(nama_bend),".............................")</f>
        <v>MISMUN, S.PD.I.</v>
      </c>
    </row>
    <row r="111" spans="2:8" s="36" customFormat="1" ht="12.75">
      <c r="D111" s="259" t="str">
        <f>"NIP "&amp;IF(AND(nama_sekolah&lt;&gt;"",nama_ks&lt;&gt;"",nip_ks),nip_ks,".............................")</f>
        <v>NIP 19650321 198608 1 001</v>
      </c>
      <c r="G111" s="259" t="str">
        <f>"NIP "&amp;IF(AND(nama_sekolah&lt;&gt;"",nama_bend&lt;&gt;"",nip_bend),nip_bend,".............................")</f>
        <v>NIP 19540212 198304 1 001</v>
      </c>
    </row>
    <row r="112" spans="2:8" s="36" customFormat="1" ht="12.75">
      <c r="D112" s="48"/>
    </row>
    <row r="113"/>
  </sheetData>
  <sheetProtection password="CAE2" sheet="1" objects="1" scenarios="1" selectLockedCells="1" autoFilter="0"/>
  <autoFilter ref="B12:H99"/>
  <mergeCells count="15">
    <mergeCell ref="B8:C8"/>
    <mergeCell ref="G8:H8"/>
    <mergeCell ref="B9:C9"/>
    <mergeCell ref="G9:H9"/>
    <mergeCell ref="B2:H2"/>
    <mergeCell ref="B5:C5"/>
    <mergeCell ref="B6:C6"/>
    <mergeCell ref="B7:C7"/>
    <mergeCell ref="G7:H7"/>
    <mergeCell ref="D5:E5"/>
    <mergeCell ref="D6:E6"/>
    <mergeCell ref="D7:E7"/>
    <mergeCell ref="D8:E8"/>
    <mergeCell ref="D9:E9"/>
    <mergeCell ref="B3:H3"/>
  </mergeCells>
  <dataValidations count="1">
    <dataValidation type="date" operator="greaterThan" allowBlank="1" showInputMessage="1" showErrorMessage="1" prompt="Setelah selesai mengisi Buku Pembantu Kas klik tanda panah dan hilangkan tanda cek pada Blank utk membuang baris kosong." sqref="B13:B99">
      <formula1>40179</formula1>
    </dataValidation>
  </dataValidations>
  <pageMargins left="0.59055118110236227" right="1.3779527559055118" top="0.59055118110236227" bottom="0.78740157480314965" header="0.39370078740157483" footer="0.39370078740157483"/>
  <pageSetup paperSize="5" orientation="landscape" horizontalDpi="4294967293" verticalDpi="0" r:id="rId1"/>
  <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I113"/>
  <sheetViews>
    <sheetView showGridLines="0" showRowColHeaders="0" topLeftCell="A10" workbookViewId="0">
      <pane xSplit="9" ySplit="3" topLeftCell="J13" activePane="bottomRight" state="frozen"/>
      <selection activeCell="A10" sqref="A10"/>
      <selection pane="topRight" activeCell="J10" sqref="J10"/>
      <selection pane="bottomLeft" activeCell="A13" sqref="A13"/>
      <selection pane="bottomRight" activeCell="B13" sqref="B13"/>
    </sheetView>
  </sheetViews>
  <sheetFormatPr defaultColWidth="0" defaultRowHeight="10.5" customHeight="1" zeroHeight="1"/>
  <cols>
    <col min="1" max="1" width="1.7109375" style="42" customWidth="1"/>
    <col min="2" max="2" width="12.7109375" style="42" customWidth="1"/>
    <col min="3" max="4" width="14.7109375" style="42" customWidth="1"/>
    <col min="5" max="5" width="60.7109375" style="42" customWidth="1"/>
    <col min="6" max="8" width="14.7109375" style="42" customWidth="1"/>
    <col min="9" max="9" width="1.7109375" style="42" customWidth="1"/>
    <col min="10" max="16384" width="9.140625" style="42" hidden="1"/>
  </cols>
  <sheetData>
    <row r="1" spans="2:8" s="36" customFormat="1" ht="12.75"/>
    <row r="2" spans="2:8" s="253" customFormat="1" ht="12.75">
      <c r="B2" s="348" t="s">
        <v>731</v>
      </c>
      <c r="C2" s="348"/>
      <c r="D2" s="348"/>
      <c r="E2" s="348"/>
      <c r="F2" s="348"/>
      <c r="G2" s="348"/>
      <c r="H2" s="348"/>
    </row>
    <row r="3" spans="2:8" s="253" customFormat="1" ht="12.75">
      <c r="B3" s="337" t="str">
        <f>"TRIWULAN "&amp;UPPER(triwulan)</f>
        <v>TRIWULAN I (SATU)</v>
      </c>
      <c r="C3" s="337"/>
      <c r="D3" s="337"/>
      <c r="E3" s="337"/>
      <c r="F3" s="337"/>
      <c r="G3" s="337"/>
      <c r="H3" s="337"/>
    </row>
    <row r="4" spans="2:8" s="253" customFormat="1" ht="12.75"/>
    <row r="5" spans="2:8" s="255" customFormat="1" ht="12.75">
      <c r="B5" s="349" t="s">
        <v>53</v>
      </c>
      <c r="C5" s="349"/>
      <c r="D5" s="350" t="str">
        <f>": "&amp;IF(nama_sekolah&lt;&gt;"",UPPER(nama_sekolah),"")</f>
        <v>: SD NEGERI 3 SLATRI</v>
      </c>
      <c r="E5" s="350"/>
      <c r="F5" s="256"/>
    </row>
    <row r="6" spans="2:8" s="255" customFormat="1" ht="12.75">
      <c r="B6" s="349" t="s">
        <v>132</v>
      </c>
      <c r="C6" s="349"/>
      <c r="D6" s="350" t="str">
        <f>": "&amp;IF(AND(nama_sekolah&lt;&gt;"",desa_kel&lt;&gt;""),UPPER(desa_kel),"")</f>
        <v>: SLATRI</v>
      </c>
      <c r="E6" s="350"/>
      <c r="F6" s="256"/>
    </row>
    <row r="7" spans="2:8" s="255" customFormat="1" ht="12.75">
      <c r="B7" s="349" t="s">
        <v>8</v>
      </c>
      <c r="C7" s="349"/>
      <c r="D7" s="350" t="str">
        <f>": "&amp;IF(AND(nama_sekolah&lt;&gt;"",desa_kel&lt;&gt;"",kec&lt;&gt;""),UPPER(kec),"")</f>
        <v>: KARANGKOBAR</v>
      </c>
      <c r="E7" s="350"/>
      <c r="F7" s="256"/>
      <c r="G7" s="353" t="s">
        <v>732</v>
      </c>
      <c r="H7" s="354"/>
    </row>
    <row r="8" spans="2:8" s="255" customFormat="1" ht="12.75">
      <c r="B8" s="349" t="s">
        <v>134</v>
      </c>
      <c r="C8" s="349"/>
      <c r="D8" s="350" t="str">
        <f>": "&amp;IF(AND(nama_sekolah&lt;&gt;"",desa_kel&lt;&gt;"",kec&lt;&gt;"",kab_kota&lt;&gt;""),UPPER(kab_kota),"")</f>
        <v>: KAB. BANJARNEGARA</v>
      </c>
      <c r="E8" s="350"/>
      <c r="F8" s="256"/>
      <c r="G8" s="355" t="s">
        <v>135</v>
      </c>
      <c r="H8" s="356"/>
    </row>
    <row r="9" spans="2:8" s="255" customFormat="1" ht="12.75">
      <c r="B9" s="349" t="s">
        <v>136</v>
      </c>
      <c r="C9" s="349"/>
      <c r="D9" s="350" t="str">
        <f>": "&amp;IF(AND(nama_sekolah&lt;&gt;"",desa_kel&lt;&gt;"",kec&lt;&gt;"",kab_kota&lt;&gt;"",provinsi&lt;&gt;""),UPPER(provinsi),"")</f>
        <v>: JAWA TENGAH</v>
      </c>
      <c r="E9" s="350"/>
      <c r="F9" s="256"/>
      <c r="G9" s="351" t="s">
        <v>137</v>
      </c>
      <c r="H9" s="352"/>
    </row>
    <row r="10" spans="2:8" s="36" customFormat="1" ht="13.5" thickBot="1"/>
    <row r="11" spans="2:8" s="38" customFormat="1" ht="21.75" thickTop="1">
      <c r="B11" s="251" t="s">
        <v>138</v>
      </c>
      <c r="C11" s="57" t="s">
        <v>55</v>
      </c>
      <c r="D11" s="57" t="s">
        <v>139</v>
      </c>
      <c r="E11" s="251" t="s">
        <v>140</v>
      </c>
      <c r="F11" s="37" t="s">
        <v>141</v>
      </c>
      <c r="G11" s="37" t="s">
        <v>142</v>
      </c>
      <c r="H11" s="37" t="s">
        <v>206</v>
      </c>
    </row>
    <row r="12" spans="2:8" s="40" customFormat="1" ht="11.25" thickBot="1">
      <c r="B12" s="39" t="s">
        <v>36</v>
      </c>
      <c r="C12" s="58" t="s">
        <v>37</v>
      </c>
      <c r="D12" s="58" t="s">
        <v>38</v>
      </c>
      <c r="E12" s="39" t="s">
        <v>39</v>
      </c>
      <c r="F12" s="39" t="s">
        <v>40</v>
      </c>
      <c r="G12" s="39" t="s">
        <v>41</v>
      </c>
      <c r="H12" s="39" t="s">
        <v>40</v>
      </c>
    </row>
    <row r="13" spans="2:8" ht="11.25" thickTop="1">
      <c r="B13" s="27"/>
      <c r="C13" s="55"/>
      <c r="D13" s="56"/>
      <c r="E13" s="28"/>
      <c r="F13" s="29"/>
      <c r="G13" s="29"/>
      <c r="H13" s="41">
        <f>F13-G13</f>
        <v>0</v>
      </c>
    </row>
    <row r="14" spans="2:8">
      <c r="B14" s="30"/>
      <c r="C14" s="50"/>
      <c r="D14" s="49"/>
      <c r="E14" s="31"/>
      <c r="F14" s="32"/>
      <c r="G14" s="32"/>
      <c r="H14" s="43">
        <f>H13+F14-G14</f>
        <v>0</v>
      </c>
    </row>
    <row r="15" spans="2:8">
      <c r="B15" s="27"/>
      <c r="C15" s="50"/>
      <c r="D15" s="49"/>
      <c r="E15" s="31"/>
      <c r="F15" s="32"/>
      <c r="G15" s="32"/>
      <c r="H15" s="43">
        <f t="shared" ref="H15:H78" si="0">H14+F15-G15</f>
        <v>0</v>
      </c>
    </row>
    <row r="16" spans="2:8">
      <c r="B16" s="30"/>
      <c r="C16" s="50"/>
      <c r="D16" s="49"/>
      <c r="E16" s="31"/>
      <c r="F16" s="32"/>
      <c r="G16" s="32"/>
      <c r="H16" s="43">
        <f t="shared" si="0"/>
        <v>0</v>
      </c>
    </row>
    <row r="17" spans="2:8">
      <c r="B17" s="27"/>
      <c r="C17" s="50"/>
      <c r="D17" s="49"/>
      <c r="E17" s="31"/>
      <c r="F17" s="32"/>
      <c r="G17" s="32"/>
      <c r="H17" s="43">
        <f t="shared" si="0"/>
        <v>0</v>
      </c>
    </row>
    <row r="18" spans="2:8">
      <c r="B18" s="27"/>
      <c r="C18" s="50"/>
      <c r="D18" s="49"/>
      <c r="E18" s="31"/>
      <c r="F18" s="32"/>
      <c r="G18" s="32"/>
      <c r="H18" s="43">
        <f t="shared" si="0"/>
        <v>0</v>
      </c>
    </row>
    <row r="19" spans="2:8">
      <c r="B19" s="27"/>
      <c r="C19" s="50"/>
      <c r="D19" s="49"/>
      <c r="E19" s="31"/>
      <c r="F19" s="32"/>
      <c r="G19" s="32"/>
      <c r="H19" s="43">
        <f t="shared" si="0"/>
        <v>0</v>
      </c>
    </row>
    <row r="20" spans="2:8">
      <c r="B20" s="27"/>
      <c r="C20" s="50"/>
      <c r="D20" s="49"/>
      <c r="E20" s="31"/>
      <c r="F20" s="32"/>
      <c r="G20" s="32"/>
      <c r="H20" s="43">
        <f t="shared" si="0"/>
        <v>0</v>
      </c>
    </row>
    <row r="21" spans="2:8">
      <c r="B21" s="27"/>
      <c r="C21" s="50"/>
      <c r="D21" s="49"/>
      <c r="E21" s="31"/>
      <c r="F21" s="32"/>
      <c r="G21" s="32"/>
      <c r="H21" s="43">
        <f t="shared" si="0"/>
        <v>0</v>
      </c>
    </row>
    <row r="22" spans="2:8">
      <c r="B22" s="27"/>
      <c r="C22" s="50"/>
      <c r="D22" s="49"/>
      <c r="E22" s="31"/>
      <c r="F22" s="32"/>
      <c r="G22" s="32"/>
      <c r="H22" s="43">
        <f t="shared" si="0"/>
        <v>0</v>
      </c>
    </row>
    <row r="23" spans="2:8">
      <c r="B23" s="27"/>
      <c r="C23" s="50"/>
      <c r="D23" s="49"/>
      <c r="E23" s="31"/>
      <c r="F23" s="32"/>
      <c r="G23" s="32"/>
      <c r="H23" s="43">
        <f t="shared" si="0"/>
        <v>0</v>
      </c>
    </row>
    <row r="24" spans="2:8">
      <c r="B24" s="27"/>
      <c r="C24" s="50"/>
      <c r="D24" s="49"/>
      <c r="E24" s="31"/>
      <c r="F24" s="32"/>
      <c r="G24" s="32"/>
      <c r="H24" s="43">
        <f t="shared" si="0"/>
        <v>0</v>
      </c>
    </row>
    <row r="25" spans="2:8">
      <c r="B25" s="27"/>
      <c r="C25" s="50"/>
      <c r="D25" s="49"/>
      <c r="E25" s="31"/>
      <c r="F25" s="32"/>
      <c r="G25" s="32"/>
      <c r="H25" s="43">
        <f t="shared" si="0"/>
        <v>0</v>
      </c>
    </row>
    <row r="26" spans="2:8">
      <c r="B26" s="27"/>
      <c r="C26" s="50"/>
      <c r="D26" s="49"/>
      <c r="E26" s="31"/>
      <c r="F26" s="32"/>
      <c r="G26" s="32"/>
      <c r="H26" s="43">
        <f t="shared" si="0"/>
        <v>0</v>
      </c>
    </row>
    <row r="27" spans="2:8">
      <c r="B27" s="27"/>
      <c r="C27" s="50"/>
      <c r="D27" s="49"/>
      <c r="E27" s="31"/>
      <c r="F27" s="32"/>
      <c r="G27" s="32"/>
      <c r="H27" s="43">
        <f t="shared" si="0"/>
        <v>0</v>
      </c>
    </row>
    <row r="28" spans="2:8">
      <c r="B28" s="27"/>
      <c r="C28" s="50"/>
      <c r="D28" s="49"/>
      <c r="E28" s="31"/>
      <c r="F28" s="32"/>
      <c r="G28" s="32"/>
      <c r="H28" s="43">
        <f t="shared" si="0"/>
        <v>0</v>
      </c>
    </row>
    <row r="29" spans="2:8">
      <c r="B29" s="27"/>
      <c r="C29" s="50"/>
      <c r="D29" s="49"/>
      <c r="E29" s="31"/>
      <c r="F29" s="32"/>
      <c r="G29" s="32"/>
      <c r="H29" s="43">
        <f t="shared" si="0"/>
        <v>0</v>
      </c>
    </row>
    <row r="30" spans="2:8">
      <c r="B30" s="27"/>
      <c r="C30" s="50"/>
      <c r="D30" s="49"/>
      <c r="E30" s="31"/>
      <c r="F30" s="32"/>
      <c r="G30" s="32"/>
      <c r="H30" s="43">
        <f t="shared" si="0"/>
        <v>0</v>
      </c>
    </row>
    <row r="31" spans="2:8">
      <c r="B31" s="27"/>
      <c r="C31" s="50"/>
      <c r="D31" s="49"/>
      <c r="E31" s="31"/>
      <c r="F31" s="32"/>
      <c r="G31" s="32"/>
      <c r="H31" s="43">
        <f t="shared" si="0"/>
        <v>0</v>
      </c>
    </row>
    <row r="32" spans="2:8">
      <c r="B32" s="27"/>
      <c r="C32" s="50"/>
      <c r="D32" s="49"/>
      <c r="E32" s="31"/>
      <c r="F32" s="32"/>
      <c r="G32" s="32"/>
      <c r="H32" s="43">
        <f t="shared" si="0"/>
        <v>0</v>
      </c>
    </row>
    <row r="33" spans="2:8">
      <c r="B33" s="27"/>
      <c r="C33" s="50"/>
      <c r="D33" s="49"/>
      <c r="E33" s="31"/>
      <c r="F33" s="32"/>
      <c r="G33" s="32"/>
      <c r="H33" s="43">
        <f t="shared" si="0"/>
        <v>0</v>
      </c>
    </row>
    <row r="34" spans="2:8">
      <c r="B34" s="27"/>
      <c r="C34" s="50"/>
      <c r="D34" s="49"/>
      <c r="E34" s="31"/>
      <c r="F34" s="32"/>
      <c r="G34" s="32"/>
      <c r="H34" s="43">
        <f t="shared" si="0"/>
        <v>0</v>
      </c>
    </row>
    <row r="35" spans="2:8">
      <c r="B35" s="27"/>
      <c r="C35" s="50"/>
      <c r="D35" s="49"/>
      <c r="E35" s="31"/>
      <c r="F35" s="32"/>
      <c r="G35" s="32"/>
      <c r="H35" s="43">
        <f t="shared" si="0"/>
        <v>0</v>
      </c>
    </row>
    <row r="36" spans="2:8">
      <c r="B36" s="27"/>
      <c r="C36" s="50"/>
      <c r="D36" s="49"/>
      <c r="E36" s="31"/>
      <c r="F36" s="32"/>
      <c r="G36" s="32"/>
      <c r="H36" s="43">
        <f t="shared" si="0"/>
        <v>0</v>
      </c>
    </row>
    <row r="37" spans="2:8">
      <c r="B37" s="27"/>
      <c r="C37" s="50"/>
      <c r="D37" s="49"/>
      <c r="E37" s="31"/>
      <c r="F37" s="32"/>
      <c r="G37" s="32"/>
      <c r="H37" s="43">
        <f t="shared" si="0"/>
        <v>0</v>
      </c>
    </row>
    <row r="38" spans="2:8">
      <c r="B38" s="27"/>
      <c r="C38" s="50"/>
      <c r="D38" s="49"/>
      <c r="E38" s="31"/>
      <c r="F38" s="32"/>
      <c r="G38" s="32"/>
      <c r="H38" s="43">
        <f t="shared" si="0"/>
        <v>0</v>
      </c>
    </row>
    <row r="39" spans="2:8">
      <c r="B39" s="27"/>
      <c r="C39" s="50"/>
      <c r="D39" s="49"/>
      <c r="E39" s="31"/>
      <c r="F39" s="32"/>
      <c r="G39" s="32"/>
      <c r="H39" s="43">
        <f t="shared" si="0"/>
        <v>0</v>
      </c>
    </row>
    <row r="40" spans="2:8">
      <c r="B40" s="27"/>
      <c r="C40" s="50"/>
      <c r="D40" s="49"/>
      <c r="E40" s="31"/>
      <c r="F40" s="32"/>
      <c r="G40" s="32"/>
      <c r="H40" s="43">
        <f t="shared" si="0"/>
        <v>0</v>
      </c>
    </row>
    <row r="41" spans="2:8">
      <c r="B41" s="27"/>
      <c r="C41" s="50"/>
      <c r="D41" s="49"/>
      <c r="E41" s="31"/>
      <c r="F41" s="32"/>
      <c r="G41" s="32"/>
      <c r="H41" s="43">
        <f t="shared" si="0"/>
        <v>0</v>
      </c>
    </row>
    <row r="42" spans="2:8">
      <c r="B42" s="27"/>
      <c r="C42" s="50"/>
      <c r="D42" s="49"/>
      <c r="E42" s="31"/>
      <c r="F42" s="32"/>
      <c r="G42" s="32"/>
      <c r="H42" s="43">
        <f t="shared" si="0"/>
        <v>0</v>
      </c>
    </row>
    <row r="43" spans="2:8">
      <c r="B43" s="27"/>
      <c r="C43" s="50"/>
      <c r="D43" s="49"/>
      <c r="E43" s="31"/>
      <c r="F43" s="32"/>
      <c r="G43" s="32"/>
      <c r="H43" s="43">
        <f t="shared" si="0"/>
        <v>0</v>
      </c>
    </row>
    <row r="44" spans="2:8">
      <c r="B44" s="27"/>
      <c r="C44" s="50"/>
      <c r="D44" s="49"/>
      <c r="E44" s="31"/>
      <c r="F44" s="32"/>
      <c r="G44" s="32"/>
      <c r="H44" s="43">
        <f t="shared" si="0"/>
        <v>0</v>
      </c>
    </row>
    <row r="45" spans="2:8">
      <c r="B45" s="27"/>
      <c r="C45" s="50"/>
      <c r="D45" s="49"/>
      <c r="E45" s="31"/>
      <c r="F45" s="32"/>
      <c r="G45" s="32"/>
      <c r="H45" s="43">
        <f t="shared" si="0"/>
        <v>0</v>
      </c>
    </row>
    <row r="46" spans="2:8">
      <c r="B46" s="27"/>
      <c r="C46" s="50"/>
      <c r="D46" s="49"/>
      <c r="E46" s="31"/>
      <c r="F46" s="32"/>
      <c r="G46" s="32"/>
      <c r="H46" s="43">
        <f t="shared" si="0"/>
        <v>0</v>
      </c>
    </row>
    <row r="47" spans="2:8">
      <c r="B47" s="27"/>
      <c r="C47" s="50"/>
      <c r="D47" s="49"/>
      <c r="E47" s="31"/>
      <c r="F47" s="32"/>
      <c r="G47" s="32"/>
      <c r="H47" s="43">
        <f t="shared" si="0"/>
        <v>0</v>
      </c>
    </row>
    <row r="48" spans="2:8">
      <c r="B48" s="27"/>
      <c r="C48" s="50"/>
      <c r="D48" s="49"/>
      <c r="E48" s="31"/>
      <c r="F48" s="32"/>
      <c r="G48" s="32"/>
      <c r="H48" s="43">
        <f t="shared" si="0"/>
        <v>0</v>
      </c>
    </row>
    <row r="49" spans="2:8">
      <c r="B49" s="27"/>
      <c r="C49" s="50"/>
      <c r="D49" s="49"/>
      <c r="E49" s="31"/>
      <c r="F49" s="32"/>
      <c r="G49" s="32"/>
      <c r="H49" s="43">
        <f t="shared" si="0"/>
        <v>0</v>
      </c>
    </row>
    <row r="50" spans="2:8">
      <c r="B50" s="27"/>
      <c r="C50" s="50"/>
      <c r="D50" s="49"/>
      <c r="E50" s="31"/>
      <c r="F50" s="32"/>
      <c r="G50" s="32"/>
      <c r="H50" s="43">
        <f t="shared" si="0"/>
        <v>0</v>
      </c>
    </row>
    <row r="51" spans="2:8">
      <c r="B51" s="27"/>
      <c r="C51" s="50"/>
      <c r="D51" s="49"/>
      <c r="E51" s="31"/>
      <c r="F51" s="32"/>
      <c r="G51" s="32"/>
      <c r="H51" s="43">
        <f t="shared" si="0"/>
        <v>0</v>
      </c>
    </row>
    <row r="52" spans="2:8">
      <c r="B52" s="27"/>
      <c r="C52" s="50"/>
      <c r="D52" s="49"/>
      <c r="E52" s="31"/>
      <c r="F52" s="32"/>
      <c r="G52" s="32"/>
      <c r="H52" s="43">
        <f t="shared" si="0"/>
        <v>0</v>
      </c>
    </row>
    <row r="53" spans="2:8">
      <c r="B53" s="27"/>
      <c r="C53" s="50"/>
      <c r="D53" s="49"/>
      <c r="E53" s="31"/>
      <c r="F53" s="32"/>
      <c r="G53" s="32"/>
      <c r="H53" s="43">
        <f t="shared" si="0"/>
        <v>0</v>
      </c>
    </row>
    <row r="54" spans="2:8">
      <c r="B54" s="27"/>
      <c r="C54" s="50"/>
      <c r="D54" s="49"/>
      <c r="E54" s="31"/>
      <c r="F54" s="32"/>
      <c r="G54" s="32"/>
      <c r="H54" s="43">
        <f t="shared" si="0"/>
        <v>0</v>
      </c>
    </row>
    <row r="55" spans="2:8">
      <c r="B55" s="27"/>
      <c r="C55" s="50"/>
      <c r="D55" s="49"/>
      <c r="E55" s="31"/>
      <c r="F55" s="32"/>
      <c r="G55" s="32"/>
      <c r="H55" s="43">
        <f t="shared" si="0"/>
        <v>0</v>
      </c>
    </row>
    <row r="56" spans="2:8">
      <c r="B56" s="27"/>
      <c r="C56" s="50"/>
      <c r="D56" s="49"/>
      <c r="E56" s="31"/>
      <c r="F56" s="32"/>
      <c r="G56" s="32"/>
      <c r="H56" s="43">
        <f t="shared" si="0"/>
        <v>0</v>
      </c>
    </row>
    <row r="57" spans="2:8">
      <c r="B57" s="27"/>
      <c r="C57" s="50"/>
      <c r="D57" s="49"/>
      <c r="E57" s="31"/>
      <c r="F57" s="32"/>
      <c r="G57" s="32"/>
      <c r="H57" s="43">
        <f t="shared" si="0"/>
        <v>0</v>
      </c>
    </row>
    <row r="58" spans="2:8">
      <c r="B58" s="27"/>
      <c r="C58" s="50"/>
      <c r="D58" s="49"/>
      <c r="E58" s="31"/>
      <c r="F58" s="32"/>
      <c r="G58" s="32"/>
      <c r="H58" s="43">
        <f t="shared" si="0"/>
        <v>0</v>
      </c>
    </row>
    <row r="59" spans="2:8">
      <c r="B59" s="27"/>
      <c r="C59" s="50"/>
      <c r="D59" s="49"/>
      <c r="E59" s="31"/>
      <c r="F59" s="32"/>
      <c r="G59" s="32"/>
      <c r="H59" s="43">
        <f t="shared" si="0"/>
        <v>0</v>
      </c>
    </row>
    <row r="60" spans="2:8">
      <c r="B60" s="27"/>
      <c r="C60" s="50"/>
      <c r="D60" s="49"/>
      <c r="E60" s="31"/>
      <c r="F60" s="32"/>
      <c r="G60" s="32"/>
      <c r="H60" s="43">
        <f t="shared" si="0"/>
        <v>0</v>
      </c>
    </row>
    <row r="61" spans="2:8">
      <c r="B61" s="27"/>
      <c r="C61" s="50"/>
      <c r="D61" s="49"/>
      <c r="E61" s="31"/>
      <c r="F61" s="32"/>
      <c r="G61" s="32"/>
      <c r="H61" s="43">
        <f t="shared" si="0"/>
        <v>0</v>
      </c>
    </row>
    <row r="62" spans="2:8">
      <c r="B62" s="27"/>
      <c r="C62" s="50"/>
      <c r="D62" s="49"/>
      <c r="E62" s="31"/>
      <c r="F62" s="32"/>
      <c r="G62" s="32"/>
      <c r="H62" s="43">
        <f t="shared" si="0"/>
        <v>0</v>
      </c>
    </row>
    <row r="63" spans="2:8">
      <c r="B63" s="27"/>
      <c r="C63" s="50"/>
      <c r="D63" s="49"/>
      <c r="E63" s="31"/>
      <c r="F63" s="32"/>
      <c r="G63" s="32"/>
      <c r="H63" s="43">
        <f t="shared" si="0"/>
        <v>0</v>
      </c>
    </row>
    <row r="64" spans="2:8">
      <c r="B64" s="27"/>
      <c r="C64" s="50"/>
      <c r="D64" s="49"/>
      <c r="E64" s="31"/>
      <c r="F64" s="32"/>
      <c r="G64" s="32"/>
      <c r="H64" s="43">
        <f t="shared" si="0"/>
        <v>0</v>
      </c>
    </row>
    <row r="65" spans="2:8">
      <c r="B65" s="27"/>
      <c r="C65" s="50"/>
      <c r="D65" s="49"/>
      <c r="E65" s="31"/>
      <c r="F65" s="32"/>
      <c r="G65" s="32"/>
      <c r="H65" s="43">
        <f t="shared" si="0"/>
        <v>0</v>
      </c>
    </row>
    <row r="66" spans="2:8">
      <c r="B66" s="27"/>
      <c r="C66" s="50"/>
      <c r="D66" s="49"/>
      <c r="E66" s="31"/>
      <c r="F66" s="32"/>
      <c r="G66" s="32"/>
      <c r="H66" s="43">
        <f t="shared" si="0"/>
        <v>0</v>
      </c>
    </row>
    <row r="67" spans="2:8">
      <c r="B67" s="27"/>
      <c r="C67" s="50"/>
      <c r="D67" s="49"/>
      <c r="E67" s="31"/>
      <c r="F67" s="32"/>
      <c r="G67" s="32"/>
      <c r="H67" s="43">
        <f t="shared" si="0"/>
        <v>0</v>
      </c>
    </row>
    <row r="68" spans="2:8">
      <c r="B68" s="27"/>
      <c r="C68" s="50"/>
      <c r="D68" s="49"/>
      <c r="E68" s="31"/>
      <c r="F68" s="32"/>
      <c r="G68" s="32"/>
      <c r="H68" s="43">
        <f t="shared" si="0"/>
        <v>0</v>
      </c>
    </row>
    <row r="69" spans="2:8">
      <c r="B69" s="27"/>
      <c r="C69" s="50"/>
      <c r="D69" s="49"/>
      <c r="E69" s="31"/>
      <c r="F69" s="32"/>
      <c r="G69" s="32"/>
      <c r="H69" s="43">
        <f t="shared" si="0"/>
        <v>0</v>
      </c>
    </row>
    <row r="70" spans="2:8">
      <c r="B70" s="27"/>
      <c r="C70" s="50"/>
      <c r="D70" s="49"/>
      <c r="E70" s="31"/>
      <c r="F70" s="32"/>
      <c r="G70" s="32"/>
      <c r="H70" s="43">
        <f t="shared" si="0"/>
        <v>0</v>
      </c>
    </row>
    <row r="71" spans="2:8">
      <c r="B71" s="27"/>
      <c r="C71" s="50"/>
      <c r="D71" s="49"/>
      <c r="E71" s="31"/>
      <c r="F71" s="32"/>
      <c r="G71" s="32"/>
      <c r="H71" s="43">
        <f t="shared" si="0"/>
        <v>0</v>
      </c>
    </row>
    <row r="72" spans="2:8">
      <c r="B72" s="27"/>
      <c r="C72" s="50"/>
      <c r="D72" s="49"/>
      <c r="E72" s="31"/>
      <c r="F72" s="32"/>
      <c r="G72" s="32"/>
      <c r="H72" s="43">
        <f t="shared" si="0"/>
        <v>0</v>
      </c>
    </row>
    <row r="73" spans="2:8">
      <c r="B73" s="27"/>
      <c r="C73" s="50"/>
      <c r="D73" s="49"/>
      <c r="E73" s="31"/>
      <c r="F73" s="32"/>
      <c r="G73" s="32"/>
      <c r="H73" s="43">
        <f t="shared" si="0"/>
        <v>0</v>
      </c>
    </row>
    <row r="74" spans="2:8">
      <c r="B74" s="27"/>
      <c r="C74" s="50"/>
      <c r="D74" s="49"/>
      <c r="E74" s="31"/>
      <c r="F74" s="32"/>
      <c r="G74" s="32"/>
      <c r="H74" s="43">
        <f t="shared" si="0"/>
        <v>0</v>
      </c>
    </row>
    <row r="75" spans="2:8">
      <c r="B75" s="27"/>
      <c r="C75" s="50"/>
      <c r="D75" s="49"/>
      <c r="E75" s="31"/>
      <c r="F75" s="32"/>
      <c r="G75" s="32"/>
      <c r="H75" s="43">
        <f t="shared" si="0"/>
        <v>0</v>
      </c>
    </row>
    <row r="76" spans="2:8">
      <c r="B76" s="27"/>
      <c r="C76" s="50"/>
      <c r="D76" s="49"/>
      <c r="E76" s="31"/>
      <c r="F76" s="32"/>
      <c r="G76" s="32"/>
      <c r="H76" s="43">
        <f t="shared" si="0"/>
        <v>0</v>
      </c>
    </row>
    <row r="77" spans="2:8">
      <c r="B77" s="27"/>
      <c r="C77" s="50"/>
      <c r="D77" s="49"/>
      <c r="E77" s="31"/>
      <c r="F77" s="32"/>
      <c r="G77" s="32"/>
      <c r="H77" s="43">
        <f t="shared" si="0"/>
        <v>0</v>
      </c>
    </row>
    <row r="78" spans="2:8">
      <c r="B78" s="27"/>
      <c r="C78" s="50"/>
      <c r="D78" s="49"/>
      <c r="E78" s="31"/>
      <c r="F78" s="32"/>
      <c r="G78" s="32"/>
      <c r="H78" s="43">
        <f t="shared" si="0"/>
        <v>0</v>
      </c>
    </row>
    <row r="79" spans="2:8">
      <c r="B79" s="27"/>
      <c r="C79" s="50"/>
      <c r="D79" s="49"/>
      <c r="E79" s="31"/>
      <c r="F79" s="32"/>
      <c r="G79" s="32"/>
      <c r="H79" s="43">
        <f t="shared" ref="H79:H98" si="1">H78+F79-G79</f>
        <v>0</v>
      </c>
    </row>
    <row r="80" spans="2:8">
      <c r="B80" s="27"/>
      <c r="C80" s="50"/>
      <c r="D80" s="49"/>
      <c r="E80" s="31"/>
      <c r="F80" s="32"/>
      <c r="G80" s="32"/>
      <c r="H80" s="43">
        <f t="shared" si="1"/>
        <v>0</v>
      </c>
    </row>
    <row r="81" spans="2:8">
      <c r="B81" s="27"/>
      <c r="C81" s="50"/>
      <c r="D81" s="49"/>
      <c r="E81" s="31"/>
      <c r="F81" s="32"/>
      <c r="G81" s="32"/>
      <c r="H81" s="43">
        <f t="shared" si="1"/>
        <v>0</v>
      </c>
    </row>
    <row r="82" spans="2:8">
      <c r="B82" s="27"/>
      <c r="C82" s="50"/>
      <c r="D82" s="49"/>
      <c r="E82" s="31"/>
      <c r="F82" s="32"/>
      <c r="G82" s="32"/>
      <c r="H82" s="43">
        <f t="shared" si="1"/>
        <v>0</v>
      </c>
    </row>
    <row r="83" spans="2:8">
      <c r="B83" s="27"/>
      <c r="C83" s="50"/>
      <c r="D83" s="49"/>
      <c r="E83" s="31"/>
      <c r="F83" s="32"/>
      <c r="G83" s="32"/>
      <c r="H83" s="43">
        <f t="shared" si="1"/>
        <v>0</v>
      </c>
    </row>
    <row r="84" spans="2:8">
      <c r="B84" s="27"/>
      <c r="C84" s="50"/>
      <c r="D84" s="49"/>
      <c r="E84" s="31"/>
      <c r="F84" s="32"/>
      <c r="G84" s="32"/>
      <c r="H84" s="43">
        <f t="shared" si="1"/>
        <v>0</v>
      </c>
    </row>
    <row r="85" spans="2:8">
      <c r="B85" s="27"/>
      <c r="C85" s="50"/>
      <c r="D85" s="49"/>
      <c r="E85" s="31"/>
      <c r="F85" s="32"/>
      <c r="G85" s="32"/>
      <c r="H85" s="43">
        <f t="shared" si="1"/>
        <v>0</v>
      </c>
    </row>
    <row r="86" spans="2:8">
      <c r="B86" s="27"/>
      <c r="C86" s="50"/>
      <c r="D86" s="49"/>
      <c r="E86" s="31"/>
      <c r="F86" s="32"/>
      <c r="G86" s="32"/>
      <c r="H86" s="43">
        <f t="shared" si="1"/>
        <v>0</v>
      </c>
    </row>
    <row r="87" spans="2:8">
      <c r="B87" s="27"/>
      <c r="C87" s="50"/>
      <c r="D87" s="49"/>
      <c r="E87" s="31"/>
      <c r="F87" s="32"/>
      <c r="G87" s="32"/>
      <c r="H87" s="43">
        <f t="shared" si="1"/>
        <v>0</v>
      </c>
    </row>
    <row r="88" spans="2:8">
      <c r="B88" s="27"/>
      <c r="C88" s="50"/>
      <c r="D88" s="49"/>
      <c r="E88" s="31"/>
      <c r="F88" s="32"/>
      <c r="G88" s="32"/>
      <c r="H88" s="43">
        <f t="shared" si="1"/>
        <v>0</v>
      </c>
    </row>
    <row r="89" spans="2:8">
      <c r="B89" s="27"/>
      <c r="C89" s="50"/>
      <c r="D89" s="49"/>
      <c r="E89" s="31"/>
      <c r="F89" s="32"/>
      <c r="G89" s="32"/>
      <c r="H89" s="43">
        <f t="shared" si="1"/>
        <v>0</v>
      </c>
    </row>
    <row r="90" spans="2:8">
      <c r="B90" s="27"/>
      <c r="C90" s="50"/>
      <c r="D90" s="49"/>
      <c r="E90" s="31"/>
      <c r="F90" s="32"/>
      <c r="G90" s="32"/>
      <c r="H90" s="43">
        <f t="shared" si="1"/>
        <v>0</v>
      </c>
    </row>
    <row r="91" spans="2:8">
      <c r="B91" s="27"/>
      <c r="C91" s="50"/>
      <c r="D91" s="49"/>
      <c r="E91" s="31"/>
      <c r="F91" s="32"/>
      <c r="G91" s="32"/>
      <c r="H91" s="43">
        <f t="shared" si="1"/>
        <v>0</v>
      </c>
    </row>
    <row r="92" spans="2:8">
      <c r="B92" s="27"/>
      <c r="C92" s="50"/>
      <c r="D92" s="49"/>
      <c r="E92" s="31"/>
      <c r="F92" s="32"/>
      <c r="G92" s="32"/>
      <c r="H92" s="43">
        <f t="shared" si="1"/>
        <v>0</v>
      </c>
    </row>
    <row r="93" spans="2:8">
      <c r="B93" s="27"/>
      <c r="C93" s="50"/>
      <c r="D93" s="49"/>
      <c r="E93" s="31"/>
      <c r="F93" s="32"/>
      <c r="G93" s="32"/>
      <c r="H93" s="43">
        <f t="shared" si="1"/>
        <v>0</v>
      </c>
    </row>
    <row r="94" spans="2:8">
      <c r="B94" s="27"/>
      <c r="C94" s="50"/>
      <c r="D94" s="49"/>
      <c r="E94" s="31"/>
      <c r="F94" s="32"/>
      <c r="G94" s="32"/>
      <c r="H94" s="43">
        <f t="shared" si="1"/>
        <v>0</v>
      </c>
    </row>
    <row r="95" spans="2:8">
      <c r="B95" s="27"/>
      <c r="C95" s="50"/>
      <c r="D95" s="49"/>
      <c r="E95" s="31"/>
      <c r="F95" s="32"/>
      <c r="G95" s="32"/>
      <c r="H95" s="43">
        <f t="shared" si="1"/>
        <v>0</v>
      </c>
    </row>
    <row r="96" spans="2:8">
      <c r="B96" s="27"/>
      <c r="C96" s="50"/>
      <c r="D96" s="49"/>
      <c r="E96" s="31"/>
      <c r="F96" s="32"/>
      <c r="G96" s="32"/>
      <c r="H96" s="43">
        <f t="shared" si="1"/>
        <v>0</v>
      </c>
    </row>
    <row r="97" spans="2:8">
      <c r="B97" s="30"/>
      <c r="C97" s="50"/>
      <c r="D97" s="49"/>
      <c r="E97" s="31"/>
      <c r="F97" s="32"/>
      <c r="G97" s="32"/>
      <c r="H97" s="43">
        <f t="shared" si="1"/>
        <v>0</v>
      </c>
    </row>
    <row r="98" spans="2:8">
      <c r="B98" s="27"/>
      <c r="C98" s="50"/>
      <c r="D98" s="49"/>
      <c r="E98" s="31"/>
      <c r="F98" s="32"/>
      <c r="G98" s="32"/>
      <c r="H98" s="43">
        <f t="shared" si="1"/>
        <v>0</v>
      </c>
    </row>
    <row r="99" spans="2:8" ht="11.25" thickBot="1">
      <c r="B99" s="33"/>
      <c r="C99" s="51"/>
      <c r="D99" s="52"/>
      <c r="E99" s="34"/>
      <c r="F99" s="35"/>
      <c r="G99" s="35"/>
      <c r="H99" s="35"/>
    </row>
    <row r="100" spans="2:8" s="47" customFormat="1" ht="12" thickTop="1" thickBot="1">
      <c r="B100" s="44"/>
      <c r="C100" s="53"/>
      <c r="D100" s="54"/>
      <c r="E100" s="45" t="s">
        <v>35</v>
      </c>
      <c r="F100" s="46">
        <f>SUM(F13:F99)</f>
        <v>0</v>
      </c>
      <c r="G100" s="46">
        <f>SUM(G13:G99)</f>
        <v>0</v>
      </c>
      <c r="H100" s="46">
        <f>F100-G100</f>
        <v>0</v>
      </c>
    </row>
    <row r="101" spans="2:8" s="36" customFormat="1" ht="13.5" thickTop="1"/>
    <row r="102" spans="2:8" s="36" customFormat="1" ht="12.75">
      <c r="G102" s="48" t="str">
        <f>IF(AND(desa_kel&lt;&gt;"",periode_sampai&lt;&gt;""),desa_kel&amp;", "&amp;periode_sampai,"....................., ................................")</f>
        <v>Slatri, 31 Maret 2013</v>
      </c>
    </row>
    <row r="103" spans="2:8" s="36" customFormat="1" ht="12.75">
      <c r="D103" s="48" t="s">
        <v>143</v>
      </c>
      <c r="G103" s="48"/>
    </row>
    <row r="104" spans="2:8" s="36" customFormat="1" ht="12.75">
      <c r="D104" s="48" t="s">
        <v>144</v>
      </c>
      <c r="G104" s="48" t="s">
        <v>145</v>
      </c>
    </row>
    <row r="105" spans="2:8" s="36" customFormat="1" ht="12.75">
      <c r="D105" s="48"/>
      <c r="G105" s="48"/>
    </row>
    <row r="106" spans="2:8" s="36" customFormat="1" ht="12.75">
      <c r="D106" s="48"/>
      <c r="G106" s="48"/>
    </row>
    <row r="107" spans="2:8" s="36" customFormat="1" ht="12.75">
      <c r="D107" s="48"/>
      <c r="G107" s="48"/>
    </row>
    <row r="108" spans="2:8" s="36" customFormat="1" ht="12.75">
      <c r="D108" s="48"/>
      <c r="G108" s="48"/>
    </row>
    <row r="109" spans="2:8" s="36" customFormat="1" ht="12.75">
      <c r="D109" s="48"/>
      <c r="G109" s="48"/>
    </row>
    <row r="110" spans="2:8" s="36" customFormat="1" ht="12.75">
      <c r="D110" s="258" t="str">
        <f>IF(AND(nama_sekolah&lt;&gt;"",nama_ks&lt;&gt;""),UPPER(nama_ks),".............................")</f>
        <v>EKO WAHYONO, S.PD., M.M.</v>
      </c>
      <c r="G110" s="258" t="str">
        <f>IF(AND(nama_sekolah&lt;&gt;"",nama_bend&lt;&gt;""),UPPER(nama_bend),".............................")</f>
        <v>MISMUN, S.PD.I.</v>
      </c>
    </row>
    <row r="111" spans="2:8" s="36" customFormat="1" ht="12.75">
      <c r="D111" s="259" t="str">
        <f>"NIP "&amp;IF(AND(nama_sekolah&lt;&gt;"",nama_ks&lt;&gt;"",nip_ks),nip_ks,".............................")</f>
        <v>NIP 19650321 198608 1 001</v>
      </c>
      <c r="G111" s="259" t="str">
        <f>"NIP "&amp;IF(AND(nama_sekolah&lt;&gt;"",nama_bend&lt;&gt;"",nip_bend),nip_bend,".............................")</f>
        <v>NIP 19540212 198304 1 001</v>
      </c>
    </row>
    <row r="112" spans="2:8" s="36" customFormat="1" ht="12.75">
      <c r="D112" s="48"/>
    </row>
    <row r="113"/>
  </sheetData>
  <sheetProtection password="CAE2" sheet="1" objects="1" scenarios="1" selectLockedCells="1"/>
  <autoFilter ref="B12:H99"/>
  <mergeCells count="15">
    <mergeCell ref="B9:C9"/>
    <mergeCell ref="D9:E9"/>
    <mergeCell ref="G9:H9"/>
    <mergeCell ref="B7:C7"/>
    <mergeCell ref="D7:E7"/>
    <mergeCell ref="G7:H7"/>
    <mergeCell ref="B8:C8"/>
    <mergeCell ref="D8:E8"/>
    <mergeCell ref="G8:H8"/>
    <mergeCell ref="B2:H2"/>
    <mergeCell ref="B3:H3"/>
    <mergeCell ref="B5:C5"/>
    <mergeCell ref="D5:E5"/>
    <mergeCell ref="B6:C6"/>
    <mergeCell ref="D6:E6"/>
  </mergeCells>
  <dataValidations count="1">
    <dataValidation type="date" operator="greaterThan" allowBlank="1" showInputMessage="1" showErrorMessage="1" prompt="Setelah selesai mengisi Buku Pembantu Bank klik tanda panah dan hilangkan tanda cek pada Blank utk membuang baris kosong." sqref="B13:B99">
      <formula1>40179</formula1>
    </dataValidation>
  </dataValidations>
  <pageMargins left="0.59055118110236227" right="1.3779527559055118" top="0.59055118110236227" bottom="0.78740157480314965" header="0.39370078740157483" footer="0.39370078740157483"/>
  <pageSetup paperSize="5" orientation="landscape" horizontalDpi="4294967293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44</vt:i4>
      </vt:variant>
    </vt:vector>
  </HeadingPairs>
  <TitlesOfParts>
    <vt:vector size="62" baseType="lpstr">
      <vt:lpstr>Daftar Isi</vt:lpstr>
      <vt:lpstr>Petunjuk</vt:lpstr>
      <vt:lpstr>Data Sekolah</vt:lpstr>
      <vt:lpstr>Sampul</vt:lpstr>
      <vt:lpstr>BOS-K1</vt:lpstr>
      <vt:lpstr>BOS-K2</vt:lpstr>
      <vt:lpstr>BOS-K3</vt:lpstr>
      <vt:lpstr>BOS-K4</vt:lpstr>
      <vt:lpstr>BOS-K5</vt:lpstr>
      <vt:lpstr>BOS-K6</vt:lpstr>
      <vt:lpstr>BOS-K7</vt:lpstr>
      <vt:lpstr>BOS-K7a</vt:lpstr>
      <vt:lpstr>Surat Pengantar</vt:lpstr>
      <vt:lpstr>Lampiran Bos-K7</vt:lpstr>
      <vt:lpstr>Data A2</vt:lpstr>
      <vt:lpstr>Kuitansi A2</vt:lpstr>
      <vt:lpstr>BOS-03</vt:lpstr>
      <vt:lpstr>BOS-04</vt:lpstr>
      <vt:lpstr>alamat_sek</vt:lpstr>
      <vt:lpstr>besar_dana</vt:lpstr>
      <vt:lpstr>bujur</vt:lpstr>
      <vt:lpstr>data_a2</vt:lpstr>
      <vt:lpstr>desa_kel</vt:lpstr>
      <vt:lpstr>dusun</vt:lpstr>
      <vt:lpstr>email_sek</vt:lpstr>
      <vt:lpstr>hp_bend</vt:lpstr>
      <vt:lpstr>hp_ks</vt:lpstr>
      <vt:lpstr>jml_siswa</vt:lpstr>
      <vt:lpstr>kab_kota</vt:lpstr>
      <vt:lpstr>kec</vt:lpstr>
      <vt:lpstr>kode_pos</vt:lpstr>
      <vt:lpstr>lintang</vt:lpstr>
      <vt:lpstr>nama_bank</vt:lpstr>
      <vt:lpstr>nama_bend</vt:lpstr>
      <vt:lpstr>nama_ket_komite</vt:lpstr>
      <vt:lpstr>nama_ks</vt:lpstr>
      <vt:lpstr>nama_rek</vt:lpstr>
      <vt:lpstr>nama_sekolah</vt:lpstr>
      <vt:lpstr>nip_bend</vt:lpstr>
      <vt:lpstr>nip_ks</vt:lpstr>
      <vt:lpstr>no_a2</vt:lpstr>
      <vt:lpstr>no_rek</vt:lpstr>
      <vt:lpstr>npsn</vt:lpstr>
      <vt:lpstr>npwp</vt:lpstr>
      <vt:lpstr>nss</vt:lpstr>
      <vt:lpstr>periode_dari</vt:lpstr>
      <vt:lpstr>periode_sampai</vt:lpstr>
      <vt:lpstr>'BOS-04'!Print_Titles</vt:lpstr>
      <vt:lpstr>'BOS-K2'!Print_Titles</vt:lpstr>
      <vt:lpstr>'BOS-K3'!Print_Titles</vt:lpstr>
      <vt:lpstr>'BOS-K4'!Print_Titles</vt:lpstr>
      <vt:lpstr>'BOS-K5'!Print_Titles</vt:lpstr>
      <vt:lpstr>'BOS-K6'!Print_Titles</vt:lpstr>
      <vt:lpstr>'BOS-K7'!Print_Titles</vt:lpstr>
      <vt:lpstr>program_sekolah</vt:lpstr>
      <vt:lpstr>provinsi</vt:lpstr>
      <vt:lpstr>rt</vt:lpstr>
      <vt:lpstr>rw</vt:lpstr>
      <vt:lpstr>tahun_ajaran</vt:lpstr>
      <vt:lpstr>tahun_anggaran</vt:lpstr>
      <vt:lpstr>triwulan</vt:lpstr>
      <vt:lpstr>website</vt:lpstr>
    </vt:vector>
  </TitlesOfParts>
  <Company>Andromeda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Aplikasi BOS 2013</dc:title>
  <dc:creator>Eko Wahyono</dc:creator>
  <cp:keywords>Aplikasi BOS 2013;BOS 2013;Pelaporan BOS 2013;bantuan Operasional Sekolah;SPJ BOS 2013</cp:keywords>
  <dc:description>Dilarang menggunakan aplikasi ini tanpa izin Eko Wahyono selaku pengembang aplikasi.</dc:description>
  <cp:lastModifiedBy>Eko Wahyono</cp:lastModifiedBy>
  <cp:revision>001</cp:revision>
  <cp:lastPrinted>2013-03-01T23:24:03Z</cp:lastPrinted>
  <dcterms:created xsi:type="dcterms:W3CDTF">2013-02-23T01:56:12Z</dcterms:created>
  <dcterms:modified xsi:type="dcterms:W3CDTF">2013-03-02T03:30:26Z</dcterms:modified>
  <cp:version>20130227-001</cp:version>
</cp:coreProperties>
</file>