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Interés +" sheetId="2" r:id="rId1"/>
  </sheets>
  <calcPr calcId="125725"/>
</workbook>
</file>

<file path=xl/calcChain.xml><?xml version="1.0" encoding="utf-8"?>
<calcChain xmlns="http://schemas.openxmlformats.org/spreadsheetml/2006/main">
  <c r="G44" i="2"/>
  <c r="F44" s="1"/>
  <c r="G43"/>
  <c r="F43" s="1"/>
  <c r="G42"/>
  <c r="F42" s="1"/>
  <c r="G41"/>
  <c r="F41" s="1"/>
  <c r="G40"/>
  <c r="F40" s="1"/>
  <c r="G39"/>
  <c r="F39" s="1"/>
  <c r="G38"/>
  <c r="F38" s="1"/>
  <c r="G37"/>
  <c r="F37" s="1"/>
  <c r="G36"/>
  <c r="F36" s="1"/>
  <c r="G35"/>
  <c r="F35" s="1"/>
  <c r="G34"/>
  <c r="F34" s="1"/>
  <c r="G33"/>
  <c r="F33" s="1"/>
  <c r="G32"/>
  <c r="F32" s="1"/>
  <c r="G31"/>
  <c r="F31" s="1"/>
  <c r="G30"/>
  <c r="F30" s="1"/>
  <c r="G29"/>
  <c r="F29" s="1"/>
  <c r="G28"/>
  <c r="F28" s="1"/>
  <c r="G27"/>
  <c r="F27" s="1"/>
  <c r="G26"/>
  <c r="F26" s="1"/>
  <c r="G25"/>
  <c r="F25" s="1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 s="1"/>
  <c r="G7"/>
  <c r="F7" s="1"/>
  <c r="G6"/>
  <c r="F6" s="1"/>
  <c r="G5"/>
  <c r="F5" s="1"/>
  <c r="G46" l="1"/>
  <c r="G45"/>
  <c r="G47" s="1"/>
  <c r="I5"/>
  <c r="J5" s="1"/>
  <c r="I6" l="1"/>
  <c r="J6" s="1"/>
  <c r="I7" l="1"/>
  <c r="J7" s="1"/>
  <c r="I8" l="1"/>
  <c r="J8" s="1"/>
  <c r="I9" l="1"/>
  <c r="J9" s="1"/>
  <c r="I10" l="1"/>
  <c r="J10" s="1"/>
  <c r="I11" l="1"/>
  <c r="J11" s="1"/>
  <c r="I12" l="1"/>
  <c r="J12" s="1"/>
  <c r="I13" l="1"/>
  <c r="J13" s="1"/>
  <c r="I14" l="1"/>
  <c r="J14" s="1"/>
  <c r="I15" l="1"/>
  <c r="J15" s="1"/>
  <c r="I16" l="1"/>
  <c r="J16" s="1"/>
  <c r="I17" s="1"/>
  <c r="J17" l="1"/>
  <c r="I18" l="1"/>
  <c r="J18" s="1"/>
  <c r="I19" l="1"/>
  <c r="J19" s="1"/>
  <c r="I20" l="1"/>
  <c r="J20" s="1"/>
  <c r="I21" l="1"/>
  <c r="J21" s="1"/>
  <c r="I22" l="1"/>
  <c r="J22" s="1"/>
  <c r="I23" l="1"/>
  <c r="J23" s="1"/>
  <c r="I24" l="1"/>
  <c r="J24" s="1"/>
  <c r="I25" l="1"/>
  <c r="J25" s="1"/>
  <c r="I26" l="1"/>
  <c r="J26" s="1"/>
  <c r="I27" l="1"/>
  <c r="J27" s="1"/>
  <c r="I28" l="1"/>
  <c r="J28" s="1"/>
  <c r="I29" l="1"/>
  <c r="J29" s="1"/>
  <c r="I30" l="1"/>
  <c r="J30" s="1"/>
  <c r="I31" l="1"/>
  <c r="J31" s="1"/>
  <c r="I32" l="1"/>
  <c r="J32" s="1"/>
  <c r="I33" l="1"/>
  <c r="J33" s="1"/>
  <c r="I34" l="1"/>
  <c r="J34" s="1"/>
  <c r="I35" l="1"/>
  <c r="J35" s="1"/>
  <c r="I36" l="1"/>
  <c r="J36" s="1"/>
  <c r="I37" l="1"/>
  <c r="J37" s="1"/>
  <c r="I38" l="1"/>
  <c r="J38" s="1"/>
  <c r="I39" l="1"/>
  <c r="J39" s="1"/>
  <c r="I40" l="1"/>
  <c r="J40" s="1"/>
  <c r="I41" l="1"/>
  <c r="J41" s="1"/>
  <c r="I42" l="1"/>
  <c r="J42" s="1"/>
  <c r="I43" l="1"/>
  <c r="J43" s="1"/>
  <c r="I44" l="1"/>
  <c r="J46" s="1"/>
  <c r="J44" l="1"/>
  <c r="J45" s="1"/>
  <c r="J47" s="1"/>
</calcChain>
</file>

<file path=xl/sharedStrings.xml><?xml version="1.0" encoding="utf-8"?>
<sst xmlns="http://schemas.openxmlformats.org/spreadsheetml/2006/main" count="19" uniqueCount="12">
  <si>
    <t>INTERÉS COMPUESTO</t>
  </si>
  <si>
    <t>INTERÉS SIMPLE</t>
  </si>
  <si>
    <t>AÑO</t>
  </si>
  <si>
    <t>CAPITAL</t>
  </si>
  <si>
    <t>BENEFICIO</t>
  </si>
  <si>
    <t>B° ANUAL</t>
  </si>
  <si>
    <t>CAPITAL INICIAL</t>
  </si>
  <si>
    <t>APORTACIÓN ANUAL</t>
  </si>
  <si>
    <t>INTERÉS</t>
  </si>
  <si>
    <t>INFLACIÓN</t>
  </si>
  <si>
    <t>DEFLACTADO</t>
  </si>
  <si>
    <t>UveInvesting.com.es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</si>
</sst>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%"/>
    <numFmt numFmtId="165" formatCode="_-* #,##0\ &quot;€&quot;_-;\-* #,##0\ &quot;€&quot;_-;_-* &quot;-&quot;??\ &quot;€&quot;_-;_-@_-"/>
    <numFmt numFmtId="166" formatCode="_-* #,##0\ [$€-C0A]_-;\-* #,##0\ [$€-C0A]_-;_-* &quot;-&quot;??\ [$€-C0A]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5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0" borderId="9" xfId="2" applyNumberFormat="1" applyFont="1" applyBorder="1" applyAlignment="1">
      <alignment horizontal="center" vertical="center"/>
    </xf>
    <xf numFmtId="3" fontId="0" fillId="0" borderId="6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2" applyNumberFormat="1" applyFont="1" applyBorder="1" applyAlignment="1">
      <alignment horizontal="center" vertical="center"/>
    </xf>
    <xf numFmtId="3" fontId="0" fillId="0" borderId="1" xfId="2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/>
    <xf numFmtId="0" fontId="2" fillId="4" borderId="12" xfId="0" applyFont="1" applyFill="1" applyBorder="1"/>
    <xf numFmtId="165" fontId="2" fillId="4" borderId="14" xfId="2" applyNumberFormat="1" applyFont="1" applyFill="1" applyBorder="1" applyAlignment="1">
      <alignment horizontal="center" vertical="center"/>
    </xf>
    <xf numFmtId="165" fontId="2" fillId="4" borderId="21" xfId="2" applyNumberFormat="1" applyFont="1" applyFill="1" applyBorder="1" applyAlignment="1">
      <alignment horizontal="center" vertical="center"/>
    </xf>
    <xf numFmtId="164" fontId="0" fillId="0" borderId="0" xfId="0" applyNumberFormat="1"/>
    <xf numFmtId="3" fontId="0" fillId="0" borderId="22" xfId="2" applyNumberFormat="1" applyFont="1" applyBorder="1" applyAlignment="1">
      <alignment horizontal="center" vertical="center"/>
    </xf>
    <xf numFmtId="3" fontId="0" fillId="0" borderId="4" xfId="2" applyNumberFormat="1" applyFont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5" xfId="0" applyFont="1" applyFill="1" applyBorder="1"/>
    <xf numFmtId="166" fontId="2" fillId="4" borderId="16" xfId="2" applyNumberFormat="1" applyFont="1" applyFill="1" applyBorder="1"/>
    <xf numFmtId="165" fontId="2" fillId="4" borderId="16" xfId="2" applyNumberFormat="1" applyFont="1" applyFill="1" applyBorder="1"/>
    <xf numFmtId="164" fontId="0" fillId="2" borderId="16" xfId="1" applyNumberFormat="1" applyFont="1" applyFill="1" applyBorder="1" applyAlignment="1">
      <alignment horizontal="right"/>
    </xf>
    <xf numFmtId="165" fontId="0" fillId="2" borderId="14" xfId="2" applyNumberFormat="1" applyFont="1" applyFill="1" applyBorder="1" applyAlignment="1">
      <alignment horizontal="center"/>
    </xf>
    <xf numFmtId="165" fontId="0" fillId="2" borderId="21" xfId="2" applyNumberFormat="1" applyFont="1" applyFill="1" applyBorder="1" applyAlignment="1">
      <alignment horizontal="center"/>
    </xf>
    <xf numFmtId="164" fontId="0" fillId="2" borderId="21" xfId="1" applyNumberFormat="1" applyFont="1" applyFill="1" applyBorder="1" applyAlignment="1">
      <alignment horizontal="right"/>
    </xf>
    <xf numFmtId="0" fontId="0" fillId="6" borderId="0" xfId="0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8" xfId="0" applyBorder="1"/>
    <xf numFmtId="0" fontId="2" fillId="4" borderId="1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3">
    <cellStyle name="Moneda" xfId="2" builtinId="4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7"/>
  <sheetViews>
    <sheetView showGridLines="0" tabSelected="1" zoomScaleNormal="100" workbookViewId="0">
      <selection activeCell="C7" sqref="C7"/>
    </sheetView>
  </sheetViews>
  <sheetFormatPr baseColWidth="10" defaultRowHeight="15"/>
  <cols>
    <col min="1" max="1" width="4" customWidth="1"/>
    <col min="2" max="2" width="20.5703125" customWidth="1"/>
    <col min="4" max="4" width="11.42578125" style="3"/>
    <col min="5" max="5" width="8" style="3" customWidth="1"/>
    <col min="6" max="6" width="13.28515625" style="3" customWidth="1"/>
    <col min="7" max="7" width="13.5703125" style="3" customWidth="1"/>
    <col min="8" max="8" width="0.42578125" style="3" customWidth="1"/>
    <col min="9" max="10" width="13.28515625" customWidth="1"/>
    <col min="11" max="11" width="8" customWidth="1"/>
  </cols>
  <sheetData>
    <row r="2" spans="2:11" ht="15.75" thickBot="1"/>
    <row r="3" spans="2:11" ht="15.75" thickBot="1">
      <c r="B3" s="26" t="s">
        <v>6</v>
      </c>
      <c r="C3" s="43">
        <v>2000</v>
      </c>
      <c r="E3" s="47" t="s">
        <v>1</v>
      </c>
      <c r="F3" s="48"/>
      <c r="G3" s="49"/>
      <c r="H3" s="22"/>
      <c r="I3" s="47" t="s">
        <v>0</v>
      </c>
      <c r="J3" s="50"/>
      <c r="K3" s="51"/>
    </row>
    <row r="4" spans="2:11" ht="15.75" thickBot="1">
      <c r="B4" s="27" t="s">
        <v>7</v>
      </c>
      <c r="C4" s="44">
        <v>200</v>
      </c>
      <c r="E4" s="1" t="s">
        <v>2</v>
      </c>
      <c r="F4" s="4" t="s">
        <v>5</v>
      </c>
      <c r="G4" s="17" t="s">
        <v>3</v>
      </c>
      <c r="H4" s="23"/>
      <c r="I4" s="13" t="s">
        <v>5</v>
      </c>
      <c r="J4" s="13" t="s">
        <v>3</v>
      </c>
      <c r="K4" s="1" t="s">
        <v>2</v>
      </c>
    </row>
    <row r="5" spans="2:11">
      <c r="B5" s="27" t="s">
        <v>8</v>
      </c>
      <c r="C5" s="45">
        <v>7.0000000000000007E-2</v>
      </c>
      <c r="E5" s="14">
        <v>1</v>
      </c>
      <c r="F5" s="5">
        <f t="shared" ref="F5:F44" si="0">$C$5*G5</f>
        <v>140</v>
      </c>
      <c r="G5" s="6">
        <f>C3</f>
        <v>2000</v>
      </c>
      <c r="H5" s="24"/>
      <c r="I5" s="8">
        <f>($C$5*C3)</f>
        <v>140</v>
      </c>
      <c r="J5" s="21">
        <f>C3+I5</f>
        <v>2140</v>
      </c>
      <c r="K5" s="14">
        <v>2013</v>
      </c>
    </row>
    <row r="6" spans="2:11" ht="15.75" thickBot="1">
      <c r="B6" s="28" t="s">
        <v>9</v>
      </c>
      <c r="C6" s="42">
        <v>0.03</v>
      </c>
      <c r="E6" s="15">
        <v>2</v>
      </c>
      <c r="F6" s="9">
        <f t="shared" si="0"/>
        <v>154.00000000000003</v>
      </c>
      <c r="G6" s="10">
        <f>SUM($C$3,$C$4)</f>
        <v>2200</v>
      </c>
      <c r="H6" s="24"/>
      <c r="I6" s="11">
        <f t="shared" ref="I6:I44" si="1">$C$5*(J5+$C$4)</f>
        <v>163.80000000000001</v>
      </c>
      <c r="J6" s="20">
        <f t="shared" ref="J6:J44" si="2">SUM(J5,I6,$C$4)</f>
        <v>2503.8000000000002</v>
      </c>
      <c r="K6" s="15">
        <v>2014</v>
      </c>
    </row>
    <row r="7" spans="2:11">
      <c r="E7" s="15">
        <v>3</v>
      </c>
      <c r="F7" s="9">
        <f t="shared" si="0"/>
        <v>168.00000000000003</v>
      </c>
      <c r="G7" s="10">
        <f>SUM($C$3,$C$4*2)</f>
        <v>2400</v>
      </c>
      <c r="H7" s="24"/>
      <c r="I7" s="11">
        <f t="shared" si="1"/>
        <v>189.26600000000002</v>
      </c>
      <c r="J7" s="20">
        <f t="shared" si="2"/>
        <v>2893.0660000000003</v>
      </c>
      <c r="K7" s="15">
        <v>2015</v>
      </c>
    </row>
    <row r="8" spans="2:11">
      <c r="B8" s="52" t="s">
        <v>11</v>
      </c>
      <c r="C8" s="52"/>
      <c r="E8" s="15">
        <v>4</v>
      </c>
      <c r="F8" s="9">
        <f t="shared" si="0"/>
        <v>182.00000000000003</v>
      </c>
      <c r="G8" s="10">
        <f>SUM($C$3,$C$4*3)</f>
        <v>2600</v>
      </c>
      <c r="H8" s="24"/>
      <c r="I8" s="11">
        <f t="shared" si="1"/>
        <v>216.51462000000004</v>
      </c>
      <c r="J8" s="20">
        <f t="shared" si="2"/>
        <v>3309.5806200000002</v>
      </c>
      <c r="K8" s="15">
        <v>2016</v>
      </c>
    </row>
    <row r="9" spans="2:11">
      <c r="E9" s="15">
        <v>5</v>
      </c>
      <c r="F9" s="9">
        <f t="shared" si="0"/>
        <v>196.00000000000003</v>
      </c>
      <c r="G9" s="10">
        <f>SUM($C$3,$C$4*4)</f>
        <v>2800</v>
      </c>
      <c r="H9" s="24"/>
      <c r="I9" s="11">
        <f t="shared" si="1"/>
        <v>245.67064340000005</v>
      </c>
      <c r="J9" s="20">
        <f t="shared" si="2"/>
        <v>3755.2512634000004</v>
      </c>
      <c r="K9" s="15">
        <v>2017</v>
      </c>
    </row>
    <row r="10" spans="2:11">
      <c r="E10" s="15">
        <v>6</v>
      </c>
      <c r="F10" s="9">
        <f t="shared" si="0"/>
        <v>210.00000000000003</v>
      </c>
      <c r="G10" s="10">
        <f>SUM($C$3,$C$4*5)</f>
        <v>3000</v>
      </c>
      <c r="H10" s="24"/>
      <c r="I10" s="11">
        <f t="shared" si="1"/>
        <v>276.86758843800004</v>
      </c>
      <c r="J10" s="20">
        <f t="shared" si="2"/>
        <v>4232.1188518380004</v>
      </c>
      <c r="K10" s="15">
        <v>2018</v>
      </c>
    </row>
    <row r="11" spans="2:11">
      <c r="E11" s="15">
        <v>7</v>
      </c>
      <c r="F11" s="9">
        <f t="shared" si="0"/>
        <v>224.00000000000003</v>
      </c>
      <c r="G11" s="10">
        <f>SUM($C$3,$C$4*6)</f>
        <v>3200</v>
      </c>
      <c r="H11" s="24"/>
      <c r="I11" s="11">
        <f t="shared" si="1"/>
        <v>310.24831962866006</v>
      </c>
      <c r="J11" s="20">
        <f t="shared" si="2"/>
        <v>4742.3671714666607</v>
      </c>
      <c r="K11" s="15">
        <v>2019</v>
      </c>
    </row>
    <row r="12" spans="2:11">
      <c r="E12" s="15">
        <v>8</v>
      </c>
      <c r="F12" s="9">
        <f t="shared" si="0"/>
        <v>238.00000000000003</v>
      </c>
      <c r="G12" s="10">
        <f>SUM($C$3,$C$4*7)</f>
        <v>3400</v>
      </c>
      <c r="H12" s="24"/>
      <c r="I12" s="11">
        <f t="shared" si="1"/>
        <v>345.96570200266626</v>
      </c>
      <c r="J12" s="20">
        <f t="shared" si="2"/>
        <v>5288.3328734693268</v>
      </c>
      <c r="K12" s="15">
        <v>2020</v>
      </c>
    </row>
    <row r="13" spans="2:11">
      <c r="E13" s="15">
        <v>9</v>
      </c>
      <c r="F13" s="9">
        <f t="shared" si="0"/>
        <v>252.00000000000003</v>
      </c>
      <c r="G13" s="10">
        <f>SUM($C$3,$C$4*8)</f>
        <v>3600</v>
      </c>
      <c r="H13" s="24"/>
      <c r="I13" s="11">
        <f t="shared" si="1"/>
        <v>384.18330114285294</v>
      </c>
      <c r="J13" s="20">
        <f t="shared" si="2"/>
        <v>5872.5161746121794</v>
      </c>
      <c r="K13" s="15">
        <v>2021</v>
      </c>
    </row>
    <row r="14" spans="2:11">
      <c r="E14" s="15">
        <v>10</v>
      </c>
      <c r="F14" s="9">
        <f t="shared" si="0"/>
        <v>266</v>
      </c>
      <c r="G14" s="10">
        <f>SUM($C$3,$C$4*9)</f>
        <v>3800</v>
      </c>
      <c r="H14" s="24"/>
      <c r="I14" s="11">
        <f t="shared" si="1"/>
        <v>425.07613222285261</v>
      </c>
      <c r="J14" s="20">
        <f t="shared" si="2"/>
        <v>6497.5923068350321</v>
      </c>
      <c r="K14" s="15">
        <v>2022</v>
      </c>
    </row>
    <row r="15" spans="2:11">
      <c r="E15" s="15">
        <v>11</v>
      </c>
      <c r="F15" s="9">
        <f t="shared" si="0"/>
        <v>280</v>
      </c>
      <c r="G15" s="10">
        <f>SUM($C$3,$C$4*10)</f>
        <v>4000</v>
      </c>
      <c r="H15" s="24"/>
      <c r="I15" s="12">
        <f t="shared" si="1"/>
        <v>468.8314614784523</v>
      </c>
      <c r="J15" s="20">
        <f t="shared" si="2"/>
        <v>7166.4237683134843</v>
      </c>
      <c r="K15" s="15">
        <v>2023</v>
      </c>
    </row>
    <row r="16" spans="2:11">
      <c r="E16" s="15">
        <v>12</v>
      </c>
      <c r="F16" s="9">
        <f t="shared" si="0"/>
        <v>294</v>
      </c>
      <c r="G16" s="10">
        <f>SUM($C$3,$C$4*11)</f>
        <v>4200</v>
      </c>
      <c r="H16" s="24"/>
      <c r="I16" s="12">
        <f t="shared" si="1"/>
        <v>515.6496637819439</v>
      </c>
      <c r="J16" s="20">
        <f t="shared" si="2"/>
        <v>7882.073432095428</v>
      </c>
      <c r="K16" s="15">
        <v>2024</v>
      </c>
    </row>
    <row r="17" spans="5:11">
      <c r="E17" s="15">
        <v>13</v>
      </c>
      <c r="F17" s="9">
        <f t="shared" si="0"/>
        <v>308.00000000000006</v>
      </c>
      <c r="G17" s="10">
        <f>SUM($C$3,$C$4*12)</f>
        <v>4400</v>
      </c>
      <c r="H17" s="24"/>
      <c r="I17" s="12">
        <f t="shared" si="1"/>
        <v>565.74514024667997</v>
      </c>
      <c r="J17" s="20">
        <f t="shared" si="2"/>
        <v>8647.8185723421084</v>
      </c>
      <c r="K17" s="15">
        <v>2025</v>
      </c>
    </row>
    <row r="18" spans="5:11">
      <c r="E18" s="15">
        <v>14</v>
      </c>
      <c r="F18" s="9">
        <f t="shared" si="0"/>
        <v>322.00000000000006</v>
      </c>
      <c r="G18" s="10">
        <f>SUM($C$3,$C$4*13)</f>
        <v>4600</v>
      </c>
      <c r="H18" s="24"/>
      <c r="I18" s="12">
        <f t="shared" si="1"/>
        <v>619.34730006394761</v>
      </c>
      <c r="J18" s="20">
        <f t="shared" si="2"/>
        <v>9467.1658724060562</v>
      </c>
      <c r="K18" s="15">
        <v>2026</v>
      </c>
    </row>
    <row r="19" spans="5:11">
      <c r="E19" s="15">
        <v>15</v>
      </c>
      <c r="F19" s="9">
        <f t="shared" si="0"/>
        <v>336.00000000000006</v>
      </c>
      <c r="G19" s="10">
        <f>SUM($C$3,$C$4*14)</f>
        <v>4800</v>
      </c>
      <c r="H19" s="24"/>
      <c r="I19" s="12">
        <f t="shared" si="1"/>
        <v>676.70161106842397</v>
      </c>
      <c r="J19" s="20">
        <f t="shared" si="2"/>
        <v>10343.86748347448</v>
      </c>
      <c r="K19" s="15">
        <v>2027</v>
      </c>
    </row>
    <row r="20" spans="5:11">
      <c r="E20" s="15">
        <v>16</v>
      </c>
      <c r="F20" s="9">
        <f t="shared" si="0"/>
        <v>350.00000000000006</v>
      </c>
      <c r="G20" s="10">
        <f>SUM($C$3,$C$4*15)</f>
        <v>5000</v>
      </c>
      <c r="H20" s="24"/>
      <c r="I20" s="12">
        <f t="shared" si="1"/>
        <v>738.07072384321361</v>
      </c>
      <c r="J20" s="20">
        <f t="shared" si="2"/>
        <v>11281.938207317693</v>
      </c>
      <c r="K20" s="15">
        <v>2028</v>
      </c>
    </row>
    <row r="21" spans="5:11">
      <c r="E21" s="15">
        <v>17</v>
      </c>
      <c r="F21" s="9">
        <f t="shared" si="0"/>
        <v>364.00000000000006</v>
      </c>
      <c r="G21" s="10">
        <f>SUM($C$3,$C$4*16)</f>
        <v>5200</v>
      </c>
      <c r="H21" s="24"/>
      <c r="I21" s="12">
        <f t="shared" si="1"/>
        <v>803.73567451223857</v>
      </c>
      <c r="J21" s="20">
        <f t="shared" si="2"/>
        <v>12285.673881829931</v>
      </c>
      <c r="K21" s="15">
        <v>2029</v>
      </c>
    </row>
    <row r="22" spans="5:11">
      <c r="E22" s="15">
        <v>18</v>
      </c>
      <c r="F22" s="9">
        <f t="shared" si="0"/>
        <v>378.00000000000006</v>
      </c>
      <c r="G22" s="10">
        <f>SUM($C$3,$C$4*17)</f>
        <v>5400</v>
      </c>
      <c r="H22" s="24"/>
      <c r="I22" s="12">
        <f t="shared" si="1"/>
        <v>873.99717172809528</v>
      </c>
      <c r="J22" s="20">
        <f t="shared" si="2"/>
        <v>13359.671053558026</v>
      </c>
      <c r="K22" s="15">
        <v>2030</v>
      </c>
    </row>
    <row r="23" spans="5:11">
      <c r="E23" s="15">
        <v>19</v>
      </c>
      <c r="F23" s="9">
        <f t="shared" si="0"/>
        <v>392.00000000000006</v>
      </c>
      <c r="G23" s="10">
        <f>SUM($C$3,$C$4*18)</f>
        <v>5600</v>
      </c>
      <c r="H23" s="24"/>
      <c r="I23" s="12">
        <f t="shared" si="1"/>
        <v>949.17697374906186</v>
      </c>
      <c r="J23" s="20">
        <f t="shared" si="2"/>
        <v>14508.848027307087</v>
      </c>
      <c r="K23" s="15">
        <v>2031</v>
      </c>
    </row>
    <row r="24" spans="5:11">
      <c r="E24" s="15">
        <v>20</v>
      </c>
      <c r="F24" s="9">
        <f t="shared" si="0"/>
        <v>406.00000000000006</v>
      </c>
      <c r="G24" s="10">
        <f>SUM($C$3,$C$4*19)</f>
        <v>5800</v>
      </c>
      <c r="H24" s="24"/>
      <c r="I24" s="12">
        <f t="shared" si="1"/>
        <v>1029.6193619114963</v>
      </c>
      <c r="J24" s="20">
        <f t="shared" si="2"/>
        <v>15738.467389218584</v>
      </c>
      <c r="K24" s="15">
        <v>2032</v>
      </c>
    </row>
    <row r="25" spans="5:11">
      <c r="E25" s="15">
        <v>21</v>
      </c>
      <c r="F25" s="9">
        <f t="shared" si="0"/>
        <v>420.00000000000006</v>
      </c>
      <c r="G25" s="10">
        <f>SUM($C$3,$C$4*20)</f>
        <v>6000</v>
      </c>
      <c r="H25" s="24"/>
      <c r="I25" s="12">
        <f t="shared" si="1"/>
        <v>1115.6927172453011</v>
      </c>
      <c r="J25" s="20">
        <f t="shared" si="2"/>
        <v>17054.160106463885</v>
      </c>
      <c r="K25" s="15">
        <v>2033</v>
      </c>
    </row>
    <row r="26" spans="5:11">
      <c r="E26" s="15">
        <v>22</v>
      </c>
      <c r="F26" s="9">
        <f t="shared" si="0"/>
        <v>434.00000000000006</v>
      </c>
      <c r="G26" s="10">
        <f>SUM($C$3,$C$4*21)</f>
        <v>6200</v>
      </c>
      <c r="H26" s="24"/>
      <c r="I26" s="12">
        <f t="shared" si="1"/>
        <v>1207.791207452472</v>
      </c>
      <c r="J26" s="20">
        <f t="shared" si="2"/>
        <v>18461.951313916357</v>
      </c>
      <c r="K26" s="15">
        <v>2034</v>
      </c>
    </row>
    <row r="27" spans="5:11">
      <c r="E27" s="15">
        <v>23</v>
      </c>
      <c r="F27" s="9">
        <f t="shared" si="0"/>
        <v>448.00000000000006</v>
      </c>
      <c r="G27" s="10">
        <f>SUM($C$3,$C$4*22)</f>
        <v>6400</v>
      </c>
      <c r="H27" s="24"/>
      <c r="I27" s="12">
        <f t="shared" si="1"/>
        <v>1306.3365919741452</v>
      </c>
      <c r="J27" s="20">
        <f t="shared" si="2"/>
        <v>19968.287905890502</v>
      </c>
      <c r="K27" s="15">
        <v>2035</v>
      </c>
    </row>
    <row r="28" spans="5:11">
      <c r="E28" s="15">
        <v>24</v>
      </c>
      <c r="F28" s="9">
        <f t="shared" si="0"/>
        <v>462.00000000000006</v>
      </c>
      <c r="G28" s="10">
        <f>SUM($C$3,$C$4*23)</f>
        <v>6600</v>
      </c>
      <c r="H28" s="24"/>
      <c r="I28" s="12">
        <f t="shared" si="1"/>
        <v>1411.7801534123353</v>
      </c>
      <c r="J28" s="20">
        <f t="shared" si="2"/>
        <v>21580.068059302837</v>
      </c>
      <c r="K28" s="15">
        <v>2036</v>
      </c>
    </row>
    <row r="29" spans="5:11">
      <c r="E29" s="15">
        <v>25</v>
      </c>
      <c r="F29" s="9">
        <f t="shared" si="0"/>
        <v>476.00000000000006</v>
      </c>
      <c r="G29" s="10">
        <f>SUM($C$3,$C$4*24)</f>
        <v>6800</v>
      </c>
      <c r="H29" s="24"/>
      <c r="I29" s="12">
        <f t="shared" si="1"/>
        <v>1524.6047641511987</v>
      </c>
      <c r="J29" s="20">
        <f t="shared" si="2"/>
        <v>23304.672823454035</v>
      </c>
      <c r="K29" s="15">
        <v>2037</v>
      </c>
    </row>
    <row r="30" spans="5:11">
      <c r="E30" s="15">
        <v>26</v>
      </c>
      <c r="F30" s="9">
        <f t="shared" si="0"/>
        <v>490.00000000000006</v>
      </c>
      <c r="G30" s="10">
        <f>SUM($C$3,$C$4*25)</f>
        <v>7000</v>
      </c>
      <c r="H30" s="24"/>
      <c r="I30" s="12">
        <f t="shared" si="1"/>
        <v>1645.3270976417825</v>
      </c>
      <c r="J30" s="20">
        <f t="shared" si="2"/>
        <v>25149.999921095819</v>
      </c>
      <c r="K30" s="15">
        <v>2038</v>
      </c>
    </row>
    <row r="31" spans="5:11">
      <c r="E31" s="15">
        <v>27</v>
      </c>
      <c r="F31" s="9">
        <f t="shared" si="0"/>
        <v>504.00000000000006</v>
      </c>
      <c r="G31" s="10">
        <f>SUM($C$3,$C$4*26)</f>
        <v>7200</v>
      </c>
      <c r="H31" s="24"/>
      <c r="I31" s="12">
        <f t="shared" si="1"/>
        <v>1774.4999944767076</v>
      </c>
      <c r="J31" s="20">
        <f t="shared" si="2"/>
        <v>27124.499915572527</v>
      </c>
      <c r="K31" s="15">
        <v>2039</v>
      </c>
    </row>
    <row r="32" spans="5:11">
      <c r="E32" s="15">
        <v>28</v>
      </c>
      <c r="F32" s="9">
        <f t="shared" si="0"/>
        <v>518</v>
      </c>
      <c r="G32" s="10">
        <f>SUM($C$3,$C$4*27)</f>
        <v>7400</v>
      </c>
      <c r="H32" s="24"/>
      <c r="I32" s="12">
        <f t="shared" si="1"/>
        <v>1912.7149940900772</v>
      </c>
      <c r="J32" s="20">
        <f t="shared" si="2"/>
        <v>29237.214909662605</v>
      </c>
      <c r="K32" s="15">
        <v>2040</v>
      </c>
    </row>
    <row r="33" spans="5:11">
      <c r="E33" s="15">
        <v>29</v>
      </c>
      <c r="F33" s="9">
        <f t="shared" si="0"/>
        <v>532</v>
      </c>
      <c r="G33" s="10">
        <f>SUM($C$3,$C$4*28)</f>
        <v>7600</v>
      </c>
      <c r="H33" s="24"/>
      <c r="I33" s="12">
        <f t="shared" si="1"/>
        <v>2060.6050436763826</v>
      </c>
      <c r="J33" s="20">
        <f t="shared" si="2"/>
        <v>31497.819953338989</v>
      </c>
      <c r="K33" s="15">
        <v>2041</v>
      </c>
    </row>
    <row r="34" spans="5:11">
      <c r="E34" s="15">
        <v>30</v>
      </c>
      <c r="F34" s="9">
        <f t="shared" si="0"/>
        <v>546</v>
      </c>
      <c r="G34" s="10">
        <f>SUM($C$3,$C$4*29)</f>
        <v>7800</v>
      </c>
      <c r="H34" s="24"/>
      <c r="I34" s="12">
        <f t="shared" si="1"/>
        <v>2218.8473967337295</v>
      </c>
      <c r="J34" s="20">
        <f t="shared" si="2"/>
        <v>33916.667350072719</v>
      </c>
      <c r="K34" s="15">
        <v>2042</v>
      </c>
    </row>
    <row r="35" spans="5:11">
      <c r="E35" s="15">
        <v>31</v>
      </c>
      <c r="F35" s="9">
        <f t="shared" si="0"/>
        <v>560</v>
      </c>
      <c r="G35" s="10">
        <f>SUM($C$3,$C$4*30)</f>
        <v>8000</v>
      </c>
      <c r="H35" s="24"/>
      <c r="I35" s="12">
        <f t="shared" si="1"/>
        <v>2388.1667145050906</v>
      </c>
      <c r="J35" s="20">
        <f t="shared" si="2"/>
        <v>36504.834064577808</v>
      </c>
      <c r="K35" s="15">
        <v>2043</v>
      </c>
    </row>
    <row r="36" spans="5:11">
      <c r="E36" s="15">
        <v>32</v>
      </c>
      <c r="F36" s="9">
        <f t="shared" si="0"/>
        <v>574</v>
      </c>
      <c r="G36" s="10">
        <f>SUM($C$3,$C$4*31)</f>
        <v>8200</v>
      </c>
      <c r="H36" s="24"/>
      <c r="I36" s="12">
        <f t="shared" si="1"/>
        <v>2569.3383845204467</v>
      </c>
      <c r="J36" s="20">
        <f t="shared" si="2"/>
        <v>39274.172449098252</v>
      </c>
      <c r="K36" s="15">
        <v>2044</v>
      </c>
    </row>
    <row r="37" spans="5:11">
      <c r="E37" s="15">
        <v>33</v>
      </c>
      <c r="F37" s="9">
        <f t="shared" si="0"/>
        <v>588</v>
      </c>
      <c r="G37" s="10">
        <f>SUM($C$3,$C$4*32)</f>
        <v>8400</v>
      </c>
      <c r="H37" s="24"/>
      <c r="I37" s="12">
        <f t="shared" si="1"/>
        <v>2763.192071436878</v>
      </c>
      <c r="J37" s="20">
        <f t="shared" si="2"/>
        <v>42237.364520535128</v>
      </c>
      <c r="K37" s="15">
        <v>2045</v>
      </c>
    </row>
    <row r="38" spans="5:11">
      <c r="E38" s="15">
        <v>34</v>
      </c>
      <c r="F38" s="9">
        <f t="shared" si="0"/>
        <v>602.00000000000011</v>
      </c>
      <c r="G38" s="10">
        <f>SUM($C$3,$C$4*33)</f>
        <v>8600</v>
      </c>
      <c r="H38" s="24"/>
      <c r="I38" s="12">
        <f t="shared" si="1"/>
        <v>2970.6155164374591</v>
      </c>
      <c r="J38" s="20">
        <f t="shared" si="2"/>
        <v>45407.980036972585</v>
      </c>
      <c r="K38" s="15">
        <v>2046</v>
      </c>
    </row>
    <row r="39" spans="5:11">
      <c r="E39" s="15">
        <v>35</v>
      </c>
      <c r="F39" s="9">
        <f t="shared" si="0"/>
        <v>616.00000000000011</v>
      </c>
      <c r="G39" s="10">
        <f>SUM($C$3,$C$4*34)</f>
        <v>8800</v>
      </c>
      <c r="H39" s="24"/>
      <c r="I39" s="12">
        <f t="shared" si="1"/>
        <v>3192.5586025880812</v>
      </c>
      <c r="J39" s="20">
        <f t="shared" si="2"/>
        <v>48800.538639560669</v>
      </c>
      <c r="K39" s="15">
        <v>2047</v>
      </c>
    </row>
    <row r="40" spans="5:11">
      <c r="E40" s="15">
        <v>36</v>
      </c>
      <c r="F40" s="9">
        <f t="shared" si="0"/>
        <v>630.00000000000011</v>
      </c>
      <c r="G40" s="10">
        <f>SUM($C$3,$C$4*35)</f>
        <v>9000</v>
      </c>
      <c r="H40" s="24"/>
      <c r="I40" s="12">
        <f t="shared" si="1"/>
        <v>3430.0377047692473</v>
      </c>
      <c r="J40" s="20">
        <f t="shared" si="2"/>
        <v>52430.576344329915</v>
      </c>
      <c r="K40" s="15">
        <v>2048</v>
      </c>
    </row>
    <row r="41" spans="5:11">
      <c r="E41" s="15">
        <v>37</v>
      </c>
      <c r="F41" s="9">
        <f t="shared" si="0"/>
        <v>644.00000000000011</v>
      </c>
      <c r="G41" s="10">
        <f>SUM($C$3,$C$4*36)</f>
        <v>9200</v>
      </c>
      <c r="H41" s="24"/>
      <c r="I41" s="12">
        <f t="shared" si="1"/>
        <v>3684.1403441030943</v>
      </c>
      <c r="J41" s="20">
        <f t="shared" si="2"/>
        <v>56314.716688433007</v>
      </c>
      <c r="K41" s="15">
        <v>2049</v>
      </c>
    </row>
    <row r="42" spans="5:11">
      <c r="E42" s="15">
        <v>38</v>
      </c>
      <c r="F42" s="9">
        <f t="shared" si="0"/>
        <v>658.00000000000011</v>
      </c>
      <c r="G42" s="10">
        <f>SUM($C$3,$C$4*37)</f>
        <v>9400</v>
      </c>
      <c r="H42" s="24"/>
      <c r="I42" s="12">
        <f t="shared" si="1"/>
        <v>3956.0301681903111</v>
      </c>
      <c r="J42" s="20">
        <f t="shared" si="2"/>
        <v>60470.746856623315</v>
      </c>
      <c r="K42" s="15">
        <v>2050</v>
      </c>
    </row>
    <row r="43" spans="5:11">
      <c r="E43" s="15">
        <v>39</v>
      </c>
      <c r="F43" s="9">
        <f t="shared" si="0"/>
        <v>672.00000000000011</v>
      </c>
      <c r="G43" s="10">
        <f>SUM($C$3,$C$4*38)</f>
        <v>9600</v>
      </c>
      <c r="H43" s="24"/>
      <c r="I43" s="12">
        <f t="shared" si="1"/>
        <v>4246.9522799636325</v>
      </c>
      <c r="J43" s="20">
        <f t="shared" si="2"/>
        <v>64917.699136586947</v>
      </c>
      <c r="K43" s="15">
        <v>2051</v>
      </c>
    </row>
    <row r="44" spans="5:11" ht="15.75" thickBot="1">
      <c r="E44" s="16">
        <v>40</v>
      </c>
      <c r="F44" s="32">
        <f t="shared" si="0"/>
        <v>686.00000000000011</v>
      </c>
      <c r="G44" s="33">
        <f>SUM($C$3,$C$4*39)</f>
        <v>9800</v>
      </c>
      <c r="H44" s="25"/>
      <c r="I44" s="36">
        <f t="shared" si="1"/>
        <v>4558.2389395610871</v>
      </c>
      <c r="J44" s="37">
        <f t="shared" si="2"/>
        <v>69675.938076148028</v>
      </c>
      <c r="K44" s="16">
        <v>2052</v>
      </c>
    </row>
    <row r="45" spans="5:11">
      <c r="E45" s="2"/>
      <c r="F45" s="18" t="s">
        <v>3</v>
      </c>
      <c r="G45" s="29">
        <f>G44</f>
        <v>9800</v>
      </c>
      <c r="H45" s="35"/>
      <c r="I45" s="19" t="s">
        <v>3</v>
      </c>
      <c r="J45" s="29">
        <f>J44</f>
        <v>69675.938076148028</v>
      </c>
      <c r="K45" s="2"/>
    </row>
    <row r="46" spans="5:11" ht="15.75" thickBot="1">
      <c r="E46" s="2"/>
      <c r="F46" s="34" t="s">
        <v>4</v>
      </c>
      <c r="G46" s="30">
        <f>SUM(F5:F44)</f>
        <v>16520</v>
      </c>
      <c r="H46" s="25"/>
      <c r="I46" s="38" t="s">
        <v>4</v>
      </c>
      <c r="J46" s="30">
        <f>SUM(I5:I44)</f>
        <v>59875.93807614805</v>
      </c>
      <c r="K46" s="2"/>
    </row>
    <row r="47" spans="5:11" ht="15.75" thickBot="1">
      <c r="E47" s="7"/>
      <c r="F47" s="39" t="s">
        <v>10</v>
      </c>
      <c r="G47" s="40">
        <f>G45/(1+C6)^40</f>
        <v>3004.2570395833072</v>
      </c>
      <c r="H47" s="46"/>
      <c r="I47" s="39" t="s">
        <v>10</v>
      </c>
      <c r="J47" s="41">
        <f>J45/(1+C6)^40</f>
        <v>21359.635454575338</v>
      </c>
      <c r="K47" s="31"/>
    </row>
  </sheetData>
  <sheetProtection password="F309" sheet="1" formatCells="0" formatColumns="0" formatRows="0" insertColumns="0" insertRows="0" insertHyperlinks="0" deleteColumns="0" deleteRows="0" sort="0" autoFilter="0" pivotTables="0"/>
  <protectedRanges>
    <protectedRange sqref="C3:C6" name="Rango1"/>
  </protectedRanges>
  <mergeCells count="3">
    <mergeCell ref="E3:G3"/>
    <mergeCell ref="I3:K3"/>
    <mergeCell ref="B8:C8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Interés +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2013-11-07T10:17:21Z</dcterms:modified>
</cp:coreProperties>
</file>